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5994" documentId="13_ncr:1_{9BC97B05-42D7-44C0-A310-79A77D228A16}" xr6:coauthVersionLast="45" xr6:coauthVersionMax="45" xr10:uidLastSave="{58997E64-E8D1-4833-9CFB-55769A7C896F}"/>
  <bookViews>
    <workbookView xWindow="-108" yWindow="-108" windowWidth="23256" windowHeight="12576" tabRatio="886" xr2:uid="{00000000-000D-0000-FFFF-FFFF0000000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Country Indicator Data" sheetId="85" r:id="rId10"/>
    <sheet name="Regional Crises" sheetId="98" r:id="rId11"/>
    <sheet name="Reliability" sheetId="99" r:id="rId12"/>
    <sheet name="Data Reliability" sheetId="104" r:id="rId13"/>
    <sheet name="Reliability_updated" sheetId="103" r:id="rId14"/>
    <sheet name="Trends" sheetId="108" r:id="rId15"/>
    <sheet name="Indicator Metadata" sheetId="90" r:id="rId16"/>
    <sheet name="Crisis info" sheetId="105" r:id="rId17"/>
    <sheet name="Lists" sheetId="93" state="hidden" r:id="rId18"/>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5" hidden="1">'Conditions of people affected'!$C$2:$R$18</definedName>
    <definedName name="_xlnm._FilterDatabase" localSheetId="16" hidden="1">'Crisis info'!$A$1:$N$150</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Lists!$A$2:$HO$146</definedName>
    <definedName name="_Key1" localSheetId="9" hidden="1">#REF!</definedName>
    <definedName name="_Key1" localSheetId="16" hidden="1">#REF!</definedName>
    <definedName name="_Key1" localSheetId="12" hidden="1">#REF!</definedName>
    <definedName name="_Key1" localSheetId="4" hidden="1">#REF!</definedName>
    <definedName name="_Key1" localSheetId="15" hidden="1">#REF!</definedName>
    <definedName name="_Key1" hidden="1">#REF!</definedName>
    <definedName name="_Order1" hidden="1">255</definedName>
    <definedName name="_Sort" localSheetId="9" hidden="1">#REF!</definedName>
    <definedName name="_Sort" localSheetId="16" hidden="1">#REF!</definedName>
    <definedName name="_Sort" localSheetId="12" hidden="1">#REF!</definedName>
    <definedName name="_Sort" localSheetId="4" hidden="1">#REF!</definedName>
    <definedName name="_Sort" localSheetId="15" hidden="1">#REF!</definedName>
    <definedName name="_Sort" hidden="1">#REF!</definedName>
    <definedName name="aa" localSheetId="9" hidden="1">#REF!</definedName>
    <definedName name="aa" localSheetId="16" hidden="1">#REF!</definedName>
    <definedName name="aa" localSheetId="12" hidden="1">#REF!</definedName>
    <definedName name="aa" localSheetId="15"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54" i="103" l="1"/>
  <c r="N5" i="105" l="1"/>
  <c r="K5" i="105"/>
  <c r="N36" i="105"/>
  <c r="K36" i="105"/>
  <c r="N145" i="105"/>
  <c r="K145" i="105"/>
  <c r="N3" i="105"/>
  <c r="N4" i="105"/>
  <c r="K3" i="105"/>
  <c r="K4" i="105"/>
  <c r="N31" i="105"/>
  <c r="N16" i="105"/>
  <c r="N18" i="105"/>
  <c r="N19" i="105"/>
  <c r="K19" i="105"/>
  <c r="N8" i="105" l="1"/>
  <c r="E12" i="98" l="1"/>
  <c r="G12" i="98"/>
  <c r="H12" i="98"/>
  <c r="I12" i="98"/>
  <c r="J12" i="98"/>
  <c r="K12" i="98"/>
  <c r="L12" i="98"/>
  <c r="M12" i="98"/>
  <c r="O12" i="98"/>
  <c r="P12" i="98"/>
  <c r="Q12" i="98"/>
  <c r="R12" i="98"/>
  <c r="D3" i="74" l="1"/>
  <c r="D5" i="97" s="1"/>
  <c r="E3" i="74"/>
  <c r="B3" i="74"/>
  <c r="D4" i="74"/>
  <c r="D6" i="97" s="1"/>
  <c r="E4" i="74"/>
  <c r="E6" i="97" s="1"/>
  <c r="B4" i="74"/>
  <c r="D5" i="74"/>
  <c r="D7" i="97" s="1"/>
  <c r="E5" i="74"/>
  <c r="B5" i="74"/>
  <c r="B8" i="75" s="1"/>
  <c r="D6" i="74"/>
  <c r="D8" i="97" s="1"/>
  <c r="E6" i="74"/>
  <c r="B6" i="74"/>
  <c r="D7" i="74"/>
  <c r="D9" i="97" s="1"/>
  <c r="E7" i="74"/>
  <c r="E9" i="97" s="1"/>
  <c r="B7" i="74"/>
  <c r="C8" i="74"/>
  <c r="C10" i="97" s="1"/>
  <c r="D8" i="74"/>
  <c r="D10" i="97" s="1"/>
  <c r="E8" i="74"/>
  <c r="B8" i="74"/>
  <c r="F10" i="97" s="1"/>
  <c r="D9" i="74"/>
  <c r="E9" i="74"/>
  <c r="B9" i="74"/>
  <c r="D10" i="74"/>
  <c r="D12" i="97" s="1"/>
  <c r="E10" i="74"/>
  <c r="B10" i="74"/>
  <c r="D11" i="74"/>
  <c r="D13" i="97" s="1"/>
  <c r="E11" i="74"/>
  <c r="E13" i="97" s="1"/>
  <c r="B11" i="74"/>
  <c r="F13" i="97" s="1"/>
  <c r="D12" i="74"/>
  <c r="D14" i="97" s="1"/>
  <c r="E12" i="74"/>
  <c r="E14" i="97" s="1"/>
  <c r="B12" i="74"/>
  <c r="D13" i="74"/>
  <c r="D15" i="97" s="1"/>
  <c r="E13" i="74"/>
  <c r="B13" i="74"/>
  <c r="D14" i="74"/>
  <c r="D16" i="97" s="1"/>
  <c r="E14" i="74"/>
  <c r="E17" i="4" s="1"/>
  <c r="B14" i="74"/>
  <c r="D15" i="74"/>
  <c r="D17" i="97" s="1"/>
  <c r="E15" i="74"/>
  <c r="B15" i="74"/>
  <c r="D16" i="74"/>
  <c r="D18" i="97" s="1"/>
  <c r="E16" i="74"/>
  <c r="E18" i="97" s="1"/>
  <c r="B16" i="74"/>
  <c r="B19" i="75" s="1"/>
  <c r="E6" i="98"/>
  <c r="H6" i="98"/>
  <c r="J6" i="98"/>
  <c r="G6" i="98"/>
  <c r="I6" i="98"/>
  <c r="K6" i="98"/>
  <c r="L6" i="98"/>
  <c r="R6" i="98"/>
  <c r="Q6" i="98"/>
  <c r="O6" i="98"/>
  <c r="P6" i="98"/>
  <c r="M6" i="98"/>
  <c r="D17" i="74"/>
  <c r="D19" i="97" s="1"/>
  <c r="E17" i="74"/>
  <c r="E19" i="97" s="1"/>
  <c r="B17" i="74"/>
  <c r="F19" i="97" s="1"/>
  <c r="D18" i="74"/>
  <c r="D20" i="97" s="1"/>
  <c r="E18" i="74"/>
  <c r="E20" i="97" s="1"/>
  <c r="B18" i="74"/>
  <c r="D19" i="74"/>
  <c r="D21" i="97" s="1"/>
  <c r="E19" i="74"/>
  <c r="B19" i="74"/>
  <c r="B22" i="4" s="1"/>
  <c r="D20" i="74"/>
  <c r="D22" i="97" s="1"/>
  <c r="E20" i="74"/>
  <c r="B20" i="74"/>
  <c r="D21" i="74"/>
  <c r="D23" i="97" s="1"/>
  <c r="E21" i="74"/>
  <c r="E23" i="97" s="1"/>
  <c r="B21" i="74"/>
  <c r="D22" i="74"/>
  <c r="E22" i="74"/>
  <c r="E24" i="97" s="1"/>
  <c r="B22" i="74"/>
  <c r="D23" i="74"/>
  <c r="D25" i="97" s="1"/>
  <c r="E23" i="74"/>
  <c r="B23" i="74"/>
  <c r="D24" i="74"/>
  <c r="D26" i="97" s="1"/>
  <c r="E24" i="74"/>
  <c r="B24" i="74"/>
  <c r="D25" i="74"/>
  <c r="E25" i="74"/>
  <c r="B25" i="74"/>
  <c r="B28" i="4" s="1"/>
  <c r="D26" i="74"/>
  <c r="D28" i="97" s="1"/>
  <c r="E26" i="74"/>
  <c r="E28" i="97" s="1"/>
  <c r="B26" i="74"/>
  <c r="F28" i="97" s="1"/>
  <c r="C27" i="74"/>
  <c r="D27" i="74"/>
  <c r="D29" i="97" s="1"/>
  <c r="E27" i="74"/>
  <c r="E29" i="97" s="1"/>
  <c r="B27" i="74"/>
  <c r="C28" i="74"/>
  <c r="D28" i="74"/>
  <c r="D30" i="97" s="1"/>
  <c r="E28" i="74"/>
  <c r="B28" i="74"/>
  <c r="B31" i="75" s="1"/>
  <c r="D29" i="74"/>
  <c r="D31" i="97" s="1"/>
  <c r="E29" i="74"/>
  <c r="B29" i="74"/>
  <c r="F31" i="97" s="1"/>
  <c r="D30" i="74"/>
  <c r="D32" i="97" s="1"/>
  <c r="E30" i="74"/>
  <c r="B30" i="74"/>
  <c r="D31" i="74"/>
  <c r="D33" i="97" s="1"/>
  <c r="E31" i="74"/>
  <c r="E34" i="75" s="1"/>
  <c r="B31" i="74"/>
  <c r="D32" i="74"/>
  <c r="D34" i="97" s="1"/>
  <c r="E32" i="74"/>
  <c r="E35" i="3" s="1"/>
  <c r="B32" i="74"/>
  <c r="D33" i="74"/>
  <c r="E33" i="74"/>
  <c r="B33" i="74"/>
  <c r="D34" i="74"/>
  <c r="D36" i="97" s="1"/>
  <c r="E34" i="74"/>
  <c r="B34" i="74"/>
  <c r="B37" i="75" s="1"/>
  <c r="C35" i="74"/>
  <c r="C37" i="97" s="1"/>
  <c r="U37" i="97" s="1"/>
  <c r="D35" i="74"/>
  <c r="D37" i="97" s="1"/>
  <c r="E35" i="74"/>
  <c r="B35" i="74"/>
  <c r="D36" i="74"/>
  <c r="D38" i="97" s="1"/>
  <c r="E36" i="74"/>
  <c r="B36" i="74"/>
  <c r="F38" i="97" s="1"/>
  <c r="D37" i="74"/>
  <c r="D39" i="97" s="1"/>
  <c r="E37" i="74"/>
  <c r="B37" i="74"/>
  <c r="F39" i="97" s="1"/>
  <c r="D38" i="74"/>
  <c r="E38" i="74"/>
  <c r="E41" i="75" s="1"/>
  <c r="B38" i="74"/>
  <c r="B41" i="75" s="1"/>
  <c r="C39" i="74"/>
  <c r="C41" i="97" s="1"/>
  <c r="D39" i="74"/>
  <c r="D41" i="97" s="1"/>
  <c r="E39" i="74"/>
  <c r="B39" i="74"/>
  <c r="B42" i="75" s="1"/>
  <c r="D40" i="74"/>
  <c r="D42" i="97" s="1"/>
  <c r="E40" i="74"/>
  <c r="B40" i="74"/>
  <c r="C41" i="74"/>
  <c r="D41" i="74"/>
  <c r="E41" i="74"/>
  <c r="B41" i="74"/>
  <c r="F43" i="97" s="1"/>
  <c r="D42" i="74"/>
  <c r="D44" i="97" s="1"/>
  <c r="E42" i="74"/>
  <c r="B42" i="74"/>
  <c r="D43" i="74"/>
  <c r="D45" i="97" s="1"/>
  <c r="E43" i="74"/>
  <c r="B43" i="74"/>
  <c r="D44" i="74"/>
  <c r="D46" i="97" s="1"/>
  <c r="E44" i="74"/>
  <c r="B44" i="74"/>
  <c r="B47" i="75" s="1"/>
  <c r="D45" i="74"/>
  <c r="D47" i="97" s="1"/>
  <c r="E45" i="74"/>
  <c r="B45" i="74"/>
  <c r="D46" i="74"/>
  <c r="D48" i="97" s="1"/>
  <c r="E46" i="74"/>
  <c r="B46" i="74"/>
  <c r="F48" i="97" s="1"/>
  <c r="D47" i="74"/>
  <c r="D49" i="97" s="1"/>
  <c r="E47" i="74"/>
  <c r="E50" i="3" s="1"/>
  <c r="B47" i="74"/>
  <c r="D48" i="74"/>
  <c r="D50" i="97" s="1"/>
  <c r="E48" i="74"/>
  <c r="E51" i="3" s="1"/>
  <c r="B48" i="74"/>
  <c r="B51" i="4" s="1"/>
  <c r="D49" i="74"/>
  <c r="D51" i="97" s="1"/>
  <c r="E49" i="74"/>
  <c r="E52" i="3" s="1"/>
  <c r="B49" i="74"/>
  <c r="F51" i="97" s="1"/>
  <c r="D50" i="74"/>
  <c r="D52" i="97" s="1"/>
  <c r="E50" i="74"/>
  <c r="E53" i="3" s="1"/>
  <c r="B50" i="74"/>
  <c r="F52" i="97" s="1"/>
  <c r="D51" i="74"/>
  <c r="D53" i="97" s="1"/>
  <c r="E51" i="74"/>
  <c r="B51" i="74"/>
  <c r="F53" i="97" s="1"/>
  <c r="D52" i="74"/>
  <c r="D54" i="97" s="1"/>
  <c r="E52" i="74"/>
  <c r="B52" i="74"/>
  <c r="F54" i="97" s="1"/>
  <c r="D53" i="74"/>
  <c r="D55" i="97" s="1"/>
  <c r="E53" i="74"/>
  <c r="E56" i="3" s="1"/>
  <c r="B53" i="74"/>
  <c r="D54" i="74"/>
  <c r="D56" i="97" s="1"/>
  <c r="E54" i="74"/>
  <c r="B54" i="74"/>
  <c r="B57" i="4" s="1"/>
  <c r="D55" i="74"/>
  <c r="D57" i="97" s="1"/>
  <c r="E55" i="74"/>
  <c r="B55" i="74"/>
  <c r="F57" i="97" s="1"/>
  <c r="C56" i="74"/>
  <c r="C58" i="97" s="1"/>
  <c r="D56" i="74"/>
  <c r="D58" i="97" s="1"/>
  <c r="E56" i="74"/>
  <c r="B56" i="74"/>
  <c r="B59" i="75" s="1"/>
  <c r="D57" i="74"/>
  <c r="E57" i="74"/>
  <c r="B57" i="74"/>
  <c r="B60" i="75" s="1"/>
  <c r="D58" i="74"/>
  <c r="D60" i="97" s="1"/>
  <c r="E58" i="74"/>
  <c r="B58" i="74"/>
  <c r="D59" i="74"/>
  <c r="D61" i="97" s="1"/>
  <c r="E59" i="74"/>
  <c r="B59" i="74"/>
  <c r="B62" i="75" s="1"/>
  <c r="E5" i="98"/>
  <c r="D60" i="74"/>
  <c r="D62" i="97" s="1"/>
  <c r="E60" i="74"/>
  <c r="E63" i="4" s="1"/>
  <c r="B60" i="74"/>
  <c r="B63" i="75" s="1"/>
  <c r="D61" i="74"/>
  <c r="D63" i="97" s="1"/>
  <c r="E61" i="74"/>
  <c r="B61" i="74"/>
  <c r="D62" i="74"/>
  <c r="D64" i="97" s="1"/>
  <c r="E62" i="74"/>
  <c r="B62" i="74"/>
  <c r="C63" i="74"/>
  <c r="D63" i="74"/>
  <c r="D65" i="97" s="1"/>
  <c r="E63" i="74"/>
  <c r="E66" i="75" s="1"/>
  <c r="B63" i="74"/>
  <c r="D64" i="74"/>
  <c r="D66" i="97" s="1"/>
  <c r="E64" i="74"/>
  <c r="B64" i="74"/>
  <c r="D65" i="74"/>
  <c r="D67" i="97" s="1"/>
  <c r="E65" i="74"/>
  <c r="B65" i="74"/>
  <c r="D66" i="74"/>
  <c r="D68" i="97" s="1"/>
  <c r="E66" i="74"/>
  <c r="E69" i="4" s="1"/>
  <c r="B66" i="74"/>
  <c r="D67" i="74"/>
  <c r="D69" i="97" s="1"/>
  <c r="E67" i="74"/>
  <c r="E70" i="4" s="1"/>
  <c r="B67" i="74"/>
  <c r="B70" i="3" s="1"/>
  <c r="D68" i="74"/>
  <c r="D70" i="97" s="1"/>
  <c r="E68" i="74"/>
  <c r="E71" i="4" s="1"/>
  <c r="B68" i="74"/>
  <c r="D69" i="74"/>
  <c r="D71" i="97" s="1"/>
  <c r="E69" i="74"/>
  <c r="B69" i="74"/>
  <c r="C70" i="74"/>
  <c r="C72" i="97" s="1"/>
  <c r="U72" i="97" s="1"/>
  <c r="D70" i="74"/>
  <c r="D72" i="97" s="1"/>
  <c r="E70" i="74"/>
  <c r="B70" i="74"/>
  <c r="D71" i="74"/>
  <c r="D73" i="97" s="1"/>
  <c r="E71" i="74"/>
  <c r="B71" i="74"/>
  <c r="D72" i="74"/>
  <c r="D74" i="97" s="1"/>
  <c r="E72" i="74"/>
  <c r="B72" i="74"/>
  <c r="D73" i="74"/>
  <c r="E73" i="74"/>
  <c r="B73" i="74"/>
  <c r="C74" i="74"/>
  <c r="D74" i="74"/>
  <c r="D76" i="97" s="1"/>
  <c r="E74" i="74"/>
  <c r="E76" i="97" s="1"/>
  <c r="B74" i="74"/>
  <c r="E11" i="98"/>
  <c r="H11" i="98"/>
  <c r="J11" i="98"/>
  <c r="G11" i="98"/>
  <c r="I11" i="98"/>
  <c r="K11" i="98"/>
  <c r="L11" i="98"/>
  <c r="R11" i="98"/>
  <c r="Q11" i="98"/>
  <c r="O11" i="98"/>
  <c r="P11" i="98"/>
  <c r="M11" i="98"/>
  <c r="D75" i="74"/>
  <c r="E75" i="74"/>
  <c r="B75" i="74"/>
  <c r="C76" i="74"/>
  <c r="D76" i="74"/>
  <c r="D78" i="97" s="1"/>
  <c r="E76" i="74"/>
  <c r="B76" i="74"/>
  <c r="C77" i="74"/>
  <c r="D77" i="74"/>
  <c r="D79" i="97" s="1"/>
  <c r="E77" i="74"/>
  <c r="E80" i="75" s="1"/>
  <c r="B77" i="74"/>
  <c r="D78" i="74"/>
  <c r="D80" i="97" s="1"/>
  <c r="E78" i="74"/>
  <c r="B78" i="74"/>
  <c r="D79" i="74"/>
  <c r="D81" i="97" s="1"/>
  <c r="E79" i="74"/>
  <c r="B79" i="74"/>
  <c r="D80" i="74"/>
  <c r="D82" i="97" s="1"/>
  <c r="E80" i="74"/>
  <c r="E83" i="4" s="1"/>
  <c r="B80" i="74"/>
  <c r="D81" i="74"/>
  <c r="D83" i="97" s="1"/>
  <c r="E81" i="74"/>
  <c r="B81" i="74"/>
  <c r="D82" i="74"/>
  <c r="D84" i="97" s="1"/>
  <c r="E82" i="74"/>
  <c r="B82" i="74"/>
  <c r="D83" i="74"/>
  <c r="D85" i="97" s="1"/>
  <c r="E83" i="74"/>
  <c r="E85" i="97" s="1"/>
  <c r="B83" i="74"/>
  <c r="D84" i="74"/>
  <c r="D86" i="97" s="1"/>
  <c r="E84" i="74"/>
  <c r="B84" i="74"/>
  <c r="D85" i="74"/>
  <c r="D87" i="97" s="1"/>
  <c r="E85" i="74"/>
  <c r="E88" i="4" s="1"/>
  <c r="B85" i="74"/>
  <c r="B88" i="75" s="1"/>
  <c r="D86" i="74"/>
  <c r="E86" i="74"/>
  <c r="B86" i="74"/>
  <c r="B89" i="75" s="1"/>
  <c r="D87" i="74"/>
  <c r="D89" i="97" s="1"/>
  <c r="E87" i="74"/>
  <c r="B87" i="74"/>
  <c r="B90" i="75" s="1"/>
  <c r="D88" i="74"/>
  <c r="D90" i="97" s="1"/>
  <c r="E88" i="74"/>
  <c r="B88" i="74"/>
  <c r="D89" i="74"/>
  <c r="D91" i="97" s="1"/>
  <c r="E89" i="74"/>
  <c r="B89" i="74"/>
  <c r="D90" i="74"/>
  <c r="D92" i="97" s="1"/>
  <c r="E90" i="74"/>
  <c r="B90" i="74"/>
  <c r="D91" i="74"/>
  <c r="D93" i="97" s="1"/>
  <c r="E91" i="74"/>
  <c r="E94" i="4" s="1"/>
  <c r="B91" i="74"/>
  <c r="D92" i="74"/>
  <c r="D94" i="97" s="1"/>
  <c r="E92" i="74"/>
  <c r="B92" i="74"/>
  <c r="D93" i="74"/>
  <c r="D95" i="97" s="1"/>
  <c r="E93" i="74"/>
  <c r="B93" i="74"/>
  <c r="C94" i="74"/>
  <c r="D94" i="74"/>
  <c r="D96" i="97" s="1"/>
  <c r="E94" i="74"/>
  <c r="B94" i="74"/>
  <c r="D95" i="74"/>
  <c r="D97" i="97" s="1"/>
  <c r="E95" i="74"/>
  <c r="B95" i="74"/>
  <c r="D96" i="74"/>
  <c r="D98" i="97" s="1"/>
  <c r="E96" i="74"/>
  <c r="E99" i="4" s="1"/>
  <c r="B96" i="74"/>
  <c r="D97" i="74"/>
  <c r="E97" i="74"/>
  <c r="B97" i="74"/>
  <c r="F99" i="97" s="1"/>
  <c r="D98" i="74"/>
  <c r="D100" i="97" s="1"/>
  <c r="E98" i="74"/>
  <c r="B98" i="74"/>
  <c r="D99" i="74"/>
  <c r="D101" i="97" s="1"/>
  <c r="E99" i="74"/>
  <c r="B99" i="74"/>
  <c r="D100" i="74"/>
  <c r="D102" i="97" s="1"/>
  <c r="E100" i="74"/>
  <c r="B100" i="74"/>
  <c r="D101" i="74"/>
  <c r="D103" i="97" s="1"/>
  <c r="E101" i="74"/>
  <c r="B101" i="74"/>
  <c r="D102" i="74"/>
  <c r="D104" i="97" s="1"/>
  <c r="E102" i="74"/>
  <c r="B102" i="74"/>
  <c r="F104" i="97" s="1"/>
  <c r="D103" i="74"/>
  <c r="D105" i="97" s="1"/>
  <c r="E103" i="74"/>
  <c r="E105" i="97" s="1"/>
  <c r="B103" i="74"/>
  <c r="D104" i="74"/>
  <c r="D106" i="97" s="1"/>
  <c r="E104" i="74"/>
  <c r="B104" i="74"/>
  <c r="B107" i="3" s="1"/>
  <c r="D105" i="74"/>
  <c r="D107" i="97" s="1"/>
  <c r="E105" i="74"/>
  <c r="E108" i="3" s="1"/>
  <c r="B105" i="74"/>
  <c r="F107" i="97" s="1"/>
  <c r="D106" i="74"/>
  <c r="D108" i="97" s="1"/>
  <c r="E106" i="74"/>
  <c r="E108" i="97" s="1"/>
  <c r="B106" i="74"/>
  <c r="E3" i="98"/>
  <c r="H3" i="98"/>
  <c r="J3" i="98"/>
  <c r="G3" i="98"/>
  <c r="I3" i="98"/>
  <c r="K3" i="98"/>
  <c r="L3" i="98"/>
  <c r="R3" i="98"/>
  <c r="Q3" i="98"/>
  <c r="O3" i="98"/>
  <c r="P3" i="98"/>
  <c r="M3" i="98"/>
  <c r="D107" i="74"/>
  <c r="D109" i="97" s="1"/>
  <c r="E107" i="74"/>
  <c r="B107" i="74"/>
  <c r="B110" i="4" s="1"/>
  <c r="C108" i="74"/>
  <c r="C110" i="97" s="1"/>
  <c r="D108" i="74"/>
  <c r="D110" i="97" s="1"/>
  <c r="B108" i="74"/>
  <c r="D109" i="74"/>
  <c r="D111" i="97" s="1"/>
  <c r="E109" i="74"/>
  <c r="B109" i="74"/>
  <c r="F111" i="97" s="1"/>
  <c r="D110" i="74"/>
  <c r="D112" i="97" s="1"/>
  <c r="E110" i="74"/>
  <c r="B110" i="74"/>
  <c r="D111" i="74"/>
  <c r="D113" i="97" s="1"/>
  <c r="E111" i="74"/>
  <c r="E114" i="75" s="1"/>
  <c r="B111" i="74"/>
  <c r="B114" i="3" s="1"/>
  <c r="D112" i="74"/>
  <c r="D114" i="97" s="1"/>
  <c r="E112" i="74"/>
  <c r="B112" i="74"/>
  <c r="B115" i="75" s="1"/>
  <c r="D113" i="74"/>
  <c r="E113" i="74"/>
  <c r="E116" i="75" s="1"/>
  <c r="B113" i="74"/>
  <c r="D114" i="74"/>
  <c r="D116" i="97" s="1"/>
  <c r="E114" i="74"/>
  <c r="B114" i="74"/>
  <c r="D115" i="74"/>
  <c r="D117" i="97" s="1"/>
  <c r="E115" i="74"/>
  <c r="E118" i="75" s="1"/>
  <c r="B115" i="74"/>
  <c r="D116" i="74"/>
  <c r="D118" i="97" s="1"/>
  <c r="E116" i="74"/>
  <c r="B116" i="74"/>
  <c r="B119" i="75" s="1"/>
  <c r="D117" i="74"/>
  <c r="D119" i="97" s="1"/>
  <c r="E117" i="74"/>
  <c r="E120" i="4" s="1"/>
  <c r="B117" i="74"/>
  <c r="B120" i="4" s="1"/>
  <c r="C118" i="74"/>
  <c r="D118" i="74"/>
  <c r="D120" i="97" s="1"/>
  <c r="E118" i="74"/>
  <c r="E121" i="75" s="1"/>
  <c r="B118" i="74"/>
  <c r="C119" i="74"/>
  <c r="D119" i="74"/>
  <c r="E119" i="74"/>
  <c r="B119" i="74"/>
  <c r="D120" i="74"/>
  <c r="D122" i="97" s="1"/>
  <c r="E120" i="74"/>
  <c r="B120" i="74"/>
  <c r="D121" i="74"/>
  <c r="D123" i="97" s="1"/>
  <c r="E121" i="74"/>
  <c r="B121" i="74"/>
  <c r="F123" i="97" s="1"/>
  <c r="D122" i="74"/>
  <c r="D124" i="97" s="1"/>
  <c r="E122" i="74"/>
  <c r="B122" i="74"/>
  <c r="B125" i="3" s="1"/>
  <c r="D123" i="74"/>
  <c r="D125" i="97" s="1"/>
  <c r="E123" i="74"/>
  <c r="B123" i="74"/>
  <c r="D124" i="74"/>
  <c r="D126" i="97" s="1"/>
  <c r="E124" i="74"/>
  <c r="E126" i="97" s="1"/>
  <c r="B124" i="74"/>
  <c r="E9" i="98"/>
  <c r="H9" i="98"/>
  <c r="J9" i="98"/>
  <c r="G9" i="98"/>
  <c r="I9" i="98"/>
  <c r="K9" i="98"/>
  <c r="L9" i="98"/>
  <c r="R9" i="98"/>
  <c r="Q9" i="98"/>
  <c r="O9" i="98"/>
  <c r="P9" i="98"/>
  <c r="M9" i="98"/>
  <c r="D125" i="74"/>
  <c r="D127" i="97" s="1"/>
  <c r="E125" i="74"/>
  <c r="B125" i="74"/>
  <c r="D126" i="74"/>
  <c r="D128" i="97" s="1"/>
  <c r="E126" i="74"/>
  <c r="B126" i="74"/>
  <c r="D127" i="74"/>
  <c r="D129" i="97" s="1"/>
  <c r="E127" i="74"/>
  <c r="B127" i="74"/>
  <c r="F129" i="97" s="1"/>
  <c r="D128" i="74"/>
  <c r="D130" i="97" s="1"/>
  <c r="E128" i="74"/>
  <c r="B128" i="74"/>
  <c r="D129" i="74"/>
  <c r="E129" i="74"/>
  <c r="B129" i="74"/>
  <c r="D130" i="74"/>
  <c r="D132" i="97" s="1"/>
  <c r="E130" i="74"/>
  <c r="B130" i="74"/>
  <c r="F132" i="97" s="1"/>
  <c r="D131" i="74"/>
  <c r="D133" i="97" s="1"/>
  <c r="E131" i="74"/>
  <c r="B131" i="74"/>
  <c r="D132" i="74"/>
  <c r="D134" i="97" s="1"/>
  <c r="E132" i="74"/>
  <c r="E134" i="97" s="1"/>
  <c r="B132" i="74"/>
  <c r="C133" i="74"/>
  <c r="C135" i="97" s="1"/>
  <c r="D133" i="74"/>
  <c r="D135" i="97" s="1"/>
  <c r="E133" i="74"/>
  <c r="B133" i="74"/>
  <c r="C134" i="74"/>
  <c r="D134" i="74"/>
  <c r="D136" i="97" s="1"/>
  <c r="E134" i="74"/>
  <c r="B134" i="74"/>
  <c r="D135" i="74"/>
  <c r="D137" i="97" s="1"/>
  <c r="E135" i="74"/>
  <c r="E137" i="97" s="1"/>
  <c r="B135" i="74"/>
  <c r="F137" i="97" s="1"/>
  <c r="D136" i="74"/>
  <c r="D138" i="97" s="1"/>
  <c r="E136" i="74"/>
  <c r="E138" i="97" s="1"/>
  <c r="B136" i="74"/>
  <c r="F138" i="97" s="1"/>
  <c r="D137" i="74"/>
  <c r="D139" i="97" s="1"/>
  <c r="E137" i="74"/>
  <c r="E139" i="97" s="1"/>
  <c r="B137" i="74"/>
  <c r="D138" i="74"/>
  <c r="D140" i="97" s="1"/>
  <c r="E138" i="74"/>
  <c r="B138" i="74"/>
  <c r="B141" i="3" s="1"/>
  <c r="D139" i="74"/>
  <c r="D141" i="97" s="1"/>
  <c r="E139" i="74"/>
  <c r="E142" i="4" s="1"/>
  <c r="B139" i="74"/>
  <c r="B142" i="75" s="1"/>
  <c r="C140" i="74"/>
  <c r="D140" i="74"/>
  <c r="E140" i="74"/>
  <c r="B140" i="74"/>
  <c r="D141" i="74"/>
  <c r="D143" i="97" s="1"/>
  <c r="E141" i="74"/>
  <c r="E143" i="97" s="1"/>
  <c r="B141" i="74"/>
  <c r="D142" i="74"/>
  <c r="E142" i="74"/>
  <c r="B142" i="74"/>
  <c r="E4" i="98"/>
  <c r="H4" i="98"/>
  <c r="J4" i="98"/>
  <c r="G4" i="98"/>
  <c r="I4" i="98"/>
  <c r="K4" i="98"/>
  <c r="L4" i="98"/>
  <c r="R4" i="98"/>
  <c r="Q4" i="98"/>
  <c r="O4" i="98"/>
  <c r="P4" i="98"/>
  <c r="M4" i="98"/>
  <c r="D143" i="74"/>
  <c r="E143" i="74"/>
  <c r="E145" i="97" s="1"/>
  <c r="B143" i="74"/>
  <c r="D144" i="74"/>
  <c r="E144" i="74"/>
  <c r="E147" i="4" s="1"/>
  <c r="B144" i="74"/>
  <c r="D145" i="74"/>
  <c r="E145" i="74"/>
  <c r="B145" i="74"/>
  <c r="B148" i="75" s="1"/>
  <c r="D146" i="74"/>
  <c r="D149" i="3" s="1"/>
  <c r="E146" i="74"/>
  <c r="E149" i="4" s="1"/>
  <c r="B146" i="74"/>
  <c r="B149" i="75" s="1"/>
  <c r="D147" i="74"/>
  <c r="D150" i="3" s="1"/>
  <c r="E147" i="74"/>
  <c r="E150" i="75" s="1"/>
  <c r="B147" i="74"/>
  <c r="D148" i="74"/>
  <c r="E149" i="74"/>
  <c r="E151" i="97" s="1"/>
  <c r="E151" i="74"/>
  <c r="E152" i="74"/>
  <c r="E153" i="74"/>
  <c r="E155" i="97" s="1"/>
  <c r="E154" i="74"/>
  <c r="B148" i="74"/>
  <c r="B151" i="75" s="1"/>
  <c r="D149" i="74"/>
  <c r="B149" i="74"/>
  <c r="D150" i="74"/>
  <c r="E150" i="74"/>
  <c r="B150" i="74"/>
  <c r="F152" i="97" s="1"/>
  <c r="D151" i="74"/>
  <c r="D153" i="97" s="1"/>
  <c r="B151" i="74"/>
  <c r="F153" i="97" s="1"/>
  <c r="D152" i="74"/>
  <c r="B152" i="74"/>
  <c r="D153" i="74"/>
  <c r="D155" i="97" s="1"/>
  <c r="B153" i="74"/>
  <c r="N155" i="97"/>
  <c r="M155" i="97"/>
  <c r="A133" i="107" a="1"/>
  <c r="A133" i="107" s="1"/>
  <c r="E133" i="107"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s="1"/>
  <c r="T157" i="104"/>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s="1"/>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s="1"/>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s="1"/>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s="1"/>
  <c r="T164" i="104" s="1"/>
  <c r="AA164" i="104"/>
  <c r="AC164" i="104"/>
  <c r="AD164" i="104"/>
  <c r="AE164" i="104"/>
  <c r="AF164" i="104"/>
  <c r="AH164" i="104"/>
  <c r="AI164" i="104"/>
  <c r="AK164" i="104"/>
  <c r="AL164" i="104"/>
  <c r="AM164" i="104"/>
  <c r="A165" i="104"/>
  <c r="E165" i="104"/>
  <c r="F165" i="104"/>
  <c r="H165" i="104"/>
  <c r="I165" i="104"/>
  <c r="J165" i="104"/>
  <c r="N165" i="104"/>
  <c r="O165" i="104"/>
  <c r="P165" i="104"/>
  <c r="Q165" i="104"/>
  <c r="R165" i="104"/>
  <c r="W165" i="104"/>
  <c r="X165" i="104" s="1"/>
  <c r="T165" i="104" s="1"/>
  <c r="AA165" i="104"/>
  <c r="AC165" i="104"/>
  <c r="AD165" i="104"/>
  <c r="AE165" i="104"/>
  <c r="AF165" i="104"/>
  <c r="AH165" i="104"/>
  <c r="AJ165" i="104" s="1"/>
  <c r="AI165" i="104"/>
  <c r="AK165" i="104"/>
  <c r="AL165" i="104"/>
  <c r="AM165" i="104"/>
  <c r="A166" i="104"/>
  <c r="E166" i="104"/>
  <c r="F166" i="104"/>
  <c r="H166" i="104"/>
  <c r="I166" i="104"/>
  <c r="J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s="1"/>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s="1"/>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s="1"/>
  <c r="T172" i="104" s="1"/>
  <c r="AA172" i="104"/>
  <c r="AC172" i="104"/>
  <c r="AD172" i="104"/>
  <c r="AE172" i="104"/>
  <c r="AF172" i="104"/>
  <c r="AH172" i="104"/>
  <c r="AI172" i="104"/>
  <c r="AK172" i="104"/>
  <c r="AL172" i="104"/>
  <c r="AM172" i="104"/>
  <c r="A173" i="104"/>
  <c r="E173" i="104"/>
  <c r="G173" i="104" s="1"/>
  <c r="F173" i="104"/>
  <c r="H173" i="104"/>
  <c r="I173" i="104"/>
  <c r="J173" i="104"/>
  <c r="N173" i="104"/>
  <c r="O173" i="104"/>
  <c r="P173" i="104"/>
  <c r="Q173" i="104"/>
  <c r="R173" i="104"/>
  <c r="W173" i="104"/>
  <c r="X173" i="104" s="1"/>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G177" i="104" s="1"/>
  <c r="H177" i="104"/>
  <c r="I177" i="104"/>
  <c r="J177" i="104"/>
  <c r="N177" i="104"/>
  <c r="O177" i="104"/>
  <c r="P177" i="104"/>
  <c r="Q177" i="104"/>
  <c r="R177" i="104"/>
  <c r="W177" i="104"/>
  <c r="X177" i="104" s="1"/>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s="1"/>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s="1"/>
  <c r="T180" i="104" s="1"/>
  <c r="AA180" i="104"/>
  <c r="AC180" i="104"/>
  <c r="AD180" i="104"/>
  <c r="AE180" i="104"/>
  <c r="AF180" i="104"/>
  <c r="AH180" i="104"/>
  <c r="AI180" i="104"/>
  <c r="AK180" i="104"/>
  <c r="AL180" i="104"/>
  <c r="AM180" i="104"/>
  <c r="A181" i="104"/>
  <c r="E181" i="104"/>
  <c r="F181" i="104"/>
  <c r="H181" i="104"/>
  <c r="I181" i="104"/>
  <c r="J181" i="104"/>
  <c r="N181" i="104"/>
  <c r="O181" i="104"/>
  <c r="P181" i="104"/>
  <c r="Q181" i="104"/>
  <c r="R181" i="104"/>
  <c r="W181" i="104"/>
  <c r="X181" i="104" s="1"/>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s="1"/>
  <c r="T185" i="104" s="1"/>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s="1"/>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s="1"/>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s="1"/>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F192" i="104"/>
  <c r="AH192" i="104"/>
  <c r="AI192" i="104"/>
  <c r="AK192" i="104"/>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c r="T194" i="104" s="1"/>
  <c r="AA194" i="104"/>
  <c r="AC194" i="104"/>
  <c r="AD194" i="104"/>
  <c r="AE194" i="104"/>
  <c r="AF194" i="104"/>
  <c r="AH194" i="104"/>
  <c r="AI194" i="104"/>
  <c r="AK194" i="104"/>
  <c r="AL194" i="104"/>
  <c r="AM194" i="104"/>
  <c r="A195" i="104"/>
  <c r="E195" i="104"/>
  <c r="F195" i="104"/>
  <c r="H195" i="104"/>
  <c r="I195" i="104"/>
  <c r="J195" i="104"/>
  <c r="K195" i="104" s="1"/>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s="1"/>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s="1"/>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s="1"/>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H200" i="104"/>
  <c r="I200" i="104"/>
  <c r="J200" i="104"/>
  <c r="N200" i="104"/>
  <c r="O200" i="104"/>
  <c r="P200" i="104"/>
  <c r="Q200" i="104"/>
  <c r="R200" i="104"/>
  <c r="W200" i="104"/>
  <c r="X200" i="104" s="1"/>
  <c r="T200" i="104" s="1"/>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G207" i="104" s="1"/>
  <c r="H207" i="104"/>
  <c r="I207" i="104"/>
  <c r="J207" i="104"/>
  <c r="N207" i="104"/>
  <c r="O207" i="104"/>
  <c r="P207" i="104"/>
  <c r="Q207" i="104"/>
  <c r="R207" i="104"/>
  <c r="W207" i="104"/>
  <c r="X207" i="104"/>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H214" i="104"/>
  <c r="J214" i="104"/>
  <c r="I214" i="104"/>
  <c r="N214" i="104"/>
  <c r="O214" i="104"/>
  <c r="P214" i="104"/>
  <c r="Q214" i="104"/>
  <c r="R214" i="104"/>
  <c r="W214" i="104"/>
  <c r="X214" i="104" s="1"/>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AA219" i="104"/>
  <c r="AC219" i="104"/>
  <c r="AD219" i="104"/>
  <c r="AE219" i="104"/>
  <c r="AF219" i="104"/>
  <c r="AH219" i="104"/>
  <c r="AI219" i="104"/>
  <c r="AK219" i="104"/>
  <c r="AL219" i="104"/>
  <c r="AM219" i="104"/>
  <c r="A220" i="104"/>
  <c r="E220" i="104"/>
  <c r="F220" i="104"/>
  <c r="H220" i="104"/>
  <c r="I220" i="104"/>
  <c r="J220" i="104"/>
  <c r="N220" i="104"/>
  <c r="O220" i="104"/>
  <c r="P220" i="104"/>
  <c r="Q220" i="104"/>
  <c r="R220" i="104"/>
  <c r="W220" i="104"/>
  <c r="X220" i="104" s="1"/>
  <c r="T220" i="104" s="1"/>
  <c r="AA220" i="104"/>
  <c r="AC220" i="104"/>
  <c r="AD220" i="104"/>
  <c r="AE220" i="104"/>
  <c r="AF220" i="104"/>
  <c r="AH220" i="104"/>
  <c r="AI220" i="104"/>
  <c r="AK220" i="104"/>
  <c r="AL220" i="104"/>
  <c r="AM220" i="104"/>
  <c r="A221" i="104"/>
  <c r="E221" i="104"/>
  <c r="F221" i="104"/>
  <c r="H221" i="104"/>
  <c r="I221" i="104"/>
  <c r="J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s="1"/>
  <c r="T228" i="104" s="1"/>
  <c r="AA228" i="104"/>
  <c r="AC228" i="104"/>
  <c r="AD228" i="104"/>
  <c r="AE228" i="104"/>
  <c r="AF228" i="104"/>
  <c r="AH228" i="104"/>
  <c r="AI228" i="104"/>
  <c r="AK228" i="104"/>
  <c r="AL228" i="104"/>
  <c r="AM228" i="104"/>
  <c r="A145" i="99"/>
  <c r="A146" i="99"/>
  <c r="A147" i="99"/>
  <c r="A148" i="99"/>
  <c r="A155" i="74"/>
  <c r="B155" i="74"/>
  <c r="C155" i="74"/>
  <c r="D155" i="74"/>
  <c r="E155" i="74"/>
  <c r="F155" i="74"/>
  <c r="G155" i="74"/>
  <c r="H155" i="74"/>
  <c r="I155" i="74"/>
  <c r="J155" i="74"/>
  <c r="K155" i="74"/>
  <c r="L155" i="74"/>
  <c r="M155" i="74"/>
  <c r="N155" i="74"/>
  <c r="O155" i="74"/>
  <c r="P155" i="74"/>
  <c r="Q155" i="74"/>
  <c r="R155" i="74"/>
  <c r="S155" i="74"/>
  <c r="T155" i="74"/>
  <c r="U155" i="74"/>
  <c r="V155" i="74"/>
  <c r="W155" i="74"/>
  <c r="X155" i="74"/>
  <c r="Y155" i="74"/>
  <c r="Z155" i="74"/>
  <c r="AA155" i="74"/>
  <c r="AB155" i="74"/>
  <c r="AC155" i="74"/>
  <c r="AD155" i="74"/>
  <c r="AE155" i="74"/>
  <c r="AF155" i="74"/>
  <c r="AG155" i="74"/>
  <c r="A156" i="74"/>
  <c r="B156" i="74"/>
  <c r="C156" i="74"/>
  <c r="D156" i="74"/>
  <c r="E156" i="74"/>
  <c r="F156" i="74"/>
  <c r="G156" i="74"/>
  <c r="H156" i="74"/>
  <c r="I156" i="74"/>
  <c r="J156" i="74"/>
  <c r="K156" i="74"/>
  <c r="L156" i="74"/>
  <c r="M156" i="74"/>
  <c r="N156" i="74"/>
  <c r="O156" i="74"/>
  <c r="P156" i="74"/>
  <c r="Q156" i="74"/>
  <c r="R156" i="74"/>
  <c r="S156" i="74"/>
  <c r="T156" i="74"/>
  <c r="U156" i="74"/>
  <c r="V156" i="74"/>
  <c r="W156" i="74"/>
  <c r="X156" i="74"/>
  <c r="Y156" i="74"/>
  <c r="Z156" i="74"/>
  <c r="AA156" i="74"/>
  <c r="AB156" i="74"/>
  <c r="AC156" i="74"/>
  <c r="AD156" i="74"/>
  <c r="AE156" i="74"/>
  <c r="AF156" i="74"/>
  <c r="AG156" i="74"/>
  <c r="A145" i="74"/>
  <c r="A147" i="97" s="1"/>
  <c r="A146" i="74"/>
  <c r="A147" i="74"/>
  <c r="A148" i="74"/>
  <c r="A149" i="74"/>
  <c r="A151" i="97"/>
  <c r="A150" i="74"/>
  <c r="A151" i="74"/>
  <c r="A152" i="74"/>
  <c r="A153" i="74"/>
  <c r="A154" i="74"/>
  <c r="B154" i="74"/>
  <c r="D154" i="74"/>
  <c r="J10" i="98"/>
  <c r="K100" i="105"/>
  <c r="K31" i="105"/>
  <c r="K18" i="105"/>
  <c r="N13" i="105"/>
  <c r="K13" i="105"/>
  <c r="A68" i="102" a="1"/>
  <c r="A68" i="102" s="1"/>
  <c r="A69" i="102" a="1"/>
  <c r="A69" i="102" s="1"/>
  <c r="A70" i="102" a="1"/>
  <c r="A70" i="102" s="1"/>
  <c r="A71" i="102" a="1"/>
  <c r="A71" i="102" s="1"/>
  <c r="A72" i="102" a="1"/>
  <c r="A72" i="102" s="1"/>
  <c r="B72" i="102" s="1"/>
  <c r="A73" i="102" a="1"/>
  <c r="A73" i="102" s="1"/>
  <c r="A142" i="74"/>
  <c r="A145" i="75" s="1"/>
  <c r="A143" i="74"/>
  <c r="A144" i="74"/>
  <c r="B144" i="97"/>
  <c r="B145" i="97"/>
  <c r="B146" i="97"/>
  <c r="B147" i="97"/>
  <c r="B148" i="97"/>
  <c r="B149" i="97"/>
  <c r="B150" i="97"/>
  <c r="B151" i="97"/>
  <c r="B152" i="97"/>
  <c r="B153" i="97"/>
  <c r="B154" i="97"/>
  <c r="B155" i="97"/>
  <c r="A140" i="107" a="1"/>
  <c r="A140" i="107" s="1"/>
  <c r="A141" i="107" a="1"/>
  <c r="A141" i="107" s="1"/>
  <c r="A142" i="107" a="1"/>
  <c r="A142" i="107" s="1"/>
  <c r="A98" i="107" a="1"/>
  <c r="A98" i="107" s="1"/>
  <c r="A115" i="107" a="1"/>
  <c r="A115" i="107" s="1"/>
  <c r="A62" i="107" a="1"/>
  <c r="A62" i="107" s="1"/>
  <c r="A63" i="107" a="1"/>
  <c r="A63" i="107" s="1"/>
  <c r="A99" i="107" a="1"/>
  <c r="A99" i="107" s="1"/>
  <c r="B99" i="107" s="1"/>
  <c r="A64" i="107" a="1"/>
  <c r="A64" i="107" s="1"/>
  <c r="A143" i="107" a="1"/>
  <c r="A143" i="107" s="1"/>
  <c r="A116" i="107" a="1"/>
  <c r="A116" i="107" s="1"/>
  <c r="B116" i="107" s="1"/>
  <c r="A16" i="107" a="1"/>
  <c r="A16" i="107" s="1"/>
  <c r="A117" i="107" a="1"/>
  <c r="A117" i="107" s="1"/>
  <c r="A118" i="107" a="1"/>
  <c r="A118" i="107" s="1"/>
  <c r="A65" i="107" a="1"/>
  <c r="A65" i="107" s="1"/>
  <c r="D65" i="107" s="1"/>
  <c r="A17" i="107" a="1"/>
  <c r="A17" i="107" s="1"/>
  <c r="A18" i="107" a="1"/>
  <c r="A18" i="107" s="1"/>
  <c r="A66" i="107" a="1"/>
  <c r="A66" i="107" s="1"/>
  <c r="A19" i="107" a="1"/>
  <c r="A19" i="107" s="1"/>
  <c r="E19" i="107" s="1"/>
  <c r="A67" i="107" a="1"/>
  <c r="A67" i="107" s="1"/>
  <c r="A20" i="107" a="1"/>
  <c r="A20" i="107" s="1"/>
  <c r="A68" i="107" a="1"/>
  <c r="A68" i="107" s="1"/>
  <c r="D68" i="107" s="1"/>
  <c r="A69" i="107" a="1"/>
  <c r="A69" i="107" s="1"/>
  <c r="A70" i="107" a="1"/>
  <c r="A70" i="107" s="1"/>
  <c r="D70" i="107" s="1"/>
  <c r="A21" i="107" a="1"/>
  <c r="A21" i="107" s="1"/>
  <c r="A71" i="107" a="1"/>
  <c r="A71" i="107" s="1"/>
  <c r="B71" i="107" s="1"/>
  <c r="A101" i="107" a="1"/>
  <c r="A101" i="107" s="1"/>
  <c r="A72" i="107" a="1"/>
  <c r="A72" i="107" s="1"/>
  <c r="A73" i="107" a="1"/>
  <c r="A73" i="107" s="1"/>
  <c r="A74" i="107" a="1"/>
  <c r="A74" i="107" s="1"/>
  <c r="B74" i="107" s="1"/>
  <c r="A22" i="107" a="1"/>
  <c r="A22" i="107" s="1"/>
  <c r="A23" i="107" a="1"/>
  <c r="A23" i="107" s="1"/>
  <c r="A24" i="107" a="1"/>
  <c r="A24" i="107" s="1"/>
  <c r="A102" i="107" a="1"/>
  <c r="A102" i="107" s="1"/>
  <c r="A75" i="107" a="1"/>
  <c r="A75" i="107" s="1"/>
  <c r="E75" i="107" s="1"/>
  <c r="A25" i="107" a="1"/>
  <c r="A25" i="107" s="1"/>
  <c r="A5" i="107" a="1"/>
  <c r="A5" i="107" s="1"/>
  <c r="A6" i="107" a="1"/>
  <c r="A6" i="107" s="1"/>
  <c r="E6" i="107" s="1"/>
  <c r="A26" i="107" a="1"/>
  <c r="A26" i="107" s="1"/>
  <c r="A103" i="107" a="1"/>
  <c r="A103" i="107" s="1"/>
  <c r="D103" i="107" s="1"/>
  <c r="A104" i="107" a="1"/>
  <c r="A104" i="107" s="1"/>
  <c r="A27" i="107" a="1"/>
  <c r="A27" i="107" s="1"/>
  <c r="B27" i="107" s="1"/>
  <c r="A28" i="107" a="1"/>
  <c r="A28" i="107" s="1"/>
  <c r="E28" i="107" s="1"/>
  <c r="A29" i="107" a="1"/>
  <c r="A29" i="107" s="1"/>
  <c r="A30" i="107" a="1"/>
  <c r="A30" i="107" s="1"/>
  <c r="A76" i="107" a="1"/>
  <c r="A76" i="107" s="1"/>
  <c r="A31" i="107" a="1"/>
  <c r="A31" i="107" s="1"/>
  <c r="A77" i="107" a="1"/>
  <c r="A77" i="107" s="1"/>
  <c r="A32" i="107" a="1"/>
  <c r="A32" i="107" s="1"/>
  <c r="D32" i="107" s="1"/>
  <c r="A33" i="107" a="1"/>
  <c r="A33" i="107" s="1"/>
  <c r="B33" i="107" s="1"/>
  <c r="A7" i="107" a="1"/>
  <c r="A7" i="107" s="1"/>
  <c r="A78" i="107" a="1"/>
  <c r="A78" i="107" s="1"/>
  <c r="E78" i="107" s="1"/>
  <c r="A79" i="107" a="1"/>
  <c r="A79" i="107" s="1"/>
  <c r="A80" i="107" a="1"/>
  <c r="A80" i="107" s="1"/>
  <c r="A119" i="107" a="1"/>
  <c r="A119" i="107" s="1"/>
  <c r="A34" i="107" a="1"/>
  <c r="A34" i="107" s="1"/>
  <c r="A35" i="107" a="1"/>
  <c r="A35" i="107" s="1"/>
  <c r="A120" i="107" a="1"/>
  <c r="A120" i="107" s="1"/>
  <c r="A121" i="107" a="1"/>
  <c r="A121" i="107" s="1"/>
  <c r="D121" i="107" s="1"/>
  <c r="A81" i="107" a="1"/>
  <c r="A81" i="107" s="1"/>
  <c r="A82" i="107" a="1"/>
  <c r="A82" i="107" s="1"/>
  <c r="E82" i="107" s="1"/>
  <c r="A36" i="107" a="1"/>
  <c r="A36" i="107" s="1"/>
  <c r="B36" i="107" s="1"/>
  <c r="A37" i="107" a="1"/>
  <c r="A37" i="107" s="1"/>
  <c r="A38" i="107" a="1"/>
  <c r="A38" i="107" s="1"/>
  <c r="A39" i="107" a="1"/>
  <c r="A39" i="107" s="1"/>
  <c r="A40" i="107" a="1"/>
  <c r="A40" i="107" s="1"/>
  <c r="E40" i="107" s="1"/>
  <c r="A83" i="107" a="1"/>
  <c r="A83" i="107" s="1"/>
  <c r="E83" i="107" s="1"/>
  <c r="A84" i="107" a="1"/>
  <c r="A84" i="107" s="1"/>
  <c r="A85" i="107" a="1"/>
  <c r="A85" i="107" s="1"/>
  <c r="A41" i="107" a="1"/>
  <c r="A41" i="107" s="1"/>
  <c r="A86" i="107" a="1"/>
  <c r="A86" i="107" s="1"/>
  <c r="B86" i="107" s="1"/>
  <c r="A105" i="107" a="1"/>
  <c r="A105" i="107" s="1"/>
  <c r="A42" i="107" a="1"/>
  <c r="A42" i="107" s="1"/>
  <c r="E42" i="107" s="1"/>
  <c r="A43" i="107" a="1"/>
  <c r="A43" i="107" s="1"/>
  <c r="A8" i="107" a="1"/>
  <c r="A8" i="107" s="1"/>
  <c r="A44" i="107" a="1"/>
  <c r="A44" i="107" s="1"/>
  <c r="A45" i="107" a="1"/>
  <c r="A45" i="107" s="1"/>
  <c r="A87" i="107" a="1"/>
  <c r="A87" i="107" s="1"/>
  <c r="A46" i="107" a="1"/>
  <c r="A46" i="107" s="1"/>
  <c r="B46" i="107" s="1"/>
  <c r="A47" i="107" a="1"/>
  <c r="A47" i="107" s="1"/>
  <c r="D47" i="107" s="1"/>
  <c r="A122" i="107" a="1"/>
  <c r="A122" i="107" s="1"/>
  <c r="A123" i="107" a="1"/>
  <c r="A123" i="107" s="1"/>
  <c r="D123" i="107" s="1"/>
  <c r="A124" i="107" a="1"/>
  <c r="A124" i="107" s="1"/>
  <c r="D124" i="107" s="1"/>
  <c r="A88" i="107" a="1"/>
  <c r="A88" i="107" s="1"/>
  <c r="A48" i="107" a="1"/>
  <c r="A48" i="107" s="1"/>
  <c r="A49" i="107" a="1"/>
  <c r="A49" i="107" s="1"/>
  <c r="A89" i="107" a="1"/>
  <c r="A89" i="107" s="1"/>
  <c r="A50" i="107" a="1"/>
  <c r="A50" i="107" s="1"/>
  <c r="A9" i="107" a="1"/>
  <c r="A9" i="107" s="1"/>
  <c r="E9" i="107" s="1"/>
  <c r="A125" i="107" a="1"/>
  <c r="A125" i="107" s="1"/>
  <c r="A90" i="107" a="1"/>
  <c r="A90" i="107" s="1"/>
  <c r="D90" i="107" s="1"/>
  <c r="A91" i="107" a="1"/>
  <c r="A91" i="107" s="1"/>
  <c r="A51" i="107" a="1"/>
  <c r="A51" i="107" s="1"/>
  <c r="A52" i="107" a="1"/>
  <c r="A52" i="107" s="1"/>
  <c r="A106" i="107" a="1"/>
  <c r="A106" i="107" s="1"/>
  <c r="A126" i="107" a="1"/>
  <c r="A126" i="107" s="1"/>
  <c r="E126" i="107" s="1"/>
  <c r="A107" i="107" a="1"/>
  <c r="A107" i="107" s="1"/>
  <c r="A53" i="107" a="1"/>
  <c r="A53" i="107" s="1"/>
  <c r="E53" i="107" s="1"/>
  <c r="A54" i="107" a="1"/>
  <c r="A54" i="107" s="1"/>
  <c r="B54" i="107" s="1"/>
  <c r="A108" i="107" a="1"/>
  <c r="A108" i="107" s="1"/>
  <c r="A92" i="107" a="1"/>
  <c r="A92" i="107" s="1"/>
  <c r="A127" i="107" a="1"/>
  <c r="A127" i="107" s="1"/>
  <c r="A93" i="107" a="1"/>
  <c r="A93" i="107" s="1"/>
  <c r="D93" i="107" s="1"/>
  <c r="A55" i="107" a="1"/>
  <c r="A55" i="107" s="1"/>
  <c r="A56" i="107" a="1"/>
  <c r="A56" i="107" s="1"/>
  <c r="D56" i="107" s="1"/>
  <c r="A10" i="107" a="1"/>
  <c r="A10" i="107" s="1"/>
  <c r="A11" i="107" a="1"/>
  <c r="A11" i="107" s="1"/>
  <c r="D11" i="107" s="1"/>
  <c r="A57" i="107" a="1"/>
  <c r="A57" i="107" s="1"/>
  <c r="A109" i="107" a="1"/>
  <c r="A109" i="107" s="1"/>
  <c r="B109" i="107" s="1"/>
  <c r="A12" i="107" a="1"/>
  <c r="A12" i="107" s="1"/>
  <c r="A58" i="107" a="1"/>
  <c r="A58" i="107" s="1"/>
  <c r="B58" i="107" s="1"/>
  <c r="A110" i="107" a="1"/>
  <c r="A110" i="107" s="1"/>
  <c r="E110" i="107" s="1"/>
  <c r="A111" i="107" a="1"/>
  <c r="A111" i="107" s="1"/>
  <c r="A94" i="107" a="1"/>
  <c r="A94" i="107" s="1"/>
  <c r="E94" i="107" s="1"/>
  <c r="A59" i="107" a="1"/>
  <c r="A59" i="107" s="1"/>
  <c r="E59" i="107" s="1"/>
  <c r="A112" i="107" a="1"/>
  <c r="A112" i="107" s="1"/>
  <c r="E112" i="107" s="1"/>
  <c r="A113" i="107" a="1"/>
  <c r="A113" i="107" s="1"/>
  <c r="B113" i="107" s="1"/>
  <c r="A13" i="107" a="1"/>
  <c r="A13" i="107" s="1"/>
  <c r="A128" i="107" a="1"/>
  <c r="A128" i="107" s="1"/>
  <c r="A60" i="107" a="1"/>
  <c r="A60" i="107" s="1"/>
  <c r="B60" i="107" s="1"/>
  <c r="A14" i="107" a="1"/>
  <c r="A14" i="107" s="1"/>
  <c r="E14" i="107" s="1"/>
  <c r="A129" i="107" a="1"/>
  <c r="A129" i="107" s="1"/>
  <c r="A95" i="107" a="1"/>
  <c r="A95" i="107" s="1"/>
  <c r="B95" i="107" s="1"/>
  <c r="A96" i="107" a="1"/>
  <c r="A96" i="107" s="1"/>
  <c r="D96" i="107" s="1"/>
  <c r="A130" i="107" a="1"/>
  <c r="A130" i="107" s="1"/>
  <c r="E130" i="107" s="1"/>
  <c r="A131" i="107" a="1"/>
  <c r="A131" i="107" s="1"/>
  <c r="A61" i="107" a="1"/>
  <c r="A61" i="107" s="1"/>
  <c r="D61" i="107" s="1"/>
  <c r="A132" i="107" a="1"/>
  <c r="A132" i="107" s="1"/>
  <c r="D132" i="107" s="1"/>
  <c r="A97" i="107" a="1"/>
  <c r="A97" i="107" s="1"/>
  <c r="A15" i="107" a="1"/>
  <c r="A15" i="107" s="1"/>
  <c r="B15" i="107" s="1"/>
  <c r="A114" i="107" a="1"/>
  <c r="A114" i="107" s="1"/>
  <c r="E114" i="107" s="1"/>
  <c r="A100" i="107" a="1"/>
  <c r="A100" i="107" s="1"/>
  <c r="A3" i="99"/>
  <c r="A4" i="99"/>
  <c r="N6" i="105"/>
  <c r="N7" i="105"/>
  <c r="N9" i="105"/>
  <c r="N10" i="105"/>
  <c r="N11" i="105"/>
  <c r="N12" i="105"/>
  <c r="N14" i="105"/>
  <c r="N15" i="105"/>
  <c r="N17" i="105"/>
  <c r="N20" i="105"/>
  <c r="N21" i="105"/>
  <c r="N22" i="105"/>
  <c r="N23" i="105"/>
  <c r="N24" i="105"/>
  <c r="N25" i="105"/>
  <c r="N26" i="105"/>
  <c r="N27" i="105"/>
  <c r="N28" i="105"/>
  <c r="N29" i="105"/>
  <c r="N30" i="105"/>
  <c r="N32" i="105"/>
  <c r="N33" i="105"/>
  <c r="N34" i="105"/>
  <c r="N35"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5" i="105"/>
  <c r="N96" i="105"/>
  <c r="N97" i="105"/>
  <c r="N98" i="105"/>
  <c r="N99"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N142" i="105"/>
  <c r="N143" i="105"/>
  <c r="N144" i="105"/>
  <c r="N146" i="105"/>
  <c r="N147" i="105"/>
  <c r="N148" i="105"/>
  <c r="N149" i="105"/>
  <c r="N150" i="105"/>
  <c r="N2" i="105"/>
  <c r="A7" i="102" a="1"/>
  <c r="A7" i="102" s="1"/>
  <c r="D7" i="102" s="1"/>
  <c r="A1" i="102"/>
  <c r="A1" i="107"/>
  <c r="A6" i="102" a="1"/>
  <c r="A6" i="102" s="1"/>
  <c r="A8" i="102" a="1"/>
  <c r="A8" i="102" s="1"/>
  <c r="A9" i="102" a="1"/>
  <c r="A9" i="102" s="1"/>
  <c r="A10" i="102" a="1"/>
  <c r="A10" i="102" s="1"/>
  <c r="D10" i="102" s="1"/>
  <c r="A11" i="102" a="1"/>
  <c r="A11" i="102" s="1"/>
  <c r="E11" i="102" s="1"/>
  <c r="A12" i="102" a="1"/>
  <c r="A12" i="102" s="1"/>
  <c r="A13" i="102" a="1"/>
  <c r="A13" i="102" s="1"/>
  <c r="A14" i="102" a="1"/>
  <c r="A14" i="102" s="1"/>
  <c r="A15" i="102" a="1"/>
  <c r="A15" i="102" s="1"/>
  <c r="B15" i="102" s="1"/>
  <c r="A16" i="102" a="1"/>
  <c r="A16" i="102" s="1"/>
  <c r="A17" i="102" a="1"/>
  <c r="A17" i="102" s="1"/>
  <c r="A18" i="102" a="1"/>
  <c r="A18" i="102" s="1"/>
  <c r="A19" i="102" a="1"/>
  <c r="A19" i="102" s="1"/>
  <c r="E19" i="102" s="1"/>
  <c r="A20" i="102" a="1"/>
  <c r="A20" i="102" s="1"/>
  <c r="A21" i="102" a="1"/>
  <c r="A21" i="102" s="1"/>
  <c r="A22" i="102" a="1"/>
  <c r="A22" i="102" s="1"/>
  <c r="A23" i="102" a="1"/>
  <c r="A23" i="102" s="1"/>
  <c r="D23" i="102" s="1"/>
  <c r="A24" i="102" a="1"/>
  <c r="A24" i="102" s="1"/>
  <c r="D24" i="102" s="1"/>
  <c r="A25" i="102" a="1"/>
  <c r="A25" i="102" s="1"/>
  <c r="E25" i="102" s="1"/>
  <c r="A26" i="102" a="1"/>
  <c r="A26" i="102" s="1"/>
  <c r="D26" i="102" s="1"/>
  <c r="A27" i="102" a="1"/>
  <c r="A27" i="102" s="1"/>
  <c r="A28" i="102" a="1"/>
  <c r="A28" i="102" s="1"/>
  <c r="A29" i="102" a="1"/>
  <c r="A29" i="102" s="1"/>
  <c r="B29" i="102" s="1"/>
  <c r="A30" i="102" a="1"/>
  <c r="A30" i="102" s="1"/>
  <c r="B30" i="102" s="1"/>
  <c r="A31" i="102" a="1"/>
  <c r="A31" i="102" s="1"/>
  <c r="D31" i="102" s="1"/>
  <c r="A32" i="102" a="1"/>
  <c r="A32" i="102" s="1"/>
  <c r="B32" i="102" s="1"/>
  <c r="A33" i="102" a="1"/>
  <c r="A33" i="102" s="1"/>
  <c r="A34" i="102" a="1"/>
  <c r="A34" i="102" s="1"/>
  <c r="A35" i="102" a="1"/>
  <c r="A35" i="102" s="1"/>
  <c r="A36" i="102" a="1"/>
  <c r="A36" i="102" s="1"/>
  <c r="A37" i="102" a="1"/>
  <c r="A37" i="102" s="1"/>
  <c r="B37" i="102" s="1"/>
  <c r="A38" i="102" a="1"/>
  <c r="A38" i="102" s="1"/>
  <c r="A39" i="102" a="1"/>
  <c r="A39" i="102" s="1"/>
  <c r="D39" i="102" s="1"/>
  <c r="A40" i="102" a="1"/>
  <c r="A40" i="102" s="1"/>
  <c r="D40" i="102" s="1"/>
  <c r="A41" i="102" a="1"/>
  <c r="A41" i="102" s="1"/>
  <c r="E41" i="102" s="1"/>
  <c r="A42" i="102" a="1"/>
  <c r="A42" i="102" s="1"/>
  <c r="A43" i="102" a="1"/>
  <c r="A43" i="102" s="1"/>
  <c r="A44" i="102" a="1"/>
  <c r="A44" i="102" s="1"/>
  <c r="A45" i="102" a="1"/>
  <c r="A45" i="102" s="1"/>
  <c r="B45" i="102" s="1"/>
  <c r="A46" i="102" a="1"/>
  <c r="A46" i="102" s="1"/>
  <c r="D46" i="102" s="1"/>
  <c r="A47" i="102" a="1"/>
  <c r="A47" i="102" s="1"/>
  <c r="D47" i="102" s="1"/>
  <c r="A48" i="102" a="1"/>
  <c r="A48" i="102" s="1"/>
  <c r="A49" i="102" a="1"/>
  <c r="A49" i="102" s="1"/>
  <c r="A50" i="102" a="1"/>
  <c r="A50" i="102" s="1"/>
  <c r="E50" i="102" s="1"/>
  <c r="A51" i="102" a="1"/>
  <c r="A51" i="102" s="1"/>
  <c r="B51" i="102" s="1"/>
  <c r="A52" i="102" a="1"/>
  <c r="A52" i="102" s="1"/>
  <c r="A53" i="102" a="1"/>
  <c r="A53" i="102" s="1"/>
  <c r="E53" i="102" s="1"/>
  <c r="A54" i="102" a="1"/>
  <c r="A54" i="102" s="1"/>
  <c r="A55" i="102" a="1"/>
  <c r="A55" i="102" s="1"/>
  <c r="E55" i="102" s="1"/>
  <c r="A56" i="102" a="1"/>
  <c r="A56" i="102" s="1"/>
  <c r="A57" i="102" a="1"/>
  <c r="A57" i="102" s="1"/>
  <c r="D57" i="102" s="1"/>
  <c r="A58" i="102" a="1"/>
  <c r="A58" i="102" s="1"/>
  <c r="A59" i="102" a="1"/>
  <c r="A59" i="102" s="1"/>
  <c r="B59" i="102" s="1"/>
  <c r="A60" i="102" a="1"/>
  <c r="A60" i="102" s="1"/>
  <c r="A61" i="102" a="1"/>
  <c r="A61" i="102" s="1"/>
  <c r="A62" i="102" a="1"/>
  <c r="A62" i="102" s="1"/>
  <c r="A63" i="102" a="1"/>
  <c r="A63" i="102" s="1"/>
  <c r="B63" i="102" s="1"/>
  <c r="A64" i="102" a="1"/>
  <c r="A64" i="102" s="1"/>
  <c r="A65" i="102" a="1"/>
  <c r="A65" i="102" s="1"/>
  <c r="A66" i="102" a="1"/>
  <c r="A66" i="102" s="1"/>
  <c r="B66" i="102" s="1"/>
  <c r="A67" i="102" a="1"/>
  <c r="A67" i="102" s="1"/>
  <c r="A5" i="102" a="1"/>
  <c r="A5" i="102" s="1"/>
  <c r="A142" i="104"/>
  <c r="A143" i="104"/>
  <c r="A144" i="104"/>
  <c r="K6" i="105"/>
  <c r="K7" i="105"/>
  <c r="K8" i="105"/>
  <c r="K9" i="105"/>
  <c r="K10" i="105"/>
  <c r="K11" i="105"/>
  <c r="K12" i="105"/>
  <c r="K14" i="105"/>
  <c r="K15" i="105"/>
  <c r="K16" i="105"/>
  <c r="K17" i="105"/>
  <c r="K20" i="105"/>
  <c r="K21" i="105"/>
  <c r="K22" i="105"/>
  <c r="K23" i="105"/>
  <c r="K24" i="105"/>
  <c r="K25" i="105"/>
  <c r="K26" i="105"/>
  <c r="K27" i="105"/>
  <c r="K28" i="105"/>
  <c r="K29" i="105"/>
  <c r="K30" i="105"/>
  <c r="K32" i="105"/>
  <c r="K33" i="105"/>
  <c r="K34" i="105"/>
  <c r="K35" i="105"/>
  <c r="K37" i="105"/>
  <c r="K38" i="105"/>
  <c r="K39" i="105"/>
  <c r="K40" i="105"/>
  <c r="K41" i="105"/>
  <c r="K42" i="105"/>
  <c r="K43" i="105"/>
  <c r="K44" i="105"/>
  <c r="K45" i="105"/>
  <c r="K46" i="105"/>
  <c r="K47" i="105"/>
  <c r="K48" i="105"/>
  <c r="K49" i="105"/>
  <c r="K50" i="105"/>
  <c r="K51" i="105"/>
  <c r="K52" i="105"/>
  <c r="K53" i="105"/>
  <c r="K54" i="105"/>
  <c r="K55" i="105"/>
  <c r="K56" i="105"/>
  <c r="K57" i="105"/>
  <c r="K58" i="105"/>
  <c r="K59"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4" i="105"/>
  <c r="K85" i="105"/>
  <c r="K86" i="105"/>
  <c r="K87" i="105"/>
  <c r="K88" i="105"/>
  <c r="K89" i="105"/>
  <c r="K90" i="105"/>
  <c r="K91" i="105"/>
  <c r="K92" i="105"/>
  <c r="K93" i="105"/>
  <c r="K94" i="105"/>
  <c r="K95" i="105"/>
  <c r="K96" i="105"/>
  <c r="K97" i="105"/>
  <c r="K98" i="105"/>
  <c r="K99" i="105"/>
  <c r="K101" i="105"/>
  <c r="K102" i="105"/>
  <c r="K103" i="105"/>
  <c r="K104" i="105"/>
  <c r="K105" i="105"/>
  <c r="K106" i="105"/>
  <c r="K107" i="105"/>
  <c r="K108" i="105"/>
  <c r="K109" i="105"/>
  <c r="K110" i="105"/>
  <c r="K111" i="105"/>
  <c r="K112" i="105"/>
  <c r="K113" i="105"/>
  <c r="K114" i="105"/>
  <c r="K115" i="105"/>
  <c r="K116" i="105"/>
  <c r="K117" i="105"/>
  <c r="K118" i="105"/>
  <c r="K119" i="105"/>
  <c r="K120" i="105"/>
  <c r="K121" i="105"/>
  <c r="K122" i="105"/>
  <c r="K123" i="105"/>
  <c r="K124" i="105"/>
  <c r="K125" i="105"/>
  <c r="K126" i="105"/>
  <c r="K127" i="105"/>
  <c r="K128" i="105"/>
  <c r="K129" i="105"/>
  <c r="K130" i="105"/>
  <c r="K131" i="105"/>
  <c r="K132" i="105"/>
  <c r="K133" i="105"/>
  <c r="K134" i="105"/>
  <c r="K135" i="105"/>
  <c r="K136" i="105"/>
  <c r="K137" i="105"/>
  <c r="K138" i="105"/>
  <c r="K139" i="105"/>
  <c r="K140" i="105"/>
  <c r="K141" i="105"/>
  <c r="K142" i="105"/>
  <c r="K143" i="105"/>
  <c r="K144" i="105"/>
  <c r="K146" i="105"/>
  <c r="K147" i="105"/>
  <c r="K148" i="105"/>
  <c r="K149" i="105"/>
  <c r="K150"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18" i="74"/>
  <c r="A119" i="74"/>
  <c r="A121" i="97" s="1"/>
  <c r="B122" i="3"/>
  <c r="A120" i="74"/>
  <c r="A123" i="4" s="1"/>
  <c r="A121" i="74"/>
  <c r="A122" i="74"/>
  <c r="A125" i="75" s="1"/>
  <c r="A123" i="74"/>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R10" i="98"/>
  <c r="Q10" i="98"/>
  <c r="P10" i="98"/>
  <c r="O10" i="98"/>
  <c r="M10" i="98"/>
  <c r="L10" i="98"/>
  <c r="K10" i="98"/>
  <c r="I10" i="98"/>
  <c r="H10" i="98"/>
  <c r="G10" i="98"/>
  <c r="E10" i="98"/>
  <c r="R8" i="98"/>
  <c r="Q8" i="98"/>
  <c r="P8" i="98"/>
  <c r="O8" i="98"/>
  <c r="M8" i="98"/>
  <c r="L8" i="98"/>
  <c r="K8" i="98"/>
  <c r="J8" i="98"/>
  <c r="I8" i="98"/>
  <c r="H8" i="98"/>
  <c r="G8" i="98"/>
  <c r="E8" i="98"/>
  <c r="R7" i="98"/>
  <c r="Q7" i="98"/>
  <c r="P7" i="98"/>
  <c r="O7" i="98"/>
  <c r="M7" i="98"/>
  <c r="L7" i="98"/>
  <c r="K7" i="98"/>
  <c r="J7" i="98"/>
  <c r="I7" i="98"/>
  <c r="H7" i="98"/>
  <c r="G7" i="98"/>
  <c r="E7" i="98"/>
  <c r="R5" i="98"/>
  <c r="Q5" i="98"/>
  <c r="P5" i="98"/>
  <c r="O5" i="98"/>
  <c r="M5" i="98"/>
  <c r="L5" i="98"/>
  <c r="K5" i="98"/>
  <c r="J5" i="98"/>
  <c r="I5" i="98"/>
  <c r="H5" i="98"/>
  <c r="G5" i="98"/>
  <c r="E14" i="4"/>
  <c r="B14" i="4"/>
  <c r="M14" i="4" s="1"/>
  <c r="E19" i="75"/>
  <c r="E33" i="3"/>
  <c r="E34" i="3"/>
  <c r="E44" i="3"/>
  <c r="E59" i="4"/>
  <c r="E64" i="3"/>
  <c r="E65" i="3"/>
  <c r="E66" i="3"/>
  <c r="E86" i="3"/>
  <c r="E88" i="3"/>
  <c r="E96" i="3"/>
  <c r="E97" i="3"/>
  <c r="E113" i="3"/>
  <c r="E116" i="3"/>
  <c r="E127" i="75"/>
  <c r="E130" i="4"/>
  <c r="A141" i="74"/>
  <c r="A140" i="74"/>
  <c r="A143" i="4" s="1"/>
  <c r="A139" i="74"/>
  <c r="A138" i="74"/>
  <c r="B140" i="3"/>
  <c r="A137" i="74"/>
  <c r="A139" i="97" s="1"/>
  <c r="A136" i="74"/>
  <c r="A139" i="75" s="1"/>
  <c r="B138" i="75"/>
  <c r="A135" i="74"/>
  <c r="A137" i="97" s="1"/>
  <c r="A134" i="74"/>
  <c r="A133" i="74"/>
  <c r="A132" i="74"/>
  <c r="A135" i="3" s="1"/>
  <c r="A131" i="74"/>
  <c r="A130" i="74"/>
  <c r="A129" i="74"/>
  <c r="A132" i="75" s="1"/>
  <c r="A128" i="74"/>
  <c r="A127" i="74"/>
  <c r="A129" i="97" s="1"/>
  <c r="D129" i="3"/>
  <c r="A126" i="74"/>
  <c r="A129" i="4" s="1"/>
  <c r="A125" i="74"/>
  <c r="A128" i="3" s="1"/>
  <c r="A124" i="74"/>
  <c r="A126" i="97" s="1"/>
  <c r="A115" i="74"/>
  <c r="A114" i="74"/>
  <c r="B116" i="3"/>
  <c r="A113" i="74"/>
  <c r="A112" i="74"/>
  <c r="A115" i="3" s="1"/>
  <c r="A111" i="74"/>
  <c r="A114" i="4" s="1"/>
  <c r="A110" i="74"/>
  <c r="A109" i="74"/>
  <c r="B111" i="3"/>
  <c r="A108" i="74"/>
  <c r="A107" i="74"/>
  <c r="A106" i="74"/>
  <c r="B108" i="3"/>
  <c r="A105" i="74"/>
  <c r="A104" i="74"/>
  <c r="A103" i="74"/>
  <c r="A106" i="3" s="1"/>
  <c r="D105" i="4"/>
  <c r="B105" i="3"/>
  <c r="A102" i="74"/>
  <c r="A101" i="74"/>
  <c r="A100" i="74"/>
  <c r="A103" i="4" s="1"/>
  <c r="A99" i="74"/>
  <c r="A98" i="74"/>
  <c r="A101" i="4" s="1"/>
  <c r="A97" i="74"/>
  <c r="A96" i="74"/>
  <c r="A99" i="3" s="1"/>
  <c r="A95" i="74"/>
  <c r="A98" i="4" s="1"/>
  <c r="A94" i="74"/>
  <c r="A93" i="74"/>
  <c r="A92" i="74"/>
  <c r="A91" i="74"/>
  <c r="A90" i="74"/>
  <c r="A93" i="3" s="1"/>
  <c r="A89" i="74"/>
  <c r="A88" i="74"/>
  <c r="B90" i="4"/>
  <c r="A87" i="74"/>
  <c r="A86" i="74"/>
  <c r="A85" i="74"/>
  <c r="A88" i="4" s="1"/>
  <c r="A84" i="74"/>
  <c r="B86" i="3"/>
  <c r="A83" i="74"/>
  <c r="A86" i="3" s="1"/>
  <c r="A82" i="74"/>
  <c r="A81" i="74"/>
  <c r="A80" i="74"/>
  <c r="A82" i="97" s="1"/>
  <c r="A79" i="74"/>
  <c r="A82" i="75" s="1"/>
  <c r="A78" i="74"/>
  <c r="A77" i="74"/>
  <c r="A80" i="4" s="1"/>
  <c r="A76" i="74"/>
  <c r="A75" i="74"/>
  <c r="A74" i="74"/>
  <c r="A73" i="74"/>
  <c r="A76" i="4" s="1"/>
  <c r="A72" i="74"/>
  <c r="A71" i="74"/>
  <c r="A70" i="74"/>
  <c r="A73" i="4" s="1"/>
  <c r="B72" i="3"/>
  <c r="A69" i="74"/>
  <c r="A72" i="4" s="1"/>
  <c r="A68" i="74"/>
  <c r="A71" i="75" s="1"/>
  <c r="A67" i="74"/>
  <c r="A66" i="74"/>
  <c r="A69" i="75" s="1"/>
  <c r="A65" i="74"/>
  <c r="A67" i="97" s="1"/>
  <c r="A64" i="74"/>
  <c r="A63" i="74"/>
  <c r="A66" i="75" s="1"/>
  <c r="A62" i="74"/>
  <c r="A65" i="4" s="1"/>
  <c r="A61" i="74"/>
  <c r="A60" i="74"/>
  <c r="B62" i="4"/>
  <c r="A59" i="74"/>
  <c r="A61" i="97" s="1"/>
  <c r="A58" i="74"/>
  <c r="A61" i="3" s="1"/>
  <c r="A57" i="74"/>
  <c r="A56" i="74"/>
  <c r="A55" i="74"/>
  <c r="A58" i="4" s="1"/>
  <c r="A54" i="74"/>
  <c r="A53" i="74"/>
  <c r="A52" i="74"/>
  <c r="A55" i="4" s="1"/>
  <c r="A51" i="74"/>
  <c r="A50" i="74"/>
  <c r="A53" i="3" s="1"/>
  <c r="A49" i="74"/>
  <c r="A52" i="3" s="1"/>
  <c r="A48" i="74"/>
  <c r="A51" i="75" s="1"/>
  <c r="A47" i="74"/>
  <c r="A50" i="4" s="1"/>
  <c r="A46" i="74"/>
  <c r="A49" i="3" s="1"/>
  <c r="B48" i="3"/>
  <c r="A45" i="74"/>
  <c r="A44" i="74"/>
  <c r="A43" i="74"/>
  <c r="A46" i="4" s="1"/>
  <c r="A42" i="74"/>
  <c r="A41" i="74"/>
  <c r="A40" i="74"/>
  <c r="A39" i="74"/>
  <c r="A38" i="74"/>
  <c r="A41" i="3" s="1"/>
  <c r="A37" i="74"/>
  <c r="A40" i="75" s="1"/>
  <c r="A36" i="74"/>
  <c r="A35" i="74"/>
  <c r="A37" i="97" s="1"/>
  <c r="A34" i="74"/>
  <c r="A37" i="4" s="1"/>
  <c r="B36" i="3"/>
  <c r="A33" i="74"/>
  <c r="A32" i="74"/>
  <c r="A35" i="4" s="1"/>
  <c r="A31" i="74"/>
  <c r="A30" i="74"/>
  <c r="A29" i="74"/>
  <c r="B31" i="3"/>
  <c r="A28" i="74"/>
  <c r="A31" i="75" s="1"/>
  <c r="A27" i="74"/>
  <c r="A30" i="4" s="1"/>
  <c r="A26" i="74"/>
  <c r="A25" i="74"/>
  <c r="A24" i="74"/>
  <c r="A23" i="74"/>
  <c r="A22" i="74"/>
  <c r="A24" i="97" s="1"/>
  <c r="A21" i="74"/>
  <c r="A20" i="74"/>
  <c r="A19" i="74"/>
  <c r="A22" i="4" s="1"/>
  <c r="A18" i="74"/>
  <c r="A17" i="74"/>
  <c r="A16" i="74"/>
  <c r="A15" i="74"/>
  <c r="A14" i="74"/>
  <c r="A16" i="97" s="1"/>
  <c r="A13" i="74"/>
  <c r="A16" i="3" s="1"/>
  <c r="A12" i="74"/>
  <c r="A11" i="74"/>
  <c r="A14" i="75" s="1"/>
  <c r="A10" i="74"/>
  <c r="A13" i="3" s="1"/>
  <c r="A9" i="74"/>
  <c r="A12" i="3" s="1"/>
  <c r="B11" i="75"/>
  <c r="A8" i="74"/>
  <c r="A10" i="97" s="1"/>
  <c r="A7" i="74"/>
  <c r="D9" i="75"/>
  <c r="A6" i="74"/>
  <c r="A5" i="74"/>
  <c r="A7" i="97" s="1"/>
  <c r="B7" i="3"/>
  <c r="A4" i="74"/>
  <c r="A3" i="74"/>
  <c r="A2" i="74"/>
  <c r="A1" i="74"/>
  <c r="B5" i="97"/>
  <c r="E15" i="3"/>
  <c r="B25" i="3"/>
  <c r="E125" i="3"/>
  <c r="E82" i="3"/>
  <c r="E121" i="3"/>
  <c r="C38" i="75"/>
  <c r="C42" i="75"/>
  <c r="B27" i="3"/>
  <c r="E98" i="3"/>
  <c r="B87" i="3"/>
  <c r="B101" i="3"/>
  <c r="B57" i="3"/>
  <c r="B88" i="4"/>
  <c r="T88" i="4" s="1"/>
  <c r="E138" i="3"/>
  <c r="E109" i="75"/>
  <c r="E49" i="3"/>
  <c r="E61" i="3"/>
  <c r="C121" i="4"/>
  <c r="B97" i="3"/>
  <c r="B139" i="3"/>
  <c r="B124" i="3"/>
  <c r="B79" i="3"/>
  <c r="B63" i="3"/>
  <c r="B64" i="3"/>
  <c r="B65" i="3"/>
  <c r="B93" i="3"/>
  <c r="B129" i="3"/>
  <c r="B32" i="3"/>
  <c r="B81" i="3"/>
  <c r="B98" i="3"/>
  <c r="B112" i="3"/>
  <c r="B49" i="3"/>
  <c r="B66" i="3"/>
  <c r="B104" i="3"/>
  <c r="B9" i="4"/>
  <c r="B11" i="3"/>
  <c r="E20" i="3"/>
  <c r="E139" i="3"/>
  <c r="E137" i="3"/>
  <c r="E137" i="4"/>
  <c r="E135" i="3"/>
  <c r="E133" i="4"/>
  <c r="E131" i="3"/>
  <c r="E105" i="3"/>
  <c r="E91" i="3"/>
  <c r="E75" i="3"/>
  <c r="E93" i="3"/>
  <c r="E85" i="3"/>
  <c r="E95" i="3"/>
  <c r="E87" i="3"/>
  <c r="E58" i="3"/>
  <c r="E24" i="3"/>
  <c r="E22" i="3"/>
  <c r="E89" i="3"/>
  <c r="E73" i="3"/>
  <c r="E70" i="3"/>
  <c r="E123" i="3"/>
  <c r="E124" i="3"/>
  <c r="E119" i="3"/>
  <c r="E36" i="3"/>
  <c r="E126" i="3"/>
  <c r="E129" i="3"/>
  <c r="E110" i="3"/>
  <c r="E38" i="3"/>
  <c r="E17" i="3"/>
  <c r="E13" i="75"/>
  <c r="A87" i="97"/>
  <c r="A88" i="75"/>
  <c r="A60" i="4"/>
  <c r="A76" i="3"/>
  <c r="A106" i="4"/>
  <c r="D44" i="3"/>
  <c r="D60" i="3"/>
  <c r="D76" i="4"/>
  <c r="D92" i="75"/>
  <c r="D92" i="4"/>
  <c r="D92" i="3"/>
  <c r="D57" i="4"/>
  <c r="D25" i="4"/>
  <c r="D60" i="75"/>
  <c r="D76" i="75"/>
  <c r="D108" i="3"/>
  <c r="D132" i="75"/>
  <c r="D73" i="75"/>
  <c r="D89" i="3"/>
  <c r="D105" i="75"/>
  <c r="D129" i="4"/>
  <c r="D129" i="75"/>
  <c r="D28" i="75"/>
  <c r="C44" i="75"/>
  <c r="C121" i="75"/>
  <c r="C73" i="4"/>
  <c r="C73" i="75"/>
  <c r="C30" i="75"/>
  <c r="C30" i="4"/>
  <c r="C122" i="75"/>
  <c r="C122" i="4"/>
  <c r="C38" i="4"/>
  <c r="C137" i="4"/>
  <c r="C137" i="3"/>
  <c r="C42" i="4"/>
  <c r="U41" i="97"/>
  <c r="C79" i="75"/>
  <c r="C97" i="75"/>
  <c r="C97" i="4"/>
  <c r="E7" i="3"/>
  <c r="E10" i="3"/>
  <c r="B121" i="3"/>
  <c r="B11" i="4"/>
  <c r="E30" i="3"/>
  <c r="E112" i="3"/>
  <c r="B50" i="3"/>
  <c r="M219" i="104"/>
  <c r="AJ216" i="104"/>
  <c r="M214" i="104"/>
  <c r="AJ172" i="104"/>
  <c r="G185" i="104"/>
  <c r="AJ161" i="104"/>
  <c r="AN227" i="104"/>
  <c r="AG221" i="104"/>
  <c r="M201" i="104"/>
  <c r="G211" i="104"/>
  <c r="M207" i="104"/>
  <c r="G175" i="104"/>
  <c r="E25" i="3"/>
  <c r="B10" i="4"/>
  <c r="J92" i="85"/>
  <c r="E19" i="4"/>
  <c r="O107" i="85"/>
  <c r="E19" i="3"/>
  <c r="B68" i="3"/>
  <c r="E100" i="3"/>
  <c r="E57" i="3"/>
  <c r="B113" i="3"/>
  <c r="E130" i="3"/>
  <c r="E146" i="75"/>
  <c r="E146" i="4"/>
  <c r="AJ226" i="104"/>
  <c r="AN211" i="104"/>
  <c r="M171" i="104"/>
  <c r="AG183" i="104"/>
  <c r="G157" i="104"/>
  <c r="K217" i="104"/>
  <c r="M174" i="104"/>
  <c r="G166" i="104"/>
  <c r="AJ158" i="104"/>
  <c r="G183" i="104"/>
  <c r="G222" i="104"/>
  <c r="K205" i="104"/>
  <c r="L205" i="104" s="1"/>
  <c r="G195" i="104"/>
  <c r="M225" i="104"/>
  <c r="K210" i="104"/>
  <c r="L210" i="104" s="1"/>
  <c r="AN192" i="104"/>
  <c r="O124" i="85"/>
  <c r="O61" i="85"/>
  <c r="B34" i="3"/>
  <c r="B39" i="3"/>
  <c r="B41" i="3"/>
  <c r="J116" i="85"/>
  <c r="J186" i="85"/>
  <c r="O123" i="85"/>
  <c r="J180" i="85"/>
  <c r="J149" i="85"/>
  <c r="O139" i="85"/>
  <c r="J5" i="85"/>
  <c r="J157" i="85"/>
  <c r="O40" i="85"/>
  <c r="J44" i="85"/>
  <c r="J77" i="85"/>
  <c r="J107" i="85"/>
  <c r="B98" i="4"/>
  <c r="O168" i="85"/>
  <c r="E31" i="3"/>
  <c r="J85" i="85"/>
  <c r="O56" i="85"/>
  <c r="B151" i="3"/>
  <c r="O49" i="85"/>
  <c r="J28" i="85"/>
  <c r="O12" i="85"/>
  <c r="O180" i="85"/>
  <c r="J150" i="85"/>
  <c r="O19" i="85"/>
  <c r="O76" i="85"/>
  <c r="J61" i="85"/>
  <c r="J165" i="85"/>
  <c r="E9" i="3"/>
  <c r="O28" i="85"/>
  <c r="J20" i="85"/>
  <c r="O186" i="85"/>
  <c r="B12" i="4"/>
  <c r="E12" i="4"/>
  <c r="B12" i="3"/>
  <c r="D73" i="3"/>
  <c r="B40" i="3"/>
  <c r="B133" i="3"/>
  <c r="O20" i="85"/>
  <c r="O114" i="85"/>
  <c r="E9" i="4"/>
  <c r="L9" i="4" s="1"/>
  <c r="E26" i="3"/>
  <c r="O156" i="85"/>
  <c r="O115" i="85"/>
  <c r="J82" i="85"/>
  <c r="J22" i="85"/>
  <c r="B144" i="3"/>
  <c r="B149" i="3"/>
  <c r="AN194" i="104"/>
  <c r="AG190" i="104"/>
  <c r="M175" i="104"/>
  <c r="AJ174" i="104"/>
  <c r="AJ202" i="104"/>
  <c r="M202" i="104"/>
  <c r="AG201" i="104"/>
  <c r="G193" i="104"/>
  <c r="AG172" i="104"/>
  <c r="G161" i="104"/>
  <c r="AJ157" i="104"/>
  <c r="M204" i="104"/>
  <c r="AG228" i="104"/>
  <c r="AG218" i="104"/>
  <c r="AJ214" i="104"/>
  <c r="M205" i="104"/>
  <c r="AJ194" i="104"/>
  <c r="K178" i="104"/>
  <c r="AJ171" i="104"/>
  <c r="K164" i="104"/>
  <c r="L164" i="104" s="1"/>
  <c r="AN207" i="104"/>
  <c r="K155" i="104"/>
  <c r="L155" i="104" s="1"/>
  <c r="AG227" i="104"/>
  <c r="G223" i="104"/>
  <c r="AJ195" i="104"/>
  <c r="AJ186" i="104"/>
  <c r="AJ163" i="104"/>
  <c r="K156" i="104"/>
  <c r="L156" i="104" s="1"/>
  <c r="AN225" i="104"/>
  <c r="AJ211" i="104"/>
  <c r="K166" i="104"/>
  <c r="L166" i="104" s="1"/>
  <c r="O157" i="85"/>
  <c r="O101" i="85"/>
  <c r="J102" i="85"/>
  <c r="O22" i="85"/>
  <c r="O142" i="85"/>
  <c r="J175" i="85"/>
  <c r="J8" i="85"/>
  <c r="J184" i="85"/>
  <c r="O72" i="85"/>
  <c r="O176" i="85"/>
  <c r="O65" i="85"/>
  <c r="J130" i="85"/>
  <c r="O130" i="85"/>
  <c r="J27" i="85"/>
  <c r="J139" i="85"/>
  <c r="O147" i="85"/>
  <c r="J140" i="85"/>
  <c r="O132" i="85"/>
  <c r="J21" i="85"/>
  <c r="J101" i="85"/>
  <c r="O37" i="85"/>
  <c r="O181" i="85"/>
  <c r="O46" i="85"/>
  <c r="O150" i="85"/>
  <c r="J63" i="85"/>
  <c r="J24" i="85"/>
  <c r="O8" i="85"/>
  <c r="O184" i="85"/>
  <c r="J145" i="85"/>
  <c r="O73" i="85"/>
  <c r="J146" i="85"/>
  <c r="O146" i="85"/>
  <c r="J147" i="85"/>
  <c r="O67" i="85"/>
  <c r="O155" i="85"/>
  <c r="J148" i="85"/>
  <c r="O140" i="85"/>
  <c r="J109" i="85"/>
  <c r="J181" i="85"/>
  <c r="O45" i="85"/>
  <c r="J14" i="85"/>
  <c r="O62" i="85"/>
  <c r="J71" i="85"/>
  <c r="O7" i="85"/>
  <c r="O103" i="85"/>
  <c r="J112" i="85"/>
  <c r="O96" i="85"/>
  <c r="J153" i="85"/>
  <c r="O129" i="85"/>
  <c r="J66" i="85"/>
  <c r="O66" i="85"/>
  <c r="J67" i="85"/>
  <c r="O83" i="85"/>
  <c r="O163" i="85"/>
  <c r="J76" i="85"/>
  <c r="O60" i="85"/>
  <c r="J45" i="85"/>
  <c r="O85" i="85"/>
  <c r="J46" i="85"/>
  <c r="O14" i="85"/>
  <c r="O15" i="85"/>
  <c r="J152" i="85"/>
  <c r="J49" i="85"/>
  <c r="O145" i="85"/>
  <c r="J114" i="85"/>
  <c r="J19" i="85"/>
  <c r="O187" i="85"/>
  <c r="O84" i="85"/>
  <c r="O5" i="85"/>
  <c r="O141" i="85"/>
  <c r="O102" i="85"/>
  <c r="O47" i="85"/>
  <c r="J176" i="85"/>
  <c r="O152" i="85"/>
  <c r="J185" i="85"/>
  <c r="J170" i="85"/>
  <c r="O149" i="85"/>
  <c r="J142" i="85"/>
  <c r="J103" i="85"/>
  <c r="J56" i="85"/>
  <c r="O160" i="85"/>
  <c r="O9" i="85"/>
  <c r="J18" i="85"/>
  <c r="O165" i="85"/>
  <c r="O174" i="85"/>
  <c r="O143" i="85"/>
  <c r="J72" i="85"/>
  <c r="O48" i="85"/>
  <c r="O25" i="85"/>
  <c r="O18" i="85"/>
  <c r="B123" i="3"/>
  <c r="J163" i="85"/>
  <c r="J162" i="85"/>
  <c r="J168" i="85"/>
  <c r="O31" i="85"/>
  <c r="O94" i="85"/>
  <c r="J123" i="85"/>
  <c r="O162" i="85"/>
  <c r="J122" i="85"/>
  <c r="J160" i="85"/>
  <c r="O86" i="85"/>
  <c r="E136" i="3"/>
  <c r="O122" i="85"/>
  <c r="J25" i="85"/>
  <c r="J167" i="85"/>
  <c r="J174" i="85"/>
  <c r="O77" i="85"/>
  <c r="O99" i="85"/>
  <c r="J99" i="85"/>
  <c r="O106" i="85"/>
  <c r="O136" i="85"/>
  <c r="J31" i="85"/>
  <c r="O27" i="85"/>
  <c r="O82" i="85"/>
  <c r="O112" i="85"/>
  <c r="J23" i="85"/>
  <c r="J62" i="85"/>
  <c r="E144" i="3"/>
  <c r="E16" i="3"/>
  <c r="E143" i="3"/>
  <c r="E14" i="75"/>
  <c r="E118" i="3"/>
  <c r="E10" i="4"/>
  <c r="E37" i="3"/>
  <c r="E10" i="75"/>
  <c r="E42" i="3"/>
  <c r="A148" i="4"/>
  <c r="A148" i="75"/>
  <c r="E88" i="107"/>
  <c r="B92" i="3"/>
  <c r="B133" i="4"/>
  <c r="S133" i="4" s="1"/>
  <c r="B135" i="3"/>
  <c r="M88" i="4"/>
  <c r="E6" i="3"/>
  <c r="E147" i="3"/>
  <c r="C154" i="74"/>
  <c r="E149" i="3"/>
  <c r="E150" i="3"/>
  <c r="AG211" i="104"/>
  <c r="K188" i="104"/>
  <c r="L188" i="104" s="1"/>
  <c r="K184" i="104"/>
  <c r="L184" i="104" s="1"/>
  <c r="A149" i="75"/>
  <c r="A149" i="4"/>
  <c r="G201" i="104"/>
  <c r="M217" i="104"/>
  <c r="M216" i="104"/>
  <c r="AN188" i="104"/>
  <c r="K186" i="104"/>
  <c r="L186" i="104" s="1"/>
  <c r="K181" i="104"/>
  <c r="G179" i="104"/>
  <c r="AG177" i="104"/>
  <c r="AN174" i="104"/>
  <c r="K171" i="104"/>
  <c r="L171" i="104" s="1"/>
  <c r="AJ167" i="104"/>
  <c r="M166" i="104"/>
  <c r="AN160" i="104"/>
  <c r="G159" i="104"/>
  <c r="M226" i="104"/>
  <c r="M220" i="104"/>
  <c r="AN218" i="104"/>
  <c r="G202" i="104"/>
  <c r="G200" i="104"/>
  <c r="AG164" i="104"/>
  <c r="K162" i="104"/>
  <c r="L162" i="104" s="1"/>
  <c r="AG156" i="104"/>
  <c r="AG165" i="104"/>
  <c r="AG157" i="104"/>
  <c r="AN208" i="104"/>
  <c r="AN197" i="104"/>
  <c r="AG191" i="104"/>
  <c r="AJ188" i="104"/>
  <c r="AJ187" i="104"/>
  <c r="M168" i="104"/>
  <c r="AJ222" i="104"/>
  <c r="G216" i="104"/>
  <c r="AG213" i="104"/>
  <c r="G189" i="104"/>
  <c r="G188" i="104"/>
  <c r="G184" i="104"/>
  <c r="K158" i="104"/>
  <c r="L158" i="104" s="1"/>
  <c r="K157" i="104"/>
  <c r="L157" i="104" s="1"/>
  <c r="AG195" i="104"/>
  <c r="AG182" i="104"/>
  <c r="K211" i="104"/>
  <c r="L211" i="104" s="1"/>
  <c r="M196" i="104"/>
  <c r="M194" i="104"/>
  <c r="AJ191" i="104"/>
  <c r="G190" i="104"/>
  <c r="AN182" i="104"/>
  <c r="AG180" i="104"/>
  <c r="K179" i="104"/>
  <c r="K168" i="104"/>
  <c r="L168" i="104" s="1"/>
  <c r="D6" i="107"/>
  <c r="B6" i="107"/>
  <c r="T6" i="107" s="1"/>
  <c r="B19" i="3"/>
  <c r="E132" i="3"/>
  <c r="B71" i="3"/>
  <c r="E92" i="3"/>
  <c r="B138" i="4"/>
  <c r="B126" i="3"/>
  <c r="B15" i="3"/>
  <c r="E28" i="3"/>
  <c r="B138" i="3"/>
  <c r="B35" i="3"/>
  <c r="G88" i="4"/>
  <c r="B75" i="3"/>
  <c r="E128" i="3"/>
  <c r="E148" i="3"/>
  <c r="B99" i="3"/>
  <c r="B95" i="3"/>
  <c r="E80" i="3"/>
  <c r="T116" i="107"/>
  <c r="A71" i="3"/>
  <c r="A14" i="3"/>
  <c r="A13" i="97"/>
  <c r="E46" i="107"/>
  <c r="E85" i="107"/>
  <c r="D93" i="3"/>
  <c r="D93" i="4"/>
  <c r="D93" i="75"/>
  <c r="D121" i="75"/>
  <c r="D121" i="3"/>
  <c r="D121" i="4"/>
  <c r="D20" i="3"/>
  <c r="D20" i="4"/>
  <c r="D20" i="75"/>
  <c r="D48" i="4"/>
  <c r="D48" i="75"/>
  <c r="D48" i="3"/>
  <c r="D56" i="4"/>
  <c r="D56" i="3"/>
  <c r="D56" i="75"/>
  <c r="D84" i="75"/>
  <c r="D84" i="4"/>
  <c r="D84" i="3"/>
  <c r="D112" i="4"/>
  <c r="D112" i="75"/>
  <c r="D112" i="3"/>
  <c r="D128" i="4"/>
  <c r="D128" i="75"/>
  <c r="D128" i="3"/>
  <c r="D29" i="4"/>
  <c r="D29" i="75"/>
  <c r="D29" i="3"/>
  <c r="D65" i="4"/>
  <c r="D65" i="75"/>
  <c r="D65" i="3"/>
  <c r="D137" i="4"/>
  <c r="D137" i="75"/>
  <c r="D137" i="3"/>
  <c r="D17" i="4"/>
  <c r="D17" i="75"/>
  <c r="D17" i="3"/>
  <c r="D45" i="3"/>
  <c r="D45" i="75"/>
  <c r="D45" i="4"/>
  <c r="D81" i="4"/>
  <c r="D81" i="3"/>
  <c r="D81" i="75"/>
  <c r="D109" i="4"/>
  <c r="D109" i="3"/>
  <c r="D109" i="75"/>
  <c r="D117" i="3"/>
  <c r="D117" i="75"/>
  <c r="D117" i="4"/>
  <c r="D123" i="75"/>
  <c r="D123" i="4"/>
  <c r="D123" i="3"/>
  <c r="D8" i="3"/>
  <c r="D8" i="4"/>
  <c r="D8" i="75"/>
  <c r="D64" i="4"/>
  <c r="D64" i="3"/>
  <c r="D64" i="75"/>
  <c r="D72" i="3"/>
  <c r="D72" i="75"/>
  <c r="D72" i="4"/>
  <c r="D136" i="75"/>
  <c r="D136" i="3"/>
  <c r="D136" i="4"/>
  <c r="D144" i="3"/>
  <c r="D144" i="75"/>
  <c r="D144" i="4"/>
  <c r="D124" i="3"/>
  <c r="D124" i="4"/>
  <c r="D124" i="75"/>
  <c r="D33" i="4"/>
  <c r="D33" i="3"/>
  <c r="D33" i="75"/>
  <c r="D61" i="75"/>
  <c r="D61" i="3"/>
  <c r="D61" i="4"/>
  <c r="D69" i="75"/>
  <c r="D69" i="3"/>
  <c r="D69" i="4"/>
  <c r="D97" i="4"/>
  <c r="D97" i="3"/>
  <c r="D97" i="75"/>
  <c r="D133" i="4"/>
  <c r="D133" i="3"/>
  <c r="D133" i="75"/>
  <c r="D141" i="3"/>
  <c r="D141" i="4"/>
  <c r="D141" i="75"/>
  <c r="D125" i="3"/>
  <c r="D125" i="4"/>
  <c r="D125" i="75"/>
  <c r="D16" i="75"/>
  <c r="D16" i="3"/>
  <c r="D16" i="4"/>
  <c r="D24" i="4"/>
  <c r="D24" i="75"/>
  <c r="D24" i="3"/>
  <c r="D52" i="75"/>
  <c r="D52" i="3"/>
  <c r="D52" i="4"/>
  <c r="D80" i="75"/>
  <c r="D80" i="3"/>
  <c r="D80" i="4"/>
  <c r="D88" i="75"/>
  <c r="D88" i="4"/>
  <c r="D88" i="3"/>
  <c r="D126" i="3"/>
  <c r="D126" i="4"/>
  <c r="D126" i="75"/>
  <c r="D13" i="3"/>
  <c r="D13" i="75"/>
  <c r="D13" i="4"/>
  <c r="D21" i="75"/>
  <c r="D21" i="3"/>
  <c r="D21" i="4"/>
  <c r="D49" i="3"/>
  <c r="D49" i="75"/>
  <c r="D49" i="4"/>
  <c r="D77" i="4"/>
  <c r="D77" i="3"/>
  <c r="D77" i="75"/>
  <c r="D85" i="3"/>
  <c r="D85" i="4"/>
  <c r="D85" i="75"/>
  <c r="D119" i="3"/>
  <c r="D119" i="4"/>
  <c r="D119" i="75"/>
  <c r="D37" i="75"/>
  <c r="D37" i="4"/>
  <c r="D37" i="3"/>
  <c r="D101" i="3"/>
  <c r="D101" i="4"/>
  <c r="D101" i="75"/>
  <c r="D32" i="3"/>
  <c r="D32" i="4"/>
  <c r="D32" i="75"/>
  <c r="D40" i="4"/>
  <c r="D40" i="75"/>
  <c r="D40" i="3"/>
  <c r="D68" i="75"/>
  <c r="D68" i="4"/>
  <c r="D68" i="3"/>
  <c r="D96" i="75"/>
  <c r="D96" i="3"/>
  <c r="D96" i="4"/>
  <c r="D104" i="75"/>
  <c r="D104" i="4"/>
  <c r="D104" i="3"/>
  <c r="D140" i="75"/>
  <c r="D140" i="4"/>
  <c r="D140" i="3"/>
  <c r="D120" i="3"/>
  <c r="D120" i="75"/>
  <c r="D120" i="4"/>
  <c r="B65" i="107"/>
  <c r="E65" i="107"/>
  <c r="E68" i="102"/>
  <c r="D7" i="3"/>
  <c r="D7" i="75"/>
  <c r="D7" i="4"/>
  <c r="D23" i="3"/>
  <c r="D23" i="4"/>
  <c r="D23" i="75"/>
  <c r="D39" i="4"/>
  <c r="D39" i="3"/>
  <c r="D39" i="75"/>
  <c r="D55" i="3"/>
  <c r="D55" i="75"/>
  <c r="D55" i="4"/>
  <c r="D71" i="4"/>
  <c r="D71" i="75"/>
  <c r="D71" i="3"/>
  <c r="D87" i="75"/>
  <c r="D87" i="4"/>
  <c r="D87" i="3"/>
  <c r="D127" i="3"/>
  <c r="D127" i="4"/>
  <c r="D127" i="75"/>
  <c r="D143" i="4"/>
  <c r="D10" i="3"/>
  <c r="D10" i="75"/>
  <c r="D10" i="4"/>
  <c r="D26" i="75"/>
  <c r="D26" i="4"/>
  <c r="D26" i="3"/>
  <c r="D42" i="4"/>
  <c r="D42" i="75"/>
  <c r="D42" i="3"/>
  <c r="D58" i="3"/>
  <c r="D58" i="75"/>
  <c r="D58" i="4"/>
  <c r="D74" i="75"/>
  <c r="D74" i="4"/>
  <c r="D74" i="3"/>
  <c r="D90" i="3"/>
  <c r="D90" i="4"/>
  <c r="D90" i="75"/>
  <c r="D106" i="3"/>
  <c r="D106" i="75"/>
  <c r="D106" i="4"/>
  <c r="D130" i="4"/>
  <c r="D130" i="3"/>
  <c r="D130" i="75"/>
  <c r="D19" i="4"/>
  <c r="D19" i="3"/>
  <c r="D19" i="75"/>
  <c r="D35" i="75"/>
  <c r="D35" i="4"/>
  <c r="D35" i="3"/>
  <c r="D51" i="3"/>
  <c r="D51" i="4"/>
  <c r="D51" i="75"/>
  <c r="D67" i="4"/>
  <c r="D67" i="75"/>
  <c r="D67" i="3"/>
  <c r="D83" i="75"/>
  <c r="D83" i="3"/>
  <c r="D83" i="4"/>
  <c r="D99" i="4"/>
  <c r="D99" i="75"/>
  <c r="D99" i="3"/>
  <c r="D115" i="75"/>
  <c r="D115" i="3"/>
  <c r="D115" i="4"/>
  <c r="D139" i="75"/>
  <c r="D139" i="4"/>
  <c r="D139" i="3"/>
  <c r="D6" i="75"/>
  <c r="D6" i="3"/>
  <c r="D6" i="4"/>
  <c r="D22" i="75"/>
  <c r="D22" i="3"/>
  <c r="D22" i="4"/>
  <c r="D38" i="4"/>
  <c r="D38" i="3"/>
  <c r="D38" i="75"/>
  <c r="D54" i="3"/>
  <c r="D54" i="75"/>
  <c r="D54" i="4"/>
  <c r="D70" i="3"/>
  <c r="D70" i="75"/>
  <c r="D70" i="4"/>
  <c r="D86" i="75"/>
  <c r="D86" i="4"/>
  <c r="D86" i="3"/>
  <c r="D102" i="75"/>
  <c r="D102" i="3"/>
  <c r="D102" i="4"/>
  <c r="D118" i="4"/>
  <c r="D118" i="3"/>
  <c r="D118" i="75"/>
  <c r="D142" i="4"/>
  <c r="D142" i="75"/>
  <c r="D142" i="3"/>
  <c r="D15" i="75"/>
  <c r="D15" i="3"/>
  <c r="D15" i="4"/>
  <c r="D31" i="3"/>
  <c r="D31" i="4"/>
  <c r="D31" i="75"/>
  <c r="D47" i="75"/>
  <c r="D47" i="4"/>
  <c r="D47" i="3"/>
  <c r="D63" i="3"/>
  <c r="D63" i="4"/>
  <c r="D63" i="75"/>
  <c r="D79" i="75"/>
  <c r="D79" i="4"/>
  <c r="D79" i="3"/>
  <c r="D95" i="75"/>
  <c r="D95" i="4"/>
  <c r="D95" i="3"/>
  <c r="D111" i="4"/>
  <c r="D111" i="75"/>
  <c r="D111" i="3"/>
  <c r="D135" i="3"/>
  <c r="D135" i="4"/>
  <c r="D135" i="75"/>
  <c r="D18" i="4"/>
  <c r="D18" i="3"/>
  <c r="D18" i="75"/>
  <c r="D34" i="3"/>
  <c r="D34" i="75"/>
  <c r="D34" i="4"/>
  <c r="D50" i="3"/>
  <c r="D50" i="75"/>
  <c r="D50" i="4"/>
  <c r="D66" i="75"/>
  <c r="D66" i="4"/>
  <c r="D66" i="3"/>
  <c r="D82" i="75"/>
  <c r="D82" i="4"/>
  <c r="D82" i="3"/>
  <c r="D98" i="75"/>
  <c r="D98" i="4"/>
  <c r="D98" i="3"/>
  <c r="D114" i="3"/>
  <c r="D114" i="4"/>
  <c r="D114" i="75"/>
  <c r="D138" i="75"/>
  <c r="D138" i="4"/>
  <c r="D138" i="3"/>
  <c r="D11" i="3"/>
  <c r="D11" i="75"/>
  <c r="D11" i="4"/>
  <c r="D27" i="75"/>
  <c r="D27" i="4"/>
  <c r="D27" i="3"/>
  <c r="D43" i="4"/>
  <c r="D43" i="3"/>
  <c r="D43" i="75"/>
  <c r="D59" i="75"/>
  <c r="D59" i="4"/>
  <c r="D59" i="3"/>
  <c r="D75" i="4"/>
  <c r="D75" i="75"/>
  <c r="D75" i="3"/>
  <c r="D91" i="75"/>
  <c r="D91" i="4"/>
  <c r="D91" i="3"/>
  <c r="D107" i="3"/>
  <c r="D107" i="4"/>
  <c r="D107" i="75"/>
  <c r="D131" i="4"/>
  <c r="D131" i="3"/>
  <c r="D131" i="75"/>
  <c r="D14" i="75"/>
  <c r="D14" i="4"/>
  <c r="D14" i="3"/>
  <c r="D30" i="4"/>
  <c r="D30" i="75"/>
  <c r="D30" i="3"/>
  <c r="D46" i="3"/>
  <c r="D46" i="75"/>
  <c r="D46" i="4"/>
  <c r="D62" i="3"/>
  <c r="D62" i="4"/>
  <c r="D62" i="75"/>
  <c r="D94" i="3"/>
  <c r="D94" i="75"/>
  <c r="D94" i="4"/>
  <c r="D110" i="3"/>
  <c r="D110" i="4"/>
  <c r="D110" i="75"/>
  <c r="E113" i="107"/>
  <c r="D50" i="107"/>
  <c r="A155" i="97"/>
  <c r="E146" i="3"/>
  <c r="D149" i="4"/>
  <c r="D149" i="75"/>
  <c r="E145" i="75"/>
  <c r="B148" i="3"/>
  <c r="A144" i="97"/>
  <c r="D150" i="4"/>
  <c r="AN214" i="104"/>
  <c r="AN219" i="104"/>
  <c r="K226" i="104"/>
  <c r="L226" i="104" s="1"/>
  <c r="G226" i="104"/>
  <c r="K225" i="104"/>
  <c r="L225" i="104" s="1"/>
  <c r="G225" i="104"/>
  <c r="D113" i="107"/>
  <c r="D71" i="107"/>
  <c r="D14" i="107"/>
  <c r="B14" i="107"/>
  <c r="D37" i="102"/>
  <c r="E33" i="102"/>
  <c r="D32" i="102"/>
  <c r="B47" i="107"/>
  <c r="E47" i="107"/>
  <c r="B130" i="107"/>
  <c r="D130" i="107"/>
  <c r="D48" i="102"/>
  <c r="D89" i="107"/>
  <c r="B133" i="107"/>
  <c r="D133" i="107"/>
  <c r="C66" i="4"/>
  <c r="C66" i="75"/>
  <c r="C59" i="3"/>
  <c r="C59" i="75"/>
  <c r="C59" i="4"/>
  <c r="C80" i="75"/>
  <c r="C80" i="4"/>
  <c r="J88" i="4"/>
  <c r="V88" i="4"/>
  <c r="S88" i="4"/>
  <c r="P88" i="4"/>
  <c r="I88" i="4"/>
  <c r="E104" i="103"/>
  <c r="S9" i="4"/>
  <c r="I9" i="4"/>
  <c r="C136" i="4"/>
  <c r="C136" i="75"/>
  <c r="T133" i="4"/>
  <c r="O38" i="85"/>
  <c r="H26" i="104"/>
  <c r="W28" i="104"/>
  <c r="X28" i="104" s="1"/>
  <c r="T28" i="104" s="1"/>
  <c r="J38" i="85"/>
  <c r="Q81" i="104"/>
  <c r="J81" i="103"/>
  <c r="W95" i="104"/>
  <c r="X95" i="104" s="1"/>
  <c r="T95" i="104" s="1"/>
  <c r="J104" i="103"/>
  <c r="W128" i="104"/>
  <c r="X128" i="104" s="1"/>
  <c r="T128" i="104" s="1"/>
  <c r="T46" i="107"/>
  <c r="T58" i="107"/>
  <c r="T71" i="107"/>
  <c r="T51" i="102"/>
  <c r="T72" i="102"/>
  <c r="T32" i="102"/>
  <c r="T60" i="107"/>
  <c r="U58" i="97"/>
  <c r="U135" i="97"/>
  <c r="P104" i="104"/>
  <c r="C11" i="75"/>
  <c r="D12" i="75"/>
  <c r="B14" i="75"/>
  <c r="D53" i="75"/>
  <c r="D57" i="75"/>
  <c r="E62" i="75"/>
  <c r="E77" i="75"/>
  <c r="D89" i="75"/>
  <c r="D103" i="75"/>
  <c r="D108" i="75"/>
  <c r="C111" i="75"/>
  <c r="D113" i="75"/>
  <c r="D134" i="75"/>
  <c r="E138" i="75"/>
  <c r="D145" i="75"/>
  <c r="C11" i="4"/>
  <c r="V11" i="4" s="1"/>
  <c r="E7" i="4"/>
  <c r="B7" i="4"/>
  <c r="Y7" i="4"/>
  <c r="Z7" i="4" s="1"/>
  <c r="Z4" i="74"/>
  <c r="AB7" i="4" s="1"/>
  <c r="AA4" i="74"/>
  <c r="AC7" i="4" s="1"/>
  <c r="AB4" i="74"/>
  <c r="AD7" i="4" s="1"/>
  <c r="AC4" i="74"/>
  <c r="AF7" i="4" s="1"/>
  <c r="AD4" i="74"/>
  <c r="AG7" i="4" s="1"/>
  <c r="AE4" i="74"/>
  <c r="AI7" i="4" s="1"/>
  <c r="AF4" i="74"/>
  <c r="AJ7" i="4" s="1"/>
  <c r="D9" i="4"/>
  <c r="J9" i="4"/>
  <c r="K9" i="4" s="1"/>
  <c r="T9" i="4"/>
  <c r="Y9" i="4"/>
  <c r="Z9" i="4" s="1"/>
  <c r="Y6" i="74"/>
  <c r="AA9" i="4" s="1"/>
  <c r="Z6" i="74"/>
  <c r="AB9" i="4" s="1"/>
  <c r="AA6" i="74"/>
  <c r="AC9" i="4" s="1"/>
  <c r="AC6" i="74"/>
  <c r="AF9" i="4" s="1"/>
  <c r="AH9" i="4" s="1"/>
  <c r="AD6" i="74"/>
  <c r="AG9" i="4" s="1"/>
  <c r="AE6" i="74"/>
  <c r="AI9" i="4" s="1"/>
  <c r="AF6" i="74"/>
  <c r="AJ9" i="4" s="1"/>
  <c r="AL9" i="4" s="1"/>
  <c r="AG6" i="74"/>
  <c r="AK9" i="4" s="1"/>
  <c r="N7" i="98"/>
  <c r="Y10" i="4"/>
  <c r="Z10" i="4" s="1"/>
  <c r="Z7" i="74"/>
  <c r="AB10" i="4" s="1"/>
  <c r="AA7" i="74"/>
  <c r="AC10" i="4" s="1"/>
  <c r="AB7" i="74"/>
  <c r="AD10" i="4" s="1"/>
  <c r="AC7" i="74"/>
  <c r="AF10" i="4" s="1"/>
  <c r="AD7" i="74"/>
  <c r="AG10" i="4" s="1"/>
  <c r="AH10" i="4" s="1"/>
  <c r="AE7" i="74"/>
  <c r="AI10" i="4" s="1"/>
  <c r="AF7" i="74"/>
  <c r="AJ10" i="4" s="1"/>
  <c r="E11" i="4"/>
  <c r="N8" i="98"/>
  <c r="Y11" i="4"/>
  <c r="Z11" i="4" s="1"/>
  <c r="Y8" i="74"/>
  <c r="AA11" i="4" s="1"/>
  <c r="Z8" i="74"/>
  <c r="AB11" i="4" s="1"/>
  <c r="AA8" i="74"/>
  <c r="AC11" i="4" s="1"/>
  <c r="AE11" i="4" s="1"/>
  <c r="AB8" i="74"/>
  <c r="AD11" i="4" s="1"/>
  <c r="AD8" i="74"/>
  <c r="AG11" i="4" s="1"/>
  <c r="AE8" i="74"/>
  <c r="AI11" i="4" s="1"/>
  <c r="AF8" i="74"/>
  <c r="AJ11" i="4" s="1"/>
  <c r="AG8" i="74"/>
  <c r="AK11" i="4" s="1"/>
  <c r="P12" i="4"/>
  <c r="S12" i="4"/>
  <c r="T12" i="4"/>
  <c r="Y9" i="74"/>
  <c r="AA12" i="4" s="1"/>
  <c r="Z9" i="74"/>
  <c r="AB12" i="4" s="1"/>
  <c r="AA9" i="74"/>
  <c r="AC12" i="4" s="1"/>
  <c r="AB9" i="74"/>
  <c r="AD12" i="4" s="1"/>
  <c r="AC9" i="74"/>
  <c r="AF12" i="4" s="1"/>
  <c r="AD9" i="74"/>
  <c r="AG12" i="4" s="1"/>
  <c r="AE9" i="74"/>
  <c r="AI12" i="4" s="1"/>
  <c r="AF9" i="74"/>
  <c r="AJ12" i="4" s="1"/>
  <c r="AL12" i="4" s="1"/>
  <c r="AG9" i="74"/>
  <c r="AK12" i="4" s="1"/>
  <c r="B13" i="4"/>
  <c r="Y13" i="4"/>
  <c r="Z13" i="4" s="1"/>
  <c r="Y10" i="74"/>
  <c r="AA13" i="4" s="1"/>
  <c r="Z10" i="74"/>
  <c r="AB13" i="4" s="1"/>
  <c r="AA10" i="74"/>
  <c r="AC13" i="4" s="1"/>
  <c r="AB10" i="74"/>
  <c r="AD13" i="4" s="1"/>
  <c r="AC10" i="74"/>
  <c r="AF13" i="4" s="1"/>
  <c r="AD10" i="74"/>
  <c r="AG13" i="4" s="1"/>
  <c r="AE10" i="74"/>
  <c r="AI13" i="4" s="1"/>
  <c r="AF10" i="74"/>
  <c r="AJ13" i="4" s="1"/>
  <c r="AG10" i="74"/>
  <c r="AK13" i="4" s="1"/>
  <c r="J14" i="4"/>
  <c r="Y14" i="4"/>
  <c r="Z14" i="4" s="1"/>
  <c r="Y11" i="74"/>
  <c r="AA14" i="4" s="1"/>
  <c r="Z11" i="74"/>
  <c r="AB14" i="4" s="1"/>
  <c r="AE14" i="4" s="1"/>
  <c r="AA11" i="74"/>
  <c r="AC14" i="4" s="1"/>
  <c r="AB11" i="74"/>
  <c r="AD14" i="4" s="1"/>
  <c r="AC11" i="74"/>
  <c r="AF14" i="4" s="1"/>
  <c r="AD11" i="74"/>
  <c r="AG14" i="4" s="1"/>
  <c r="AE11" i="74"/>
  <c r="AI14" i="4" s="1"/>
  <c r="AL14" i="4" s="1"/>
  <c r="AF11" i="74"/>
  <c r="AJ14" i="4" s="1"/>
  <c r="AG11" i="74"/>
  <c r="AK14" i="4" s="1"/>
  <c r="D41" i="4"/>
  <c r="D44" i="4"/>
  <c r="Z46" i="74"/>
  <c r="AB49" i="4" s="1"/>
  <c r="AA46" i="74"/>
  <c r="AC49" i="4" s="1"/>
  <c r="AB46" i="74"/>
  <c r="AD49" i="4" s="1"/>
  <c r="AC46" i="74"/>
  <c r="AF49" i="4" s="1"/>
  <c r="AD46" i="74"/>
  <c r="AG49" i="4" s="1"/>
  <c r="AE46" i="74"/>
  <c r="AI49" i="4" s="1"/>
  <c r="AF46" i="74"/>
  <c r="AJ49" i="4" s="1"/>
  <c r="AG46" i="74"/>
  <c r="AK49" i="4" s="1"/>
  <c r="D53" i="4"/>
  <c r="B59" i="4"/>
  <c r="M59" i="4" s="1"/>
  <c r="Y59" i="4"/>
  <c r="Z59" i="4" s="1"/>
  <c r="Y56" i="74"/>
  <c r="AA59" i="4" s="1"/>
  <c r="AE59" i="4" s="1"/>
  <c r="Z56" i="74"/>
  <c r="AB59" i="4" s="1"/>
  <c r="AA56" i="74"/>
  <c r="AC59" i="4" s="1"/>
  <c r="AB56" i="74"/>
  <c r="AD59" i="4" s="1"/>
  <c r="AC56" i="74"/>
  <c r="AF59" i="4" s="1"/>
  <c r="AD56" i="74"/>
  <c r="AG59" i="4" s="1"/>
  <c r="AE56" i="74"/>
  <c r="AI59" i="4" s="1"/>
  <c r="AF56" i="74"/>
  <c r="AJ59" i="4" s="1"/>
  <c r="AG56" i="74"/>
  <c r="AK59" i="4" s="1"/>
  <c r="AL59" i="4" s="1"/>
  <c r="N5" i="98"/>
  <c r="Y62" i="4"/>
  <c r="Z62" i="4" s="1"/>
  <c r="Y59" i="74"/>
  <c r="AA62" i="4" s="1"/>
  <c r="AE62" i="4" s="1"/>
  <c r="Z59" i="74"/>
  <c r="AB62" i="4" s="1"/>
  <c r="AA59" i="74"/>
  <c r="AC62" i="4" s="1"/>
  <c r="AB59" i="74"/>
  <c r="AD62" i="4" s="1"/>
  <c r="AC59" i="74"/>
  <c r="AF62" i="4" s="1"/>
  <c r="AD59" i="74"/>
  <c r="AG62" i="4" s="1"/>
  <c r="AE59" i="74"/>
  <c r="AI62" i="4" s="1"/>
  <c r="AF59" i="74"/>
  <c r="AJ62" i="4" s="1"/>
  <c r="AG59" i="74"/>
  <c r="AK62" i="4" s="1"/>
  <c r="AL62" i="4" s="1"/>
  <c r="B63" i="4"/>
  <c r="P63" i="4" s="1"/>
  <c r="J79" i="85"/>
  <c r="Y63" i="4"/>
  <c r="Z63" i="4" s="1"/>
  <c r="Y60" i="74"/>
  <c r="AA63" i="4" s="1"/>
  <c r="Z60" i="74"/>
  <c r="AB63" i="4" s="1"/>
  <c r="AA60" i="74"/>
  <c r="AC63" i="4" s="1"/>
  <c r="AB60" i="74"/>
  <c r="AD63" i="4" s="1"/>
  <c r="AC60" i="74"/>
  <c r="AF63" i="4" s="1"/>
  <c r="AD60" i="74"/>
  <c r="AG63" i="4" s="1"/>
  <c r="AE60" i="74"/>
  <c r="AI63" i="4" s="1"/>
  <c r="AF60" i="74"/>
  <c r="AJ63" i="4" s="1"/>
  <c r="AG60" i="74"/>
  <c r="AK63" i="4" s="1"/>
  <c r="D73" i="4"/>
  <c r="E77" i="4"/>
  <c r="B87" i="4"/>
  <c r="J113" i="85"/>
  <c r="Q88" i="4" s="1"/>
  <c r="R88" i="4" s="1"/>
  <c r="Y87" i="4"/>
  <c r="Z87" i="4" s="1"/>
  <c r="Y84" i="74"/>
  <c r="AA87" i="4" s="1"/>
  <c r="Z84" i="74"/>
  <c r="AB87" i="4" s="1"/>
  <c r="AA84" i="74"/>
  <c r="AC87" i="4" s="1"/>
  <c r="AB84" i="74"/>
  <c r="AD87" i="4" s="1"/>
  <c r="AC84" i="74"/>
  <c r="AF87" i="4" s="1"/>
  <c r="AD84" i="74"/>
  <c r="AG87" i="4" s="1"/>
  <c r="AE84" i="74"/>
  <c r="AI87" i="4" s="1"/>
  <c r="AF84" i="74"/>
  <c r="AJ87" i="4" s="1"/>
  <c r="AG84" i="74"/>
  <c r="AK87" i="4" s="1"/>
  <c r="L88" i="4"/>
  <c r="N88" i="4" s="1"/>
  <c r="U88" i="4"/>
  <c r="Y88" i="4"/>
  <c r="Z88" i="4" s="1"/>
  <c r="Y85" i="74"/>
  <c r="AA88" i="4" s="1"/>
  <c r="Z85" i="74"/>
  <c r="AB88" i="4" s="1"/>
  <c r="AA85" i="74"/>
  <c r="AC88" i="4" s="1"/>
  <c r="AB85" i="74"/>
  <c r="AD88" i="4" s="1"/>
  <c r="AC85" i="74"/>
  <c r="AF88" i="4" s="1"/>
  <c r="AD85" i="74"/>
  <c r="AG88" i="4" s="1"/>
  <c r="AE85" i="74"/>
  <c r="AI88" i="4" s="1"/>
  <c r="AF85" i="74"/>
  <c r="AJ88" i="4" s="1"/>
  <c r="AG85" i="74"/>
  <c r="AK88" i="4" s="1"/>
  <c r="E89" i="4"/>
  <c r="B89" i="4"/>
  <c r="L89" i="4" s="1"/>
  <c r="Y89" i="4"/>
  <c r="Z89" i="4" s="1"/>
  <c r="Y86" i="74"/>
  <c r="AA89" i="4" s="1"/>
  <c r="Z86" i="74"/>
  <c r="AB89" i="4" s="1"/>
  <c r="AA86" i="74"/>
  <c r="AC89" i="4" s="1"/>
  <c r="AB86" i="74"/>
  <c r="AD89" i="4" s="1"/>
  <c r="AE89" i="4" s="1"/>
  <c r="AC86" i="74"/>
  <c r="AF89" i="4" s="1"/>
  <c r="AD86" i="74"/>
  <c r="AG89" i="4" s="1"/>
  <c r="AE86" i="74"/>
  <c r="AI89" i="4" s="1"/>
  <c r="AF86" i="74"/>
  <c r="AJ89" i="4" s="1"/>
  <c r="AG86" i="74"/>
  <c r="AK89" i="4" s="1"/>
  <c r="E90" i="4"/>
  <c r="G90" i="4" s="1"/>
  <c r="J118" i="85"/>
  <c r="Y90" i="4"/>
  <c r="Z90" i="4" s="1"/>
  <c r="Y87" i="74"/>
  <c r="AA90" i="4" s="1"/>
  <c r="Z87" i="74"/>
  <c r="AB90" i="4" s="1"/>
  <c r="AA87" i="74"/>
  <c r="AC90" i="4" s="1"/>
  <c r="AB87" i="74"/>
  <c r="AD90" i="4" s="1"/>
  <c r="AC87" i="74"/>
  <c r="AF90" i="4" s="1"/>
  <c r="AD87" i="74"/>
  <c r="AG90" i="4" s="1"/>
  <c r="AE87" i="74"/>
  <c r="AI90" i="4" s="1"/>
  <c r="AF87" i="74"/>
  <c r="AJ90" i="4" s="1"/>
  <c r="AG87" i="74"/>
  <c r="AK90" i="4" s="1"/>
  <c r="Y98" i="4"/>
  <c r="Z98" i="4" s="1"/>
  <c r="Y95" i="74"/>
  <c r="AA98" i="4" s="1"/>
  <c r="Z95" i="74"/>
  <c r="AB98" i="4" s="1"/>
  <c r="AA95" i="74"/>
  <c r="AC98" i="4" s="1"/>
  <c r="AB95" i="74"/>
  <c r="AD98" i="4" s="1"/>
  <c r="AC95" i="74"/>
  <c r="AF98" i="4" s="1"/>
  <c r="AD95" i="74"/>
  <c r="AG98" i="4" s="1"/>
  <c r="AE95" i="74"/>
  <c r="AI98" i="4" s="1"/>
  <c r="AF95" i="74"/>
  <c r="AJ98" i="4" s="1"/>
  <c r="AG95" i="74"/>
  <c r="AK98" i="4" s="1"/>
  <c r="D103" i="4"/>
  <c r="B105" i="4"/>
  <c r="Y105" i="4"/>
  <c r="Z105" i="4" s="1"/>
  <c r="Y102" i="74"/>
  <c r="AA105" i="4" s="1"/>
  <c r="Z102" i="74"/>
  <c r="AB105" i="4" s="1"/>
  <c r="AE105" i="4" s="1"/>
  <c r="AA102" i="74"/>
  <c r="AC105" i="4" s="1"/>
  <c r="AB102" i="74"/>
  <c r="AD105" i="4" s="1"/>
  <c r="AC102" i="74"/>
  <c r="AF105" i="4" s="1"/>
  <c r="AD102" i="74"/>
  <c r="AG105" i="4" s="1"/>
  <c r="AE102" i="74"/>
  <c r="AI105" i="4" s="1"/>
  <c r="AF102" i="74"/>
  <c r="AJ105" i="4" s="1"/>
  <c r="AG102" i="74"/>
  <c r="AK105" i="4" s="1"/>
  <c r="D108" i="4"/>
  <c r="Z105" i="74"/>
  <c r="AB108" i="4" s="1"/>
  <c r="AA105" i="74"/>
  <c r="AC108" i="4" s="1"/>
  <c r="AB105" i="74"/>
  <c r="AD108" i="4" s="1"/>
  <c r="AC105" i="74"/>
  <c r="AF108" i="4" s="1"/>
  <c r="AD105" i="74"/>
  <c r="AG108" i="4" s="1"/>
  <c r="AE105" i="74"/>
  <c r="AI108" i="4" s="1"/>
  <c r="AF105" i="74"/>
  <c r="AJ108" i="4" s="1"/>
  <c r="AG105" i="74"/>
  <c r="AK108" i="4" s="1"/>
  <c r="E109" i="4"/>
  <c r="C111" i="4"/>
  <c r="B111" i="4"/>
  <c r="Y111" i="4"/>
  <c r="Z111" i="4" s="1"/>
  <c r="Y108" i="74"/>
  <c r="AA111" i="4" s="1"/>
  <c r="Z108" i="74"/>
  <c r="AB111" i="4" s="1"/>
  <c r="AA108" i="74"/>
  <c r="AC111" i="4" s="1"/>
  <c r="AB108" i="74"/>
  <c r="AD111" i="4" s="1"/>
  <c r="AE111" i="4" s="1"/>
  <c r="AC108" i="74"/>
  <c r="AF111" i="4" s="1"/>
  <c r="AD108" i="74"/>
  <c r="AG111" i="4" s="1"/>
  <c r="AE108" i="74"/>
  <c r="AI111" i="4" s="1"/>
  <c r="AF108" i="74"/>
  <c r="AJ111" i="4" s="1"/>
  <c r="AG108" i="74"/>
  <c r="AK111" i="4" s="1"/>
  <c r="D113" i="4"/>
  <c r="E127" i="4"/>
  <c r="B130" i="4"/>
  <c r="Y130" i="4"/>
  <c r="Z130" i="4" s="1"/>
  <c r="Y127" i="74"/>
  <c r="AA130" i="4" s="1"/>
  <c r="Z127" i="74"/>
  <c r="AB130" i="4" s="1"/>
  <c r="AA127" i="74"/>
  <c r="AC130" i="4" s="1"/>
  <c r="AB127" i="74"/>
  <c r="AD130" i="4" s="1"/>
  <c r="AC127" i="74"/>
  <c r="AF130" i="4" s="1"/>
  <c r="AD127" i="74"/>
  <c r="AG130" i="4" s="1"/>
  <c r="AE127" i="74"/>
  <c r="AI130" i="4" s="1"/>
  <c r="AL130" i="4" s="1"/>
  <c r="AF127" i="74"/>
  <c r="AJ130" i="4" s="1"/>
  <c r="AG127" i="74"/>
  <c r="AK130" i="4" s="1"/>
  <c r="Y133" i="4"/>
  <c r="Z133" i="4" s="1"/>
  <c r="Y130" i="74"/>
  <c r="AA133" i="4" s="1"/>
  <c r="Z130" i="74"/>
  <c r="AB133" i="4" s="1"/>
  <c r="AA130" i="74"/>
  <c r="AC133" i="4" s="1"/>
  <c r="AB130" i="74"/>
  <c r="AD133" i="4" s="1"/>
  <c r="AC130" i="74"/>
  <c r="AF133" i="4" s="1"/>
  <c r="AD130" i="74"/>
  <c r="AG133" i="4" s="1"/>
  <c r="AE130" i="74"/>
  <c r="AI133" i="4" s="1"/>
  <c r="AF130" i="74"/>
  <c r="AJ133" i="4" s="1"/>
  <c r="AG130" i="74"/>
  <c r="AK133" i="4" s="1"/>
  <c r="D134" i="4"/>
  <c r="B137" i="4"/>
  <c r="M137" i="4" s="1"/>
  <c r="Y137" i="4"/>
  <c r="Z137" i="4" s="1"/>
  <c r="Y134" i="74"/>
  <c r="AA137" i="4" s="1"/>
  <c r="Z134" i="74"/>
  <c r="AB137" i="4" s="1"/>
  <c r="AA134" i="74"/>
  <c r="AC137" i="4" s="1"/>
  <c r="AB134" i="74"/>
  <c r="AD137" i="4" s="1"/>
  <c r="AC134" i="74"/>
  <c r="AF137" i="4" s="1"/>
  <c r="AD134" i="74"/>
  <c r="AG137" i="4" s="1"/>
  <c r="AE134" i="74"/>
  <c r="AI137" i="4" s="1"/>
  <c r="AF134" i="74"/>
  <c r="AJ137" i="4" s="1"/>
  <c r="AG134" i="74"/>
  <c r="AK137" i="4" s="1"/>
  <c r="E138" i="4"/>
  <c r="Y138" i="4"/>
  <c r="Z138" i="4" s="1"/>
  <c r="Y135" i="74"/>
  <c r="AA138" i="4" s="1"/>
  <c r="Z135" i="74"/>
  <c r="AB138" i="4" s="1"/>
  <c r="AA135" i="74"/>
  <c r="AC138" i="4" s="1"/>
  <c r="AB135" i="74"/>
  <c r="AD138" i="4" s="1"/>
  <c r="AC135" i="74"/>
  <c r="AF138" i="4" s="1"/>
  <c r="AD135" i="74"/>
  <c r="AG138" i="4" s="1"/>
  <c r="AE135" i="74"/>
  <c r="AI138" i="4" s="1"/>
  <c r="AF135" i="74"/>
  <c r="AJ138" i="4" s="1"/>
  <c r="AG135" i="74"/>
  <c r="AK138" i="4" s="1"/>
  <c r="E141" i="4"/>
  <c r="B141" i="4"/>
  <c r="Y141" i="4"/>
  <c r="Z141" i="4" s="1"/>
  <c r="Y138" i="74"/>
  <c r="AA141" i="4" s="1"/>
  <c r="Z138" i="74"/>
  <c r="AB141" i="4" s="1"/>
  <c r="AE141" i="4" s="1"/>
  <c r="AA138" i="74"/>
  <c r="AC141" i="4" s="1"/>
  <c r="AB138" i="74"/>
  <c r="AD141" i="4" s="1"/>
  <c r="AC138" i="74"/>
  <c r="AF141" i="4" s="1"/>
  <c r="AD138" i="74"/>
  <c r="AG141" i="4" s="1"/>
  <c r="AE138" i="74"/>
  <c r="AI141" i="4" s="1"/>
  <c r="AF138" i="74"/>
  <c r="AJ141" i="4" s="1"/>
  <c r="AG138" i="74"/>
  <c r="AK141" i="4" s="1"/>
  <c r="D145" i="4"/>
  <c r="Y146" i="4"/>
  <c r="Z146" i="4" s="1"/>
  <c r="Y143" i="74"/>
  <c r="AA146" i="4" s="1"/>
  <c r="AA143" i="74"/>
  <c r="AC146" i="4" s="1"/>
  <c r="AB143" i="74"/>
  <c r="AD146" i="4" s="1"/>
  <c r="AD143" i="74"/>
  <c r="AG146" i="4" s="1"/>
  <c r="AE143" i="74"/>
  <c r="AI146" i="4" s="1"/>
  <c r="C11" i="3"/>
  <c r="Q4" i="74"/>
  <c r="F7" i="3" s="1"/>
  <c r="L7" i="3" s="1"/>
  <c r="R4" i="74"/>
  <c r="G7" i="3" s="1"/>
  <c r="M7" i="3" s="1"/>
  <c r="T4" i="74"/>
  <c r="I7" i="3" s="1"/>
  <c r="O7" i="3" s="1"/>
  <c r="U4" i="74"/>
  <c r="J7" i="3" s="1"/>
  <c r="P7" i="3" s="1"/>
  <c r="D9" i="3"/>
  <c r="Q6" i="74"/>
  <c r="F9" i="3" s="1"/>
  <c r="L9" i="3" s="1"/>
  <c r="R6" i="74"/>
  <c r="G9" i="3" s="1"/>
  <c r="M9" i="3" s="1"/>
  <c r="T6" i="74"/>
  <c r="I9" i="3" s="1"/>
  <c r="O9" i="3" s="1"/>
  <c r="U6" i="74"/>
  <c r="J9" i="3" s="1"/>
  <c r="P9" i="3" s="1"/>
  <c r="Q7" i="74"/>
  <c r="F10" i="3" s="1"/>
  <c r="L10" i="3" s="1"/>
  <c r="R7" i="74"/>
  <c r="G10" i="3" s="1"/>
  <c r="M10" i="3" s="1"/>
  <c r="T7" i="74"/>
  <c r="I10" i="3" s="1"/>
  <c r="O10" i="3" s="1"/>
  <c r="U7" i="74"/>
  <c r="J10" i="3" s="1"/>
  <c r="P10" i="3" s="1"/>
  <c r="E11" i="3"/>
  <c r="Q8" i="74"/>
  <c r="F11" i="3" s="1"/>
  <c r="L11" i="3" s="1"/>
  <c r="R8" i="74"/>
  <c r="G11" i="3" s="1"/>
  <c r="M11" i="3" s="1"/>
  <c r="T8" i="74"/>
  <c r="I11" i="3" s="1"/>
  <c r="O11" i="3" s="1"/>
  <c r="U8" i="74"/>
  <c r="J11" i="3" s="1"/>
  <c r="P11" i="3" s="1"/>
  <c r="E12" i="3"/>
  <c r="Q9" i="74"/>
  <c r="F12" i="3" s="1"/>
  <c r="L12" i="3" s="1"/>
  <c r="R9" i="74"/>
  <c r="G12" i="3" s="1"/>
  <c r="M12" i="3" s="1"/>
  <c r="T9" i="74"/>
  <c r="I12" i="3" s="1"/>
  <c r="O12" i="3" s="1"/>
  <c r="U9" i="74"/>
  <c r="J12" i="3" s="1"/>
  <c r="P12" i="3" s="1"/>
  <c r="E13" i="3"/>
  <c r="Q10" i="74"/>
  <c r="F13" i="3" s="1"/>
  <c r="L13" i="3" s="1"/>
  <c r="R10" i="74"/>
  <c r="G13" i="3" s="1"/>
  <c r="M13" i="3" s="1"/>
  <c r="T10" i="74"/>
  <c r="I13" i="3" s="1"/>
  <c r="O13" i="3" s="1"/>
  <c r="U10" i="74"/>
  <c r="J13" i="3" s="1"/>
  <c r="P13" i="3" s="1"/>
  <c r="E14" i="3"/>
  <c r="Q11" i="74"/>
  <c r="F14" i="3" s="1"/>
  <c r="L14" i="3" s="1"/>
  <c r="R11" i="74"/>
  <c r="G14" i="3" s="1"/>
  <c r="M14" i="3" s="1"/>
  <c r="T11" i="74"/>
  <c r="I14" i="3" s="1"/>
  <c r="O14" i="3" s="1"/>
  <c r="U11" i="74"/>
  <c r="J14" i="3" s="1"/>
  <c r="P14" i="3" s="1"/>
  <c r="E18" i="3"/>
  <c r="E21" i="3"/>
  <c r="E23" i="3"/>
  <c r="E27" i="3"/>
  <c r="D28" i="3"/>
  <c r="E29" i="3"/>
  <c r="E32" i="3"/>
  <c r="E39" i="3"/>
  <c r="E40" i="3"/>
  <c r="D41" i="3"/>
  <c r="E41" i="3"/>
  <c r="E43" i="3"/>
  <c r="E45" i="3"/>
  <c r="E46" i="3"/>
  <c r="E48" i="3"/>
  <c r="D53" i="3"/>
  <c r="E54" i="3"/>
  <c r="E55" i="3"/>
  <c r="D57" i="3"/>
  <c r="E59" i="3"/>
  <c r="Q56" i="74"/>
  <c r="F59" i="3" s="1"/>
  <c r="R56" i="74"/>
  <c r="G59" i="3" s="1"/>
  <c r="M59" i="3" s="1"/>
  <c r="T56" i="74"/>
  <c r="I59" i="3" s="1"/>
  <c r="O59" i="3" s="1"/>
  <c r="U56" i="74"/>
  <c r="J59" i="3" s="1"/>
  <c r="E60" i="3"/>
  <c r="E62" i="3"/>
  <c r="Q59" i="74"/>
  <c r="F62" i="3" s="1"/>
  <c r="L62" i="3" s="1"/>
  <c r="R59" i="74"/>
  <c r="G62" i="3" s="1"/>
  <c r="M62" i="3" s="1"/>
  <c r="T59" i="74"/>
  <c r="I62" i="3" s="1"/>
  <c r="O62" i="3" s="1"/>
  <c r="U59" i="74"/>
  <c r="J62" i="3" s="1"/>
  <c r="P62" i="3" s="1"/>
  <c r="E63" i="3"/>
  <c r="Q60" i="74"/>
  <c r="F63" i="3" s="1"/>
  <c r="L63" i="3" s="1"/>
  <c r="R60" i="74"/>
  <c r="G63" i="3" s="1"/>
  <c r="M63" i="3" s="1"/>
  <c r="T60" i="74"/>
  <c r="I63" i="3" s="1"/>
  <c r="O63" i="3" s="1"/>
  <c r="E67" i="3"/>
  <c r="E68" i="3"/>
  <c r="E69" i="3"/>
  <c r="E71" i="3"/>
  <c r="E72" i="3"/>
  <c r="E74" i="3"/>
  <c r="E76" i="3"/>
  <c r="E77" i="3"/>
  <c r="E78" i="3"/>
  <c r="E79" i="3"/>
  <c r="E83" i="3"/>
  <c r="E84" i="3"/>
  <c r="Q84" i="74"/>
  <c r="F87" i="3" s="1"/>
  <c r="L87" i="3" s="1"/>
  <c r="R84" i="74"/>
  <c r="G87" i="3" s="1"/>
  <c r="M87" i="3" s="1"/>
  <c r="T84" i="74"/>
  <c r="I87" i="3" s="1"/>
  <c r="O87" i="3" s="1"/>
  <c r="U84" i="74"/>
  <c r="J87" i="3" s="1"/>
  <c r="P87" i="3" s="1"/>
  <c r="Q85" i="74"/>
  <c r="F88" i="3" s="1"/>
  <c r="L88" i="3" s="1"/>
  <c r="R85" i="74"/>
  <c r="G88" i="3" s="1"/>
  <c r="M88" i="3" s="1"/>
  <c r="T85" i="74"/>
  <c r="I88" i="3" s="1"/>
  <c r="O88" i="3" s="1"/>
  <c r="U85" i="74"/>
  <c r="J88" i="3" s="1"/>
  <c r="P88" i="3" s="1"/>
  <c r="Q86" i="74"/>
  <c r="F89" i="3" s="1"/>
  <c r="L89" i="3" s="1"/>
  <c r="R86" i="74"/>
  <c r="G89" i="3" s="1"/>
  <c r="M89" i="3" s="1"/>
  <c r="T86" i="74"/>
  <c r="I89" i="3" s="1"/>
  <c r="O89" i="3" s="1"/>
  <c r="U86" i="74"/>
  <c r="J89" i="3" s="1"/>
  <c r="P89" i="3" s="1"/>
  <c r="E90" i="3"/>
  <c r="Q87" i="74"/>
  <c r="F90" i="3" s="1"/>
  <c r="L90" i="3" s="1"/>
  <c r="R87" i="74"/>
  <c r="G90" i="3" s="1"/>
  <c r="M90" i="3" s="1"/>
  <c r="T87" i="74"/>
  <c r="I90" i="3" s="1"/>
  <c r="O90" i="3" s="1"/>
  <c r="U87" i="74"/>
  <c r="J90" i="3" s="1"/>
  <c r="P90" i="3" s="1"/>
  <c r="E94" i="3"/>
  <c r="Q95" i="74"/>
  <c r="F98" i="3" s="1"/>
  <c r="L98" i="3" s="1"/>
  <c r="R95" i="74"/>
  <c r="G98" i="3" s="1"/>
  <c r="M98" i="3" s="1"/>
  <c r="T95" i="74"/>
  <c r="I98" i="3" s="1"/>
  <c r="U95" i="74"/>
  <c r="J98" i="3" s="1"/>
  <c r="E99" i="3"/>
  <c r="E101" i="3"/>
  <c r="E102" i="3"/>
  <c r="D103" i="3"/>
  <c r="E103" i="3"/>
  <c r="E104" i="3"/>
  <c r="D105" i="3"/>
  <c r="Q102" i="74"/>
  <c r="F105" i="3" s="1"/>
  <c r="L105" i="3" s="1"/>
  <c r="R102" i="74"/>
  <c r="G105" i="3" s="1"/>
  <c r="T102" i="74"/>
  <c r="I105" i="3" s="1"/>
  <c r="U102" i="74"/>
  <c r="J105" i="3" s="1"/>
  <c r="E106" i="3"/>
  <c r="E107" i="3"/>
  <c r="E109" i="3"/>
  <c r="C111" i="3"/>
  <c r="Q108" i="74"/>
  <c r="F111" i="3" s="1"/>
  <c r="L111" i="3" s="1"/>
  <c r="R108" i="74"/>
  <c r="G111" i="3" s="1"/>
  <c r="M111" i="3" s="1"/>
  <c r="T108" i="74"/>
  <c r="I111" i="3" s="1"/>
  <c r="O111" i="3" s="1"/>
  <c r="U108" i="74"/>
  <c r="J111" i="3" s="1"/>
  <c r="P111" i="3" s="1"/>
  <c r="D113" i="3"/>
  <c r="E114" i="3"/>
  <c r="E115" i="3"/>
  <c r="E117" i="3"/>
  <c r="E120" i="3"/>
  <c r="E127" i="3"/>
  <c r="Q127" i="74"/>
  <c r="F130" i="3" s="1"/>
  <c r="L130" i="3" s="1"/>
  <c r="R127" i="74"/>
  <c r="G130" i="3" s="1"/>
  <c r="M130" i="3" s="1"/>
  <c r="T127" i="74"/>
  <c r="I130" i="3" s="1"/>
  <c r="O130" i="3" s="1"/>
  <c r="U127" i="74"/>
  <c r="J130" i="3" s="1"/>
  <c r="P130" i="3" s="1"/>
  <c r="Q130" i="74"/>
  <c r="F133" i="3" s="1"/>
  <c r="L133" i="3" s="1"/>
  <c r="U130" i="74"/>
  <c r="J133" i="3" s="1"/>
  <c r="P133" i="3" s="1"/>
  <c r="D134" i="3"/>
  <c r="E134" i="3"/>
  <c r="Q134" i="74"/>
  <c r="F137" i="3" s="1"/>
  <c r="L137" i="3" s="1"/>
  <c r="R134" i="74"/>
  <c r="G137" i="3" s="1"/>
  <c r="M137" i="3" s="1"/>
  <c r="T134" i="74"/>
  <c r="I137" i="3" s="1"/>
  <c r="O137" i="3" s="1"/>
  <c r="U134" i="74"/>
  <c r="J137" i="3" s="1"/>
  <c r="P137" i="3" s="1"/>
  <c r="Q135" i="74"/>
  <c r="F138" i="3" s="1"/>
  <c r="L138" i="3" s="1"/>
  <c r="R135" i="74"/>
  <c r="G138" i="3" s="1"/>
  <c r="M138" i="3" s="1"/>
  <c r="T135" i="74"/>
  <c r="I138" i="3" s="1"/>
  <c r="O138" i="3" s="1"/>
  <c r="U135" i="74"/>
  <c r="J138" i="3" s="1"/>
  <c r="P138" i="3" s="1"/>
  <c r="E140" i="3"/>
  <c r="Q138" i="74"/>
  <c r="F141" i="3" s="1"/>
  <c r="L141" i="3" s="1"/>
  <c r="R138" i="74"/>
  <c r="G141" i="3" s="1"/>
  <c r="M141" i="3" s="1"/>
  <c r="T138" i="74"/>
  <c r="I141" i="3" s="1"/>
  <c r="O141" i="3" s="1"/>
  <c r="U138" i="74"/>
  <c r="J141" i="3" s="1"/>
  <c r="P141" i="3" s="1"/>
  <c r="E142" i="3"/>
  <c r="Q143" i="74"/>
  <c r="F146" i="3" s="1"/>
  <c r="R143" i="74"/>
  <c r="G146" i="3" s="1"/>
  <c r="U143" i="74"/>
  <c r="J146" i="3" s="1"/>
  <c r="P144" i="104"/>
  <c r="AM144" i="104"/>
  <c r="I144" i="103"/>
  <c r="C104" i="103"/>
  <c r="W112" i="104"/>
  <c r="X112" i="104" s="1"/>
  <c r="T112" i="104" s="1"/>
  <c r="J93" i="74"/>
  <c r="F142" i="103"/>
  <c r="W133" i="104"/>
  <c r="X133" i="104" s="1"/>
  <c r="T133" i="104" s="1"/>
  <c r="K72" i="103"/>
  <c r="L56" i="103"/>
  <c r="W14" i="104"/>
  <c r="X14" i="104" s="1"/>
  <c r="T14" i="104" s="1"/>
  <c r="F58" i="103"/>
  <c r="J58" i="104"/>
  <c r="F137" i="103"/>
  <c r="J137" i="104"/>
  <c r="A33" i="4"/>
  <c r="A33" i="75"/>
  <c r="A33" i="3"/>
  <c r="A32" i="97"/>
  <c r="A23" i="4"/>
  <c r="A23" i="75"/>
  <c r="A23" i="3"/>
  <c r="A22" i="97"/>
  <c r="B28" i="3"/>
  <c r="B130" i="3"/>
  <c r="B18" i="3"/>
  <c r="A16" i="75"/>
  <c r="A15" i="97"/>
  <c r="K161" i="104"/>
  <c r="L161" i="104" s="1"/>
  <c r="D161" i="104" s="1"/>
  <c r="A31" i="3"/>
  <c r="A16" i="4"/>
  <c r="A58" i="3"/>
  <c r="G215" i="104"/>
  <c r="A31" i="4"/>
  <c r="B128" i="3"/>
  <c r="A30" i="97"/>
  <c r="AG208" i="104"/>
  <c r="B69" i="3"/>
  <c r="B55" i="3"/>
  <c r="W105" i="104"/>
  <c r="X105" i="104" s="1"/>
  <c r="T105" i="104" s="1"/>
  <c r="A86" i="75"/>
  <c r="AG216" i="104"/>
  <c r="M208" i="104"/>
  <c r="AG207" i="104"/>
  <c r="G192" i="104"/>
  <c r="K173" i="104"/>
  <c r="L173" i="104" s="1"/>
  <c r="D173" i="104" s="1"/>
  <c r="AG161" i="104"/>
  <c r="AN202" i="104"/>
  <c r="M200" i="104"/>
  <c r="G197" i="104"/>
  <c r="AN181" i="104"/>
  <c r="AG178" i="104"/>
  <c r="AJ176" i="104"/>
  <c r="AG170" i="104"/>
  <c r="AJ164" i="104"/>
  <c r="AJ160" i="104"/>
  <c r="G160" i="104"/>
  <c r="AG158" i="104"/>
  <c r="AN157" i="104"/>
  <c r="AB157" i="104" s="1"/>
  <c r="Z157" i="104" s="1"/>
  <c r="AJ156" i="104"/>
  <c r="AG217" i="104"/>
  <c r="K212" i="104"/>
  <c r="L212" i="104" s="1"/>
  <c r="G212" i="104"/>
  <c r="K203" i="104"/>
  <c r="L203" i="104" s="1"/>
  <c r="AN191" i="104"/>
  <c r="AB191" i="104" s="1"/>
  <c r="Z191" i="104" s="1"/>
  <c r="S191" i="104" s="1"/>
  <c r="AG187" i="104"/>
  <c r="AN186" i="104"/>
  <c r="M184" i="104"/>
  <c r="K183" i="104"/>
  <c r="L183" i="104" s="1"/>
  <c r="D183" i="104" s="1"/>
  <c r="M159" i="104"/>
  <c r="G220" i="104"/>
  <c r="M209" i="104"/>
  <c r="AG193" i="104"/>
  <c r="AG163" i="104"/>
  <c r="AN159" i="104"/>
  <c r="AJ199" i="104"/>
  <c r="AB199" i="104" s="1"/>
  <c r="Z199" i="104" s="1"/>
  <c r="S199" i="104" s="1"/>
  <c r="M183" i="104"/>
  <c r="AN179" i="104"/>
  <c r="AJ225" i="104"/>
  <c r="AG223" i="104"/>
  <c r="K219" i="104"/>
  <c r="L219" i="104" s="1"/>
  <c r="AN205" i="104"/>
  <c r="K160" i="104"/>
  <c r="L160" i="104" s="1"/>
  <c r="M160" i="104"/>
  <c r="AG160" i="104"/>
  <c r="G205" i="104"/>
  <c r="A40" i="3"/>
  <c r="A99" i="75"/>
  <c r="A98" i="97"/>
  <c r="B106" i="3"/>
  <c r="B26" i="3"/>
  <c r="B89" i="3"/>
  <c r="AN158" i="104"/>
  <c r="B73" i="3"/>
  <c r="A99" i="4"/>
  <c r="A80" i="75"/>
  <c r="B17" i="3"/>
  <c r="A21" i="97"/>
  <c r="A22" i="3"/>
  <c r="B24" i="3"/>
  <c r="A27" i="4"/>
  <c r="A27" i="75"/>
  <c r="B29" i="3"/>
  <c r="A89" i="97"/>
  <c r="A90" i="75"/>
  <c r="A127" i="4"/>
  <c r="A127" i="3"/>
  <c r="B131" i="3"/>
  <c r="A79" i="97"/>
  <c r="B22" i="3"/>
  <c r="A80" i="3"/>
  <c r="A26" i="97"/>
  <c r="B119" i="3"/>
  <c r="B8" i="3"/>
  <c r="A50" i="97"/>
  <c r="A51" i="4"/>
  <c r="A62" i="75"/>
  <c r="A62" i="4"/>
  <c r="A62" i="3"/>
  <c r="A92" i="97"/>
  <c r="A93" i="4"/>
  <c r="A141" i="3"/>
  <c r="A141" i="75"/>
  <c r="AB211" i="104"/>
  <c r="Z211" i="104" s="1"/>
  <c r="A46" i="97"/>
  <c r="A44" i="97"/>
  <c r="A27" i="3"/>
  <c r="A143" i="75"/>
  <c r="B33" i="3"/>
  <c r="B51" i="3"/>
  <c r="A65" i="75"/>
  <c r="A64" i="97"/>
  <c r="A91" i="3"/>
  <c r="A91" i="75"/>
  <c r="A132" i="3"/>
  <c r="A131" i="97"/>
  <c r="B136" i="3"/>
  <c r="AN165" i="104"/>
  <c r="A39" i="97"/>
  <c r="A40" i="4"/>
  <c r="A49" i="75"/>
  <c r="A49" i="4"/>
  <c r="A48" i="97"/>
  <c r="B143" i="3"/>
  <c r="AN228" i="104"/>
  <c r="A147" i="75"/>
  <c r="A146" i="97"/>
  <c r="A147" i="3"/>
  <c r="A147" i="4"/>
  <c r="B145" i="3"/>
  <c r="AN210" i="104"/>
  <c r="AN224" i="104"/>
  <c r="AJ223" i="104"/>
  <c r="AJ209" i="104"/>
  <c r="K206" i="104"/>
  <c r="L206" i="104" s="1"/>
  <c r="M179" i="104"/>
  <c r="AJ166" i="104"/>
  <c r="AG159" i="104"/>
  <c r="A145" i="4"/>
  <c r="G224" i="104"/>
  <c r="K216" i="104"/>
  <c r="L216" i="104" s="1"/>
  <c r="D216" i="104" s="1"/>
  <c r="G204" i="104"/>
  <c r="AN180" i="104"/>
  <c r="AJ179" i="104"/>
  <c r="K177" i="104"/>
  <c r="L177" i="104" s="1"/>
  <c r="D177" i="104" s="1"/>
  <c r="AG173" i="104"/>
  <c r="AN163" i="104"/>
  <c r="AJ162" i="104"/>
  <c r="G158" i="104"/>
  <c r="M227" i="104"/>
  <c r="K222" i="104"/>
  <c r="L222" i="104" s="1"/>
  <c r="D222" i="104" s="1"/>
  <c r="G206" i="104"/>
  <c r="D206" i="104" s="1"/>
  <c r="M203" i="104"/>
  <c r="AN201" i="104"/>
  <c r="G196" i="104"/>
  <c r="K193" i="104"/>
  <c r="L193" i="104" s="1"/>
  <c r="AN168" i="104"/>
  <c r="M167" i="104"/>
  <c r="AG166" i="104"/>
  <c r="K165" i="104"/>
  <c r="L165" i="104" s="1"/>
  <c r="M163" i="104"/>
  <c r="G163" i="104"/>
  <c r="AG162" i="104"/>
  <c r="AG199" i="104"/>
  <c r="M199" i="104"/>
  <c r="AJ197" i="104"/>
  <c r="M187" i="104"/>
  <c r="G168" i="104"/>
  <c r="AG167" i="104"/>
  <c r="M185" i="104"/>
  <c r="M172" i="104"/>
  <c r="K209" i="104"/>
  <c r="L209" i="104" s="1"/>
  <c r="M206" i="104"/>
  <c r="AG204" i="104"/>
  <c r="AJ182" i="104"/>
  <c r="AB182" i="104" s="1"/>
  <c r="Z182" i="104" s="1"/>
  <c r="S182" i="104" s="1"/>
  <c r="AN178" i="104"/>
  <c r="G165" i="104"/>
  <c r="M158" i="104"/>
  <c r="G156" i="104"/>
  <c r="G203" i="104"/>
  <c r="K200" i="104"/>
  <c r="L200" i="104" s="1"/>
  <c r="D200" i="104" s="1"/>
  <c r="AN199" i="104"/>
  <c r="L195" i="104"/>
  <c r="D195" i="104" s="1"/>
  <c r="G194" i="104"/>
  <c r="G182" i="104"/>
  <c r="G178" i="104"/>
  <c r="AN175" i="104"/>
  <c r="K175" i="104"/>
  <c r="L175" i="104" s="1"/>
  <c r="D175" i="104" s="1"/>
  <c r="B44" i="107"/>
  <c r="E44" i="107"/>
  <c r="D44" i="107"/>
  <c r="E125" i="107"/>
  <c r="B125" i="107"/>
  <c r="D125" i="107"/>
  <c r="D127" i="107"/>
  <c r="E127" i="107"/>
  <c r="B127" i="107"/>
  <c r="T109" i="107"/>
  <c r="E109" i="107"/>
  <c r="I80" i="104"/>
  <c r="W3" i="104"/>
  <c r="X3" i="104" s="1"/>
  <c r="T3" i="104" s="1"/>
  <c r="M12" i="74"/>
  <c r="N16" i="74"/>
  <c r="B120" i="3"/>
  <c r="A118" i="97"/>
  <c r="A119" i="3"/>
  <c r="A119" i="4"/>
  <c r="A119" i="75"/>
  <c r="B102" i="3"/>
  <c r="B9" i="3"/>
  <c r="B78" i="3"/>
  <c r="B47" i="3"/>
  <c r="A75" i="4"/>
  <c r="K202" i="104"/>
  <c r="L202" i="104" s="1"/>
  <c r="D202" i="104" s="1"/>
  <c r="K182" i="104"/>
  <c r="L182" i="104" s="1"/>
  <c r="G155" i="104"/>
  <c r="D155" i="104" s="1"/>
  <c r="A154" i="97"/>
  <c r="M180" i="104"/>
  <c r="AJ217" i="104"/>
  <c r="AG189" i="104"/>
  <c r="AG175" i="104"/>
  <c r="AJ173" i="104"/>
  <c r="AG222" i="104"/>
  <c r="AN196" i="104"/>
  <c r="AN195" i="104"/>
  <c r="AB195" i="104" s="1"/>
  <c r="Z195" i="104" s="1"/>
  <c r="S195" i="104" s="1"/>
  <c r="M191" i="104"/>
  <c r="AJ224" i="104"/>
  <c r="K201" i="104"/>
  <c r="L201" i="104" s="1"/>
  <c r="D201" i="104" s="1"/>
  <c r="K172" i="104"/>
  <c r="L172" i="104" s="1"/>
  <c r="AG168" i="104"/>
  <c r="AG202" i="104"/>
  <c r="G198" i="104"/>
  <c r="M181" i="104"/>
  <c r="K180" i="104"/>
  <c r="L180" i="104" s="1"/>
  <c r="AN172" i="104"/>
  <c r="AB172" i="104" s="1"/>
  <c r="Z172" i="104" s="1"/>
  <c r="AN187" i="104"/>
  <c r="K187" i="104"/>
  <c r="L187" i="104" s="1"/>
  <c r="AG184" i="104"/>
  <c r="K196" i="104"/>
  <c r="L196" i="104" s="1"/>
  <c r="D196" i="104" s="1"/>
  <c r="M190" i="104"/>
  <c r="AG185" i="104"/>
  <c r="M193" i="104"/>
  <c r="K192" i="104"/>
  <c r="L192" i="104" s="1"/>
  <c r="AN176" i="104"/>
  <c r="M161" i="104"/>
  <c r="D115" i="107"/>
  <c r="E115" i="107"/>
  <c r="B115" i="107"/>
  <c r="B104" i="107"/>
  <c r="D104" i="107"/>
  <c r="E104" i="107"/>
  <c r="B21" i="102"/>
  <c r="E21" i="102"/>
  <c r="D21" i="102"/>
  <c r="B77" i="107"/>
  <c r="D77" i="107"/>
  <c r="E77" i="107"/>
  <c r="E122" i="107"/>
  <c r="B122" i="107"/>
  <c r="D122" i="107"/>
  <c r="E63" i="107"/>
  <c r="B63" i="107"/>
  <c r="D63" i="107"/>
  <c r="E120" i="107"/>
  <c r="B120" i="107"/>
  <c r="D120" i="107"/>
  <c r="B44" i="3"/>
  <c r="B62" i="3"/>
  <c r="B80" i="3"/>
  <c r="B82" i="3"/>
  <c r="A96" i="97"/>
  <c r="A97" i="4"/>
  <c r="B109" i="3"/>
  <c r="B115" i="3"/>
  <c r="B142" i="3"/>
  <c r="B13" i="3"/>
  <c r="B59" i="3"/>
  <c r="A65" i="97"/>
  <c r="A66" i="4"/>
  <c r="B91" i="3"/>
  <c r="B16" i="3"/>
  <c r="B23" i="3"/>
  <c r="B43" i="3"/>
  <c r="B77" i="3"/>
  <c r="B100" i="3"/>
  <c r="B132" i="3"/>
  <c r="B137" i="3"/>
  <c r="A140" i="97"/>
  <c r="A141" i="4"/>
  <c r="A143" i="3"/>
  <c r="A142" i="97"/>
  <c r="B37" i="3"/>
  <c r="B52" i="3"/>
  <c r="B54" i="3"/>
  <c r="A58" i="75"/>
  <c r="A57" i="97"/>
  <c r="B84" i="3"/>
  <c r="A90" i="4"/>
  <c r="A90" i="3"/>
  <c r="B110" i="3"/>
  <c r="B118" i="3"/>
  <c r="B14" i="3"/>
  <c r="B20" i="3"/>
  <c r="B74" i="3"/>
  <c r="A83" i="3"/>
  <c r="A83" i="75"/>
  <c r="B88" i="3"/>
  <c r="A100" i="97"/>
  <c r="A101" i="75"/>
  <c r="B42" i="3"/>
  <c r="B58" i="3"/>
  <c r="B76" i="3"/>
  <c r="B83" i="3"/>
  <c r="A85" i="3"/>
  <c r="A85" i="75"/>
  <c r="B103" i="3"/>
  <c r="A105" i="3"/>
  <c r="A105" i="75"/>
  <c r="B134" i="3"/>
  <c r="B53" i="3"/>
  <c r="B56" i="3"/>
  <c r="B85" i="3"/>
  <c r="B90" i="3"/>
  <c r="B94" i="3"/>
  <c r="B96" i="3"/>
  <c r="A109" i="3"/>
  <c r="A109" i="75"/>
  <c r="B117" i="3"/>
  <c r="W19" i="104"/>
  <c r="X19" i="104" s="1"/>
  <c r="T19" i="104" s="1"/>
  <c r="A30" i="75"/>
  <c r="A30" i="3"/>
  <c r="B46" i="3"/>
  <c r="A49" i="97"/>
  <c r="A50" i="75"/>
  <c r="B60" i="3"/>
  <c r="B67" i="3"/>
  <c r="A82" i="4"/>
  <c r="A81" i="97"/>
  <c r="A82" i="3"/>
  <c r="A140" i="75"/>
  <c r="A140" i="4"/>
  <c r="M177" i="104"/>
  <c r="M197" i="104"/>
  <c r="M182" i="104"/>
  <c r="M162" i="104"/>
  <c r="AG192" i="104"/>
  <c r="M189" i="104"/>
  <c r="M169" i="104"/>
  <c r="AN183" i="104"/>
  <c r="M165" i="104"/>
  <c r="J143" i="104"/>
  <c r="D61" i="103"/>
  <c r="W11" i="104"/>
  <c r="X11" i="104" s="1"/>
  <c r="T11" i="104" s="1"/>
  <c r="P14" i="74"/>
  <c r="H95" i="103"/>
  <c r="F143" i="103"/>
  <c r="H61" i="104"/>
  <c r="W7" i="104"/>
  <c r="X7" i="104" s="1"/>
  <c r="T7" i="104" s="1"/>
  <c r="N130" i="104"/>
  <c r="N95" i="104"/>
  <c r="G95" i="103"/>
  <c r="O131" i="104"/>
  <c r="W76" i="104"/>
  <c r="X76" i="104" s="1"/>
  <c r="T76" i="104" s="1"/>
  <c r="W68" i="104"/>
  <c r="H131" i="103"/>
  <c r="J114" i="104"/>
  <c r="O95" i="104"/>
  <c r="F114" i="103"/>
  <c r="E86" i="107"/>
  <c r="D86" i="107"/>
  <c r="D82" i="107"/>
  <c r="B82" i="107"/>
  <c r="E32" i="107"/>
  <c r="B32" i="107"/>
  <c r="D18" i="107"/>
  <c r="B18" i="107"/>
  <c r="E18" i="107"/>
  <c r="J120" i="104"/>
  <c r="J120" i="74"/>
  <c r="D126" i="103"/>
  <c r="K141" i="74"/>
  <c r="W121" i="104"/>
  <c r="X121" i="104" s="1"/>
  <c r="T121" i="104" s="1"/>
  <c r="M120" i="74"/>
  <c r="F120" i="103"/>
  <c r="I120" i="103"/>
  <c r="H126" i="104"/>
  <c r="O120" i="104"/>
  <c r="H120" i="103"/>
  <c r="J141" i="74"/>
  <c r="J107" i="74"/>
  <c r="W103" i="104"/>
  <c r="X103" i="104" s="1"/>
  <c r="T103" i="104" s="1"/>
  <c r="W99" i="104"/>
  <c r="X99" i="104" s="1"/>
  <c r="T99" i="104" s="1"/>
  <c r="F103" i="103"/>
  <c r="J103" i="104"/>
  <c r="W100" i="104"/>
  <c r="W102" i="104"/>
  <c r="X102" i="104" s="1"/>
  <c r="T102" i="104" s="1"/>
  <c r="W78" i="104"/>
  <c r="X78" i="104" s="1"/>
  <c r="T78" i="104" s="1"/>
  <c r="W90" i="104"/>
  <c r="X90" i="104" s="1"/>
  <c r="T90" i="104" s="1"/>
  <c r="W72" i="104"/>
  <c r="X72" i="104" s="1"/>
  <c r="T72" i="104" s="1"/>
  <c r="K95" i="103"/>
  <c r="R95" i="104"/>
  <c r="W79" i="104"/>
  <c r="X79" i="104" s="1"/>
  <c r="T79" i="104" s="1"/>
  <c r="Q95" i="104"/>
  <c r="W89" i="104"/>
  <c r="F97" i="103"/>
  <c r="F70" i="103"/>
  <c r="J70" i="104"/>
  <c r="W69" i="104"/>
  <c r="X69" i="104" s="1"/>
  <c r="T69" i="104" s="1"/>
  <c r="J95" i="103"/>
  <c r="J97" i="104"/>
  <c r="J32" i="103"/>
  <c r="W20" i="104"/>
  <c r="X20" i="104" s="1"/>
  <c r="T20" i="104" s="1"/>
  <c r="W21" i="104"/>
  <c r="X21" i="104" s="1"/>
  <c r="T21" i="104" s="1"/>
  <c r="W84" i="104"/>
  <c r="X84" i="104" s="1"/>
  <c r="T84" i="104" s="1"/>
  <c r="R31" i="104"/>
  <c r="W24" i="104"/>
  <c r="X24" i="104" s="1"/>
  <c r="T24" i="104" s="1"/>
  <c r="Q32" i="104"/>
  <c r="K34" i="103"/>
  <c r="W27" i="104"/>
  <c r="X27" i="104" s="1"/>
  <c r="T27" i="104" s="1"/>
  <c r="J86" i="104"/>
  <c r="F86" i="103"/>
  <c r="K31" i="103"/>
  <c r="R56" i="104"/>
  <c r="J56" i="103"/>
  <c r="Q56" i="104"/>
  <c r="N56" i="104"/>
  <c r="W50" i="104"/>
  <c r="X50" i="104" s="1"/>
  <c r="T50" i="104" s="1"/>
  <c r="N37" i="104"/>
  <c r="G37" i="103"/>
  <c r="R34" i="104"/>
  <c r="G56" i="103"/>
  <c r="F56" i="104"/>
  <c r="K56" i="103"/>
  <c r="O56" i="104"/>
  <c r="N60" i="104"/>
  <c r="W56" i="104"/>
  <c r="X56" i="104" s="1"/>
  <c r="T56" i="104" s="1"/>
  <c r="H56" i="103"/>
  <c r="W57" i="104"/>
  <c r="X57" i="104" s="1"/>
  <c r="T57" i="104" s="1"/>
  <c r="E79" i="107"/>
  <c r="B79" i="107"/>
  <c r="D79" i="107"/>
  <c r="E31" i="107"/>
  <c r="D31" i="107"/>
  <c r="D29" i="107"/>
  <c r="B29" i="107"/>
  <c r="E29" i="107"/>
  <c r="G60" i="103"/>
  <c r="H60" i="103"/>
  <c r="Q60" i="104"/>
  <c r="O60" i="104"/>
  <c r="J60" i="103"/>
  <c r="W58" i="104"/>
  <c r="C56" i="103"/>
  <c r="B37" i="107"/>
  <c r="D119" i="107"/>
  <c r="E73" i="107"/>
  <c r="B39" i="107"/>
  <c r="D73" i="102"/>
  <c r="M95" i="104"/>
  <c r="B31" i="107"/>
  <c r="D35" i="107"/>
  <c r="H10" i="103"/>
  <c r="N17" i="74"/>
  <c r="V56" i="74"/>
  <c r="K12" i="74"/>
  <c r="K81" i="103"/>
  <c r="R81" i="104"/>
  <c r="F92" i="103"/>
  <c r="J92" i="104"/>
  <c r="P11" i="103"/>
  <c r="W29" i="104"/>
  <c r="X29" i="104" s="1"/>
  <c r="T29" i="104" s="1"/>
  <c r="N12" i="74"/>
  <c r="W15" i="74"/>
  <c r="C141" i="103"/>
  <c r="K145" i="74"/>
  <c r="F141" i="104"/>
  <c r="W92" i="104"/>
  <c r="X92" i="104" s="1"/>
  <c r="T92" i="104" s="1"/>
  <c r="K11" i="74"/>
  <c r="W85" i="104"/>
  <c r="X85" i="104" s="1"/>
  <c r="T85" i="104" s="1"/>
  <c r="U10" i="97"/>
  <c r="AE11" i="104"/>
  <c r="J14" i="74"/>
  <c r="T11" i="103"/>
  <c r="D16" i="103"/>
  <c r="E13" i="104"/>
  <c r="M11" i="74"/>
  <c r="J13" i="104"/>
  <c r="U11" i="103"/>
  <c r="N11" i="104"/>
  <c r="Q11" i="104"/>
  <c r="M14" i="74"/>
  <c r="K10" i="103"/>
  <c r="AD10" i="104"/>
  <c r="S17" i="103"/>
  <c r="K13" i="74"/>
  <c r="G11" i="103"/>
  <c r="L11" i="103"/>
  <c r="AF14" i="104"/>
  <c r="AD11" i="104"/>
  <c r="AM10" i="104"/>
  <c r="K11" i="103"/>
  <c r="H17" i="104"/>
  <c r="K16" i="74"/>
  <c r="N11" i="74"/>
  <c r="P10" i="103"/>
  <c r="X9" i="74"/>
  <c r="N9" i="103"/>
  <c r="L8" i="103"/>
  <c r="W11" i="74"/>
  <c r="AE10" i="104"/>
  <c r="M7" i="103"/>
  <c r="M11" i="103"/>
  <c r="N10" i="103"/>
  <c r="P11" i="74"/>
  <c r="O10" i="104"/>
  <c r="Q11" i="103"/>
  <c r="O12" i="74"/>
  <c r="P12" i="74"/>
  <c r="X11" i="74"/>
  <c r="N14" i="74"/>
  <c r="G10" i="103"/>
  <c r="K7" i="103"/>
  <c r="AM11" i="104"/>
  <c r="J11" i="74"/>
  <c r="J7" i="103"/>
  <c r="J10" i="74"/>
  <c r="AL11" i="104"/>
  <c r="W16" i="74"/>
  <c r="O11" i="103"/>
  <c r="O10" i="74"/>
  <c r="K9" i="74"/>
  <c r="J9" i="103"/>
  <c r="M17" i="74"/>
  <c r="W12" i="74"/>
  <c r="O11" i="104"/>
  <c r="AH10" i="104"/>
  <c r="N10" i="74"/>
  <c r="M10" i="103"/>
  <c r="S11" i="103"/>
  <c r="AD9" i="104"/>
  <c r="Q7" i="104"/>
  <c r="X7" i="74"/>
  <c r="X5" i="74"/>
  <c r="J7" i="74"/>
  <c r="Q7" i="103"/>
  <c r="K6" i="103"/>
  <c r="W10" i="74"/>
  <c r="M9" i="103"/>
  <c r="P7" i="103"/>
  <c r="AF4" i="104"/>
  <c r="X6" i="74"/>
  <c r="P6" i="103"/>
  <c r="F10" i="104"/>
  <c r="O6" i="74"/>
  <c r="T9" i="103"/>
  <c r="J12" i="74"/>
  <c r="AK10" i="104"/>
  <c r="K9" i="103"/>
  <c r="AL4" i="104"/>
  <c r="AI10" i="104"/>
  <c r="O9" i="104"/>
  <c r="O122" i="74"/>
  <c r="M5" i="103"/>
  <c r="AA6" i="104"/>
  <c r="AL8" i="104"/>
  <c r="X4" i="74"/>
  <c r="N6" i="74"/>
  <c r="R6" i="103"/>
  <c r="N8" i="74"/>
  <c r="L9" i="103"/>
  <c r="AF8" i="104"/>
  <c r="O10" i="103"/>
  <c r="U8" i="103"/>
  <c r="P6" i="74"/>
  <c r="U10" i="103"/>
  <c r="X145" i="74"/>
  <c r="X13" i="74"/>
  <c r="Q10" i="104"/>
  <c r="AI7" i="104"/>
  <c r="AI11" i="104"/>
  <c r="Q9" i="103"/>
  <c r="Q8" i="104"/>
  <c r="AL7" i="104"/>
  <c r="AA10" i="104"/>
  <c r="AK11" i="104"/>
  <c r="O4" i="104"/>
  <c r="M10" i="74"/>
  <c r="AK7" i="104"/>
  <c r="L10" i="103"/>
  <c r="J11" i="103"/>
  <c r="AM8" i="104"/>
  <c r="AE4" i="104"/>
  <c r="T4" i="103"/>
  <c r="W9" i="74"/>
  <c r="Q6" i="103"/>
  <c r="AF3" i="104"/>
  <c r="M5" i="74"/>
  <c r="AC5" i="104"/>
  <c r="N11" i="103"/>
  <c r="N10" i="104"/>
  <c r="M10" i="104" s="1"/>
  <c r="W7" i="74"/>
  <c r="J8" i="103"/>
  <c r="S10" i="103"/>
  <c r="G7" i="103"/>
  <c r="H11" i="103"/>
  <c r="AA9" i="104"/>
  <c r="AF11" i="104"/>
  <c r="O9" i="103"/>
  <c r="L7" i="103"/>
  <c r="W13" i="74"/>
  <c r="K10" i="74"/>
  <c r="J13" i="74"/>
  <c r="M13" i="74"/>
  <c r="AF10" i="104"/>
  <c r="S9" i="103"/>
  <c r="X8" i="74"/>
  <c r="AI9" i="104"/>
  <c r="H8" i="103"/>
  <c r="O145" i="74"/>
  <c r="P8" i="103"/>
  <c r="AF7" i="104"/>
  <c r="C10" i="103"/>
  <c r="AL10" i="104"/>
  <c r="P8" i="74"/>
  <c r="R8" i="103"/>
  <c r="X10" i="74"/>
  <c r="H9" i="103"/>
  <c r="AL9" i="104"/>
  <c r="G9" i="103"/>
  <c r="I9" i="103"/>
  <c r="N7" i="104"/>
  <c r="M7" i="104" s="1"/>
  <c r="N9" i="74"/>
  <c r="AH9" i="104"/>
  <c r="AJ9" i="104" s="1"/>
  <c r="J9" i="74"/>
  <c r="AM6" i="104"/>
  <c r="AL6" i="104"/>
  <c r="AD8" i="104"/>
  <c r="J6" i="74"/>
  <c r="AD6" i="104"/>
  <c r="AC7" i="104"/>
  <c r="H6" i="103"/>
  <c r="M4" i="103"/>
  <c r="N4" i="103"/>
  <c r="AK4" i="104"/>
  <c r="O8" i="74"/>
  <c r="AK9" i="104"/>
  <c r="W4" i="74"/>
  <c r="O9" i="74"/>
  <c r="P4" i="103"/>
  <c r="M6" i="74"/>
  <c r="K4" i="103"/>
  <c r="G4" i="103"/>
  <c r="N6" i="104"/>
  <c r="M6" i="104" s="1"/>
  <c r="H18" i="103"/>
  <c r="E4" i="103"/>
  <c r="N9" i="104"/>
  <c r="M9" i="104" s="1"/>
  <c r="S6" i="103"/>
  <c r="AI8" i="104"/>
  <c r="AK6" i="104"/>
  <c r="J6" i="103"/>
  <c r="Q4" i="103"/>
  <c r="O5" i="74"/>
  <c r="AH6" i="104"/>
  <c r="Q9" i="104"/>
  <c r="U6" i="103"/>
  <c r="J3" i="74"/>
  <c r="K4" i="74"/>
  <c r="K18" i="74"/>
  <c r="G6" i="103"/>
  <c r="L6" i="103"/>
  <c r="M7" i="74"/>
  <c r="R4" i="103"/>
  <c r="S7" i="103"/>
  <c r="N8" i="104"/>
  <c r="M8" i="104" s="1"/>
  <c r="O7" i="74"/>
  <c r="N6" i="103"/>
  <c r="J5" i="74"/>
  <c r="U4" i="103"/>
  <c r="O4" i="103"/>
  <c r="AI4" i="104"/>
  <c r="Q4" i="104"/>
  <c r="P3" i="74"/>
  <c r="T6" i="103"/>
  <c r="N4" i="104"/>
  <c r="M4" i="104" s="1"/>
  <c r="AE7" i="104"/>
  <c r="AE9" i="104"/>
  <c r="P18" i="74"/>
  <c r="K6" i="74"/>
  <c r="AH4" i="104"/>
  <c r="T7" i="103"/>
  <c r="S4" i="103"/>
  <c r="W6" i="74"/>
  <c r="O6" i="104"/>
  <c r="T8" i="103"/>
  <c r="AE8" i="104"/>
  <c r="M8" i="74"/>
  <c r="U9" i="103"/>
  <c r="H7" i="103"/>
  <c r="J4" i="103"/>
  <c r="O18" i="104"/>
  <c r="N3" i="74"/>
  <c r="AM4" i="104"/>
  <c r="AD4" i="104"/>
  <c r="AK8" i="104"/>
  <c r="K5" i="74"/>
  <c r="AI6" i="104"/>
  <c r="R9" i="104"/>
  <c r="AE6" i="104"/>
  <c r="U7" i="103"/>
  <c r="AF9" i="104"/>
  <c r="W5" i="74"/>
  <c r="R6" i="104"/>
  <c r="O8" i="104"/>
  <c r="AC4" i="104"/>
  <c r="O6" i="103"/>
  <c r="L4" i="103"/>
  <c r="R7" i="103"/>
  <c r="M6" i="103"/>
  <c r="N5" i="74"/>
  <c r="R7" i="104"/>
  <c r="J8" i="74"/>
  <c r="E5" i="104"/>
  <c r="H4" i="104"/>
  <c r="W38" i="104"/>
  <c r="X38" i="104" s="1"/>
  <c r="T38" i="104" s="1"/>
  <c r="AC6" i="104"/>
  <c r="J20" i="74"/>
  <c r="P3" i="103"/>
  <c r="AH17" i="104"/>
  <c r="F3" i="104"/>
  <c r="Q6" i="104"/>
  <c r="W18" i="74"/>
  <c r="O60" i="74"/>
  <c r="AM61" i="104"/>
  <c r="AD60" i="104"/>
  <c r="J19" i="74"/>
  <c r="W60" i="74"/>
  <c r="D4" i="103"/>
  <c r="G20" i="103"/>
  <c r="X3" i="74"/>
  <c r="N20" i="74"/>
  <c r="N18" i="74"/>
  <c r="H20" i="103"/>
  <c r="W19" i="74"/>
  <c r="K60" i="74"/>
  <c r="AE56" i="104"/>
  <c r="N4" i="74"/>
  <c r="P20" i="74"/>
  <c r="I4" i="104"/>
  <c r="Q17" i="103"/>
  <c r="AK60" i="104"/>
  <c r="AN60" i="104" s="1"/>
  <c r="R59" i="103"/>
  <c r="W58" i="74"/>
  <c r="N59" i="74"/>
  <c r="AK59" i="104"/>
  <c r="O20" i="104"/>
  <c r="M4" i="74"/>
  <c r="O18" i="74"/>
  <c r="O4" i="74"/>
  <c r="M18" i="74"/>
  <c r="X19" i="74"/>
  <c r="AM60" i="104"/>
  <c r="M58" i="74"/>
  <c r="N57" i="74"/>
  <c r="AL59" i="104"/>
  <c r="P19" i="74"/>
  <c r="M3" i="74"/>
  <c r="W3" i="74"/>
  <c r="R4" i="104"/>
  <c r="E63" i="104"/>
  <c r="N62" i="103"/>
  <c r="AE60" i="104"/>
  <c r="AH59" i="104"/>
  <c r="AF60" i="104"/>
  <c r="K59" i="74"/>
  <c r="AD59" i="104"/>
  <c r="P4" i="74"/>
  <c r="M20" i="74"/>
  <c r="H4" i="103"/>
  <c r="K3" i="74"/>
  <c r="N20" i="104"/>
  <c r="N59" i="103"/>
  <c r="M64" i="74"/>
  <c r="O63" i="74"/>
  <c r="G59" i="103"/>
  <c r="AF64" i="104"/>
  <c r="AD62" i="104"/>
  <c r="K61" i="74"/>
  <c r="O3" i="74"/>
  <c r="AA4" i="104"/>
  <c r="K20" i="74"/>
  <c r="X18" i="74"/>
  <c r="C3" i="103"/>
  <c r="K19" i="74"/>
  <c r="J4" i="74"/>
  <c r="J18" i="74"/>
  <c r="AH60" i="104"/>
  <c r="S60" i="103"/>
  <c r="N59" i="104"/>
  <c r="K63" i="74"/>
  <c r="P64" i="103"/>
  <c r="P61" i="74"/>
  <c r="X44" i="74"/>
  <c r="K64" i="74"/>
  <c r="P60" i="103"/>
  <c r="J64" i="74"/>
  <c r="O60" i="103"/>
  <c r="P59" i="103"/>
  <c r="W59" i="74"/>
  <c r="O59" i="104"/>
  <c r="X56" i="74"/>
  <c r="W64" i="104"/>
  <c r="X64" i="104" s="1"/>
  <c r="T64" i="104" s="1"/>
  <c r="J63" i="74"/>
  <c r="T59" i="103"/>
  <c r="X64" i="74"/>
  <c r="N64" i="74"/>
  <c r="N60" i="74"/>
  <c r="U61" i="103"/>
  <c r="T56" i="103"/>
  <c r="AE63" i="104"/>
  <c r="AI60" i="104"/>
  <c r="M59" i="103"/>
  <c r="J60" i="74"/>
  <c r="T60" i="103"/>
  <c r="W63" i="74"/>
  <c r="O64" i="74"/>
  <c r="AL60" i="104"/>
  <c r="J58" i="74"/>
  <c r="P56" i="103"/>
  <c r="K58" i="74"/>
  <c r="M56" i="103"/>
  <c r="W63" i="104"/>
  <c r="X63" i="104" s="1"/>
  <c r="T63" i="104" s="1"/>
  <c r="U59" i="103"/>
  <c r="O20" i="74"/>
  <c r="H63" i="104"/>
  <c r="R60" i="103"/>
  <c r="N60" i="103"/>
  <c r="X62" i="74"/>
  <c r="M60" i="74"/>
  <c r="B63" i="103"/>
  <c r="P60" i="74"/>
  <c r="X59" i="74"/>
  <c r="Q56" i="103"/>
  <c r="AC59" i="104"/>
  <c r="P58" i="74"/>
  <c r="S59" i="103"/>
  <c r="W64" i="74"/>
  <c r="N63" i="74"/>
  <c r="J59" i="74"/>
  <c r="X58" i="74"/>
  <c r="P63" i="74"/>
  <c r="Q60" i="103"/>
  <c r="X63" i="74"/>
  <c r="U60" i="103"/>
  <c r="AM59" i="104"/>
  <c r="O63" i="103"/>
  <c r="D63" i="103"/>
  <c r="AA60" i="104"/>
  <c r="O59" i="74"/>
  <c r="P62" i="74"/>
  <c r="AF59" i="104"/>
  <c r="L59" i="103"/>
  <c r="P64" i="74"/>
  <c r="M60" i="103"/>
  <c r="J59" i="103"/>
  <c r="K62" i="74"/>
  <c r="AC60" i="104"/>
  <c r="H59" i="103"/>
  <c r="O58" i="74"/>
  <c r="J62" i="74"/>
  <c r="AA59" i="104"/>
  <c r="P59" i="74"/>
  <c r="Q59" i="103"/>
  <c r="M63" i="74"/>
  <c r="M59" i="74"/>
  <c r="R52" i="103"/>
  <c r="M49" i="74"/>
  <c r="O57" i="74"/>
  <c r="O56" i="103"/>
  <c r="N48" i="74"/>
  <c r="R53" i="103"/>
  <c r="N55" i="74"/>
  <c r="M57" i="74"/>
  <c r="P50" i="74"/>
  <c r="N51" i="74"/>
  <c r="N58" i="74"/>
  <c r="Q59" i="104"/>
  <c r="K53" i="74"/>
  <c r="U56" i="103"/>
  <c r="M55" i="74"/>
  <c r="X51" i="74"/>
  <c r="W56" i="74"/>
  <c r="X50" i="74"/>
  <c r="X60" i="74"/>
  <c r="L60" i="103"/>
  <c r="O55" i="74"/>
  <c r="K49" i="74"/>
  <c r="J56" i="74"/>
  <c r="P53" i="74"/>
  <c r="P55" i="74"/>
  <c r="N53" i="74"/>
  <c r="J54" i="74"/>
  <c r="P51" i="74"/>
  <c r="AI52" i="104"/>
  <c r="N56" i="74"/>
  <c r="W49" i="74"/>
  <c r="AI56" i="104"/>
  <c r="X53" i="74"/>
  <c r="O53" i="74"/>
  <c r="W50" i="74"/>
  <c r="X57" i="74"/>
  <c r="P52" i="74"/>
  <c r="D51" i="103"/>
  <c r="E50" i="103"/>
  <c r="AM49" i="104"/>
  <c r="AD56" i="104"/>
  <c r="X55" i="74"/>
  <c r="H51" i="104"/>
  <c r="P56" i="74"/>
  <c r="M52" i="74"/>
  <c r="P49" i="74"/>
  <c r="P57" i="74"/>
  <c r="O50" i="74"/>
  <c r="W57" i="74"/>
  <c r="M56" i="74"/>
  <c r="M53" i="74"/>
  <c r="X52" i="74"/>
  <c r="AK56" i="104"/>
  <c r="O51" i="74"/>
  <c r="O56" i="74"/>
  <c r="K51" i="74"/>
  <c r="J51" i="74"/>
  <c r="R56" i="103"/>
  <c r="K56" i="74"/>
  <c r="O49" i="104"/>
  <c r="N54" i="74"/>
  <c r="AL56" i="104"/>
  <c r="J55" i="74"/>
  <c r="W52" i="74"/>
  <c r="AI51" i="104"/>
  <c r="N52" i="74"/>
  <c r="S56" i="103"/>
  <c r="AH56" i="104"/>
  <c r="AJ56" i="104" s="1"/>
  <c r="J53" i="74"/>
  <c r="C49" i="103"/>
  <c r="N56" i="103"/>
  <c r="W53" i="74"/>
  <c r="AI59" i="104"/>
  <c r="AF56" i="104"/>
  <c r="W55" i="74"/>
  <c r="O52" i="74"/>
  <c r="AC56" i="104"/>
  <c r="K55" i="74"/>
  <c r="J52" i="74"/>
  <c r="P54" i="74"/>
  <c r="AM56" i="104"/>
  <c r="O43" i="74"/>
  <c r="AF46" i="104"/>
  <c r="U49" i="103"/>
  <c r="O42" i="74"/>
  <c r="J48" i="74"/>
  <c r="AI46" i="104"/>
  <c r="X43" i="74"/>
  <c r="K46" i="74"/>
  <c r="I50" i="104"/>
  <c r="O46" i="74"/>
  <c r="N43" i="74"/>
  <c r="F49" i="104"/>
  <c r="P46" i="103"/>
  <c r="Q46" i="103"/>
  <c r="M44" i="74"/>
  <c r="M47" i="74"/>
  <c r="W42" i="74"/>
  <c r="J46" i="74"/>
  <c r="N45" i="74"/>
  <c r="K45" i="74"/>
  <c r="M46" i="74"/>
  <c r="P44" i="74"/>
  <c r="N47" i="74"/>
  <c r="S46" i="103"/>
  <c r="O46" i="103"/>
  <c r="R46" i="103"/>
  <c r="N46" i="74"/>
  <c r="N42" i="74"/>
  <c r="O47" i="104"/>
  <c r="O42" i="104"/>
  <c r="R41" i="103"/>
  <c r="X49" i="74"/>
  <c r="M48" i="74"/>
  <c r="W45" i="74"/>
  <c r="O47" i="74"/>
  <c r="W48" i="74"/>
  <c r="K52" i="74"/>
  <c r="AI53" i="104"/>
  <c r="R51" i="103"/>
  <c r="U46" i="103"/>
  <c r="N50" i="74"/>
  <c r="O49" i="74"/>
  <c r="P42" i="74"/>
  <c r="H49" i="103"/>
  <c r="J44" i="74"/>
  <c r="K50" i="74"/>
  <c r="X47" i="74"/>
  <c r="H47" i="103"/>
  <c r="W46" i="74"/>
  <c r="C48" i="103"/>
  <c r="AK46" i="104"/>
  <c r="X42" i="74"/>
  <c r="J49" i="74"/>
  <c r="J47" i="74"/>
  <c r="X46" i="74"/>
  <c r="K44" i="74"/>
  <c r="J45" i="74"/>
  <c r="AL46" i="104"/>
  <c r="O45" i="74"/>
  <c r="W51" i="74"/>
  <c r="R43" i="104"/>
  <c r="AH46" i="104"/>
  <c r="K48" i="74"/>
  <c r="W47" i="74"/>
  <c r="J50" i="74"/>
  <c r="X45" i="74"/>
  <c r="P48" i="74"/>
  <c r="N41" i="74"/>
  <c r="N49" i="74"/>
  <c r="T46" i="103"/>
  <c r="W43" i="74"/>
  <c r="M50" i="74"/>
  <c r="P46" i="74"/>
  <c r="M45" i="74"/>
  <c r="P47" i="74"/>
  <c r="AE46" i="104"/>
  <c r="X48" i="74"/>
  <c r="W49" i="104"/>
  <c r="X49" i="104" s="1"/>
  <c r="T49" i="104" s="1"/>
  <c r="N46" i="103"/>
  <c r="N40" i="74"/>
  <c r="X39" i="74"/>
  <c r="Q39" i="104"/>
  <c r="H42" i="103"/>
  <c r="K40" i="74"/>
  <c r="W40" i="74"/>
  <c r="AK39" i="104"/>
  <c r="X38" i="74"/>
  <c r="AI41" i="104"/>
  <c r="J40" i="104"/>
  <c r="P38" i="74"/>
  <c r="M43" i="74"/>
  <c r="W41" i="74"/>
  <c r="P43" i="74"/>
  <c r="O39" i="104"/>
  <c r="F39" i="103"/>
  <c r="X41" i="74"/>
  <c r="J37" i="74"/>
  <c r="C39" i="103"/>
  <c r="T39" i="103"/>
  <c r="X36" i="74"/>
  <c r="X40" i="74"/>
  <c r="W36" i="74"/>
  <c r="N36" i="104"/>
  <c r="P39" i="103"/>
  <c r="Q39" i="103"/>
  <c r="U39" i="103"/>
  <c r="P39" i="74"/>
  <c r="N39" i="74"/>
  <c r="K38" i="74"/>
  <c r="W39" i="104"/>
  <c r="X39" i="104" s="1"/>
  <c r="T39" i="104" s="1"/>
  <c r="P36" i="74"/>
  <c r="R39" i="104"/>
  <c r="K43" i="74"/>
  <c r="J39" i="103"/>
  <c r="J43" i="74"/>
  <c r="AF39" i="104"/>
  <c r="AH39" i="104"/>
  <c r="O39" i="74"/>
  <c r="M41" i="74"/>
  <c r="J41" i="74"/>
  <c r="M38" i="74"/>
  <c r="M39" i="103"/>
  <c r="K42" i="74"/>
  <c r="AA39" i="104"/>
  <c r="M37" i="74"/>
  <c r="W44" i="74"/>
  <c r="K36" i="74"/>
  <c r="L39" i="103"/>
  <c r="B39" i="103"/>
  <c r="O39" i="103"/>
  <c r="AD46" i="104"/>
  <c r="N38" i="104"/>
  <c r="P45" i="74"/>
  <c r="O40" i="103"/>
  <c r="X35" i="74"/>
  <c r="K43" i="103"/>
  <c r="J39" i="104"/>
  <c r="J42" i="74"/>
  <c r="K41" i="74"/>
  <c r="O40" i="74"/>
  <c r="AM39" i="104"/>
  <c r="AN39" i="104" s="1"/>
  <c r="J39" i="74"/>
  <c r="O44" i="74"/>
  <c r="K39" i="103"/>
  <c r="M39" i="74"/>
  <c r="D39" i="103"/>
  <c r="O41" i="74"/>
  <c r="S39" i="103"/>
  <c r="AM46" i="104"/>
  <c r="M40" i="74"/>
  <c r="O37" i="74"/>
  <c r="AC39" i="104"/>
  <c r="N37" i="74"/>
  <c r="AL39" i="104"/>
  <c r="G39" i="103"/>
  <c r="F39" i="104"/>
  <c r="W39" i="74"/>
  <c r="W42" i="104"/>
  <c r="X42" i="104" s="1"/>
  <c r="T42" i="104" s="1"/>
  <c r="J40" i="74"/>
  <c r="W37" i="74"/>
  <c r="W34" i="104"/>
  <c r="X34" i="104" s="1"/>
  <c r="T34" i="104" s="1"/>
  <c r="AE40" i="104"/>
  <c r="AD39" i="104"/>
  <c r="H39" i="103"/>
  <c r="P40" i="74"/>
  <c r="F40" i="103"/>
  <c r="W38" i="74"/>
  <c r="O48" i="74"/>
  <c r="F48" i="104"/>
  <c r="N39" i="103"/>
  <c r="AE39" i="104"/>
  <c r="F34" i="103"/>
  <c r="N44" i="74"/>
  <c r="P37" i="74"/>
  <c r="H39" i="104"/>
  <c r="M42" i="74"/>
  <c r="X37" i="74"/>
  <c r="N39" i="104"/>
  <c r="I39" i="104"/>
  <c r="N38" i="74"/>
  <c r="E39" i="104"/>
  <c r="G39" i="104" s="1"/>
  <c r="P41" i="74"/>
  <c r="AE34" i="104"/>
  <c r="J35" i="74"/>
  <c r="X32" i="74"/>
  <c r="X28" i="74"/>
  <c r="W31" i="74"/>
  <c r="K29" i="74"/>
  <c r="P35" i="74"/>
  <c r="K32" i="74"/>
  <c r="M35" i="74"/>
  <c r="O29" i="74"/>
  <c r="W35" i="74"/>
  <c r="O34" i="103"/>
  <c r="S27" i="103"/>
  <c r="N30" i="74"/>
  <c r="W30" i="104"/>
  <c r="X30" i="104" s="1"/>
  <c r="T30" i="104" s="1"/>
  <c r="W26" i="74"/>
  <c r="P34" i="74"/>
  <c r="K37" i="74"/>
  <c r="AK34" i="104"/>
  <c r="J31" i="74"/>
  <c r="K35" i="74"/>
  <c r="K34" i="74"/>
  <c r="W32" i="104"/>
  <c r="X32" i="104" s="1"/>
  <c r="T32" i="104" s="1"/>
  <c r="N32" i="74"/>
  <c r="O34" i="74"/>
  <c r="X34" i="74"/>
  <c r="J30" i="74"/>
  <c r="O30" i="74"/>
  <c r="P32" i="74"/>
  <c r="C29" i="103"/>
  <c r="K39" i="74"/>
  <c r="P30" i="74"/>
  <c r="W32" i="74"/>
  <c r="X33" i="74"/>
  <c r="X31" i="74"/>
  <c r="W33" i="74"/>
  <c r="P33" i="74"/>
  <c r="O32" i="74"/>
  <c r="M27" i="74"/>
  <c r="R29" i="103"/>
  <c r="O33" i="74"/>
  <c r="G38" i="103"/>
  <c r="E30" i="104"/>
  <c r="N29" i="74"/>
  <c r="P31" i="74"/>
  <c r="M36" i="74"/>
  <c r="N36" i="74"/>
  <c r="G33" i="103"/>
  <c r="K33" i="74"/>
  <c r="O27" i="74"/>
  <c r="S29" i="103"/>
  <c r="J38" i="74"/>
  <c r="F27" i="103"/>
  <c r="M29" i="74"/>
  <c r="W31" i="104"/>
  <c r="X31" i="104" s="1"/>
  <c r="T31" i="104" s="1"/>
  <c r="E39" i="103"/>
  <c r="O38" i="74"/>
  <c r="W34" i="74"/>
  <c r="M33" i="74"/>
  <c r="P26" i="74"/>
  <c r="K31" i="74"/>
  <c r="N33" i="74"/>
  <c r="M32" i="74"/>
  <c r="O36" i="74"/>
  <c r="O35" i="74"/>
  <c r="G36" i="103"/>
  <c r="J36" i="74"/>
  <c r="O22" i="74"/>
  <c r="M22" i="74"/>
  <c r="K26" i="74"/>
  <c r="W24" i="74"/>
  <c r="W28" i="74"/>
  <c r="J23" i="104"/>
  <c r="AK29" i="104"/>
  <c r="P27" i="74"/>
  <c r="AD24" i="104"/>
  <c r="N34" i="74"/>
  <c r="AI34" i="104"/>
  <c r="O31" i="74"/>
  <c r="F29" i="104"/>
  <c r="N22" i="74"/>
  <c r="J27" i="74"/>
  <c r="K30" i="74"/>
  <c r="W20" i="74"/>
  <c r="M31" i="74"/>
  <c r="N23" i="74"/>
  <c r="AI29" i="104"/>
  <c r="M30" i="74"/>
  <c r="J33" i="74"/>
  <c r="X26" i="74"/>
  <c r="X24" i="74"/>
  <c r="M28" i="74"/>
  <c r="K22" i="74"/>
  <c r="J22" i="74"/>
  <c r="J34" i="104"/>
  <c r="J32" i="74"/>
  <c r="N27" i="74"/>
  <c r="J29" i="74"/>
  <c r="P21" i="74"/>
  <c r="X29" i="74"/>
  <c r="W23" i="74"/>
  <c r="P23" i="74"/>
  <c r="J28" i="74"/>
  <c r="N35" i="74"/>
  <c r="P29" i="74"/>
  <c r="AD21" i="104"/>
  <c r="N24" i="103"/>
  <c r="N31" i="74"/>
  <c r="W30" i="74"/>
  <c r="X30" i="74"/>
  <c r="O28" i="74"/>
  <c r="W21" i="74"/>
  <c r="K21" i="103"/>
  <c r="W25" i="74"/>
  <c r="O23" i="74"/>
  <c r="W27" i="74"/>
  <c r="K25" i="74"/>
  <c r="R34" i="103"/>
  <c r="J25" i="74"/>
  <c r="K23" i="74"/>
  <c r="J24" i="74"/>
  <c r="M24" i="74"/>
  <c r="X21" i="74"/>
  <c r="M26" i="74"/>
  <c r="J26" i="74"/>
  <c r="P25" i="74"/>
  <c r="W29" i="74"/>
  <c r="O21" i="74"/>
  <c r="J34" i="74"/>
  <c r="N33" i="104"/>
  <c r="M34" i="74"/>
  <c r="AK27" i="104"/>
  <c r="N26" i="74"/>
  <c r="M25" i="74"/>
  <c r="B30" i="103"/>
  <c r="X27" i="74"/>
  <c r="K28" i="74"/>
  <c r="J27" i="104"/>
  <c r="S34" i="103"/>
  <c r="K27" i="74"/>
  <c r="N25" i="74"/>
  <c r="F25" i="104"/>
  <c r="W22" i="74"/>
  <c r="P28" i="74"/>
  <c r="J23" i="74"/>
  <c r="C25" i="103"/>
  <c r="P24" i="74"/>
  <c r="S85" i="103"/>
  <c r="AA85" i="104"/>
  <c r="O83" i="74"/>
  <c r="M81" i="74"/>
  <c r="W78" i="74"/>
  <c r="N75" i="74"/>
  <c r="W83" i="74"/>
  <c r="N81" i="74"/>
  <c r="N78" i="74"/>
  <c r="X75" i="74"/>
  <c r="R86" i="104"/>
  <c r="O82" i="74"/>
  <c r="Q84" i="103"/>
  <c r="P84" i="103"/>
  <c r="M84" i="103"/>
  <c r="P75" i="74"/>
  <c r="R21" i="104"/>
  <c r="AM86" i="104"/>
  <c r="J86" i="103"/>
  <c r="K83" i="74"/>
  <c r="P82" i="74"/>
  <c r="O25" i="74"/>
  <c r="F23" i="103"/>
  <c r="L75" i="103"/>
  <c r="X25" i="74"/>
  <c r="L84" i="103"/>
  <c r="T84" i="103"/>
  <c r="N83" i="74"/>
  <c r="M80" i="74"/>
  <c r="AM85" i="104"/>
  <c r="N77" i="74"/>
  <c r="N76" i="74"/>
  <c r="AA84" i="104"/>
  <c r="Q84" i="104"/>
  <c r="O84" i="104"/>
  <c r="AA86" i="104"/>
  <c r="U85" i="103"/>
  <c r="G85" i="103"/>
  <c r="M23" i="74"/>
  <c r="P22" i="74"/>
  <c r="K73" i="103"/>
  <c r="AH86" i="104"/>
  <c r="W86" i="104"/>
  <c r="X86" i="104" s="1"/>
  <c r="T86" i="104" s="1"/>
  <c r="X74" i="74"/>
  <c r="N72" i="74"/>
  <c r="P81" i="74"/>
  <c r="O79" i="104"/>
  <c r="O77" i="74"/>
  <c r="O26" i="74"/>
  <c r="O24" i="74"/>
  <c r="X22" i="74"/>
  <c r="N80" i="74"/>
  <c r="K75" i="74"/>
  <c r="X82" i="74"/>
  <c r="J77" i="74"/>
  <c r="K74" i="74"/>
  <c r="J74" i="74"/>
  <c r="O86" i="104"/>
  <c r="H79" i="103"/>
  <c r="AA72" i="104"/>
  <c r="K86" i="103"/>
  <c r="H86" i="103"/>
  <c r="N86" i="74"/>
  <c r="Q86" i="104"/>
  <c r="M76" i="74"/>
  <c r="H84" i="103"/>
  <c r="T72" i="103"/>
  <c r="K24" i="74"/>
  <c r="W86" i="74"/>
  <c r="M83" i="74"/>
  <c r="W81" i="74"/>
  <c r="K79" i="74"/>
  <c r="AH85" i="104"/>
  <c r="P78" i="74"/>
  <c r="X23" i="74"/>
  <c r="N21" i="74"/>
  <c r="N28" i="74"/>
  <c r="AC84" i="104"/>
  <c r="AL85" i="104"/>
  <c r="P86" i="74"/>
  <c r="R85" i="104"/>
  <c r="AK85" i="104"/>
  <c r="AN85" i="104" s="1"/>
  <c r="W85" i="74"/>
  <c r="K84" i="74"/>
  <c r="O83" i="104"/>
  <c r="P85" i="103"/>
  <c r="J85" i="74"/>
  <c r="K84" i="103"/>
  <c r="AD86" i="104"/>
  <c r="S86" i="103"/>
  <c r="AE86" i="104"/>
  <c r="AC86" i="104"/>
  <c r="AG86" i="104" s="1"/>
  <c r="M79" i="74"/>
  <c r="K76" i="74"/>
  <c r="N85" i="104"/>
  <c r="M85" i="104" s="1"/>
  <c r="X85" i="74"/>
  <c r="K85" i="103"/>
  <c r="W82" i="74"/>
  <c r="J82" i="74"/>
  <c r="J80" i="74"/>
  <c r="S84" i="103"/>
  <c r="R84" i="103"/>
  <c r="R84" i="104"/>
  <c r="O84" i="74"/>
  <c r="J80" i="104"/>
  <c r="H85" i="103"/>
  <c r="H83" i="103"/>
  <c r="N86" i="103"/>
  <c r="X83" i="74"/>
  <c r="AD85" i="104"/>
  <c r="O84" i="103"/>
  <c r="M82" i="74"/>
  <c r="G84" i="103"/>
  <c r="K80" i="74"/>
  <c r="K77" i="74"/>
  <c r="J84" i="103"/>
  <c r="O81" i="74"/>
  <c r="Q81" i="103"/>
  <c r="W74" i="74"/>
  <c r="N82" i="74"/>
  <c r="P76" i="74"/>
  <c r="M21" i="74"/>
  <c r="O86" i="103"/>
  <c r="X86" i="74"/>
  <c r="K86" i="74"/>
  <c r="E84" i="103"/>
  <c r="K81" i="74"/>
  <c r="AF86" i="104"/>
  <c r="N86" i="104"/>
  <c r="AH81" i="104"/>
  <c r="M78" i="74"/>
  <c r="M75" i="74"/>
  <c r="R73" i="104"/>
  <c r="K71" i="74"/>
  <c r="N84" i="103"/>
  <c r="AI84" i="104"/>
  <c r="C85" i="103"/>
  <c r="N84" i="104"/>
  <c r="M84" i="104" s="1"/>
  <c r="J84" i="74"/>
  <c r="P77" i="74"/>
  <c r="I84" i="104"/>
  <c r="N79" i="74"/>
  <c r="T85" i="103"/>
  <c r="J81" i="74"/>
  <c r="K72" i="74"/>
  <c r="O74" i="74"/>
  <c r="AF84" i="104"/>
  <c r="X84" i="74"/>
  <c r="O79" i="74"/>
  <c r="O75" i="74"/>
  <c r="O85" i="74"/>
  <c r="X81" i="74"/>
  <c r="L85" i="103"/>
  <c r="M85" i="74"/>
  <c r="X78" i="74"/>
  <c r="O78" i="74"/>
  <c r="AA75" i="104"/>
  <c r="C75" i="103"/>
  <c r="P74" i="74"/>
  <c r="AM84" i="104"/>
  <c r="P83" i="74"/>
  <c r="N85" i="103"/>
  <c r="N85" i="74"/>
  <c r="AK84" i="104"/>
  <c r="AN84" i="104" s="1"/>
  <c r="N84" i="74"/>
  <c r="C78" i="103"/>
  <c r="O71" i="104"/>
  <c r="N71" i="104"/>
  <c r="X20" i="74"/>
  <c r="AF85" i="104"/>
  <c r="F85" i="104"/>
  <c r="X80" i="74"/>
  <c r="N21" i="103"/>
  <c r="P82" i="104"/>
  <c r="W80" i="74"/>
  <c r="U84" i="103"/>
  <c r="N73" i="74"/>
  <c r="M84" i="74"/>
  <c r="J78" i="74"/>
  <c r="W75" i="74"/>
  <c r="W73" i="74"/>
  <c r="J86" i="74"/>
  <c r="P79" i="74"/>
  <c r="K21" i="74"/>
  <c r="O85" i="104"/>
  <c r="AL84" i="104"/>
  <c r="X79" i="74"/>
  <c r="W77" i="74"/>
  <c r="AD84" i="104"/>
  <c r="O80" i="74"/>
  <c r="F80" i="103"/>
  <c r="F78" i="104"/>
  <c r="M77" i="74"/>
  <c r="AM72" i="104"/>
  <c r="N24" i="74"/>
  <c r="O86" i="74"/>
  <c r="J21" i="74"/>
  <c r="AH84" i="104"/>
  <c r="AE84" i="104"/>
  <c r="W84" i="74"/>
  <c r="P80" i="74"/>
  <c r="O73" i="74"/>
  <c r="P84" i="74"/>
  <c r="W79" i="74"/>
  <c r="P73" i="74"/>
  <c r="X72" i="74"/>
  <c r="M86" i="74"/>
  <c r="J79" i="74"/>
  <c r="F75" i="104"/>
  <c r="Q85" i="103"/>
  <c r="J83" i="74"/>
  <c r="C87" i="103"/>
  <c r="X77" i="74"/>
  <c r="G86" i="103"/>
  <c r="U72" i="103"/>
  <c r="K67" i="103"/>
  <c r="E95" i="104"/>
  <c r="P91" i="74"/>
  <c r="W67" i="104"/>
  <c r="X67" i="104" s="1"/>
  <c r="T67" i="104" s="1"/>
  <c r="K87" i="103"/>
  <c r="P67" i="74"/>
  <c r="W72" i="74"/>
  <c r="W65" i="74"/>
  <c r="W90" i="74"/>
  <c r="M87" i="103"/>
  <c r="R66" i="104"/>
  <c r="O92" i="74"/>
  <c r="AA87" i="104"/>
  <c r="M98" i="74"/>
  <c r="K73" i="74"/>
  <c r="P92" i="74"/>
  <c r="AI86" i="104"/>
  <c r="I71" i="104"/>
  <c r="U87" i="103"/>
  <c r="M71" i="74"/>
  <c r="AL65" i="104"/>
  <c r="M90" i="103"/>
  <c r="P72" i="74"/>
  <c r="W70" i="74"/>
  <c r="R67" i="104"/>
  <c r="P66" i="74"/>
  <c r="AD95" i="104"/>
  <c r="K89" i="74"/>
  <c r="G70" i="103"/>
  <c r="AK86" i="104"/>
  <c r="J71" i="74"/>
  <c r="W91" i="74"/>
  <c r="W87" i="104"/>
  <c r="X87" i="104" s="1"/>
  <c r="T87" i="104" s="1"/>
  <c r="N74" i="74"/>
  <c r="O71" i="74"/>
  <c r="N71" i="74"/>
  <c r="M94" i="74"/>
  <c r="O90" i="74"/>
  <c r="C71" i="103"/>
  <c r="U70" i="103"/>
  <c r="K94" i="74"/>
  <c r="F87" i="104"/>
  <c r="N87" i="103"/>
  <c r="E71" i="103"/>
  <c r="J70" i="74"/>
  <c r="M95" i="74"/>
  <c r="K91" i="74"/>
  <c r="AK71" i="104"/>
  <c r="M91" i="74"/>
  <c r="J90" i="74"/>
  <c r="O87" i="104"/>
  <c r="G87" i="103"/>
  <c r="AA93" i="104"/>
  <c r="AD87" i="104"/>
  <c r="Q87" i="104"/>
  <c r="M70" i="74"/>
  <c r="E71" i="104"/>
  <c r="M66" i="74"/>
  <c r="W67" i="74"/>
  <c r="T95" i="103"/>
  <c r="S71" i="103"/>
  <c r="J69" i="74"/>
  <c r="O65" i="74"/>
  <c r="H91" i="103"/>
  <c r="X93" i="74"/>
  <c r="P93" i="74"/>
  <c r="H87" i="103"/>
  <c r="F98" i="103"/>
  <c r="K92" i="103"/>
  <c r="W92" i="74"/>
  <c r="M72" i="74"/>
  <c r="M93" i="74"/>
  <c r="K90" i="74"/>
  <c r="AK95" i="104"/>
  <c r="S87" i="103"/>
  <c r="K69" i="74"/>
  <c r="M67" i="74"/>
  <c r="AC90" i="104"/>
  <c r="AE70" i="104"/>
  <c r="J66" i="74"/>
  <c r="R87" i="103"/>
  <c r="J73" i="74"/>
  <c r="J91" i="74"/>
  <c r="O87" i="103"/>
  <c r="X70" i="74"/>
  <c r="H65" i="103"/>
  <c r="S95" i="103"/>
  <c r="P90" i="74"/>
  <c r="X89" i="74"/>
  <c r="AM87" i="104"/>
  <c r="M86" i="103"/>
  <c r="L72" i="103"/>
  <c r="F71" i="104"/>
  <c r="P70" i="74"/>
  <c r="X66" i="74"/>
  <c r="O67" i="74"/>
  <c r="W69" i="74"/>
  <c r="AA95" i="104"/>
  <c r="N89" i="74"/>
  <c r="X87" i="74"/>
  <c r="P71" i="74"/>
  <c r="B71" i="103"/>
  <c r="K87" i="74"/>
  <c r="Q87" i="103"/>
  <c r="AH95" i="104"/>
  <c r="AE87" i="104"/>
  <c r="O70" i="103"/>
  <c r="N70" i="74"/>
  <c r="U71" i="103"/>
  <c r="M92" i="74"/>
  <c r="J92" i="74"/>
  <c r="O72" i="74"/>
  <c r="AH87" i="104"/>
  <c r="P86" i="103"/>
  <c r="N87" i="74"/>
  <c r="J67" i="74"/>
  <c r="N93" i="74"/>
  <c r="R92" i="104"/>
  <c r="O89" i="74"/>
  <c r="M89" i="74"/>
  <c r="AF87" i="104"/>
  <c r="K98" i="74"/>
  <c r="AL95" i="104"/>
  <c r="N92" i="74"/>
  <c r="Q95" i="103"/>
  <c r="X92" i="74"/>
  <c r="AM71" i="104"/>
  <c r="O66" i="74"/>
  <c r="N67" i="74"/>
  <c r="J68" i="74"/>
  <c r="P88" i="74"/>
  <c r="N87" i="104"/>
  <c r="W89" i="74"/>
  <c r="AL86" i="104"/>
  <c r="M102" i="103"/>
  <c r="N108" i="103"/>
  <c r="AI109" i="104"/>
  <c r="P104" i="74"/>
  <c r="W103" i="74"/>
  <c r="Q100" i="104"/>
  <c r="P106" i="74"/>
  <c r="W101" i="74"/>
  <c r="O101" i="74"/>
  <c r="P108" i="74"/>
  <c r="N104" i="74"/>
  <c r="X91" i="74"/>
  <c r="O69" i="74"/>
  <c r="W66" i="74"/>
  <c r="J87" i="74"/>
  <c r="AI87" i="104"/>
  <c r="U86" i="103"/>
  <c r="L86" i="103"/>
  <c r="T65" i="103"/>
  <c r="X95" i="74"/>
  <c r="P87" i="103"/>
  <c r="N97" i="74"/>
  <c r="X97" i="74"/>
  <c r="S105" i="103"/>
  <c r="AM105" i="104"/>
  <c r="AN105" i="104" s="1"/>
  <c r="W105" i="74"/>
  <c r="P102" i="74"/>
  <c r="N102" i="74"/>
  <c r="K102" i="103"/>
  <c r="L104" i="103"/>
  <c r="J102" i="74"/>
  <c r="P99" i="74"/>
  <c r="O97" i="74"/>
  <c r="H108" i="103"/>
  <c r="AE108" i="104"/>
  <c r="X101" i="74"/>
  <c r="B102" i="103"/>
  <c r="K100" i="74"/>
  <c r="G108" i="103"/>
  <c r="M105" i="74"/>
  <c r="AF104" i="104"/>
  <c r="X103" i="74"/>
  <c r="P103" i="74"/>
  <c r="O104" i="74"/>
  <c r="F103" i="104"/>
  <c r="Q108" i="103"/>
  <c r="N109" i="74"/>
  <c r="J109" i="74"/>
  <c r="N123" i="74"/>
  <c r="P96" i="74"/>
  <c r="O91" i="104"/>
  <c r="J72" i="74"/>
  <c r="G71" i="103"/>
  <c r="O65" i="104"/>
  <c r="M68" i="74"/>
  <c r="L95" i="103"/>
  <c r="K88" i="74"/>
  <c r="K70" i="74"/>
  <c r="N95" i="74"/>
  <c r="B95" i="103"/>
  <c r="R108" i="103"/>
  <c r="H107" i="104"/>
  <c r="K104" i="74"/>
  <c r="K102" i="74"/>
  <c r="J102" i="103"/>
  <c r="M108" i="103"/>
  <c r="AA108" i="104"/>
  <c r="N105" i="74"/>
  <c r="Q102" i="103"/>
  <c r="N90" i="74"/>
  <c r="O95" i="74"/>
  <c r="L93" i="103"/>
  <c r="M87" i="74"/>
  <c r="R87" i="104"/>
  <c r="K67" i="74"/>
  <c r="J87" i="103"/>
  <c r="T87" i="103"/>
  <c r="M107" i="74"/>
  <c r="U110" i="103"/>
  <c r="O99" i="74"/>
  <c r="J104" i="74"/>
  <c r="K66" i="74"/>
  <c r="N70" i="104"/>
  <c r="AM95" i="104"/>
  <c r="N91" i="74"/>
  <c r="AK87" i="104"/>
  <c r="AC87" i="104"/>
  <c r="AG87" i="104" s="1"/>
  <c r="W71" i="74"/>
  <c r="X68" i="74"/>
  <c r="O93" i="74"/>
  <c r="M74" i="74"/>
  <c r="P89" i="74"/>
  <c r="AC104" i="104"/>
  <c r="W109" i="74"/>
  <c r="AF108" i="104"/>
  <c r="R105" i="103"/>
  <c r="S102" i="103"/>
  <c r="AM102" i="104"/>
  <c r="P110" i="74"/>
  <c r="X102" i="74"/>
  <c r="AF105" i="104"/>
  <c r="K103" i="74"/>
  <c r="D107" i="103"/>
  <c r="O106" i="74"/>
  <c r="P104" i="103"/>
  <c r="L102" i="103"/>
  <c r="W108" i="74"/>
  <c r="J97" i="74"/>
  <c r="N108" i="104"/>
  <c r="W93" i="74"/>
  <c r="M90" i="74"/>
  <c r="X73" i="74"/>
  <c r="AM70" i="104"/>
  <c r="N95" i="103"/>
  <c r="L87" i="103"/>
  <c r="O70" i="74"/>
  <c r="M73" i="74"/>
  <c r="W71" i="104"/>
  <c r="X71" i="104" s="1"/>
  <c r="T71" i="104" s="1"/>
  <c r="X67" i="74"/>
  <c r="M95" i="103"/>
  <c r="K95" i="74"/>
  <c r="K92" i="74"/>
  <c r="R86" i="103"/>
  <c r="AC108" i="104"/>
  <c r="W104" i="74"/>
  <c r="N101" i="74"/>
  <c r="P97" i="74"/>
  <c r="AC106" i="104"/>
  <c r="O105" i="74"/>
  <c r="AA102" i="104"/>
  <c r="M110" i="74"/>
  <c r="U105" i="103"/>
  <c r="J106" i="74"/>
  <c r="O102" i="104"/>
  <c r="AD102" i="104"/>
  <c r="K99" i="74"/>
  <c r="X98" i="74"/>
  <c r="M106" i="74"/>
  <c r="N102" i="104"/>
  <c r="M102" i="104" s="1"/>
  <c r="AK101" i="104"/>
  <c r="L99" i="103"/>
  <c r="W96" i="74"/>
  <c r="Q108" i="104"/>
  <c r="O108" i="104"/>
  <c r="J100" i="74"/>
  <c r="J98" i="74"/>
  <c r="H71" i="103"/>
  <c r="P68" i="74"/>
  <c r="AL72" i="104"/>
  <c r="T86" i="103"/>
  <c r="Q86" i="103"/>
  <c r="W87" i="74"/>
  <c r="O87" i="74"/>
  <c r="X104" i="74"/>
  <c r="Q103" i="104"/>
  <c r="L108" i="103"/>
  <c r="O105" i="103"/>
  <c r="AC102" i="104"/>
  <c r="AE102" i="104"/>
  <c r="J100" i="103"/>
  <c r="AM108" i="104"/>
  <c r="P125" i="74"/>
  <c r="AH105" i="104"/>
  <c r="S104" i="103"/>
  <c r="AL87" i="104"/>
  <c r="AN87" i="104" s="1"/>
  <c r="J88" i="74"/>
  <c r="X71" i="74"/>
  <c r="W94" i="74"/>
  <c r="J96" i="74"/>
  <c r="K66" i="103"/>
  <c r="N66" i="74"/>
  <c r="U95" i="103"/>
  <c r="AC95" i="104"/>
  <c r="O91" i="74"/>
  <c r="X90" i="74"/>
  <c r="W88" i="74"/>
  <c r="P87" i="74"/>
  <c r="O108" i="103"/>
  <c r="AD108" i="104"/>
  <c r="K110" i="74"/>
  <c r="W98" i="104"/>
  <c r="X98" i="104" s="1"/>
  <c r="T98" i="104" s="1"/>
  <c r="J105" i="74"/>
  <c r="S101" i="103"/>
  <c r="AI108" i="104"/>
  <c r="Q105" i="103"/>
  <c r="E104" i="104"/>
  <c r="X106" i="74"/>
  <c r="R102" i="103"/>
  <c r="K108" i="103"/>
  <c r="M109" i="74"/>
  <c r="B104" i="103"/>
  <c r="N103" i="74"/>
  <c r="O102" i="103"/>
  <c r="N100" i="74"/>
  <c r="AL104" i="104"/>
  <c r="AL105" i="104"/>
  <c r="M103" i="74"/>
  <c r="J101" i="74"/>
  <c r="M100" i="74"/>
  <c r="K125" i="74"/>
  <c r="AC120" i="104"/>
  <c r="W118" i="104"/>
  <c r="X118" i="104" s="1"/>
  <c r="T118" i="104" s="1"/>
  <c r="J116" i="74"/>
  <c r="J115" i="74"/>
  <c r="W119" i="74"/>
  <c r="P117" i="74"/>
  <c r="J118" i="74"/>
  <c r="M124" i="74"/>
  <c r="P120" i="103"/>
  <c r="O119" i="74"/>
  <c r="AD118" i="104"/>
  <c r="P123" i="74"/>
  <c r="AA123" i="104"/>
  <c r="K97" i="74"/>
  <c r="W106" i="74"/>
  <c r="T105" i="103"/>
  <c r="AA104" i="104"/>
  <c r="K105" i="74"/>
  <c r="U102" i="103"/>
  <c r="Q102" i="104"/>
  <c r="AL102" i="104"/>
  <c r="AN102" i="104" s="1"/>
  <c r="C103" i="103"/>
  <c r="AH108" i="104"/>
  <c r="T102" i="103"/>
  <c r="N102" i="103"/>
  <c r="P122" i="74"/>
  <c r="AL120" i="104"/>
  <c r="K119" i="74"/>
  <c r="U108" i="103"/>
  <c r="R117" i="104"/>
  <c r="N122" i="74"/>
  <c r="M119" i="74"/>
  <c r="J110" i="74"/>
  <c r="M125" i="74"/>
  <c r="X99" i="74"/>
  <c r="K108" i="74"/>
  <c r="AK104" i="104"/>
  <c r="AD105" i="104"/>
  <c r="R108" i="104"/>
  <c r="O107" i="74"/>
  <c r="AF102" i="104"/>
  <c r="X107" i="74"/>
  <c r="P105" i="74"/>
  <c r="AH102" i="104"/>
  <c r="N121" i="74"/>
  <c r="X115" i="74"/>
  <c r="P128" i="74"/>
  <c r="P124" i="74"/>
  <c r="N118" i="103"/>
  <c r="AF120" i="104"/>
  <c r="O114" i="74"/>
  <c r="W129" i="74"/>
  <c r="N114" i="74"/>
  <c r="AK105" i="104"/>
  <c r="R104" i="103"/>
  <c r="O102" i="74"/>
  <c r="P101" i="74"/>
  <c r="W107" i="74"/>
  <c r="W99" i="74"/>
  <c r="M104" i="103"/>
  <c r="W102" i="74"/>
  <c r="M104" i="74"/>
  <c r="X105" i="74"/>
  <c r="E102" i="104"/>
  <c r="O100" i="74"/>
  <c r="G102" i="103"/>
  <c r="P120" i="74"/>
  <c r="F116" i="103"/>
  <c r="O127" i="103"/>
  <c r="O120" i="103"/>
  <c r="N117" i="74"/>
  <c r="AE127" i="104"/>
  <c r="R109" i="103"/>
  <c r="P118" i="74"/>
  <c r="O110" i="74"/>
  <c r="K123" i="74"/>
  <c r="R117" i="103"/>
  <c r="K122" i="74"/>
  <c r="W122" i="104"/>
  <c r="X122" i="104" s="1"/>
  <c r="T122" i="104" s="1"/>
  <c r="W118" i="74"/>
  <c r="N115" i="74"/>
  <c r="N111" i="74"/>
  <c r="P105" i="103"/>
  <c r="W98" i="74"/>
  <c r="P100" i="74"/>
  <c r="P107" i="74"/>
  <c r="M108" i="74"/>
  <c r="AI104" i="104"/>
  <c r="O103" i="74"/>
  <c r="X100" i="74"/>
  <c r="P98" i="74"/>
  <c r="T104" i="103"/>
  <c r="N96" i="74"/>
  <c r="N98" i="74"/>
  <c r="K106" i="74"/>
  <c r="AK102" i="104"/>
  <c r="X123" i="74"/>
  <c r="X124" i="74"/>
  <c r="W121" i="74"/>
  <c r="P115" i="74"/>
  <c r="K115" i="74"/>
  <c r="W130" i="104"/>
  <c r="X130" i="104" s="1"/>
  <c r="T130" i="104" s="1"/>
  <c r="AF127" i="104"/>
  <c r="O124" i="74"/>
  <c r="AK108" i="104"/>
  <c r="AN108" i="104" s="1"/>
  <c r="J116" i="104"/>
  <c r="N118" i="74"/>
  <c r="W117" i="104"/>
  <c r="X117" i="104" s="1"/>
  <c r="T117" i="104" s="1"/>
  <c r="W117" i="74"/>
  <c r="AE121" i="104"/>
  <c r="X120" i="74"/>
  <c r="N129" i="74"/>
  <c r="X118" i="74"/>
  <c r="P112" i="74"/>
  <c r="O98" i="74"/>
  <c r="M106" i="103"/>
  <c r="AI102" i="104"/>
  <c r="AJ102" i="104" s="1"/>
  <c r="M97" i="74"/>
  <c r="AE105" i="104"/>
  <c r="P102" i="103"/>
  <c r="M101" i="74"/>
  <c r="J108" i="103"/>
  <c r="AI105" i="104"/>
  <c r="K107" i="74"/>
  <c r="M102" i="74"/>
  <c r="X110" i="74"/>
  <c r="C112" i="103"/>
  <c r="AL108" i="104"/>
  <c r="W123" i="74"/>
  <c r="W112" i="74"/>
  <c r="T108" i="103"/>
  <c r="M117" i="74"/>
  <c r="W115" i="74"/>
  <c r="O120" i="74"/>
  <c r="X119" i="74"/>
  <c r="N119" i="74"/>
  <c r="K118" i="74"/>
  <c r="N99" i="74"/>
  <c r="J99" i="74"/>
  <c r="N108" i="74"/>
  <c r="R102" i="104"/>
  <c r="P109" i="74"/>
  <c r="M123" i="74"/>
  <c r="Q101" i="104"/>
  <c r="J101" i="103"/>
  <c r="K101" i="74"/>
  <c r="J98" i="104"/>
  <c r="W97" i="74"/>
  <c r="N110" i="74"/>
  <c r="J119" i="74"/>
  <c r="J117" i="74"/>
  <c r="X117" i="74"/>
  <c r="X112" i="74"/>
  <c r="W124" i="74"/>
  <c r="T120" i="103"/>
  <c r="J123" i="74"/>
  <c r="N124" i="74"/>
  <c r="J125" i="74"/>
  <c r="AI117" i="104"/>
  <c r="X114" i="74"/>
  <c r="O109" i="74"/>
  <c r="T111" i="103"/>
  <c r="M99" i="74"/>
  <c r="AM110" i="104"/>
  <c r="N105" i="103"/>
  <c r="H102" i="103"/>
  <c r="W100" i="74"/>
  <c r="O108" i="74"/>
  <c r="J108" i="74"/>
  <c r="J103" i="74"/>
  <c r="J103" i="103"/>
  <c r="N107" i="74"/>
  <c r="P108" i="103"/>
  <c r="N106" i="74"/>
  <c r="K117" i="74"/>
  <c r="M118" i="74"/>
  <c r="J111" i="74"/>
  <c r="K129" i="74"/>
  <c r="K109" i="74"/>
  <c r="N125" i="74"/>
  <c r="O117" i="74"/>
  <c r="N122" i="103"/>
  <c r="K121" i="74"/>
  <c r="W114" i="74"/>
  <c r="X122" i="74"/>
  <c r="K117" i="103"/>
  <c r="AL127" i="104"/>
  <c r="W110" i="74"/>
  <c r="K112" i="74"/>
  <c r="W111" i="74"/>
  <c r="L123" i="103"/>
  <c r="J124" i="74"/>
  <c r="O123" i="74"/>
  <c r="P114" i="74"/>
  <c r="J128" i="74"/>
  <c r="X128" i="74"/>
  <c r="G135" i="103"/>
  <c r="N135" i="74"/>
  <c r="P138" i="103"/>
  <c r="W138" i="74"/>
  <c r="O137" i="104"/>
  <c r="AD134" i="104"/>
  <c r="R134" i="104"/>
  <c r="O134" i="74"/>
  <c r="J127" i="103"/>
  <c r="AD127" i="104"/>
  <c r="J138" i="103"/>
  <c r="X135" i="74"/>
  <c r="AC135" i="104"/>
  <c r="P135" i="74"/>
  <c r="J135" i="104"/>
  <c r="U134" i="103"/>
  <c r="S127" i="103"/>
  <c r="O126" i="74"/>
  <c r="W140" i="74"/>
  <c r="H138" i="103"/>
  <c r="N138" i="74"/>
  <c r="AK135" i="104"/>
  <c r="O135" i="74"/>
  <c r="O127" i="74"/>
  <c r="O135" i="103"/>
  <c r="N112" i="74"/>
  <c r="M126" i="74"/>
  <c r="J126" i="74"/>
  <c r="X140" i="74"/>
  <c r="AA138" i="104"/>
  <c r="W136" i="74"/>
  <c r="AL134" i="104"/>
  <c r="M111" i="74"/>
  <c r="N137" i="74"/>
  <c r="Q134" i="103"/>
  <c r="AK134" i="104"/>
  <c r="AA134" i="104"/>
  <c r="S134" i="103"/>
  <c r="N128" i="74"/>
  <c r="O134" i="104"/>
  <c r="M134" i="74"/>
  <c r="O115" i="74"/>
  <c r="X113" i="74"/>
  <c r="O140" i="74"/>
  <c r="AH138" i="104"/>
  <c r="P134" i="103"/>
  <c r="W134" i="74"/>
  <c r="N140" i="74"/>
  <c r="P137" i="74"/>
  <c r="K134" i="103"/>
  <c r="O112" i="74"/>
  <c r="M127" i="103"/>
  <c r="AF138" i="104"/>
  <c r="G138" i="103"/>
  <c r="M133" i="74"/>
  <c r="W128" i="74"/>
  <c r="X125" i="74"/>
  <c r="N141" i="74"/>
  <c r="M138" i="74"/>
  <c r="N134" i="74"/>
  <c r="N134" i="103"/>
  <c r="AE120" i="104"/>
  <c r="AA99" i="104"/>
  <c r="O118" i="74"/>
  <c r="J112" i="74"/>
  <c r="M134" i="103"/>
  <c r="AE130" i="104"/>
  <c r="AA127" i="104"/>
  <c r="T138" i="103"/>
  <c r="K134" i="74"/>
  <c r="Q127" i="103"/>
  <c r="L127" i="103"/>
  <c r="H127" i="103"/>
  <c r="M140" i="74"/>
  <c r="Q134" i="104"/>
  <c r="P134" i="74"/>
  <c r="O129" i="74"/>
  <c r="AH140" i="104"/>
  <c r="F138" i="104"/>
  <c r="AL136" i="104"/>
  <c r="L134" i="103"/>
  <c r="AI127" i="104"/>
  <c r="J130" i="74"/>
  <c r="AC125" i="104"/>
  <c r="S138" i="103"/>
  <c r="B111" i="103"/>
  <c r="W125" i="74"/>
  <c r="Q127" i="104"/>
  <c r="X108" i="74"/>
  <c r="K124" i="74"/>
  <c r="W120" i="74"/>
  <c r="O136" i="74"/>
  <c r="W134" i="104"/>
  <c r="X134" i="104" s="1"/>
  <c r="T134" i="104" s="1"/>
  <c r="N127" i="74"/>
  <c r="C127" i="103"/>
  <c r="X126" i="74"/>
  <c r="U127" i="103"/>
  <c r="W126" i="74"/>
  <c r="R127" i="104"/>
  <c r="AI139" i="104"/>
  <c r="K113" i="74"/>
  <c r="O125" i="74"/>
  <c r="J140" i="74"/>
  <c r="K139" i="74"/>
  <c r="AL135" i="104"/>
  <c r="AE134" i="104"/>
  <c r="N127" i="103"/>
  <c r="M120" i="103"/>
  <c r="L117" i="103"/>
  <c r="P136" i="74"/>
  <c r="O111" i="74"/>
  <c r="L133" i="103"/>
  <c r="P129" i="74"/>
  <c r="P140" i="74"/>
  <c r="N138" i="103"/>
  <c r="X136" i="74"/>
  <c r="N130" i="74"/>
  <c r="M125" i="103"/>
  <c r="AH127" i="104"/>
  <c r="X139" i="74"/>
  <c r="K133" i="74"/>
  <c r="K140" i="74"/>
  <c r="W139" i="74"/>
  <c r="L138" i="103"/>
  <c r="O134" i="103"/>
  <c r="X111" i="74"/>
  <c r="M129" i="74"/>
  <c r="J129" i="74"/>
  <c r="AH135" i="104"/>
  <c r="W135" i="74"/>
  <c r="L135" i="103"/>
  <c r="AD135" i="104"/>
  <c r="R135" i="103"/>
  <c r="M135" i="103"/>
  <c r="K128" i="74"/>
  <c r="AD122" i="104"/>
  <c r="AA117" i="104"/>
  <c r="X109" i="74"/>
  <c r="O121" i="103"/>
  <c r="O128" i="74"/>
  <c r="U138" i="103"/>
  <c r="U135" i="103"/>
  <c r="O141" i="74"/>
  <c r="K138" i="103"/>
  <c r="AE135" i="104"/>
  <c r="R135" i="104"/>
  <c r="P126" i="74"/>
  <c r="R138" i="103"/>
  <c r="X129" i="74"/>
  <c r="P139" i="74"/>
  <c r="T135" i="103"/>
  <c r="M136" i="74"/>
  <c r="AM127" i="104"/>
  <c r="W127" i="104"/>
  <c r="X127" i="104" s="1"/>
  <c r="T127" i="104" s="1"/>
  <c r="O139" i="74"/>
  <c r="H134" i="103"/>
  <c r="G127" i="103"/>
  <c r="O127" i="104"/>
  <c r="N139" i="74"/>
  <c r="K131" i="74"/>
  <c r="X121" i="74"/>
  <c r="K120" i="74"/>
  <c r="P111" i="74"/>
  <c r="T127" i="103"/>
  <c r="X127" i="74"/>
  <c r="P141" i="74"/>
  <c r="N135" i="103"/>
  <c r="AA133" i="104"/>
  <c r="O133" i="74"/>
  <c r="O135" i="104"/>
  <c r="S135" i="103"/>
  <c r="M135" i="74"/>
  <c r="X134" i="74"/>
  <c r="AL111" i="104"/>
  <c r="X141" i="74"/>
  <c r="AE138" i="104"/>
  <c r="N136" i="74"/>
  <c r="AI135" i="104"/>
  <c r="J133" i="74"/>
  <c r="P127" i="103"/>
  <c r="W141" i="74"/>
  <c r="AM135" i="104"/>
  <c r="R127" i="103"/>
  <c r="M127" i="74"/>
  <c r="J134" i="74"/>
  <c r="F127" i="104"/>
  <c r="J127" i="74"/>
  <c r="O138" i="103"/>
  <c r="AL138" i="104"/>
  <c r="M112" i="74"/>
  <c r="S108" i="103"/>
  <c r="P119" i="74"/>
  <c r="N127" i="104"/>
  <c r="M127" i="104" s="1"/>
  <c r="AA135" i="104"/>
  <c r="W132" i="104"/>
  <c r="X132" i="104" s="1"/>
  <c r="T132" i="104" s="1"/>
  <c r="K111" i="74"/>
  <c r="F112" i="104"/>
  <c r="AK127" i="104"/>
  <c r="AI138" i="104"/>
  <c r="K135" i="103"/>
  <c r="H137" i="103"/>
  <c r="AM134" i="104"/>
  <c r="E135" i="103"/>
  <c r="G134" i="103"/>
  <c r="Q135" i="104"/>
  <c r="N138" i="104"/>
  <c r="M138" i="104" s="1"/>
  <c r="AD138" i="104"/>
  <c r="K136" i="74"/>
  <c r="N135" i="104"/>
  <c r="W135" i="104"/>
  <c r="X135" i="104" s="1"/>
  <c r="T135" i="104" s="1"/>
  <c r="E111" i="104"/>
  <c r="K127" i="74"/>
  <c r="K126" i="74"/>
  <c r="S130" i="103"/>
  <c r="Q138" i="104"/>
  <c r="X138" i="74"/>
  <c r="K138" i="74"/>
  <c r="K137" i="74"/>
  <c r="R134" i="103"/>
  <c r="K135" i="74"/>
  <c r="X132" i="74"/>
  <c r="AA130" i="104"/>
  <c r="AC127" i="104"/>
  <c r="R139" i="103"/>
  <c r="AF135" i="104"/>
  <c r="O137" i="74"/>
  <c r="K130" i="103"/>
  <c r="O152" i="74"/>
  <c r="AM152" i="104"/>
  <c r="R152" i="74"/>
  <c r="AH130" i="104"/>
  <c r="Q130" i="103"/>
  <c r="J149" i="104"/>
  <c r="M150" i="74"/>
  <c r="X148" i="74"/>
  <c r="G153" i="74"/>
  <c r="AG153" i="74"/>
  <c r="N150" i="74"/>
  <c r="U149" i="74"/>
  <c r="P132" i="74"/>
  <c r="N145" i="74"/>
  <c r="AF149" i="104"/>
  <c r="I154" i="74"/>
  <c r="AD145" i="104"/>
  <c r="Q149" i="104"/>
  <c r="X131" i="74"/>
  <c r="X150" i="74"/>
  <c r="AI154" i="104"/>
  <c r="AE150" i="74"/>
  <c r="P150" i="74"/>
  <c r="AM150" i="104"/>
  <c r="H154" i="74"/>
  <c r="Q138" i="103"/>
  <c r="X133" i="74"/>
  <c r="N126" i="74"/>
  <c r="O138" i="74"/>
  <c r="AC134" i="104"/>
  <c r="U130" i="103"/>
  <c r="J131" i="74"/>
  <c r="AG149" i="74"/>
  <c r="AF150" i="74"/>
  <c r="AE151" i="74"/>
  <c r="E17" i="104"/>
  <c r="B15" i="103"/>
  <c r="W17" i="74"/>
  <c r="AA154" i="74"/>
  <c r="L12" i="103"/>
  <c r="K143" i="74"/>
  <c r="H153" i="104"/>
  <c r="Z151" i="74"/>
  <c r="AK150" i="104"/>
  <c r="AN150" i="104" s="1"/>
  <c r="N148" i="74"/>
  <c r="W151" i="104"/>
  <c r="X151" i="104" s="1"/>
  <c r="T151" i="104" s="1"/>
  <c r="AK154" i="104"/>
  <c r="AD150" i="74"/>
  <c r="AI153" i="104"/>
  <c r="AC152" i="74"/>
  <c r="Y150" i="74"/>
  <c r="AC149" i="104"/>
  <c r="R149" i="104"/>
  <c r="H147" i="103"/>
  <c r="J152" i="74"/>
  <c r="J150" i="74"/>
  <c r="AF152" i="104"/>
  <c r="O147" i="104"/>
  <c r="O154" i="104"/>
  <c r="AF143" i="104"/>
  <c r="K68" i="74"/>
  <c r="T130" i="103"/>
  <c r="W138" i="104"/>
  <c r="X138" i="104" s="1"/>
  <c r="T138" i="104" s="1"/>
  <c r="J136" i="74"/>
  <c r="Q135" i="103"/>
  <c r="R138" i="104"/>
  <c r="M139" i="74"/>
  <c r="T136" i="103"/>
  <c r="J134" i="103"/>
  <c r="AM153" i="104"/>
  <c r="T150" i="74"/>
  <c r="F17" i="104"/>
  <c r="G17" i="104" s="1"/>
  <c r="K17" i="74"/>
  <c r="N143" i="74"/>
  <c r="W132" i="74"/>
  <c r="M132" i="74"/>
  <c r="T153" i="74"/>
  <c r="N154" i="74"/>
  <c r="P154" i="74"/>
  <c r="O149" i="74"/>
  <c r="AC151" i="74"/>
  <c r="K14" i="74"/>
  <c r="AF153" i="74"/>
  <c r="Y149" i="74"/>
  <c r="Q152" i="74"/>
  <c r="N131" i="74"/>
  <c r="AD154" i="104"/>
  <c r="AB152" i="74"/>
  <c r="O143" i="74"/>
  <c r="Q132" i="104"/>
  <c r="J154" i="104"/>
  <c r="AB153" i="74"/>
  <c r="T134" i="103"/>
  <c r="M128" i="74"/>
  <c r="Z153" i="74"/>
  <c r="K146" i="74"/>
  <c r="AH151" i="104"/>
  <c r="X152" i="74"/>
  <c r="AA151" i="74"/>
  <c r="Y153" i="74"/>
  <c r="X14" i="74"/>
  <c r="AC153" i="74"/>
  <c r="H154" i="104"/>
  <c r="AG152" i="74"/>
  <c r="AD150" i="104"/>
  <c r="N149" i="104"/>
  <c r="AE143" i="104"/>
  <c r="AF130" i="104"/>
  <c r="AC130" i="104"/>
  <c r="AD130" i="104"/>
  <c r="AD152" i="74"/>
  <c r="H153" i="74"/>
  <c r="N130" i="103"/>
  <c r="R154" i="74"/>
  <c r="I150" i="104"/>
  <c r="AK153" i="104"/>
  <c r="W147" i="74"/>
  <c r="O131" i="74"/>
  <c r="W127" i="74"/>
  <c r="Q140" i="103"/>
  <c r="W137" i="74"/>
  <c r="X137" i="74"/>
  <c r="I135" i="104"/>
  <c r="K135" i="104" s="1"/>
  <c r="J135" i="74"/>
  <c r="K130" i="74"/>
  <c r="J138" i="74"/>
  <c r="M137" i="74"/>
  <c r="O15" i="74"/>
  <c r="AI143" i="104"/>
  <c r="J154" i="74"/>
  <c r="AH152" i="104"/>
  <c r="AI149" i="104"/>
  <c r="J143" i="74"/>
  <c r="O54" i="74"/>
  <c r="K78" i="74"/>
  <c r="N133" i="74"/>
  <c r="J132" i="103"/>
  <c r="O132" i="74"/>
  <c r="K149" i="74"/>
  <c r="O130" i="74"/>
  <c r="U153" i="74"/>
  <c r="K152" i="74"/>
  <c r="X130" i="74"/>
  <c r="I154" i="104"/>
  <c r="P148" i="74"/>
  <c r="AA154" i="104"/>
  <c r="W131" i="74"/>
  <c r="Z154" i="74"/>
  <c r="W154" i="104"/>
  <c r="X154" i="104" s="1"/>
  <c r="T154" i="104" s="1"/>
  <c r="M15" i="74"/>
  <c r="J16" i="74"/>
  <c r="B17" i="103"/>
  <c r="AE59" i="104"/>
  <c r="AG59" i="104" s="1"/>
  <c r="M141" i="74"/>
  <c r="J139" i="74"/>
  <c r="AI134" i="104"/>
  <c r="AF134" i="104"/>
  <c r="P135" i="103"/>
  <c r="P133" i="74"/>
  <c r="K132" i="74"/>
  <c r="P130" i="74"/>
  <c r="W153" i="74"/>
  <c r="AC150" i="74"/>
  <c r="Y151" i="74"/>
  <c r="F153" i="104"/>
  <c r="S143" i="103"/>
  <c r="AI130" i="104"/>
  <c r="AH154" i="104"/>
  <c r="N94" i="74"/>
  <c r="AC152" i="104"/>
  <c r="AA153" i="104"/>
  <c r="F148" i="104"/>
  <c r="N147" i="74"/>
  <c r="Z150" i="74"/>
  <c r="AD153" i="74"/>
  <c r="AC148" i="104"/>
  <c r="C148" i="103"/>
  <c r="O148" i="74"/>
  <c r="AA152" i="74"/>
  <c r="J17" i="74"/>
  <c r="R69" i="103"/>
  <c r="J132" i="74"/>
  <c r="N149" i="74"/>
  <c r="AL154" i="104"/>
  <c r="AF150" i="104"/>
  <c r="AE151" i="104"/>
  <c r="W17" i="104"/>
  <c r="X17" i="104" s="1"/>
  <c r="T17" i="104" s="1"/>
  <c r="AM138" i="104"/>
  <c r="AK138" i="104"/>
  <c r="P138" i="74"/>
  <c r="N134" i="104"/>
  <c r="K127" i="103"/>
  <c r="AC138" i="104"/>
  <c r="AG138" i="104" s="1"/>
  <c r="J135" i="103"/>
  <c r="H135" i="103"/>
  <c r="M148" i="103"/>
  <c r="N153" i="74"/>
  <c r="L143" i="103"/>
  <c r="X17" i="74"/>
  <c r="P130" i="103"/>
  <c r="O147" i="74"/>
  <c r="B89" i="103"/>
  <c r="T152" i="74"/>
  <c r="AE149" i="74"/>
  <c r="K150" i="74"/>
  <c r="N132" i="74"/>
  <c r="AL150" i="104"/>
  <c r="L154" i="74"/>
  <c r="J145" i="74"/>
  <c r="Q152" i="104"/>
  <c r="M130" i="74"/>
  <c r="AD153" i="104"/>
  <c r="AA150" i="104"/>
  <c r="J142" i="74"/>
  <c r="R130" i="103"/>
  <c r="AM130" i="104"/>
  <c r="R153" i="104"/>
  <c r="T149" i="74"/>
  <c r="C17" i="103"/>
  <c r="X16" i="74"/>
  <c r="M138" i="103"/>
  <c r="C138" i="103"/>
  <c r="M115" i="74"/>
  <c r="P127" i="74"/>
  <c r="O138" i="104"/>
  <c r="F135" i="103"/>
  <c r="W148" i="104"/>
  <c r="X148" i="104" s="1"/>
  <c r="T148" i="104" s="1"/>
  <c r="L153" i="74"/>
  <c r="O144" i="74"/>
  <c r="R150" i="74"/>
  <c r="AC154" i="104"/>
  <c r="AK17" i="104"/>
  <c r="O130" i="103"/>
  <c r="J149" i="74"/>
  <c r="O152" i="104"/>
  <c r="AE152" i="104"/>
  <c r="X146" i="74"/>
  <c r="M153" i="74"/>
  <c r="N152" i="104"/>
  <c r="AH134" i="104"/>
  <c r="N153" i="104"/>
  <c r="AA149" i="104"/>
  <c r="J148" i="74"/>
  <c r="AE154" i="104"/>
  <c r="W149" i="74"/>
  <c r="H16" i="104"/>
  <c r="R130" i="104"/>
  <c r="M130" i="103"/>
  <c r="AL153" i="104"/>
  <c r="K147" i="74"/>
  <c r="AD151" i="104"/>
  <c r="P143" i="74"/>
  <c r="AC150" i="104"/>
  <c r="AE150" i="104"/>
  <c r="AM149" i="104"/>
  <c r="AK151" i="104"/>
  <c r="AC153" i="104"/>
  <c r="AF153" i="104"/>
  <c r="N146" i="74"/>
  <c r="AH150" i="104"/>
  <c r="W59" i="104"/>
  <c r="X59" i="104" s="1"/>
  <c r="T59" i="104" s="1"/>
  <c r="AF69" i="104"/>
  <c r="AC85" i="104"/>
  <c r="D95" i="103"/>
  <c r="M61" i="74"/>
  <c r="N13" i="74"/>
  <c r="W144" i="74"/>
  <c r="X61" i="74"/>
  <c r="J65" i="74"/>
  <c r="P142" i="74"/>
  <c r="O121" i="74"/>
  <c r="M113" i="74"/>
  <c r="J75" i="74"/>
  <c r="AE85" i="104"/>
  <c r="M114" i="74"/>
  <c r="N113" i="74"/>
  <c r="W133" i="74"/>
  <c r="N145" i="103"/>
  <c r="AD154" i="74"/>
  <c r="AD149" i="74"/>
  <c r="J147" i="74"/>
  <c r="AA143" i="104"/>
  <c r="P94" i="74"/>
  <c r="AI95" i="104"/>
  <c r="AJ95" i="104" s="1"/>
  <c r="P95" i="74"/>
  <c r="AM122" i="104"/>
  <c r="O85" i="103"/>
  <c r="N68" i="74"/>
  <c r="W142" i="74"/>
  <c r="J76" i="74"/>
  <c r="AK143" i="104"/>
  <c r="X12" i="74"/>
  <c r="M143" i="74"/>
  <c r="O59" i="103"/>
  <c r="W116" i="74"/>
  <c r="M143" i="103"/>
  <c r="X76" i="74"/>
  <c r="W113" i="74"/>
  <c r="X15" i="74"/>
  <c r="W68" i="74"/>
  <c r="AB149" i="74"/>
  <c r="J114" i="74"/>
  <c r="P121" i="74"/>
  <c r="O13" i="74"/>
  <c r="O143" i="104"/>
  <c r="K143" i="103"/>
  <c r="H143" i="103"/>
  <c r="K47" i="74"/>
  <c r="Y152" i="74"/>
  <c r="Y154" i="74"/>
  <c r="O154" i="74"/>
  <c r="W152" i="104"/>
  <c r="X152" i="104" s="1"/>
  <c r="T152" i="104" s="1"/>
  <c r="M121" i="74"/>
  <c r="O143" i="103"/>
  <c r="P69" i="103"/>
  <c r="AC64" i="104"/>
  <c r="N142" i="74"/>
  <c r="W95" i="74"/>
  <c r="X69" i="74"/>
  <c r="J113" i="74"/>
  <c r="R85" i="103"/>
  <c r="W143" i="74"/>
  <c r="P85" i="74"/>
  <c r="M64" i="103"/>
  <c r="E17" i="103"/>
  <c r="N144" i="74"/>
  <c r="X94" i="74"/>
  <c r="K85" i="74"/>
  <c r="AA150" i="74"/>
  <c r="AI150" i="104"/>
  <c r="M149" i="74"/>
  <c r="F153" i="74"/>
  <c r="M131" i="74"/>
  <c r="P149" i="74"/>
  <c r="J153" i="104"/>
  <c r="M69" i="74"/>
  <c r="P69" i="74"/>
  <c r="P112" i="103"/>
  <c r="P13" i="74"/>
  <c r="O16" i="74"/>
  <c r="U122" i="103"/>
  <c r="N65" i="74"/>
  <c r="O142" i="74"/>
  <c r="W113" i="104"/>
  <c r="X113" i="104" s="1"/>
  <c r="T113" i="104" s="1"/>
  <c r="AA12" i="104"/>
  <c r="P143" i="103"/>
  <c r="K93" i="74"/>
  <c r="O76" i="74"/>
  <c r="N62" i="74"/>
  <c r="O113" i="74"/>
  <c r="AM121" i="104"/>
  <c r="R113" i="104"/>
  <c r="O62" i="74"/>
  <c r="P131" i="74"/>
  <c r="AK130" i="104"/>
  <c r="AL130" i="104"/>
  <c r="AG150" i="74"/>
  <c r="AC151" i="104"/>
  <c r="O88" i="74"/>
  <c r="P95" i="103"/>
  <c r="J121" i="74"/>
  <c r="M88" i="74"/>
  <c r="J85" i="103"/>
  <c r="P16" i="74"/>
  <c r="M16" i="74"/>
  <c r="W62" i="74"/>
  <c r="AE95" i="104"/>
  <c r="AF95" i="104"/>
  <c r="K65" i="74"/>
  <c r="K54" i="74"/>
  <c r="J95" i="74"/>
  <c r="AH153" i="104"/>
  <c r="AJ153" i="104" s="1"/>
  <c r="W148" i="74"/>
  <c r="AE153" i="74"/>
  <c r="Q150" i="104"/>
  <c r="W130" i="74"/>
  <c r="L130" i="103"/>
  <c r="AE154" i="74"/>
  <c r="AB150" i="74"/>
  <c r="Q153" i="104"/>
  <c r="X144" i="74"/>
  <c r="AI69" i="104"/>
  <c r="H121" i="103"/>
  <c r="W54" i="74"/>
  <c r="U121" i="103"/>
  <c r="AC143" i="104"/>
  <c r="D17" i="103"/>
  <c r="O68" i="74"/>
  <c r="M122" i="74"/>
  <c r="P15" i="74"/>
  <c r="X143" i="74"/>
  <c r="M62" i="74"/>
  <c r="N69" i="74"/>
  <c r="X54" i="74"/>
  <c r="R143" i="104"/>
  <c r="X149" i="74"/>
  <c r="AI152" i="104"/>
  <c r="Q153" i="74"/>
  <c r="M85" i="103"/>
  <c r="M65" i="74"/>
  <c r="AC10" i="104"/>
  <c r="AG10" i="104" s="1"/>
  <c r="K114" i="74"/>
  <c r="N88" i="74"/>
  <c r="P14" i="103"/>
  <c r="O14" i="74"/>
  <c r="R143" i="103"/>
  <c r="O94" i="74"/>
  <c r="J137" i="74"/>
  <c r="M51" i="74"/>
  <c r="O150" i="104"/>
  <c r="AK149" i="104"/>
  <c r="AC154" i="74"/>
  <c r="E153" i="104"/>
  <c r="AF154" i="74"/>
  <c r="Q149" i="74"/>
  <c r="P152" i="74"/>
  <c r="AA11" i="104"/>
  <c r="M142" i="74"/>
  <c r="AI85" i="104"/>
  <c r="O95" i="103"/>
  <c r="X142" i="74"/>
  <c r="Q85" i="104"/>
  <c r="AF112" i="104"/>
  <c r="W76" i="74"/>
  <c r="O116" i="74"/>
  <c r="K142" i="74"/>
  <c r="M54" i="74"/>
  <c r="H95" i="104"/>
  <c r="J61" i="74"/>
  <c r="X88" i="74"/>
  <c r="E89" i="104"/>
  <c r="P113" i="74"/>
  <c r="O17" i="74"/>
  <c r="U144" i="103"/>
  <c r="O121" i="104"/>
  <c r="R59" i="104"/>
  <c r="W61" i="74"/>
  <c r="N7" i="103"/>
  <c r="AA7" i="104"/>
  <c r="AF6" i="104"/>
  <c r="AG6" i="104" s="1"/>
  <c r="R9" i="103"/>
  <c r="R10" i="103"/>
  <c r="Q8" i="103"/>
  <c r="AA152" i="104"/>
  <c r="AE152" i="74"/>
  <c r="G143" i="103"/>
  <c r="P65" i="74"/>
  <c r="AD7" i="104"/>
  <c r="K8" i="103"/>
  <c r="AH8" i="104"/>
  <c r="AJ8" i="104" s="1"/>
  <c r="P10" i="74"/>
  <c r="M8" i="103"/>
  <c r="O8" i="103"/>
  <c r="K8" i="74"/>
  <c r="AM7" i="104"/>
  <c r="AN7" i="104" s="1"/>
  <c r="AF149" i="74"/>
  <c r="R147" i="103"/>
  <c r="AC149" i="74"/>
  <c r="J144" i="74"/>
  <c r="E15" i="104"/>
  <c r="J94" i="74"/>
  <c r="AH11" i="104"/>
  <c r="AJ11" i="104" s="1"/>
  <c r="P9" i="104"/>
  <c r="M9" i="74"/>
  <c r="R10" i="104"/>
  <c r="B5" i="103"/>
  <c r="W8" i="74"/>
  <c r="R8" i="104"/>
  <c r="X147" i="74"/>
  <c r="W145" i="74"/>
  <c r="P147" i="74"/>
  <c r="AI151" i="104"/>
  <c r="J89" i="74"/>
  <c r="S8" i="103"/>
  <c r="P9" i="74"/>
  <c r="G8" i="103"/>
  <c r="O7" i="104"/>
  <c r="J10" i="103"/>
  <c r="N152" i="74"/>
  <c r="W152" i="74"/>
  <c r="R149" i="74"/>
  <c r="N143" i="104"/>
  <c r="K116" i="74"/>
  <c r="M116" i="74"/>
  <c r="AC8" i="104"/>
  <c r="AG8" i="104" s="1"/>
  <c r="P9" i="103"/>
  <c r="N8" i="103"/>
  <c r="T10" i="103"/>
  <c r="W14" i="74"/>
  <c r="AC9" i="104"/>
  <c r="R150" i="104"/>
  <c r="AI147" i="104"/>
  <c r="AH149" i="104"/>
  <c r="P17" i="74"/>
  <c r="K59" i="103"/>
  <c r="O7" i="103"/>
  <c r="N7" i="74"/>
  <c r="W9" i="104"/>
  <c r="X9" i="104" s="1"/>
  <c r="T9" i="104" s="1"/>
  <c r="AM9" i="104"/>
  <c r="AN9" i="104" s="1"/>
  <c r="AD151" i="74"/>
  <c r="W149" i="104"/>
  <c r="X149" i="104" s="1"/>
  <c r="T149" i="104" s="1"/>
  <c r="O61" i="74"/>
  <c r="K113" i="103"/>
  <c r="AA8" i="104"/>
  <c r="M145" i="74"/>
  <c r="Q10" i="103"/>
  <c r="R11" i="103"/>
  <c r="P5" i="74"/>
  <c r="E149" i="104"/>
  <c r="AK152" i="104"/>
  <c r="W151" i="74"/>
  <c r="O149" i="104"/>
  <c r="R95" i="103"/>
  <c r="N61" i="74"/>
  <c r="X65" i="74"/>
  <c r="P7" i="74"/>
  <c r="K7" i="74"/>
  <c r="W10" i="104"/>
  <c r="AL149" i="104"/>
  <c r="U150" i="74"/>
  <c r="O11" i="74"/>
  <c r="B13" i="103"/>
  <c r="AH7" i="104"/>
  <c r="AJ7" i="104" s="1"/>
  <c r="F13" i="103"/>
  <c r="R11" i="104"/>
  <c r="N15" i="74"/>
  <c r="AC11" i="104"/>
  <c r="J15" i="74"/>
  <c r="W13" i="104"/>
  <c r="X13" i="104" s="1"/>
  <c r="T13" i="104" s="1"/>
  <c r="I17" i="104"/>
  <c r="K15" i="74"/>
  <c r="V10" i="74"/>
  <c r="S172" i="104"/>
  <c r="C172" i="104"/>
  <c r="AG154" i="74"/>
  <c r="AM154" i="104"/>
  <c r="N154" i="104"/>
  <c r="Q154" i="74"/>
  <c r="O153" i="74"/>
  <c r="AF154" i="104"/>
  <c r="AB154" i="74"/>
  <c r="AF151" i="104"/>
  <c r="AB151" i="74"/>
  <c r="W154" i="74"/>
  <c r="E154" i="104"/>
  <c r="F154" i="74"/>
  <c r="N151" i="104"/>
  <c r="Q151" i="74"/>
  <c r="K154" i="74"/>
  <c r="M147" i="74"/>
  <c r="T154" i="74"/>
  <c r="Q154" i="104"/>
  <c r="I153" i="74"/>
  <c r="I153" i="104"/>
  <c r="K153" i="104" s="1"/>
  <c r="X154" i="74"/>
  <c r="X153" i="74"/>
  <c r="F154" i="104"/>
  <c r="G154" i="74"/>
  <c r="K153" i="74"/>
  <c r="R154" i="104"/>
  <c r="U154" i="74"/>
  <c r="T63" i="107"/>
  <c r="T104" i="107"/>
  <c r="C182" i="104"/>
  <c r="X116" i="74"/>
  <c r="AE122" i="104"/>
  <c r="X96" i="74"/>
  <c r="K57" i="74"/>
  <c r="P116" i="74"/>
  <c r="O122" i="103"/>
  <c r="M96" i="74"/>
  <c r="W146" i="74"/>
  <c r="J122" i="74"/>
  <c r="N116" i="74"/>
  <c r="O19" i="74"/>
  <c r="J57" i="74"/>
  <c r="N19" i="74"/>
  <c r="G19" i="103"/>
  <c r="N19" i="104"/>
  <c r="K96" i="74"/>
  <c r="AD152" i="104"/>
  <c r="AG152" i="104" s="1"/>
  <c r="Z152" i="74"/>
  <c r="M19" i="74"/>
  <c r="O96" i="74"/>
  <c r="W122" i="74"/>
  <c r="X68" i="104"/>
  <c r="T68" i="104" s="1"/>
  <c r="P120" i="104"/>
  <c r="X58" i="104"/>
  <c r="T58" i="104" s="1"/>
  <c r="X89" i="104"/>
  <c r="T89" i="104" s="1"/>
  <c r="X100" i="104"/>
  <c r="T100" i="104" s="1"/>
  <c r="M60" i="104"/>
  <c r="T79" i="107"/>
  <c r="C199" i="104"/>
  <c r="U110" i="97"/>
  <c r="AN134" i="104"/>
  <c r="AG134" i="104"/>
  <c r="AJ127" i="104"/>
  <c r="G71" i="104"/>
  <c r="AN6" i="104"/>
  <c r="AJ135" i="104"/>
  <c r="AN127" i="104"/>
  <c r="AJ87" i="104"/>
  <c r="AJ4" i="104"/>
  <c r="AJ108" i="104"/>
  <c r="AJ150" i="104"/>
  <c r="V135" i="74"/>
  <c r="AJ105" i="104"/>
  <c r="AN95" i="104"/>
  <c r="P21" i="104"/>
  <c r="P22" i="104"/>
  <c r="K39" i="104"/>
  <c r="L39" i="104" s="1"/>
  <c r="V59" i="74"/>
  <c r="P64" i="104"/>
  <c r="AN59" i="104"/>
  <c r="AG4" i="104"/>
  <c r="P10" i="104"/>
  <c r="V8" i="74"/>
  <c r="V7" i="74"/>
  <c r="V153" i="74"/>
  <c r="P138" i="104"/>
  <c r="V138" i="74"/>
  <c r="AN86" i="104"/>
  <c r="V84" i="74"/>
  <c r="P48" i="104"/>
  <c r="P59" i="104"/>
  <c r="M59" i="104"/>
  <c r="V60" i="74"/>
  <c r="AJ6" i="104"/>
  <c r="V6" i="74"/>
  <c r="I7" i="103"/>
  <c r="P8" i="104"/>
  <c r="AN10" i="104"/>
  <c r="V149" i="74"/>
  <c r="P154" i="104"/>
  <c r="S154" i="74"/>
  <c r="M135" i="104"/>
  <c r="V134" i="74"/>
  <c r="AG135" i="104"/>
  <c r="V86" i="74"/>
  <c r="V87" i="74"/>
  <c r="M87" i="104"/>
  <c r="AG84" i="104"/>
  <c r="I22" i="103"/>
  <c r="AN46" i="104"/>
  <c r="I48" i="103"/>
  <c r="I10" i="103"/>
  <c r="V11" i="74"/>
  <c r="AJ130" i="104"/>
  <c r="I138" i="103"/>
  <c r="V102" i="74"/>
  <c r="V143" i="74"/>
  <c r="AN153" i="104"/>
  <c r="AN135" i="104"/>
  <c r="P39" i="104"/>
  <c r="AJ60" i="104"/>
  <c r="M11" i="104"/>
  <c r="V130" i="74"/>
  <c r="V150" i="74"/>
  <c r="V127" i="74"/>
  <c r="M86" i="104"/>
  <c r="I21" i="103"/>
  <c r="I29" i="103"/>
  <c r="AN56" i="104"/>
  <c r="I64" i="103"/>
  <c r="I11" i="103"/>
  <c r="V108" i="74"/>
  <c r="V95" i="74"/>
  <c r="V85" i="74"/>
  <c r="I82" i="103"/>
  <c r="AJ86" i="104"/>
  <c r="P29" i="104"/>
  <c r="V4" i="74"/>
  <c r="P7" i="104"/>
  <c r="I5" i="103"/>
  <c r="AJ138" i="104"/>
  <c r="I39" i="103"/>
  <c r="V39" i="103" s="1"/>
  <c r="G39" i="99" s="1"/>
  <c r="D39" i="99" s="1"/>
  <c r="I59" i="103"/>
  <c r="P5" i="104"/>
  <c r="AN4" i="104"/>
  <c r="I8" i="103"/>
  <c r="B67" i="102"/>
  <c r="D67" i="102"/>
  <c r="E67" i="102"/>
  <c r="E60" i="102"/>
  <c r="B60" i="102"/>
  <c r="D60" i="102"/>
  <c r="D18" i="102"/>
  <c r="B18" i="102"/>
  <c r="E18" i="102"/>
  <c r="E16" i="107"/>
  <c r="D16" i="107"/>
  <c r="B16" i="107"/>
  <c r="E71" i="102"/>
  <c r="D71" i="102"/>
  <c r="B71" i="102"/>
  <c r="AL13" i="4"/>
  <c r="T66" i="102"/>
  <c r="E35" i="102"/>
  <c r="B35" i="102"/>
  <c r="D35" i="102"/>
  <c r="B17" i="102"/>
  <c r="D17" i="102"/>
  <c r="E17" i="102"/>
  <c r="E10" i="102"/>
  <c r="B10" i="102"/>
  <c r="B13" i="107"/>
  <c r="E13" i="107"/>
  <c r="D13" i="107"/>
  <c r="AH137" i="4"/>
  <c r="E52" i="102"/>
  <c r="D52" i="102"/>
  <c r="B52" i="102"/>
  <c r="D34" i="102"/>
  <c r="B34" i="102"/>
  <c r="E34" i="102"/>
  <c r="E9" i="102"/>
  <c r="B9" i="102"/>
  <c r="D9" i="102"/>
  <c r="AH13" i="4"/>
  <c r="B65" i="102"/>
  <c r="E65" i="102"/>
  <c r="D65" i="102"/>
  <c r="D51" i="102"/>
  <c r="E51" i="102"/>
  <c r="D64" i="102"/>
  <c r="E64" i="102"/>
  <c r="B64" i="102"/>
  <c r="B38" i="102"/>
  <c r="D38" i="102"/>
  <c r="E38" i="102"/>
  <c r="B129" i="107"/>
  <c r="T129" i="107" s="1"/>
  <c r="D129" i="107"/>
  <c r="E129" i="107"/>
  <c r="B107" i="107"/>
  <c r="E107" i="107"/>
  <c r="D107" i="107"/>
  <c r="D105" i="107"/>
  <c r="E105" i="107"/>
  <c r="B105" i="107"/>
  <c r="B35" i="107"/>
  <c r="E35" i="107"/>
  <c r="AH12" i="4"/>
  <c r="E20" i="102"/>
  <c r="D20" i="102"/>
  <c r="B20" i="102"/>
  <c r="E14" i="102"/>
  <c r="B14" i="102"/>
  <c r="D14" i="102"/>
  <c r="B92" i="107"/>
  <c r="D92" i="107"/>
  <c r="E92" i="107"/>
  <c r="E38" i="107"/>
  <c r="B38" i="107"/>
  <c r="D38" i="107"/>
  <c r="E34" i="107"/>
  <c r="D34" i="107"/>
  <c r="B34" i="107"/>
  <c r="B23" i="107"/>
  <c r="E23" i="107"/>
  <c r="D23" i="107"/>
  <c r="D99" i="107"/>
  <c r="E99" i="107"/>
  <c r="D13" i="102"/>
  <c r="E13" i="102"/>
  <c r="B13" i="102"/>
  <c r="E111" i="107"/>
  <c r="B111" i="107"/>
  <c r="D111" i="107"/>
  <c r="B10" i="107"/>
  <c r="D10" i="107"/>
  <c r="E10" i="107"/>
  <c r="E22" i="107"/>
  <c r="B22" i="107"/>
  <c r="D22" i="107"/>
  <c r="E67" i="107"/>
  <c r="D67" i="107"/>
  <c r="B67" i="107"/>
  <c r="AH89" i="4"/>
  <c r="AH7" i="4"/>
  <c r="D61" i="102"/>
  <c r="E61" i="102"/>
  <c r="B61" i="102"/>
  <c r="D42" i="102"/>
  <c r="B42" i="102"/>
  <c r="E42" i="102"/>
  <c r="T30" i="102"/>
  <c r="B25" i="102"/>
  <c r="D25" i="102"/>
  <c r="B100" i="107"/>
  <c r="D100" i="107"/>
  <c r="E100" i="107"/>
  <c r="E21" i="107"/>
  <c r="D21" i="107"/>
  <c r="B21" i="107"/>
  <c r="B117" i="107"/>
  <c r="D117" i="107"/>
  <c r="E117" i="107"/>
  <c r="D51" i="107"/>
  <c r="D48" i="107"/>
  <c r="B52" i="107"/>
  <c r="B9" i="107"/>
  <c r="D84" i="107"/>
  <c r="D33" i="107"/>
  <c r="D25" i="107"/>
  <c r="E59" i="102"/>
  <c r="E93" i="107"/>
  <c r="D59" i="102"/>
  <c r="D9" i="107"/>
  <c r="B93" i="107"/>
  <c r="E132" i="107"/>
  <c r="B123" i="107"/>
  <c r="E123" i="107"/>
  <c r="B19" i="102"/>
  <c r="D91" i="107"/>
  <c r="B94" i="107"/>
  <c r="B132" i="107"/>
  <c r="D94" i="107"/>
  <c r="D17" i="107"/>
  <c r="B69" i="102"/>
  <c r="AL133" i="4"/>
  <c r="AL105" i="4"/>
  <c r="B106" i="107"/>
  <c r="D106" i="107"/>
  <c r="E106" i="107"/>
  <c r="AL89" i="4"/>
  <c r="AH49" i="4"/>
  <c r="AL141" i="4"/>
  <c r="E20" i="107"/>
  <c r="D20" i="107"/>
  <c r="B20" i="107"/>
  <c r="B27" i="102"/>
  <c r="D27" i="102"/>
  <c r="E27" i="102"/>
  <c r="E43" i="102"/>
  <c r="D43" i="102"/>
  <c r="B43" i="102"/>
  <c r="E49" i="107"/>
  <c r="D49" i="107"/>
  <c r="B49" i="107"/>
  <c r="AH130" i="4"/>
  <c r="AH88" i="4"/>
  <c r="AH59" i="4"/>
  <c r="D19" i="102"/>
  <c r="L60" i="74"/>
  <c r="W63" i="75" s="1"/>
  <c r="R49" i="74"/>
  <c r="G52" i="3" s="1"/>
  <c r="R65" i="74"/>
  <c r="G68" i="3" s="1"/>
  <c r="H51" i="74"/>
  <c r="AD51" i="74"/>
  <c r="AG54" i="4" s="1"/>
  <c r="Z62" i="74"/>
  <c r="AB65" i="4" s="1"/>
  <c r="H63" i="74"/>
  <c r="O66" i="75" s="1"/>
  <c r="F63" i="74"/>
  <c r="F66" i="75" s="1"/>
  <c r="AA63" i="74"/>
  <c r="AC66" i="4" s="1"/>
  <c r="AD52" i="74"/>
  <c r="AG55" i="4" s="1"/>
  <c r="S48" i="74"/>
  <c r="H51" i="3" s="1"/>
  <c r="AD53" i="74"/>
  <c r="AG56" i="4" s="1"/>
  <c r="G56" i="74"/>
  <c r="J59" i="75" s="1"/>
  <c r="AG61" i="74"/>
  <c r="AK64" i="4" s="1"/>
  <c r="AG49" i="74"/>
  <c r="AK52" i="4" s="1"/>
  <c r="L58" i="74"/>
  <c r="W61" i="75" s="1"/>
  <c r="I50" i="74"/>
  <c r="S53" i="75" s="1"/>
  <c r="S57" i="74"/>
  <c r="H60" i="3" s="1"/>
  <c r="G39" i="74"/>
  <c r="J42" i="75" s="1"/>
  <c r="U34" i="74"/>
  <c r="J37" i="3" s="1"/>
  <c r="L13" i="74"/>
  <c r="U43" i="74"/>
  <c r="J46" i="3" s="1"/>
  <c r="Q33" i="74"/>
  <c r="F36" i="3" s="1"/>
  <c r="R18" i="74"/>
  <c r="G21" i="3" s="1"/>
  <c r="AH87" i="4"/>
  <c r="AH90" i="4"/>
  <c r="AL137" i="4"/>
  <c r="AE130" i="4"/>
  <c r="AE138" i="4"/>
  <c r="AH105" i="4"/>
  <c r="AE88" i="4"/>
  <c r="AL63" i="4"/>
  <c r="AH62" i="4"/>
  <c r="AH141" i="4"/>
  <c r="AL111" i="4"/>
  <c r="AL90" i="4"/>
  <c r="B48" i="102"/>
  <c r="E48" i="102"/>
  <c r="E44" i="102"/>
  <c r="B44" i="102"/>
  <c r="D44" i="102"/>
  <c r="D33" i="102"/>
  <c r="B33" i="102"/>
  <c r="B26" i="102"/>
  <c r="E26" i="102"/>
  <c r="D22" i="102"/>
  <c r="B22" i="102"/>
  <c r="E22" i="102"/>
  <c r="E12" i="102"/>
  <c r="B12" i="102"/>
  <c r="D12" i="102"/>
  <c r="D72" i="102"/>
  <c r="E72" i="102"/>
  <c r="I17" i="74"/>
  <c r="S20" i="75" s="1"/>
  <c r="Q20" i="74"/>
  <c r="F23" i="3" s="1"/>
  <c r="L27" i="74"/>
  <c r="W30" i="75" s="1"/>
  <c r="Q37" i="74"/>
  <c r="F40" i="3" s="1"/>
  <c r="R47" i="74"/>
  <c r="G50" i="3" s="1"/>
  <c r="R20" i="74"/>
  <c r="G23" i="3" s="1"/>
  <c r="R42" i="74"/>
  <c r="G45" i="3" s="1"/>
  <c r="J36" i="85"/>
  <c r="J26" i="85"/>
  <c r="Q36" i="74"/>
  <c r="F39" i="3" s="1"/>
  <c r="T32" i="74"/>
  <c r="I35" i="3" s="1"/>
  <c r="F39" i="74"/>
  <c r="F42" i="75" s="1"/>
  <c r="AC17" i="74"/>
  <c r="AF20" i="4" s="1"/>
  <c r="I23" i="74"/>
  <c r="S26" i="75" s="1"/>
  <c r="U31" i="74"/>
  <c r="J34" i="3" s="1"/>
  <c r="AD34" i="74"/>
  <c r="AG37" i="4" s="1"/>
  <c r="AE39" i="74"/>
  <c r="AI42" i="4" s="1"/>
  <c r="Q19" i="74"/>
  <c r="F22" i="3" s="1"/>
  <c r="G25" i="74"/>
  <c r="J28" i="75" s="1"/>
  <c r="U39" i="74"/>
  <c r="J42" i="3" s="1"/>
  <c r="L39" i="74"/>
  <c r="W42" i="75" s="1"/>
  <c r="AB39" i="74"/>
  <c r="AD42" i="4" s="1"/>
  <c r="G48" i="74"/>
  <c r="J30" i="85"/>
  <c r="L23" i="74"/>
  <c r="H26" i="74"/>
  <c r="F30" i="74"/>
  <c r="F33" i="75" s="1"/>
  <c r="AA34" i="74"/>
  <c r="AC37" i="4" s="1"/>
  <c r="Q39" i="74"/>
  <c r="F42" i="3" s="1"/>
  <c r="Y39" i="74"/>
  <c r="AA42" i="4" s="1"/>
  <c r="AF39" i="74"/>
  <c r="AJ42" i="4" s="1"/>
  <c r="L40" i="74"/>
  <c r="W43" i="75" s="1"/>
  <c r="AD41" i="74"/>
  <c r="AG44" i="4" s="1"/>
  <c r="G49" i="74"/>
  <c r="Z21" i="74"/>
  <c r="AB24" i="4" s="1"/>
  <c r="Z24" i="74"/>
  <c r="AB27" i="4" s="1"/>
  <c r="AE27" i="74"/>
  <c r="AI30" i="4" s="1"/>
  <c r="AD29" i="74"/>
  <c r="AG32" i="4" s="1"/>
  <c r="AE34" i="74"/>
  <c r="AI37" i="4" s="1"/>
  <c r="Q38" i="74"/>
  <c r="F41" i="3" s="1"/>
  <c r="H39" i="74"/>
  <c r="AA40" i="74"/>
  <c r="AC43" i="4" s="1"/>
  <c r="U45" i="74"/>
  <c r="J48" i="3" s="1"/>
  <c r="R46" i="74"/>
  <c r="G49" i="3" s="1"/>
  <c r="H16" i="74"/>
  <c r="G17" i="74"/>
  <c r="J20" i="75" s="1"/>
  <c r="F17" i="74"/>
  <c r="F20" i="75" s="1"/>
  <c r="AE17" i="74"/>
  <c r="AI20" i="4" s="1"/>
  <c r="S21" i="74"/>
  <c r="H24" i="3" s="1"/>
  <c r="R39" i="74"/>
  <c r="G42" i="3" s="1"/>
  <c r="Z39" i="74"/>
  <c r="AB42" i="4" s="1"/>
  <c r="AC39" i="74"/>
  <c r="AF42" i="4" s="1"/>
  <c r="F13" i="74"/>
  <c r="AE29" i="74"/>
  <c r="AI32" i="4" s="1"/>
  <c r="S39" i="74"/>
  <c r="H42" i="3" s="1"/>
  <c r="AG39" i="74"/>
  <c r="AK42" i="4" s="1"/>
  <c r="F15" i="74"/>
  <c r="L34" i="74"/>
  <c r="I39" i="74"/>
  <c r="AB14" i="74"/>
  <c r="AD17" i="4" s="1"/>
  <c r="H17" i="74"/>
  <c r="U21" i="74"/>
  <c r="J24" i="3" s="1"/>
  <c r="G29" i="74"/>
  <c r="J32" i="75" s="1"/>
  <c r="AA39" i="74"/>
  <c r="AC42" i="4" s="1"/>
  <c r="AE137" i="4"/>
  <c r="AE98" i="4"/>
  <c r="AE90" i="4"/>
  <c r="AE87" i="4"/>
  <c r="AL87" i="4"/>
  <c r="AH98" i="4"/>
  <c r="AL11" i="4"/>
  <c r="AL88" i="4"/>
  <c r="AE12" i="4"/>
  <c r="AL98" i="4"/>
  <c r="AE63" i="4"/>
  <c r="AH138" i="4"/>
  <c r="Q89" i="4"/>
  <c r="AL49" i="4"/>
  <c r="AE13" i="4"/>
  <c r="AE133" i="4"/>
  <c r="G3" i="74"/>
  <c r="J6" i="75" s="1"/>
  <c r="I4" i="74"/>
  <c r="S7" i="75" s="1"/>
  <c r="G10" i="74"/>
  <c r="J13" i="75" s="1"/>
  <c r="J4" i="85"/>
  <c r="L5" i="74"/>
  <c r="AB3" i="74"/>
  <c r="AD6" i="4" s="1"/>
  <c r="S5" i="74"/>
  <c r="H8" i="3" s="1"/>
  <c r="F5" i="74"/>
  <c r="Y5" i="74"/>
  <c r="AA8" i="4" s="1"/>
  <c r="H4" i="74"/>
  <c r="S8" i="74"/>
  <c r="H11" i="3" s="1"/>
  <c r="T132" i="107"/>
  <c r="S22" i="74"/>
  <c r="H25" i="3" s="1"/>
  <c r="AG85" i="104"/>
  <c r="P153" i="104"/>
  <c r="V154" i="74"/>
  <c r="S211" i="104"/>
  <c r="C191" i="104"/>
  <c r="S157" i="104"/>
  <c r="J137" i="4"/>
  <c r="V137" i="4"/>
  <c r="AL108" i="4"/>
  <c r="T89" i="4"/>
  <c r="J89" i="4"/>
  <c r="T63" i="4"/>
  <c r="J7" i="4"/>
  <c r="A28" i="97"/>
  <c r="A29" i="3"/>
  <c r="A29" i="4"/>
  <c r="A29" i="75"/>
  <c r="A81" i="4"/>
  <c r="A81" i="3"/>
  <c r="A80" i="97"/>
  <c r="A81" i="75"/>
  <c r="A94" i="4"/>
  <c r="A93" i="97"/>
  <c r="A141" i="97"/>
  <c r="A142" i="4"/>
  <c r="A142" i="3"/>
  <c r="A142" i="75"/>
  <c r="A123" i="97"/>
  <c r="A124" i="4"/>
  <c r="A124" i="3"/>
  <c r="A124" i="75"/>
  <c r="T59" i="102"/>
  <c r="A151" i="4"/>
  <c r="A150" i="97"/>
  <c r="A151" i="3"/>
  <c r="A151" i="75"/>
  <c r="E152" i="97"/>
  <c r="D148" i="3"/>
  <c r="D148" i="4"/>
  <c r="D147" i="97"/>
  <c r="D148" i="75"/>
  <c r="M11" i="4"/>
  <c r="U11" i="4"/>
  <c r="A45" i="3"/>
  <c r="A45" i="75"/>
  <c r="A45" i="4"/>
  <c r="A57" i="3"/>
  <c r="A57" i="75"/>
  <c r="A56" i="97"/>
  <c r="A57" i="4"/>
  <c r="A94" i="97"/>
  <c r="A95" i="4"/>
  <c r="A95" i="3"/>
  <c r="A95" i="75"/>
  <c r="A108" i="4"/>
  <c r="A107" i="97"/>
  <c r="A120" i="4"/>
  <c r="A120" i="75"/>
  <c r="A120" i="3"/>
  <c r="A119" i="97"/>
  <c r="D58" i="102"/>
  <c r="E58" i="102"/>
  <c r="B58" i="102"/>
  <c r="D131" i="107"/>
  <c r="E131" i="107"/>
  <c r="B131" i="107"/>
  <c r="F155" i="97"/>
  <c r="D151" i="97"/>
  <c r="F145" i="97"/>
  <c r="B146" i="3"/>
  <c r="B146" i="75"/>
  <c r="B146" i="4"/>
  <c r="U130" i="4"/>
  <c r="AH108" i="4"/>
  <c r="P89" i="4"/>
  <c r="L63" i="4"/>
  <c r="V63" i="4"/>
  <c r="P59" i="4"/>
  <c r="P11" i="4"/>
  <c r="G7" i="4"/>
  <c r="A34" i="4"/>
  <c r="A33" i="97"/>
  <c r="A34" i="75"/>
  <c r="A34" i="3"/>
  <c r="A104" i="97"/>
  <c r="A105" i="4"/>
  <c r="A117" i="75"/>
  <c r="A117" i="3"/>
  <c r="A116" i="97"/>
  <c r="A117" i="4"/>
  <c r="B119" i="107"/>
  <c r="E119" i="107"/>
  <c r="A152" i="97"/>
  <c r="A150" i="75"/>
  <c r="A150" i="4"/>
  <c r="A150" i="3"/>
  <c r="A149" i="97"/>
  <c r="D147" i="3"/>
  <c r="D146" i="97"/>
  <c r="D147" i="4"/>
  <c r="D147" i="75"/>
  <c r="A5" i="97"/>
  <c r="A6" i="3"/>
  <c r="A6" i="4"/>
  <c r="A6" i="75"/>
  <c r="A77" i="4"/>
  <c r="A77" i="3"/>
  <c r="A77" i="75"/>
  <c r="A76" i="97"/>
  <c r="A108" i="97"/>
  <c r="A109" i="4"/>
  <c r="A144" i="75"/>
  <c r="A144" i="3"/>
  <c r="A144" i="4"/>
  <c r="A143" i="97"/>
  <c r="E56" i="102"/>
  <c r="B56" i="102"/>
  <c r="D56" i="102"/>
  <c r="E81" i="107"/>
  <c r="D81" i="107"/>
  <c r="B81" i="107"/>
  <c r="D98" i="107"/>
  <c r="E98" i="107"/>
  <c r="B98" i="107"/>
  <c r="B143" i="75"/>
  <c r="F142" i="97"/>
  <c r="B143" i="4"/>
  <c r="T11" i="4"/>
  <c r="J11" i="4"/>
  <c r="A18" i="4"/>
  <c r="A18" i="75"/>
  <c r="A18" i="3"/>
  <c r="A17" i="97"/>
  <c r="A77" i="97"/>
  <c r="A78" i="3"/>
  <c r="A78" i="75"/>
  <c r="A78" i="4"/>
  <c r="A83" i="97"/>
  <c r="A84" i="4"/>
  <c r="A84" i="3"/>
  <c r="A84" i="75"/>
  <c r="A91" i="4"/>
  <c r="A90" i="97"/>
  <c r="A109" i="97"/>
  <c r="A110" i="4"/>
  <c r="A110" i="3"/>
  <c r="A110" i="75"/>
  <c r="A137" i="75"/>
  <c r="A137" i="3"/>
  <c r="A136" i="97"/>
  <c r="A137" i="4"/>
  <c r="T37" i="102"/>
  <c r="B55" i="107"/>
  <c r="D55" i="107"/>
  <c r="E55" i="107"/>
  <c r="T86" i="107"/>
  <c r="D39" i="107"/>
  <c r="E39" i="107"/>
  <c r="K170" i="104"/>
  <c r="L170" i="104" s="1"/>
  <c r="V141" i="4"/>
  <c r="I141" i="4"/>
  <c r="AL138" i="4"/>
  <c r="I137" i="4"/>
  <c r="M130" i="4"/>
  <c r="M63" i="4"/>
  <c r="I59" i="4"/>
  <c r="S11" i="4"/>
  <c r="I11" i="4"/>
  <c r="A10" i="3"/>
  <c r="A9" i="97"/>
  <c r="A10" i="4"/>
  <c r="A10" i="75"/>
  <c r="A19" i="4"/>
  <c r="A18" i="97"/>
  <c r="A19" i="75"/>
  <c r="A19" i="3"/>
  <c r="A38" i="97"/>
  <c r="A39" i="4"/>
  <c r="A39" i="75"/>
  <c r="A39" i="3"/>
  <c r="A73" i="97"/>
  <c r="A74" i="75"/>
  <c r="A92" i="4"/>
  <c r="A92" i="3"/>
  <c r="A92" i="75"/>
  <c r="A91" i="97"/>
  <c r="A110" i="97"/>
  <c r="A111" i="4"/>
  <c r="A111" i="3"/>
  <c r="A111" i="75"/>
  <c r="A126" i="3"/>
  <c r="A126" i="75"/>
  <c r="A125" i="97"/>
  <c r="A126" i="4"/>
  <c r="B62" i="102"/>
  <c r="T62" i="102" s="1"/>
  <c r="E62" i="102"/>
  <c r="D62" i="102"/>
  <c r="D49" i="102"/>
  <c r="B49" i="102"/>
  <c r="E49" i="102"/>
  <c r="E36" i="102"/>
  <c r="D36" i="102"/>
  <c r="B36" i="102"/>
  <c r="E6" i="102"/>
  <c r="B6" i="102"/>
  <c r="D6" i="102"/>
  <c r="B97" i="107"/>
  <c r="D97" i="107"/>
  <c r="E97" i="107"/>
  <c r="B72" i="107"/>
  <c r="E72" i="107"/>
  <c r="D72" i="107"/>
  <c r="Q11" i="4"/>
  <c r="G11" i="4"/>
  <c r="D41" i="107"/>
  <c r="B41" i="107"/>
  <c r="E41" i="107"/>
  <c r="E70" i="102"/>
  <c r="D70" i="102"/>
  <c r="B70" i="102"/>
  <c r="F151" i="97"/>
  <c r="AG60" i="104"/>
  <c r="W60" i="104"/>
  <c r="X60" i="104" s="1"/>
  <c r="T60" i="104" s="1"/>
  <c r="AN11" i="104"/>
  <c r="U89" i="4"/>
  <c r="U63" i="4"/>
  <c r="I63" i="4"/>
  <c r="U59" i="4"/>
  <c r="F59" i="4"/>
  <c r="F11" i="4"/>
  <c r="L7" i="4"/>
  <c r="A11" i="3"/>
  <c r="A11" i="75"/>
  <c r="A11" i="4"/>
  <c r="A15" i="75"/>
  <c r="A15" i="3"/>
  <c r="A15" i="4"/>
  <c r="A14" i="97"/>
  <c r="A28" i="75"/>
  <c r="A27" i="97"/>
  <c r="A28" i="4"/>
  <c r="A28" i="3"/>
  <c r="A47" i="97"/>
  <c r="A48" i="4"/>
  <c r="A48" i="75"/>
  <c r="A48" i="3"/>
  <c r="A107" i="4"/>
  <c r="A107" i="3"/>
  <c r="A107" i="75"/>
  <c r="A106" i="97"/>
  <c r="A134" i="4"/>
  <c r="A134" i="3"/>
  <c r="A134" i="75"/>
  <c r="A133" i="97"/>
  <c r="E57" i="107"/>
  <c r="D57" i="107"/>
  <c r="B57" i="107"/>
  <c r="E7" i="107"/>
  <c r="B7" i="107"/>
  <c r="D7" i="107"/>
  <c r="E30" i="107"/>
  <c r="D30" i="107"/>
  <c r="B30" i="107"/>
  <c r="E102" i="107"/>
  <c r="D102" i="107"/>
  <c r="B102" i="107"/>
  <c r="A145" i="97"/>
  <c r="A146" i="75"/>
  <c r="A146" i="4"/>
  <c r="A146" i="3"/>
  <c r="I12" i="4"/>
  <c r="A148" i="3"/>
  <c r="E148" i="74"/>
  <c r="D149" i="97"/>
  <c r="B149" i="4"/>
  <c r="G149" i="4" s="1"/>
  <c r="F148" i="97"/>
  <c r="C145" i="74"/>
  <c r="C148" i="75" s="1"/>
  <c r="H145" i="74"/>
  <c r="G145" i="74"/>
  <c r="E130" i="97"/>
  <c r="E131" i="75"/>
  <c r="E131" i="4"/>
  <c r="T120" i="4"/>
  <c r="G120" i="4"/>
  <c r="L120" i="4"/>
  <c r="S120" i="4"/>
  <c r="A115" i="4"/>
  <c r="A13" i="75"/>
  <c r="C146" i="74"/>
  <c r="G146" i="74"/>
  <c r="F144" i="97"/>
  <c r="B145" i="75"/>
  <c r="J12" i="4"/>
  <c r="E24" i="102"/>
  <c r="A43" i="97"/>
  <c r="A51" i="97"/>
  <c r="A37" i="3"/>
  <c r="A38" i="4"/>
  <c r="A35" i="75"/>
  <c r="A35" i="3"/>
  <c r="A43" i="3"/>
  <c r="A139" i="4"/>
  <c r="A131" i="3"/>
  <c r="A114" i="97"/>
  <c r="A97" i="97"/>
  <c r="A73" i="3"/>
  <c r="A64" i="4"/>
  <c r="A8" i="75"/>
  <c r="A25" i="75"/>
  <c r="A13" i="4"/>
  <c r="A7" i="4"/>
  <c r="A102" i="4"/>
  <c r="A68" i="4"/>
  <c r="A86" i="97"/>
  <c r="A55" i="75"/>
  <c r="A101" i="3"/>
  <c r="A67" i="4"/>
  <c r="A75" i="75"/>
  <c r="A93" i="75"/>
  <c r="A79" i="4"/>
  <c r="C142" i="74"/>
  <c r="H142" i="74"/>
  <c r="F136" i="74"/>
  <c r="F125" i="97"/>
  <c r="B126" i="4"/>
  <c r="M126" i="4" s="1"/>
  <c r="B126" i="75"/>
  <c r="F12" i="4"/>
  <c r="B57" i="102"/>
  <c r="A41" i="75"/>
  <c r="A112" i="97"/>
  <c r="A58" i="97"/>
  <c r="O153" i="85"/>
  <c r="J86" i="85"/>
  <c r="J136" i="85"/>
  <c r="O93" i="85"/>
  <c r="J73" i="85"/>
  <c r="J143" i="85"/>
  <c r="O32" i="85"/>
  <c r="J48" i="85"/>
  <c r="J124" i="85"/>
  <c r="O64" i="85"/>
  <c r="J117" i="85"/>
  <c r="J155" i="85"/>
  <c r="J9" i="85"/>
  <c r="O158" i="85"/>
  <c r="J37" i="85"/>
  <c r="J51" i="85"/>
  <c r="O88" i="85"/>
  <c r="J110" i="85"/>
  <c r="O44" i="85"/>
  <c r="O34" i="85"/>
  <c r="J88" i="85"/>
  <c r="O173" i="85"/>
  <c r="J132" i="85"/>
  <c r="O167" i="85"/>
  <c r="J69" i="85"/>
  <c r="J84" i="85"/>
  <c r="J187" i="85"/>
  <c r="J188" i="85"/>
  <c r="J7" i="85"/>
  <c r="A36" i="97"/>
  <c r="A45" i="97"/>
  <c r="A46" i="3"/>
  <c r="A115" i="75"/>
  <c r="A98" i="3"/>
  <c r="A64" i="75"/>
  <c r="A8" i="4"/>
  <c r="A42" i="4"/>
  <c r="A121" i="3"/>
  <c r="A135" i="4"/>
  <c r="A68" i="97"/>
  <c r="A61" i="4"/>
  <c r="A51" i="3"/>
  <c r="A87" i="75"/>
  <c r="A50" i="3"/>
  <c r="A83" i="4"/>
  <c r="A42" i="3"/>
  <c r="M188" i="104"/>
  <c r="AN177" i="104"/>
  <c r="L155" i="97"/>
  <c r="F154" i="97"/>
  <c r="G150" i="74"/>
  <c r="E148" i="97"/>
  <c r="B148" i="4"/>
  <c r="I145" i="104"/>
  <c r="C141" i="74"/>
  <c r="H141" i="74"/>
  <c r="O144" i="75" s="1"/>
  <c r="F141" i="97"/>
  <c r="C139" i="74"/>
  <c r="H139" i="74"/>
  <c r="G139" i="74"/>
  <c r="E140" i="75"/>
  <c r="G135" i="74"/>
  <c r="H135" i="74"/>
  <c r="F135" i="74"/>
  <c r="C135" i="74"/>
  <c r="E126" i="4"/>
  <c r="E125" i="97"/>
  <c r="B123" i="75"/>
  <c r="B123" i="4"/>
  <c r="F122" i="97"/>
  <c r="E122" i="4"/>
  <c r="U120" i="4"/>
  <c r="G12" i="4"/>
  <c r="A22" i="75"/>
  <c r="A134" i="97"/>
  <c r="A102" i="97"/>
  <c r="A69" i="3"/>
  <c r="C152" i="74"/>
  <c r="F152" i="74"/>
  <c r="E150" i="4"/>
  <c r="E146" i="104"/>
  <c r="E146" i="97"/>
  <c r="E147" i="75"/>
  <c r="F143" i="74"/>
  <c r="D145" i="97"/>
  <c r="D146" i="3"/>
  <c r="B145" i="4"/>
  <c r="E144" i="4"/>
  <c r="F138" i="74"/>
  <c r="B139" i="4"/>
  <c r="E139" i="4"/>
  <c r="U139" i="4" s="1"/>
  <c r="C136" i="74"/>
  <c r="C139" i="4" s="1"/>
  <c r="B134" i="75"/>
  <c r="B134" i="4"/>
  <c r="F133" i="97"/>
  <c r="E122" i="97"/>
  <c r="E123" i="75"/>
  <c r="E123" i="4"/>
  <c r="V12" i="4"/>
  <c r="R130" i="74"/>
  <c r="G133" i="3" s="1"/>
  <c r="M133" i="3" s="1"/>
  <c r="E66" i="102"/>
  <c r="E46" i="102"/>
  <c r="E103" i="107"/>
  <c r="B7" i="102"/>
  <c r="A70" i="97"/>
  <c r="D8" i="107"/>
  <c r="E76" i="107"/>
  <c r="L14" i="4"/>
  <c r="N14" i="4" s="1"/>
  <c r="J83" i="85"/>
  <c r="J40" i="85"/>
  <c r="J106" i="85"/>
  <c r="O23" i="85"/>
  <c r="O170" i="85"/>
  <c r="J90" i="85"/>
  <c r="J158" i="85"/>
  <c r="O63" i="85"/>
  <c r="J95" i="85"/>
  <c r="O11" i="85"/>
  <c r="O175" i="85"/>
  <c r="O148" i="85"/>
  <c r="O154" i="85"/>
  <c r="O24" i="85"/>
  <c r="J134" i="85"/>
  <c r="O52" i="85"/>
  <c r="O58" i="85"/>
  <c r="J96" i="85"/>
  <c r="O109" i="85"/>
  <c r="J52" i="85"/>
  <c r="J34" i="85"/>
  <c r="O71" i="85"/>
  <c r="O21" i="85"/>
  <c r="J141" i="85"/>
  <c r="J12" i="85"/>
  <c r="O17" i="85"/>
  <c r="J135" i="85"/>
  <c r="O92" i="85"/>
  <c r="O135" i="85"/>
  <c r="O116" i="85"/>
  <c r="B103" i="107"/>
  <c r="A46" i="75"/>
  <c r="A38" i="3"/>
  <c r="A125" i="3"/>
  <c r="A138" i="4"/>
  <c r="A130" i="75"/>
  <c r="A114" i="75"/>
  <c r="A105" i="97"/>
  <c r="A72" i="75"/>
  <c r="A120" i="97"/>
  <c r="A135" i="75"/>
  <c r="A103" i="75"/>
  <c r="A69" i="4"/>
  <c r="A61" i="75"/>
  <c r="A12" i="75"/>
  <c r="A129" i="75"/>
  <c r="A54" i="97"/>
  <c r="E5" i="102"/>
  <c r="AG171" i="104"/>
  <c r="H146" i="74"/>
  <c r="D148" i="97"/>
  <c r="H143" i="74"/>
  <c r="F142" i="74"/>
  <c r="G142" i="74"/>
  <c r="E144" i="75"/>
  <c r="E141" i="75"/>
  <c r="F140" i="97"/>
  <c r="B141" i="75"/>
  <c r="E135" i="97"/>
  <c r="E136" i="75"/>
  <c r="E136" i="4"/>
  <c r="E133" i="97"/>
  <c r="E134" i="75"/>
  <c r="E134" i="4"/>
  <c r="G134" i="4" s="1"/>
  <c r="F130" i="74"/>
  <c r="F133" i="75" s="1"/>
  <c r="H130" i="74"/>
  <c r="C130" i="74"/>
  <c r="F125" i="74"/>
  <c r="C125" i="74"/>
  <c r="A32" i="4"/>
  <c r="A125" i="4"/>
  <c r="A138" i="75"/>
  <c r="A130" i="4"/>
  <c r="A106" i="75"/>
  <c r="A47" i="3"/>
  <c r="A103" i="3"/>
  <c r="A53" i="75"/>
  <c r="A132" i="4"/>
  <c r="A129" i="3"/>
  <c r="A79" i="3"/>
  <c r="M213" i="104"/>
  <c r="C148" i="74"/>
  <c r="H148" i="74"/>
  <c r="E149" i="97"/>
  <c r="C138" i="74"/>
  <c r="B137" i="75"/>
  <c r="F136" i="97"/>
  <c r="F129" i="74"/>
  <c r="F132" i="75" s="1"/>
  <c r="AE129" i="74"/>
  <c r="AI132" i="4" s="1"/>
  <c r="G129" i="74"/>
  <c r="C129" i="74"/>
  <c r="C132" i="75" s="1"/>
  <c r="H129" i="74"/>
  <c r="C127" i="74"/>
  <c r="B125" i="4"/>
  <c r="B125" i="75"/>
  <c r="F124" i="97"/>
  <c r="D30" i="102"/>
  <c r="D29" i="102"/>
  <c r="D45" i="107"/>
  <c r="U14" i="4"/>
  <c r="E33" i="107"/>
  <c r="T14" i="4"/>
  <c r="O185" i="85"/>
  <c r="J115" i="85"/>
  <c r="J65" i="85"/>
  <c r="O125" i="85"/>
  <c r="J17" i="85"/>
  <c r="O69" i="85"/>
  <c r="O110" i="85"/>
  <c r="J94" i="85"/>
  <c r="O90" i="85"/>
  <c r="J15" i="85"/>
  <c r="J156" i="85"/>
  <c r="J154" i="85"/>
  <c r="J32" i="85"/>
  <c r="O117" i="85"/>
  <c r="J60" i="85"/>
  <c r="J58" i="85"/>
  <c r="O95" i="85"/>
  <c r="J173" i="85"/>
  <c r="O51" i="85"/>
  <c r="J129" i="85"/>
  <c r="J47" i="85"/>
  <c r="O134" i="85"/>
  <c r="D150" i="75"/>
  <c r="J64" i="85"/>
  <c r="J93" i="85"/>
  <c r="J125" i="85"/>
  <c r="J11" i="85"/>
  <c r="A34" i="97"/>
  <c r="B151" i="4"/>
  <c r="E149" i="75"/>
  <c r="F147" i="97"/>
  <c r="C143" i="74"/>
  <c r="E139" i="75"/>
  <c r="E126" i="75"/>
  <c r="E125" i="4"/>
  <c r="E124" i="97"/>
  <c r="E125" i="75"/>
  <c r="C121" i="97"/>
  <c r="C122" i="3"/>
  <c r="B140" i="75"/>
  <c r="G137" i="74"/>
  <c r="J140" i="75" s="1"/>
  <c r="B139" i="75"/>
  <c r="B136" i="4"/>
  <c r="B132" i="4"/>
  <c r="B131" i="75"/>
  <c r="G128" i="74"/>
  <c r="E128" i="75"/>
  <c r="B127" i="75"/>
  <c r="G124" i="74"/>
  <c r="E122" i="75"/>
  <c r="V120" i="4"/>
  <c r="E120" i="75"/>
  <c r="B119" i="4"/>
  <c r="F118" i="97"/>
  <c r="E118" i="4"/>
  <c r="E117" i="97"/>
  <c r="E114" i="97"/>
  <c r="E115" i="75"/>
  <c r="E115" i="4"/>
  <c r="E112" i="75"/>
  <c r="E111" i="97"/>
  <c r="E112" i="4"/>
  <c r="E95" i="4"/>
  <c r="U95" i="4" s="1"/>
  <c r="E95" i="75"/>
  <c r="E94" i="97"/>
  <c r="E88" i="97"/>
  <c r="E89" i="75"/>
  <c r="F83" i="97"/>
  <c r="B84" i="4"/>
  <c r="B84" i="75"/>
  <c r="F71" i="97"/>
  <c r="B72" i="4"/>
  <c r="B72" i="75"/>
  <c r="E57" i="4"/>
  <c r="E57" i="75"/>
  <c r="E56" i="97"/>
  <c r="E53" i="4"/>
  <c r="E53" i="75"/>
  <c r="E52" i="97"/>
  <c r="E33" i="4"/>
  <c r="E32" i="97"/>
  <c r="E33" i="75"/>
  <c r="E12" i="75"/>
  <c r="E11" i="97"/>
  <c r="E113" i="4"/>
  <c r="E108" i="4"/>
  <c r="E107" i="97"/>
  <c r="E108" i="75"/>
  <c r="B106" i="75"/>
  <c r="F105" i="97"/>
  <c r="B106" i="4"/>
  <c r="B94" i="4"/>
  <c r="B94" i="75"/>
  <c r="F93" i="97"/>
  <c r="E52" i="4"/>
  <c r="F52" i="4" s="1"/>
  <c r="E52" i="75"/>
  <c r="E51" i="97"/>
  <c r="E50" i="75"/>
  <c r="E49" i="97"/>
  <c r="E50" i="4"/>
  <c r="E49" i="4"/>
  <c r="E49" i="75"/>
  <c r="E48" i="97"/>
  <c r="E42" i="97"/>
  <c r="E43" i="4"/>
  <c r="E43" i="75"/>
  <c r="AG126" i="74"/>
  <c r="AK129" i="4" s="1"/>
  <c r="B109" i="4"/>
  <c r="B109" i="75"/>
  <c r="F108" i="97"/>
  <c r="B101" i="75"/>
  <c r="F100" i="97"/>
  <c r="B101" i="4"/>
  <c r="G101" i="4" s="1"/>
  <c r="F97" i="97"/>
  <c r="B98" i="75"/>
  <c r="B82" i="75"/>
  <c r="F81" i="97"/>
  <c r="B82" i="4"/>
  <c r="F47" i="97"/>
  <c r="B48" i="4"/>
  <c r="L48" i="4" s="1"/>
  <c r="B48" i="75"/>
  <c r="E35" i="97"/>
  <c r="E36" i="75"/>
  <c r="E36" i="4"/>
  <c r="E32" i="4"/>
  <c r="E31" i="97"/>
  <c r="E32" i="75"/>
  <c r="B32" i="75"/>
  <c r="H132" i="74"/>
  <c r="O135" i="75" s="1"/>
  <c r="C132" i="74"/>
  <c r="C135" i="4" s="1"/>
  <c r="B133" i="75"/>
  <c r="B130" i="75"/>
  <c r="C126" i="74"/>
  <c r="C129" i="3" s="1"/>
  <c r="G123" i="74"/>
  <c r="C121" i="74"/>
  <c r="AH119" i="104"/>
  <c r="J120" i="4"/>
  <c r="E112" i="97"/>
  <c r="E113" i="75"/>
  <c r="B104" i="4"/>
  <c r="B104" i="75"/>
  <c r="F103" i="97"/>
  <c r="E101" i="4"/>
  <c r="E100" i="97"/>
  <c r="E101" i="75"/>
  <c r="B99" i="75"/>
  <c r="F98" i="97"/>
  <c r="B99" i="4"/>
  <c r="B86" i="75"/>
  <c r="F85" i="97"/>
  <c r="B86" i="4"/>
  <c r="M86" i="4" s="1"/>
  <c r="F77" i="97"/>
  <c r="B78" i="4"/>
  <c r="J78" i="4" s="1"/>
  <c r="B78" i="75"/>
  <c r="B77" i="75"/>
  <c r="F76" i="97"/>
  <c r="B77" i="4"/>
  <c r="F70" i="97"/>
  <c r="B71" i="4"/>
  <c r="I71" i="4" s="1"/>
  <c r="B71" i="75"/>
  <c r="B68" i="75"/>
  <c r="F67" i="97"/>
  <c r="B68" i="4"/>
  <c r="B66" i="75"/>
  <c r="F65" i="97"/>
  <c r="B66" i="4"/>
  <c r="E47" i="97"/>
  <c r="E48" i="4"/>
  <c r="E48" i="75"/>
  <c r="E22" i="4"/>
  <c r="L22" i="4" s="1"/>
  <c r="E21" i="97"/>
  <c r="E22" i="75"/>
  <c r="B15" i="4"/>
  <c r="B15" i="75"/>
  <c r="F14" i="97"/>
  <c r="G115" i="74"/>
  <c r="C115" i="74"/>
  <c r="C117" i="97" s="1"/>
  <c r="H115" i="74"/>
  <c r="B116" i="75"/>
  <c r="B116" i="4"/>
  <c r="F115" i="97"/>
  <c r="E104" i="4"/>
  <c r="V104" i="4" s="1"/>
  <c r="E103" i="97"/>
  <c r="E104" i="75"/>
  <c r="B103" i="75"/>
  <c r="F102" i="97"/>
  <c r="B103" i="4"/>
  <c r="B80" i="75"/>
  <c r="F79" i="97"/>
  <c r="B80" i="4"/>
  <c r="B69" i="4"/>
  <c r="S69" i="4" s="1"/>
  <c r="B69" i="75"/>
  <c r="F68" i="97"/>
  <c r="E61" i="75"/>
  <c r="E60" i="97"/>
  <c r="E61" i="4"/>
  <c r="E51" i="4"/>
  <c r="P51" i="4" s="1"/>
  <c r="E51" i="75"/>
  <c r="E50" i="97"/>
  <c r="E26" i="4"/>
  <c r="G126" i="74"/>
  <c r="J129" i="75" s="1"/>
  <c r="S123" i="103"/>
  <c r="G121" i="74"/>
  <c r="H118" i="74"/>
  <c r="F118" i="74"/>
  <c r="G118" i="74"/>
  <c r="F120" i="4"/>
  <c r="E115" i="97"/>
  <c r="E116" i="4"/>
  <c r="I116" i="4" s="1"/>
  <c r="E103" i="4"/>
  <c r="M103" i="4" s="1"/>
  <c r="E102" i="97"/>
  <c r="E103" i="75"/>
  <c r="E97" i="75"/>
  <c r="E97" i="4"/>
  <c r="E96" i="97"/>
  <c r="B81" i="75"/>
  <c r="F80" i="97"/>
  <c r="B81" i="4"/>
  <c r="F75" i="97"/>
  <c r="B76" i="4"/>
  <c r="B76" i="75"/>
  <c r="F74" i="97"/>
  <c r="B75" i="4"/>
  <c r="I75" i="4" s="1"/>
  <c r="B75" i="75"/>
  <c r="F72" i="97"/>
  <c r="B73" i="4"/>
  <c r="B73" i="75"/>
  <c r="F63" i="97"/>
  <c r="B64" i="4"/>
  <c r="B64" i="75"/>
  <c r="E59" i="75"/>
  <c r="E58" i="97"/>
  <c r="E58" i="4"/>
  <c r="J58" i="4" s="1"/>
  <c r="E58" i="75"/>
  <c r="E57" i="97"/>
  <c r="E56" i="75"/>
  <c r="E55" i="97"/>
  <c r="E56" i="4"/>
  <c r="E27" i="4"/>
  <c r="F22" i="4"/>
  <c r="AI144" i="104"/>
  <c r="F137" i="74"/>
  <c r="H137" i="74"/>
  <c r="H133" i="74"/>
  <c r="F128" i="74"/>
  <c r="F126" i="74"/>
  <c r="F123" i="74"/>
  <c r="F119" i="74"/>
  <c r="H119" i="74"/>
  <c r="O122" i="75" s="1"/>
  <c r="F119" i="97"/>
  <c r="C117" i="74"/>
  <c r="F116" i="97"/>
  <c r="B117" i="4"/>
  <c r="B117" i="75"/>
  <c r="C114" i="74"/>
  <c r="C116" i="97" s="1"/>
  <c r="H114" i="74"/>
  <c r="G114" i="74"/>
  <c r="B114" i="75"/>
  <c r="F113" i="97"/>
  <c r="B114" i="4"/>
  <c r="B111" i="75"/>
  <c r="F110" i="97"/>
  <c r="B107" i="4"/>
  <c r="G107" i="4" s="1"/>
  <c r="B107" i="75"/>
  <c r="F106" i="97"/>
  <c r="B102" i="75"/>
  <c r="F101" i="97"/>
  <c r="B102" i="4"/>
  <c r="B96" i="4"/>
  <c r="B96" i="75"/>
  <c r="F95" i="97"/>
  <c r="B91" i="4"/>
  <c r="B91" i="75"/>
  <c r="F90" i="97"/>
  <c r="B83" i="4"/>
  <c r="B83" i="75"/>
  <c r="F82" i="97"/>
  <c r="B79" i="75"/>
  <c r="F78" i="97"/>
  <c r="B79" i="4"/>
  <c r="S79" i="4" s="1"/>
  <c r="F69" i="97"/>
  <c r="B70" i="4"/>
  <c r="M70" i="4" s="1"/>
  <c r="B70" i="75"/>
  <c r="E60" i="75"/>
  <c r="E59" i="97"/>
  <c r="E60" i="4"/>
  <c r="E55" i="4"/>
  <c r="V55" i="4" s="1"/>
  <c r="E55" i="75"/>
  <c r="E54" i="97"/>
  <c r="B46" i="4"/>
  <c r="P46" i="4" s="1"/>
  <c r="B46" i="75"/>
  <c r="F45" i="97"/>
  <c r="C29" i="97"/>
  <c r="C30" i="3"/>
  <c r="E28" i="4"/>
  <c r="F28" i="4" s="1"/>
  <c r="E23" i="4"/>
  <c r="F12" i="97"/>
  <c r="B13" i="75"/>
  <c r="M120" i="4"/>
  <c r="I120" i="4"/>
  <c r="P120" i="4"/>
  <c r="H116" i="74"/>
  <c r="G116" i="74"/>
  <c r="E113" i="97"/>
  <c r="E114" i="4"/>
  <c r="V114" i="4" s="1"/>
  <c r="E108" i="74"/>
  <c r="E110" i="4"/>
  <c r="M110" i="4" s="1"/>
  <c r="E109" i="97"/>
  <c r="E110" i="75"/>
  <c r="E107" i="4"/>
  <c r="E106" i="97"/>
  <c r="E107" i="75"/>
  <c r="E102" i="4"/>
  <c r="P102" i="4" s="1"/>
  <c r="E101" i="97"/>
  <c r="E102" i="75"/>
  <c r="E100" i="4"/>
  <c r="E99" i="97"/>
  <c r="E100" i="75"/>
  <c r="E96" i="4"/>
  <c r="S96" i="4" s="1"/>
  <c r="E95" i="97"/>
  <c r="E96" i="75"/>
  <c r="F94" i="97"/>
  <c r="B95" i="75"/>
  <c r="B95" i="4"/>
  <c r="E93" i="4"/>
  <c r="E92" i="97"/>
  <c r="E93" i="75"/>
  <c r="F91" i="97"/>
  <c r="B92" i="75"/>
  <c r="G92" i="75" s="1"/>
  <c r="H92" i="75" s="1"/>
  <c r="B92" i="4"/>
  <c r="E90" i="75"/>
  <c r="E89" i="97"/>
  <c r="E88" i="75"/>
  <c r="E87" i="97"/>
  <c r="B87" i="75"/>
  <c r="F86" i="97"/>
  <c r="F84" i="97"/>
  <c r="B85" i="4"/>
  <c r="M85" i="4" s="1"/>
  <c r="B85" i="75"/>
  <c r="F73" i="97"/>
  <c r="B74" i="4"/>
  <c r="B74" i="75"/>
  <c r="B67" i="75"/>
  <c r="F66" i="97"/>
  <c r="B67" i="4"/>
  <c r="M67" i="4" s="1"/>
  <c r="F64" i="97"/>
  <c r="B65" i="4"/>
  <c r="B65" i="75"/>
  <c r="E62" i="97"/>
  <c r="E63" i="75"/>
  <c r="E54" i="4"/>
  <c r="M54" i="4" s="1"/>
  <c r="E54" i="75"/>
  <c r="E53" i="97"/>
  <c r="E45" i="97"/>
  <c r="E46" i="75"/>
  <c r="E46" i="4"/>
  <c r="G108" i="74"/>
  <c r="B108" i="4"/>
  <c r="B100" i="4"/>
  <c r="V100" i="4" s="1"/>
  <c r="F96" i="74"/>
  <c r="F99" i="75" s="1"/>
  <c r="E98" i="75"/>
  <c r="F93" i="74"/>
  <c r="F91" i="74"/>
  <c r="K91" i="103"/>
  <c r="B93" i="4"/>
  <c r="F90" i="74"/>
  <c r="H90" i="74"/>
  <c r="E34" i="4"/>
  <c r="E31" i="4"/>
  <c r="E30" i="97"/>
  <c r="E27" i="97"/>
  <c r="E26" i="97"/>
  <c r="E25" i="97"/>
  <c r="E22" i="97"/>
  <c r="F112" i="74"/>
  <c r="F114" i="97"/>
  <c r="F112" i="97"/>
  <c r="AA109" i="104"/>
  <c r="C109" i="74"/>
  <c r="C107" i="74"/>
  <c r="B108" i="75"/>
  <c r="H104" i="74"/>
  <c r="B105" i="75"/>
  <c r="H102" i="74"/>
  <c r="F100" i="74"/>
  <c r="H100" i="74"/>
  <c r="O103" i="75" s="1"/>
  <c r="F99" i="74"/>
  <c r="H99" i="74"/>
  <c r="O102" i="75" s="1"/>
  <c r="AG92" i="74"/>
  <c r="AK95" i="4" s="1"/>
  <c r="J120" i="85"/>
  <c r="AA91" i="74"/>
  <c r="AC94" i="4" s="1"/>
  <c r="T91" i="74"/>
  <c r="I94" i="3" s="1"/>
  <c r="AG90" i="74"/>
  <c r="AK93" i="4" s="1"/>
  <c r="U90" i="74"/>
  <c r="J93" i="3" s="1"/>
  <c r="E92" i="75"/>
  <c r="F88" i="97"/>
  <c r="L85" i="74"/>
  <c r="F84" i="74"/>
  <c r="E86" i="4"/>
  <c r="Z77" i="74"/>
  <c r="AB80" i="4" s="1"/>
  <c r="I77" i="74"/>
  <c r="S80" i="75" s="1"/>
  <c r="E79" i="4"/>
  <c r="E71" i="97"/>
  <c r="E70" i="97"/>
  <c r="E69" i="97"/>
  <c r="E67" i="4"/>
  <c r="E66" i="4"/>
  <c r="I66" i="4" s="1"/>
  <c r="H60" i="74"/>
  <c r="F61" i="97"/>
  <c r="B61" i="4"/>
  <c r="U61" i="4" s="1"/>
  <c r="B60" i="4"/>
  <c r="F55" i="74"/>
  <c r="C55" i="74"/>
  <c r="C58" i="75" s="1"/>
  <c r="H54" i="74"/>
  <c r="C51" i="74"/>
  <c r="C54" i="3" s="1"/>
  <c r="C50" i="74"/>
  <c r="C52" i="97" s="1"/>
  <c r="C49" i="74"/>
  <c r="C52" i="4" s="1"/>
  <c r="C5" i="74"/>
  <c r="C8" i="75" s="1"/>
  <c r="C7" i="74"/>
  <c r="C10" i="3" s="1"/>
  <c r="C9" i="74"/>
  <c r="C11" i="97" s="1"/>
  <c r="C47" i="74"/>
  <c r="C49" i="97" s="1"/>
  <c r="F3" i="74"/>
  <c r="H3" i="74"/>
  <c r="H5" i="74"/>
  <c r="F6" i="74"/>
  <c r="F9" i="75" s="1"/>
  <c r="H6" i="74"/>
  <c r="T9" i="75" s="1"/>
  <c r="U9" i="75" s="1"/>
  <c r="F7" i="74"/>
  <c r="F10" i="75" s="1"/>
  <c r="H7" i="74"/>
  <c r="H8" i="74"/>
  <c r="G9" i="74"/>
  <c r="J12" i="75" s="1"/>
  <c r="G13" i="74"/>
  <c r="J16" i="75" s="1"/>
  <c r="H13" i="74"/>
  <c r="G14" i="74"/>
  <c r="J17" i="75" s="1"/>
  <c r="H15" i="74"/>
  <c r="G16" i="74"/>
  <c r="G18" i="74"/>
  <c r="G22" i="74"/>
  <c r="F27" i="74"/>
  <c r="G27" i="74"/>
  <c r="H27" i="74"/>
  <c r="G34" i="74"/>
  <c r="J37" i="75" s="1"/>
  <c r="G35" i="74"/>
  <c r="F37" i="74"/>
  <c r="G37" i="74"/>
  <c r="J40" i="75" s="1"/>
  <c r="H37" i="74"/>
  <c r="G41" i="74"/>
  <c r="F44" i="74"/>
  <c r="G44" i="74"/>
  <c r="J47" i="75" s="1"/>
  <c r="H44" i="74"/>
  <c r="F46" i="74"/>
  <c r="G46" i="74"/>
  <c r="H46" i="74"/>
  <c r="F47" i="74"/>
  <c r="H47" i="74"/>
  <c r="C48" i="74"/>
  <c r="C51" i="3" s="1"/>
  <c r="F48" i="74"/>
  <c r="F51" i="75" s="1"/>
  <c r="H48" i="74"/>
  <c r="F51" i="74"/>
  <c r="F52" i="74"/>
  <c r="G52" i="74"/>
  <c r="J55" i="75" s="1"/>
  <c r="H52" i="74"/>
  <c r="C53" i="74"/>
  <c r="F53" i="74"/>
  <c r="F56" i="75" s="1"/>
  <c r="H53" i="74"/>
  <c r="C54" i="74"/>
  <c r="C57" i="75" s="1"/>
  <c r="F54" i="74"/>
  <c r="F57" i="75" s="1"/>
  <c r="C55" i="103"/>
  <c r="H56" i="104"/>
  <c r="C57" i="74"/>
  <c r="C60" i="3" s="1"/>
  <c r="H57" i="74"/>
  <c r="C58" i="74"/>
  <c r="C60" i="97" s="1"/>
  <c r="C59" i="74"/>
  <c r="C60" i="74"/>
  <c r="F60" i="74"/>
  <c r="G61" i="74"/>
  <c r="J64" i="75" s="1"/>
  <c r="H61" i="74"/>
  <c r="G67" i="74"/>
  <c r="F68" i="104"/>
  <c r="G69" i="74"/>
  <c r="G70" i="74"/>
  <c r="F71" i="74"/>
  <c r="G71" i="74"/>
  <c r="J74" i="75" s="1"/>
  <c r="G75" i="74"/>
  <c r="J78" i="75" s="1"/>
  <c r="G78" i="74"/>
  <c r="J81" i="75" s="1"/>
  <c r="G81" i="74"/>
  <c r="F85" i="74"/>
  <c r="G85" i="74"/>
  <c r="J88" i="75" s="1"/>
  <c r="H85" i="74"/>
  <c r="C86" i="74"/>
  <c r="C88" i="97" s="1"/>
  <c r="F87" i="74"/>
  <c r="G87" i="74"/>
  <c r="J90" i="75" s="1"/>
  <c r="H87" i="74"/>
  <c r="F89" i="74"/>
  <c r="G89" i="74"/>
  <c r="C90" i="74"/>
  <c r="C93" i="3" s="1"/>
  <c r="H91" i="74"/>
  <c r="O94" i="75" s="1"/>
  <c r="C93" i="74"/>
  <c r="C95" i="97" s="1"/>
  <c r="F95" i="74"/>
  <c r="H95" i="74"/>
  <c r="C96" i="74"/>
  <c r="C98" i="74"/>
  <c r="C99" i="74"/>
  <c r="C100" i="74"/>
  <c r="C103" i="3" s="1"/>
  <c r="C101" i="74"/>
  <c r="H101" i="74"/>
  <c r="C103" i="74"/>
  <c r="C106" i="3" s="1"/>
  <c r="F103" i="74"/>
  <c r="H103" i="74"/>
  <c r="O106" i="75" s="1"/>
  <c r="C104" i="74"/>
  <c r="G107" i="74"/>
  <c r="J110" i="75" s="1"/>
  <c r="F109" i="74"/>
  <c r="G109" i="74"/>
  <c r="J112" i="75" s="1"/>
  <c r="H109" i="74"/>
  <c r="C110" i="74"/>
  <c r="C112" i="97" s="1"/>
  <c r="C112" i="74"/>
  <c r="F114" i="74"/>
  <c r="F116" i="74"/>
  <c r="F119" i="75" s="1"/>
  <c r="H124" i="74"/>
  <c r="G125" i="74"/>
  <c r="H125" i="74"/>
  <c r="F127" i="74"/>
  <c r="F130" i="75" s="1"/>
  <c r="H128" i="74"/>
  <c r="G130" i="74"/>
  <c r="F132" i="74"/>
  <c r="G132" i="74"/>
  <c r="G133" i="74"/>
  <c r="H136" i="74"/>
  <c r="H138" i="74"/>
  <c r="F145" i="74"/>
  <c r="F148" i="74"/>
  <c r="E47" i="4"/>
  <c r="I47" i="4" s="1"/>
  <c r="B45" i="4"/>
  <c r="C42" i="3"/>
  <c r="F37" i="97"/>
  <c r="F35" i="97"/>
  <c r="E35" i="4"/>
  <c r="B110" i="75"/>
  <c r="B100" i="75"/>
  <c r="E99" i="75"/>
  <c r="E94" i="75"/>
  <c r="I87" i="74"/>
  <c r="S90" i="75" s="1"/>
  <c r="I85" i="74"/>
  <c r="S88" i="75" s="1"/>
  <c r="E85" i="4"/>
  <c r="E78" i="4"/>
  <c r="E76" i="4"/>
  <c r="L76" i="4" s="1"/>
  <c r="E65" i="4"/>
  <c r="I65" i="4" s="1"/>
  <c r="B55" i="75"/>
  <c r="B49" i="75"/>
  <c r="B47" i="4"/>
  <c r="E44" i="97"/>
  <c r="E45" i="4"/>
  <c r="M45" i="4" s="1"/>
  <c r="E41" i="4"/>
  <c r="B39" i="4"/>
  <c r="B39" i="75"/>
  <c r="B37" i="4"/>
  <c r="E34" i="97"/>
  <c r="E33" i="97"/>
  <c r="E28" i="75"/>
  <c r="E27" i="75"/>
  <c r="E26" i="75"/>
  <c r="E24" i="75"/>
  <c r="E23" i="75"/>
  <c r="E20" i="75"/>
  <c r="AL3" i="104"/>
  <c r="B115" i="4"/>
  <c r="E106" i="75"/>
  <c r="AE90" i="74"/>
  <c r="AI93" i="4" s="1"/>
  <c r="E87" i="75"/>
  <c r="U83" i="74"/>
  <c r="J86" i="3" s="1"/>
  <c r="AB81" i="74"/>
  <c r="AD84" i="4" s="1"/>
  <c r="E81" i="97"/>
  <c r="E80" i="97"/>
  <c r="AA77" i="104"/>
  <c r="U77" i="74"/>
  <c r="J80" i="3" s="1"/>
  <c r="U74" i="74"/>
  <c r="J77" i="3" s="1"/>
  <c r="C76" i="97"/>
  <c r="U76" i="97" s="1"/>
  <c r="I73" i="74"/>
  <c r="S76" i="75" s="1"/>
  <c r="E75" i="4"/>
  <c r="I72" i="74"/>
  <c r="S75" i="75" s="1"/>
  <c r="E74" i="4"/>
  <c r="AB70" i="74"/>
  <c r="AD73" i="4" s="1"/>
  <c r="AC69" i="74"/>
  <c r="AF72" i="4" s="1"/>
  <c r="AC68" i="74"/>
  <c r="AF71" i="4" s="1"/>
  <c r="AC67" i="74"/>
  <c r="AF70" i="4" s="1"/>
  <c r="F62" i="97"/>
  <c r="AM44" i="104"/>
  <c r="E44" i="75"/>
  <c r="F42" i="97"/>
  <c r="E42" i="4"/>
  <c r="B40" i="75"/>
  <c r="B40" i="4"/>
  <c r="B38" i="4"/>
  <c r="E31" i="75"/>
  <c r="E29" i="75"/>
  <c r="E25" i="75"/>
  <c r="B22" i="75"/>
  <c r="B7" i="75"/>
  <c r="F6" i="97"/>
  <c r="B6" i="75"/>
  <c r="F5" i="97"/>
  <c r="E98" i="97"/>
  <c r="C73" i="3"/>
  <c r="B58" i="75"/>
  <c r="B55" i="4"/>
  <c r="B54" i="75"/>
  <c r="B53" i="75"/>
  <c r="B52" i="75"/>
  <c r="B49" i="4"/>
  <c r="G49" i="4" s="1"/>
  <c r="E47" i="75"/>
  <c r="E41" i="97"/>
  <c r="E40" i="97"/>
  <c r="E13" i="103"/>
  <c r="F7" i="97"/>
  <c r="B8" i="4"/>
  <c r="Q90" i="74"/>
  <c r="F93" i="3" s="1"/>
  <c r="F89" i="97"/>
  <c r="F87" i="97"/>
  <c r="Z70" i="74"/>
  <c r="AB73" i="4" s="1"/>
  <c r="I70" i="74"/>
  <c r="S73" i="75" s="1"/>
  <c r="AA69" i="74"/>
  <c r="AC72" i="4" s="1"/>
  <c r="I69" i="104"/>
  <c r="AA68" i="74"/>
  <c r="AC71" i="4" s="1"/>
  <c r="I68" i="74"/>
  <c r="S71" i="75" s="1"/>
  <c r="I67" i="74"/>
  <c r="S70" i="75" s="1"/>
  <c r="I59" i="74"/>
  <c r="S62" i="75" s="1"/>
  <c r="Q58" i="74"/>
  <c r="F61" i="3" s="1"/>
  <c r="G57" i="103"/>
  <c r="F58" i="97"/>
  <c r="F46" i="97"/>
  <c r="E45" i="75"/>
  <c r="E35" i="75"/>
  <c r="B33" i="75"/>
  <c r="G33" i="75" s="1"/>
  <c r="H33" i="75" s="1"/>
  <c r="I33" i="75" s="1"/>
  <c r="C31" i="3"/>
  <c r="F27" i="97"/>
  <c r="F26" i="97"/>
  <c r="F25" i="97"/>
  <c r="E24" i="4"/>
  <c r="E21" i="4"/>
  <c r="E20" i="4"/>
  <c r="L20" i="4" s="1"/>
  <c r="F16" i="97"/>
  <c r="B9" i="75"/>
  <c r="F8" i="97"/>
  <c r="E7" i="75"/>
  <c r="B97" i="75"/>
  <c r="B58" i="4"/>
  <c r="B54" i="4"/>
  <c r="E29" i="4"/>
  <c r="B29" i="4"/>
  <c r="P29" i="4" s="1"/>
  <c r="B29" i="75"/>
  <c r="E21" i="75"/>
  <c r="B21" i="75"/>
  <c r="B21" i="4"/>
  <c r="B20" i="4"/>
  <c r="B20" i="75"/>
  <c r="B19" i="4"/>
  <c r="E17" i="75"/>
  <c r="B12" i="75"/>
  <c r="F11" i="97"/>
  <c r="AC83" i="74"/>
  <c r="AF86" i="4" s="1"/>
  <c r="AB77" i="74"/>
  <c r="AD80" i="4" s="1"/>
  <c r="AF70" i="74"/>
  <c r="AJ73" i="4" s="1"/>
  <c r="AA70" i="104"/>
  <c r="AG69" i="74"/>
  <c r="AK72" i="4" s="1"/>
  <c r="Y68" i="74"/>
  <c r="AA71" i="4" s="1"/>
  <c r="AG67" i="74"/>
  <c r="AK70" i="4" s="1"/>
  <c r="Y67" i="74"/>
  <c r="AA70" i="4" s="1"/>
  <c r="L61" i="103"/>
  <c r="J70" i="85"/>
  <c r="B53" i="4"/>
  <c r="B52" i="4"/>
  <c r="F44" i="97"/>
  <c r="E42" i="75"/>
  <c r="E39" i="75"/>
  <c r="C38" i="3"/>
  <c r="F36" i="97"/>
  <c r="B32" i="4"/>
  <c r="B30" i="75"/>
  <c r="B30" i="4"/>
  <c r="B25" i="4"/>
  <c r="F18" i="97"/>
  <c r="AA16" i="74"/>
  <c r="AC19" i="4" s="1"/>
  <c r="E18" i="75"/>
  <c r="E16" i="97"/>
  <c r="P57" i="104"/>
  <c r="AH111" i="4"/>
  <c r="AH133" i="4"/>
  <c r="AM133" i="4" s="1"/>
  <c r="AN133" i="4" s="1"/>
  <c r="AH63" i="4"/>
  <c r="T74" i="107"/>
  <c r="E96" i="107"/>
  <c r="B96" i="107"/>
  <c r="B25" i="107"/>
  <c r="E25" i="107"/>
  <c r="B17" i="107"/>
  <c r="E17" i="107"/>
  <c r="D68" i="102"/>
  <c r="B68" i="102"/>
  <c r="D36" i="107"/>
  <c r="E36" i="107"/>
  <c r="D40" i="107"/>
  <c r="B40" i="107"/>
  <c r="D78" i="107"/>
  <c r="B78" i="107"/>
  <c r="E26" i="107"/>
  <c r="B26" i="107"/>
  <c r="D26" i="107"/>
  <c r="T113" i="107"/>
  <c r="B91" i="107"/>
  <c r="E91" i="107"/>
  <c r="D74" i="107"/>
  <c r="E74" i="107"/>
  <c r="E118" i="107"/>
  <c r="B118" i="107"/>
  <c r="D118" i="107"/>
  <c r="B61" i="107"/>
  <c r="E61" i="107"/>
  <c r="B126" i="107"/>
  <c r="T126" i="107" s="1"/>
  <c r="D126" i="107"/>
  <c r="E89" i="107"/>
  <c r="B89" i="107"/>
  <c r="D85" i="107"/>
  <c r="B85" i="107"/>
  <c r="B73" i="107"/>
  <c r="D73" i="107"/>
  <c r="B70" i="107"/>
  <c r="E70" i="107"/>
  <c r="T29" i="102"/>
  <c r="D112" i="107"/>
  <c r="B112" i="107"/>
  <c r="D42" i="107"/>
  <c r="B42" i="107"/>
  <c r="T33" i="107"/>
  <c r="B66" i="107"/>
  <c r="D66" i="107"/>
  <c r="E66" i="107"/>
  <c r="B56" i="107"/>
  <c r="E56" i="107"/>
  <c r="E52" i="107"/>
  <c r="D52" i="107"/>
  <c r="E69" i="102"/>
  <c r="D69" i="102"/>
  <c r="R83" i="74"/>
  <c r="G86" i="3" s="1"/>
  <c r="AF72" i="74"/>
  <c r="AJ75" i="4" s="1"/>
  <c r="U73" i="74"/>
  <c r="J76" i="3" s="1"/>
  <c r="U76" i="74"/>
  <c r="J79" i="3" s="1"/>
  <c r="R79" i="74"/>
  <c r="G82" i="3" s="1"/>
  <c r="I84" i="74"/>
  <c r="S87" i="75" s="1"/>
  <c r="Y69" i="74"/>
  <c r="AA72" i="4" s="1"/>
  <c r="Q70" i="74"/>
  <c r="F73" i="3" s="1"/>
  <c r="AA70" i="74"/>
  <c r="AC73" i="4" s="1"/>
  <c r="AG72" i="74"/>
  <c r="AK75" i="4" s="1"/>
  <c r="Z73" i="74"/>
  <c r="AB76" i="4" s="1"/>
  <c r="S77" i="74"/>
  <c r="H80" i="3" s="1"/>
  <c r="T81" i="74"/>
  <c r="I84" i="3" s="1"/>
  <c r="AA83" i="74"/>
  <c r="AC86" i="4" s="1"/>
  <c r="Q71" i="74"/>
  <c r="F74" i="3" s="1"/>
  <c r="AE71" i="74"/>
  <c r="AI74" i="4" s="1"/>
  <c r="R93" i="74"/>
  <c r="G96" i="3" s="1"/>
  <c r="I80" i="74"/>
  <c r="S83" i="75" s="1"/>
  <c r="U81" i="74"/>
  <c r="J84" i="3" s="1"/>
  <c r="R71" i="74"/>
  <c r="G74" i="3" s="1"/>
  <c r="I71" i="74"/>
  <c r="S74" i="75" s="1"/>
  <c r="AF81" i="74"/>
  <c r="AJ84" i="4" s="1"/>
  <c r="L86" i="74"/>
  <c r="R91" i="74"/>
  <c r="G94" i="3" s="1"/>
  <c r="I92" i="74"/>
  <c r="S95" i="75" s="1"/>
  <c r="AG70" i="74"/>
  <c r="AK73" i="4" s="1"/>
  <c r="U72" i="74"/>
  <c r="J75" i="3" s="1"/>
  <c r="L80" i="74"/>
  <c r="W83" i="75" s="1"/>
  <c r="AC81" i="74"/>
  <c r="AF84" i="4" s="1"/>
  <c r="Y83" i="74"/>
  <c r="AA86" i="4" s="1"/>
  <c r="AG68" i="74"/>
  <c r="AK71" i="4" s="1"/>
  <c r="AG71" i="74"/>
  <c r="AK74" i="4" s="1"/>
  <c r="L87" i="74"/>
  <c r="AF90" i="74"/>
  <c r="AJ93" i="4" s="1"/>
  <c r="AE93" i="74"/>
  <c r="AI96" i="4" s="1"/>
  <c r="AD69" i="74"/>
  <c r="AG72" i="4" s="1"/>
  <c r="I69" i="74"/>
  <c r="S72" i="75" s="1"/>
  <c r="AF65" i="74"/>
  <c r="AJ68" i="4" s="1"/>
  <c r="U67" i="74"/>
  <c r="J70" i="3" s="1"/>
  <c r="AF57" i="74"/>
  <c r="AJ60" i="4" s="1"/>
  <c r="AB61" i="74"/>
  <c r="AD64" i="4" s="1"/>
  <c r="AF61" i="74"/>
  <c r="AJ64" i="4" s="1"/>
  <c r="U66" i="74"/>
  <c r="J69" i="3" s="1"/>
  <c r="AB69" i="74"/>
  <c r="AD72" i="4" s="1"/>
  <c r="L70" i="74"/>
  <c r="W73" i="75" s="1"/>
  <c r="I61" i="74"/>
  <c r="S64" i="75" s="1"/>
  <c r="AB64" i="74"/>
  <c r="AD67" i="4" s="1"/>
  <c r="Y64" i="74"/>
  <c r="AA67" i="4" s="1"/>
  <c r="AA67" i="74"/>
  <c r="AC70" i="4" s="1"/>
  <c r="O44" i="103"/>
  <c r="S52" i="4"/>
  <c r="W52" i="104"/>
  <c r="X52" i="104" s="1"/>
  <c r="T52" i="104" s="1"/>
  <c r="C12" i="3"/>
  <c r="T44" i="103"/>
  <c r="AL44" i="104"/>
  <c r="AF44" i="74"/>
  <c r="AJ47" i="4" s="1"/>
  <c r="C90" i="103"/>
  <c r="AB99" i="74"/>
  <c r="AD102" i="4" s="1"/>
  <c r="AF99" i="104"/>
  <c r="L112" i="74"/>
  <c r="F112" i="103"/>
  <c r="R14" i="104"/>
  <c r="K14" i="103"/>
  <c r="U14" i="74"/>
  <c r="J17" i="3" s="1"/>
  <c r="C50" i="3"/>
  <c r="W53" i="104"/>
  <c r="X53" i="104" s="1"/>
  <c r="T53" i="104" s="1"/>
  <c r="J74" i="85"/>
  <c r="B56" i="103"/>
  <c r="I61" i="104"/>
  <c r="E86" i="103"/>
  <c r="AD52" i="104"/>
  <c r="AD107" i="74"/>
  <c r="AG110" i="4" s="1"/>
  <c r="R107" i="103"/>
  <c r="U44" i="103"/>
  <c r="E48" i="104"/>
  <c r="B48" i="103"/>
  <c r="G51" i="103"/>
  <c r="C68" i="103"/>
  <c r="U83" i="103"/>
  <c r="Q103" i="74"/>
  <c r="F106" i="3" s="1"/>
  <c r="N103" i="104"/>
  <c r="AA109" i="74"/>
  <c r="AC112" i="4" s="1"/>
  <c r="O109" i="103"/>
  <c r="AE109" i="104"/>
  <c r="T3" i="103"/>
  <c r="AF3" i="74"/>
  <c r="AJ6" i="4" s="1"/>
  <c r="R37" i="104"/>
  <c r="Q90" i="104"/>
  <c r="N99" i="104"/>
  <c r="AC44" i="104"/>
  <c r="U48" i="103"/>
  <c r="AG48" i="74"/>
  <c r="AK51" i="4" s="1"/>
  <c r="AA50" i="104"/>
  <c r="C58" i="3"/>
  <c r="C57" i="97"/>
  <c r="C58" i="4"/>
  <c r="I60" i="4"/>
  <c r="L60" i="4"/>
  <c r="AF93" i="74"/>
  <c r="AJ96" i="4" s="1"/>
  <c r="T93" i="103"/>
  <c r="R98" i="103"/>
  <c r="AI98" i="104"/>
  <c r="AG104" i="74"/>
  <c r="AK107" i="4" s="1"/>
  <c r="U104" i="103"/>
  <c r="AM104" i="104"/>
  <c r="AN104" i="104" s="1"/>
  <c r="L109" i="74"/>
  <c r="W112" i="75" s="1"/>
  <c r="J109" i="104"/>
  <c r="AA112" i="74"/>
  <c r="AC115" i="4" s="1"/>
  <c r="O112" i="103"/>
  <c r="AE112" i="104"/>
  <c r="R100" i="74"/>
  <c r="G103" i="3" s="1"/>
  <c r="O100" i="104"/>
  <c r="H100" i="103"/>
  <c r="AA103" i="74"/>
  <c r="AC106" i="4" s="1"/>
  <c r="AE103" i="104"/>
  <c r="O103" i="103"/>
  <c r="AD116" i="74"/>
  <c r="AG119" i="4" s="1"/>
  <c r="AI116" i="104"/>
  <c r="R116" i="103"/>
  <c r="J161" i="85"/>
  <c r="W119" i="104"/>
  <c r="X119" i="104" s="1"/>
  <c r="T119" i="104" s="1"/>
  <c r="AG132" i="74"/>
  <c r="AK135" i="4" s="1"/>
  <c r="AM132" i="104"/>
  <c r="AG114" i="74"/>
  <c r="AK117" i="4" s="1"/>
  <c r="AM114" i="104"/>
  <c r="U114" i="103"/>
  <c r="Z114" i="74"/>
  <c r="AB117" i="4" s="1"/>
  <c r="AD114" i="104"/>
  <c r="N114" i="103"/>
  <c r="L115" i="74"/>
  <c r="J115" i="104"/>
  <c r="F115" i="103"/>
  <c r="C117" i="103"/>
  <c r="AB121" i="74"/>
  <c r="AD124" i="4" s="1"/>
  <c r="AM124" i="104"/>
  <c r="O128" i="103"/>
  <c r="E133" i="104"/>
  <c r="AD144" i="74"/>
  <c r="AG147" i="4" s="1"/>
  <c r="R144" i="103"/>
  <c r="I116" i="74"/>
  <c r="S119" i="75" s="1"/>
  <c r="E116" i="103"/>
  <c r="E119" i="103"/>
  <c r="AE123" i="74"/>
  <c r="AI126" i="4" s="1"/>
  <c r="AK123" i="104"/>
  <c r="AD132" i="74"/>
  <c r="AG135" i="4" s="1"/>
  <c r="AI132" i="104"/>
  <c r="R132" i="103"/>
  <c r="Q115" i="74"/>
  <c r="F118" i="3" s="1"/>
  <c r="N115" i="104"/>
  <c r="AF116" i="74"/>
  <c r="AJ119" i="4" s="1"/>
  <c r="AL116" i="104"/>
  <c r="T116" i="103"/>
  <c r="AC119" i="74"/>
  <c r="AF122" i="4" s="1"/>
  <c r="Q119" i="103"/>
  <c r="AF128" i="74"/>
  <c r="AJ131" i="4" s="1"/>
  <c r="AL128" i="104"/>
  <c r="AK132" i="104"/>
  <c r="S132" i="103"/>
  <c r="S48" i="4"/>
  <c r="T48" i="4"/>
  <c r="U48" i="4"/>
  <c r="J48" i="4"/>
  <c r="R119" i="103"/>
  <c r="AI119" i="104"/>
  <c r="U126" i="103"/>
  <c r="U119" i="74"/>
  <c r="J122" i="3" s="1"/>
  <c r="K119" i="103"/>
  <c r="U124" i="74"/>
  <c r="J127" i="3" s="1"/>
  <c r="K124" i="103"/>
  <c r="R124" i="104"/>
  <c r="AG128" i="74"/>
  <c r="AK131" i="4" s="1"/>
  <c r="U128" i="103"/>
  <c r="AM128" i="104"/>
  <c r="C133" i="103"/>
  <c r="F133" i="104"/>
  <c r="O139" i="103"/>
  <c r="D127" i="103"/>
  <c r="H127" i="104"/>
  <c r="F129" i="104"/>
  <c r="C129" i="103"/>
  <c r="AF148" i="74"/>
  <c r="AJ151" i="4" s="1"/>
  <c r="T148" i="103"/>
  <c r="AL148" i="104"/>
  <c r="AA148" i="104"/>
  <c r="L148" i="103"/>
  <c r="AF125" i="74"/>
  <c r="AJ128" i="4" s="1"/>
  <c r="T125" i="103"/>
  <c r="Z125" i="74"/>
  <c r="AB128" i="4" s="1"/>
  <c r="AD125" i="104"/>
  <c r="N125" i="103"/>
  <c r="C133" i="4"/>
  <c r="C133" i="75"/>
  <c r="J139" i="103"/>
  <c r="W150" i="104"/>
  <c r="X150" i="104" s="1"/>
  <c r="T150" i="104" s="1"/>
  <c r="M136" i="103"/>
  <c r="AC136" i="104"/>
  <c r="H136" i="104"/>
  <c r="D136" i="103"/>
  <c r="B146" i="103"/>
  <c r="C154" i="97"/>
  <c r="H135" i="104"/>
  <c r="L135" i="104" s="1"/>
  <c r="R139" i="104"/>
  <c r="K139" i="103"/>
  <c r="C142" i="4"/>
  <c r="C142" i="3"/>
  <c r="H141" i="104"/>
  <c r="D141" i="103"/>
  <c r="I145" i="74"/>
  <c r="E145" i="103"/>
  <c r="U148" i="74"/>
  <c r="J151" i="3" s="1"/>
  <c r="K148" i="103"/>
  <c r="R148" i="104"/>
  <c r="AC143" i="74"/>
  <c r="AF146" i="4" s="1"/>
  <c r="AH146" i="4" s="1"/>
  <c r="Q143" i="103"/>
  <c r="AH143" i="104"/>
  <c r="AJ143" i="104" s="1"/>
  <c r="J126" i="4"/>
  <c r="P126" i="4"/>
  <c r="AB148" i="74"/>
  <c r="AD151" i="4" s="1"/>
  <c r="AF148" i="104"/>
  <c r="C149" i="3"/>
  <c r="AF143" i="74"/>
  <c r="AJ146" i="4" s="1"/>
  <c r="T143" i="103"/>
  <c r="C148" i="3"/>
  <c r="C148" i="4"/>
  <c r="C16" i="103"/>
  <c r="F16" i="104"/>
  <c r="AM27" i="104"/>
  <c r="U27" i="103"/>
  <c r="J46" i="103"/>
  <c r="Q46" i="104"/>
  <c r="T46" i="74"/>
  <c r="I49" i="3" s="1"/>
  <c r="AD50" i="104"/>
  <c r="AH53" i="104"/>
  <c r="AJ53" i="104" s="1"/>
  <c r="Q53" i="103"/>
  <c r="AC53" i="74"/>
  <c r="AF56" i="4" s="1"/>
  <c r="AH56" i="4" s="1"/>
  <c r="AL61" i="104"/>
  <c r="T61" i="103"/>
  <c r="T70" i="103"/>
  <c r="AL70" i="104"/>
  <c r="H9" i="104"/>
  <c r="O15" i="103"/>
  <c r="AA15" i="74"/>
  <c r="AC18" i="4" s="1"/>
  <c r="AL27" i="104"/>
  <c r="AN27" i="104" s="1"/>
  <c r="T27" i="103"/>
  <c r="AF27" i="74"/>
  <c r="AJ30" i="4" s="1"/>
  <c r="AA44" i="104"/>
  <c r="S54" i="4"/>
  <c r="F54" i="4"/>
  <c r="P54" i="4"/>
  <c r="I90" i="104"/>
  <c r="AF100" i="104"/>
  <c r="P100" i="103"/>
  <c r="AG107" i="74"/>
  <c r="AK110" i="4" s="1"/>
  <c r="AM107" i="104"/>
  <c r="AL5" i="104"/>
  <c r="T5" i="103"/>
  <c r="AF5" i="74"/>
  <c r="AJ8" i="4" s="1"/>
  <c r="H3" i="104"/>
  <c r="J3" i="104"/>
  <c r="D3" i="103"/>
  <c r="Q14" i="103"/>
  <c r="AH14" i="104"/>
  <c r="AC14" i="74"/>
  <c r="AF17" i="4" s="1"/>
  <c r="T18" i="103"/>
  <c r="AL18" i="104"/>
  <c r="AF18" i="74"/>
  <c r="AJ21" i="4" s="1"/>
  <c r="J47" i="103"/>
  <c r="Q47" i="104"/>
  <c r="M52" i="103"/>
  <c r="AC52" i="104"/>
  <c r="Y52" i="74"/>
  <c r="AA55" i="4" s="1"/>
  <c r="N54" i="104"/>
  <c r="G54" i="103"/>
  <c r="N57" i="104"/>
  <c r="Q57" i="104"/>
  <c r="Q57" i="74"/>
  <c r="F60" i="3" s="1"/>
  <c r="AD61" i="104"/>
  <c r="N61" i="103"/>
  <c r="E69" i="103"/>
  <c r="F3" i="103"/>
  <c r="L3" i="74"/>
  <c r="N15" i="103"/>
  <c r="AD15" i="104"/>
  <c r="Z15" i="74"/>
  <c r="AB18" i="4" s="1"/>
  <c r="AK44" i="104"/>
  <c r="AE44" i="74"/>
  <c r="AI47" i="4" s="1"/>
  <c r="L55" i="4"/>
  <c r="S55" i="4"/>
  <c r="B108" i="103"/>
  <c r="P15" i="103"/>
  <c r="AB15" i="74"/>
  <c r="AD18" i="4" s="1"/>
  <c r="AF15" i="104"/>
  <c r="J46" i="104"/>
  <c r="F46" i="103"/>
  <c r="L46" i="74"/>
  <c r="AK48" i="104"/>
  <c r="AE48" i="74"/>
  <c r="AI51" i="4" s="1"/>
  <c r="AH51" i="104"/>
  <c r="AJ51" i="104" s="1"/>
  <c r="Q51" i="103"/>
  <c r="J54" i="103"/>
  <c r="T54" i="74"/>
  <c r="I57" i="3" s="1"/>
  <c r="Q54" i="104"/>
  <c r="C59" i="97"/>
  <c r="C60" i="75"/>
  <c r="C60" i="4"/>
  <c r="C62" i="4"/>
  <c r="C62" i="3"/>
  <c r="Q68" i="103"/>
  <c r="AH68" i="104"/>
  <c r="AL77" i="104"/>
  <c r="AA3" i="104"/>
  <c r="L3" i="103"/>
  <c r="Y6" i="4"/>
  <c r="Z6" i="4" s="1"/>
  <c r="AF37" i="104"/>
  <c r="AB37" i="74"/>
  <c r="AD40" i="4" s="1"/>
  <c r="G44" i="103"/>
  <c r="E56" i="103"/>
  <c r="N90" i="103"/>
  <c r="AD99" i="74"/>
  <c r="AG102" i="4" s="1"/>
  <c r="AI99" i="104"/>
  <c r="R99" i="103"/>
  <c r="AC101" i="74"/>
  <c r="AF104" i="4" s="1"/>
  <c r="Q101" i="103"/>
  <c r="E3" i="104"/>
  <c r="B3" i="103"/>
  <c r="T50" i="103"/>
  <c r="AL50" i="104"/>
  <c r="AF50" i="74"/>
  <c r="AJ53" i="4" s="1"/>
  <c r="J53" i="104"/>
  <c r="F53" i="103"/>
  <c r="L53" i="74"/>
  <c r="Q55" i="104"/>
  <c r="J55" i="103"/>
  <c r="D58" i="103"/>
  <c r="H58" i="104"/>
  <c r="E83" i="103"/>
  <c r="I83" i="104"/>
  <c r="J87" i="104"/>
  <c r="F87" i="103"/>
  <c r="O91" i="103"/>
  <c r="AE91" i="104"/>
  <c r="D99" i="103"/>
  <c r="H99" i="104"/>
  <c r="D102" i="103"/>
  <c r="H102" i="104"/>
  <c r="L109" i="103"/>
  <c r="AE112" i="74"/>
  <c r="AI115" i="4" s="1"/>
  <c r="AK112" i="104"/>
  <c r="S112" i="103"/>
  <c r="B91" i="103"/>
  <c r="E91" i="104"/>
  <c r="S96" i="74"/>
  <c r="H99" i="3" s="1"/>
  <c r="R101" i="74"/>
  <c r="G104" i="3" s="1"/>
  <c r="O101" i="104"/>
  <c r="H101" i="103"/>
  <c r="V108" i="4"/>
  <c r="F108" i="4"/>
  <c r="U108" i="4"/>
  <c r="I108" i="4"/>
  <c r="P108" i="4"/>
  <c r="L108" i="4"/>
  <c r="M108" i="4"/>
  <c r="Z116" i="74"/>
  <c r="AB119" i="4" s="1"/>
  <c r="AD116" i="104"/>
  <c r="N116" i="103"/>
  <c r="AA121" i="104"/>
  <c r="L121" i="103"/>
  <c r="V83" i="4"/>
  <c r="T83" i="4"/>
  <c r="U83" i="4"/>
  <c r="F83" i="4"/>
  <c r="G83" i="4"/>
  <c r="P83" i="4"/>
  <c r="L83" i="4"/>
  <c r="M83" i="4"/>
  <c r="N83" i="4" s="1"/>
  <c r="J114" i="4"/>
  <c r="M114" i="4"/>
  <c r="S114" i="4"/>
  <c r="L114" i="4"/>
  <c r="P114" i="4"/>
  <c r="AD114" i="74"/>
  <c r="AG117" i="4" s="1"/>
  <c r="R114" i="103"/>
  <c r="AI114" i="104"/>
  <c r="AD115" i="74"/>
  <c r="AG118" i="4" s="1"/>
  <c r="AI115" i="104"/>
  <c r="R115" i="103"/>
  <c r="AA117" i="74"/>
  <c r="AC120" i="4" s="1"/>
  <c r="AE117" i="104"/>
  <c r="O117" i="103"/>
  <c r="H119" i="104"/>
  <c r="D119" i="103"/>
  <c r="AF121" i="74"/>
  <c r="AJ124" i="4" s="1"/>
  <c r="T121" i="103"/>
  <c r="AL121" i="104"/>
  <c r="E123" i="104"/>
  <c r="B123" i="103"/>
  <c r="U131" i="74"/>
  <c r="J134" i="3" s="1"/>
  <c r="K131" i="103"/>
  <c r="R131" i="104"/>
  <c r="AA133" i="74"/>
  <c r="AC136" i="4" s="1"/>
  <c r="AE133" i="104"/>
  <c r="O133" i="103"/>
  <c r="S110" i="4"/>
  <c r="AA119" i="104"/>
  <c r="L119" i="103"/>
  <c r="AA137" i="74"/>
  <c r="AC140" i="4" s="1"/>
  <c r="AE137" i="104"/>
  <c r="O137" i="103"/>
  <c r="C118" i="75"/>
  <c r="C118" i="4"/>
  <c r="P22" i="4"/>
  <c r="T22" i="4"/>
  <c r="C128" i="97"/>
  <c r="C129" i="4"/>
  <c r="C129" i="75"/>
  <c r="J159" i="85"/>
  <c r="W116" i="104"/>
  <c r="X116" i="104" s="1"/>
  <c r="T116" i="104" s="1"/>
  <c r="Q122" i="104"/>
  <c r="J122" i="103"/>
  <c r="U133" i="74"/>
  <c r="J136" i="3" s="1"/>
  <c r="K133" i="103"/>
  <c r="R133" i="104"/>
  <c r="AG137" i="74"/>
  <c r="AK140" i="4" s="1"/>
  <c r="U137" i="103"/>
  <c r="AM137" i="104"/>
  <c r="AG139" i="74"/>
  <c r="AK142" i="4" s="1"/>
  <c r="U139" i="103"/>
  <c r="AM139" i="104"/>
  <c r="T145" i="74"/>
  <c r="I148" i="3" s="1"/>
  <c r="Q145" i="104"/>
  <c r="J145" i="103"/>
  <c r="AL152" i="104"/>
  <c r="AN152" i="104" s="1"/>
  <c r="AF152" i="74"/>
  <c r="L127" i="74"/>
  <c r="W130" i="75" s="1"/>
  <c r="J127" i="104"/>
  <c r="F127" i="103"/>
  <c r="D129" i="103"/>
  <c r="H129" i="104"/>
  <c r="J177" i="85"/>
  <c r="W129" i="104"/>
  <c r="X129" i="104" s="1"/>
  <c r="T129" i="104" s="1"/>
  <c r="AA129" i="74"/>
  <c r="AC132" i="4" s="1"/>
  <c r="O129" i="103"/>
  <c r="AE129" i="104"/>
  <c r="AC148" i="74"/>
  <c r="AF151" i="4" s="1"/>
  <c r="AH148" i="104"/>
  <c r="Q148" i="103"/>
  <c r="I148" i="74"/>
  <c r="S151" i="75" s="1"/>
  <c r="E148" i="103"/>
  <c r="I148" i="104"/>
  <c r="H125" i="104"/>
  <c r="D125" i="103"/>
  <c r="L125" i="74"/>
  <c r="J125" i="104"/>
  <c r="F125" i="103"/>
  <c r="R125" i="74"/>
  <c r="G128" i="3" s="1"/>
  <c r="O125" i="104"/>
  <c r="H125" i="103"/>
  <c r="D130" i="103"/>
  <c r="H130" i="104"/>
  <c r="R141" i="74"/>
  <c r="G144" i="3" s="1"/>
  <c r="O141" i="104"/>
  <c r="H141" i="103"/>
  <c r="L152" i="74"/>
  <c r="J152" i="104"/>
  <c r="C138" i="97"/>
  <c r="U138" i="97" s="1"/>
  <c r="C139" i="3"/>
  <c r="C139" i="75"/>
  <c r="Q136" i="74"/>
  <c r="F139" i="3" s="1"/>
  <c r="N136" i="104"/>
  <c r="G136" i="103"/>
  <c r="AA146" i="74"/>
  <c r="AC149" i="4" s="1"/>
  <c r="AE146" i="104"/>
  <c r="O146" i="103"/>
  <c r="I123" i="4"/>
  <c r="J123" i="4"/>
  <c r="L123" i="4"/>
  <c r="S123" i="4"/>
  <c r="V123" i="4"/>
  <c r="F123" i="4"/>
  <c r="G123" i="4"/>
  <c r="U123" i="4"/>
  <c r="F135" i="104"/>
  <c r="C135" i="103"/>
  <c r="F139" i="104"/>
  <c r="C139" i="103"/>
  <c r="Q141" i="74"/>
  <c r="F144" i="3" s="1"/>
  <c r="G141" i="103"/>
  <c r="N141" i="104"/>
  <c r="AD145" i="74"/>
  <c r="AG148" i="4" s="1"/>
  <c r="AI145" i="104"/>
  <c r="R145" i="103"/>
  <c r="AE148" i="74"/>
  <c r="AI151" i="4" s="1"/>
  <c r="S148" i="103"/>
  <c r="AK148" i="104"/>
  <c r="R142" i="74"/>
  <c r="G145" i="3" s="1"/>
  <c r="O142" i="104"/>
  <c r="H142" i="103"/>
  <c r="Z143" i="74"/>
  <c r="AB146" i="4" s="1"/>
  <c r="AE146" i="4" s="1"/>
  <c r="AD143" i="104"/>
  <c r="AG143" i="104" s="1"/>
  <c r="N143" i="103"/>
  <c r="T7" i="107"/>
  <c r="C22" i="103"/>
  <c r="F22" i="104"/>
  <c r="J7" i="104"/>
  <c r="F7" i="103"/>
  <c r="L7" i="74"/>
  <c r="W10" i="75" s="1"/>
  <c r="F14" i="103"/>
  <c r="J14" i="104"/>
  <c r="L14" i="74"/>
  <c r="W17" i="75" s="1"/>
  <c r="AM16" i="104"/>
  <c r="U16" i="103"/>
  <c r="AG16" i="74"/>
  <c r="AK19" i="4" s="1"/>
  <c r="E46" i="104"/>
  <c r="B46" i="103"/>
  <c r="V53" i="4"/>
  <c r="F53" i="4"/>
  <c r="G53" i="4"/>
  <c r="T53" i="4"/>
  <c r="U53" i="4"/>
  <c r="I53" i="4"/>
  <c r="P53" i="4"/>
  <c r="L53" i="4"/>
  <c r="M53" i="4"/>
  <c r="AC67" i="104"/>
  <c r="M67" i="103"/>
  <c r="AF77" i="104"/>
  <c r="P77" i="103"/>
  <c r="I15" i="104"/>
  <c r="E15" i="103"/>
  <c r="I15" i="74"/>
  <c r="S18" i="75" s="1"/>
  <c r="L27" i="103"/>
  <c r="AA27" i="104"/>
  <c r="R44" i="104"/>
  <c r="K44" i="103"/>
  <c r="U44" i="74"/>
  <c r="J47" i="3" s="1"/>
  <c r="R52" i="104"/>
  <c r="K52" i="103"/>
  <c r="U52" i="74"/>
  <c r="J55" i="3" s="1"/>
  <c r="L90" i="103"/>
  <c r="AA90" i="104"/>
  <c r="L96" i="74"/>
  <c r="W99" i="75" s="1"/>
  <c r="F96" i="103"/>
  <c r="J96" i="104"/>
  <c r="AE100" i="74"/>
  <c r="AI103" i="4" s="1"/>
  <c r="S100" i="103"/>
  <c r="AK100" i="104"/>
  <c r="R109" i="74"/>
  <c r="G112" i="3" s="1"/>
  <c r="O109" i="104"/>
  <c r="H109" i="103"/>
  <c r="AA5" i="104"/>
  <c r="L5" i="103"/>
  <c r="AH3" i="104"/>
  <c r="Q3" i="103"/>
  <c r="AC3" i="74"/>
  <c r="AF6" i="4" s="1"/>
  <c r="F14" i="104"/>
  <c r="C14" i="103"/>
  <c r="L18" i="103"/>
  <c r="AA18" i="104"/>
  <c r="Y21" i="4"/>
  <c r="Z21" i="4" s="1"/>
  <c r="B47" i="103"/>
  <c r="E47" i="104"/>
  <c r="J49" i="104"/>
  <c r="F49" i="103"/>
  <c r="L49" i="74"/>
  <c r="U52" i="103"/>
  <c r="AM52" i="104"/>
  <c r="AG52" i="74"/>
  <c r="AK55" i="4" s="1"/>
  <c r="Q54" i="103"/>
  <c r="AH54" i="104"/>
  <c r="AC54" i="74"/>
  <c r="AF57" i="4" s="1"/>
  <c r="AI57" i="104"/>
  <c r="R57" i="103"/>
  <c r="AD57" i="74"/>
  <c r="AG60" i="4" s="1"/>
  <c r="AE69" i="104"/>
  <c r="O69" i="103"/>
  <c r="AK3" i="104"/>
  <c r="S3" i="103"/>
  <c r="AE3" i="74"/>
  <c r="AI6" i="4" s="1"/>
  <c r="U13" i="103"/>
  <c r="AM13" i="104"/>
  <c r="AG13" i="74"/>
  <c r="AK16" i="4" s="1"/>
  <c r="K53" i="103"/>
  <c r="R53" i="104"/>
  <c r="U53" i="74"/>
  <c r="J56" i="3" s="1"/>
  <c r="S56" i="74"/>
  <c r="H59" i="3" s="1"/>
  <c r="N59" i="3" s="1"/>
  <c r="Q59" i="3" s="1"/>
  <c r="R59" i="3" s="1"/>
  <c r="O58" i="97" s="1"/>
  <c r="Q109" i="104"/>
  <c r="J109" i="103"/>
  <c r="H8" i="104"/>
  <c r="D8" i="103"/>
  <c r="AD16" i="104"/>
  <c r="N16" i="103"/>
  <c r="Z16" i="74"/>
  <c r="AB19" i="4" s="1"/>
  <c r="H47" i="104"/>
  <c r="D47" i="103"/>
  <c r="F52" i="103"/>
  <c r="J52" i="104"/>
  <c r="L52" i="74"/>
  <c r="B54" i="103"/>
  <c r="E54" i="104"/>
  <c r="J57" i="103"/>
  <c r="C69" i="103"/>
  <c r="F69" i="104"/>
  <c r="I73" i="104"/>
  <c r="E73" i="103"/>
  <c r="D85" i="103"/>
  <c r="H85" i="104"/>
  <c r="C99" i="3"/>
  <c r="C98" i="97"/>
  <c r="C99" i="4"/>
  <c r="C99" i="75"/>
  <c r="AC103" i="74"/>
  <c r="AF106" i="4" s="1"/>
  <c r="AH103" i="104"/>
  <c r="Q103" i="103"/>
  <c r="Q110" i="74"/>
  <c r="F113" i="3" s="1"/>
  <c r="N110" i="104"/>
  <c r="G110" i="103"/>
  <c r="R3" i="104"/>
  <c r="K3" i="103"/>
  <c r="U3" i="74"/>
  <c r="J6" i="3" s="1"/>
  <c r="F37" i="104"/>
  <c r="C37" i="103"/>
  <c r="B44" i="103"/>
  <c r="E44" i="104"/>
  <c r="C52" i="103"/>
  <c r="F52" i="104"/>
  <c r="T90" i="103"/>
  <c r="AL90" i="104"/>
  <c r="C102" i="97"/>
  <c r="C103" i="4"/>
  <c r="C103" i="75"/>
  <c r="H103" i="104"/>
  <c r="D103" i="103"/>
  <c r="G46" i="103"/>
  <c r="N46" i="104"/>
  <c r="Q46" i="74"/>
  <c r="F49" i="3" s="1"/>
  <c r="C52" i="3"/>
  <c r="C51" i="97"/>
  <c r="C52" i="75"/>
  <c r="C53" i="97"/>
  <c r="C54" i="75"/>
  <c r="O53" i="103"/>
  <c r="AE53" i="104"/>
  <c r="AA53" i="74"/>
  <c r="AC56" i="4" s="1"/>
  <c r="B55" i="103"/>
  <c r="E55" i="104"/>
  <c r="AD58" i="104"/>
  <c r="N58" i="103"/>
  <c r="Z58" i="74"/>
  <c r="AB61" i="4" s="1"/>
  <c r="O83" i="103"/>
  <c r="AE83" i="104"/>
  <c r="W91" i="104"/>
  <c r="X91" i="104" s="1"/>
  <c r="T91" i="104" s="1"/>
  <c r="B99" i="103"/>
  <c r="E99" i="104"/>
  <c r="AB113" i="74"/>
  <c r="AD116" i="4" s="1"/>
  <c r="AF113" i="104"/>
  <c r="P113" i="103"/>
  <c r="T28" i="4"/>
  <c r="AB91" i="74"/>
  <c r="AD94" i="4" s="1"/>
  <c r="P91" i="103"/>
  <c r="AF91" i="104"/>
  <c r="I96" i="74"/>
  <c r="S99" i="75" s="1"/>
  <c r="I96" i="104"/>
  <c r="E96" i="103"/>
  <c r="I101" i="74"/>
  <c r="E101" i="103"/>
  <c r="I101" i="104"/>
  <c r="F108" i="104"/>
  <c r="C108" i="103"/>
  <c r="L74" i="4"/>
  <c r="M74" i="4"/>
  <c r="S74" i="4"/>
  <c r="V74" i="4"/>
  <c r="F74" i="4"/>
  <c r="T74" i="4"/>
  <c r="G74" i="4"/>
  <c r="I74" i="4"/>
  <c r="P74" i="4"/>
  <c r="I46" i="4"/>
  <c r="S46" i="4"/>
  <c r="F46" i="4"/>
  <c r="L46" i="4"/>
  <c r="M46" i="4"/>
  <c r="T46" i="4"/>
  <c r="U46" i="4"/>
  <c r="S70" i="4"/>
  <c r="F70" i="4"/>
  <c r="T70" i="4"/>
  <c r="I70" i="4"/>
  <c r="P70" i="4"/>
  <c r="J70" i="4"/>
  <c r="S114" i="74"/>
  <c r="H117" i="3" s="1"/>
  <c r="D114" i="103"/>
  <c r="H114" i="104"/>
  <c r="I117" i="74"/>
  <c r="S120" i="75" s="1"/>
  <c r="I117" i="104"/>
  <c r="E117" i="103"/>
  <c r="B119" i="103"/>
  <c r="E119" i="104"/>
  <c r="AA123" i="74"/>
  <c r="AC126" i="4" s="1"/>
  <c r="O123" i="103"/>
  <c r="AE123" i="104"/>
  <c r="E126" i="104"/>
  <c r="B126" i="103"/>
  <c r="Y131" i="74"/>
  <c r="AA134" i="4" s="1"/>
  <c r="M131" i="103"/>
  <c r="AC131" i="104"/>
  <c r="AE133" i="74"/>
  <c r="AI136" i="4" s="1"/>
  <c r="AK133" i="104"/>
  <c r="S133" i="103"/>
  <c r="P110" i="4"/>
  <c r="F118" i="104"/>
  <c r="C118" i="103"/>
  <c r="C121" i="103"/>
  <c r="F121" i="104"/>
  <c r="F126" i="104"/>
  <c r="C126" i="103"/>
  <c r="J151" i="85"/>
  <c r="W115" i="104"/>
  <c r="X115" i="104" s="1"/>
  <c r="T115" i="104" s="1"/>
  <c r="Q119" i="74"/>
  <c r="F122" i="3" s="1"/>
  <c r="N119" i="104"/>
  <c r="G119" i="103"/>
  <c r="I78" i="4"/>
  <c r="P78" i="4"/>
  <c r="L78" i="4"/>
  <c r="V78" i="4"/>
  <c r="U78" i="4"/>
  <c r="F78" i="4"/>
  <c r="G78" i="4"/>
  <c r="AF122" i="74"/>
  <c r="AJ125" i="4" s="1"/>
  <c r="T122" i="103"/>
  <c r="AL122" i="104"/>
  <c r="Q126" i="74"/>
  <c r="F129" i="3" s="1"/>
  <c r="N126" i="104"/>
  <c r="G126" i="103"/>
  <c r="P137" i="104"/>
  <c r="I137" i="103"/>
  <c r="AD121" i="74"/>
  <c r="AG124" i="4" s="1"/>
  <c r="AI121" i="104"/>
  <c r="R121" i="103"/>
  <c r="AA119" i="74"/>
  <c r="AC122" i="4" s="1"/>
  <c r="O119" i="103"/>
  <c r="AE119" i="104"/>
  <c r="L122" i="74"/>
  <c r="J122" i="104"/>
  <c r="F122" i="103"/>
  <c r="AA124" i="104"/>
  <c r="L124" i="103"/>
  <c r="Z126" i="74"/>
  <c r="AB129" i="4" s="1"/>
  <c r="N126" i="103"/>
  <c r="AD126" i="104"/>
  <c r="Q131" i="104"/>
  <c r="J131" i="103"/>
  <c r="Z133" i="74"/>
  <c r="AB136" i="4" s="1"/>
  <c r="N133" i="103"/>
  <c r="AD133" i="104"/>
  <c r="AF145" i="74"/>
  <c r="AJ148" i="4" s="1"/>
  <c r="AL145" i="104"/>
  <c r="T145" i="103"/>
  <c r="AG143" i="74"/>
  <c r="AK146" i="4" s="1"/>
  <c r="U143" i="103"/>
  <c r="AM143" i="104"/>
  <c r="P145" i="74"/>
  <c r="S127" i="74"/>
  <c r="H130" i="3" s="1"/>
  <c r="N130" i="3" s="1"/>
  <c r="Q130" i="3" s="1"/>
  <c r="R130" i="3" s="1"/>
  <c r="O129" i="97" s="1"/>
  <c r="I129" i="97" s="1"/>
  <c r="Q129" i="74"/>
  <c r="F132" i="3" s="1"/>
  <c r="G129" i="103"/>
  <c r="N129" i="104"/>
  <c r="AF129" i="74"/>
  <c r="AJ132" i="4" s="1"/>
  <c r="T129" i="103"/>
  <c r="AL129" i="104"/>
  <c r="B129" i="103"/>
  <c r="E129" i="104"/>
  <c r="B148" i="103"/>
  <c r="E148" i="104"/>
  <c r="R148" i="74"/>
  <c r="G151" i="3" s="1"/>
  <c r="O148" i="104"/>
  <c r="H148" i="103"/>
  <c r="Q125" i="74"/>
  <c r="F128" i="3" s="1"/>
  <c r="N125" i="104"/>
  <c r="G125" i="103"/>
  <c r="AD125" i="74"/>
  <c r="AG128" i="4" s="1"/>
  <c r="AI125" i="104"/>
  <c r="R125" i="103"/>
  <c r="J171" i="85"/>
  <c r="W125" i="104"/>
  <c r="X125" i="104" s="1"/>
  <c r="T125" i="104" s="1"/>
  <c r="F130" i="104"/>
  <c r="C130" i="103"/>
  <c r="D146" i="103"/>
  <c r="H146" i="104"/>
  <c r="T136" i="74"/>
  <c r="I139" i="3" s="1"/>
  <c r="Q136" i="104"/>
  <c r="J136" i="103"/>
  <c r="AE139" i="74"/>
  <c r="AI142" i="4" s="1"/>
  <c r="AK139" i="104"/>
  <c r="S139" i="103"/>
  <c r="C144" i="75"/>
  <c r="C143" i="97"/>
  <c r="F150" i="104"/>
  <c r="E136" i="104"/>
  <c r="B136" i="103"/>
  <c r="Y145" i="74"/>
  <c r="AA148" i="4" s="1"/>
  <c r="M145" i="103"/>
  <c r="AC145" i="104"/>
  <c r="AG145" i="74"/>
  <c r="AK148" i="4" s="1"/>
  <c r="AM145" i="104"/>
  <c r="U145" i="103"/>
  <c r="V149" i="4"/>
  <c r="M149" i="4"/>
  <c r="F149" i="4"/>
  <c r="P149" i="4"/>
  <c r="I149" i="4"/>
  <c r="J149" i="4"/>
  <c r="L149" i="4"/>
  <c r="N149" i="4" s="1"/>
  <c r="S149" i="4"/>
  <c r="T149" i="4"/>
  <c r="U149" i="4"/>
  <c r="T102" i="107"/>
  <c r="AA22" i="104"/>
  <c r="L22" i="103"/>
  <c r="F34" i="104"/>
  <c r="C34" i="103"/>
  <c r="H7" i="104"/>
  <c r="D7" i="103"/>
  <c r="T14" i="103"/>
  <c r="AL14" i="104"/>
  <c r="AF14" i="74"/>
  <c r="AJ17" i="4" s="1"/>
  <c r="M16" i="103"/>
  <c r="AC16" i="104"/>
  <c r="Y16" i="74"/>
  <c r="AA19" i="4" s="1"/>
  <c r="J18" i="104"/>
  <c r="F18" i="103"/>
  <c r="L18" i="74"/>
  <c r="W46" i="104"/>
  <c r="X46" i="104" s="1"/>
  <c r="T46" i="104" s="1"/>
  <c r="J57" i="85"/>
  <c r="M51" i="103"/>
  <c r="AC51" i="104"/>
  <c r="Y51" i="74"/>
  <c r="AA54" i="4" s="1"/>
  <c r="AE54" i="104"/>
  <c r="O54" i="103"/>
  <c r="AA54" i="74"/>
  <c r="AC57" i="4" s="1"/>
  <c r="AM67" i="104"/>
  <c r="U67" i="103"/>
  <c r="AA81" i="104"/>
  <c r="L81" i="103"/>
  <c r="P15" i="104"/>
  <c r="S15" i="74"/>
  <c r="H18" i="3" s="1"/>
  <c r="K27" i="103"/>
  <c r="R27" i="104"/>
  <c r="U27" i="74"/>
  <c r="J30" i="3" s="1"/>
  <c r="AF44" i="104"/>
  <c r="P44" i="103"/>
  <c r="AB44" i="74"/>
  <c r="AD47" i="4" s="1"/>
  <c r="L52" i="103"/>
  <c r="AA52" i="104"/>
  <c r="AC90" i="74"/>
  <c r="AF93" i="4" s="1"/>
  <c r="AH90" i="104"/>
  <c r="Q90" i="103"/>
  <c r="L96" i="103"/>
  <c r="AA96" i="104"/>
  <c r="L101" i="74"/>
  <c r="W104" i="75" s="1"/>
  <c r="J101" i="104"/>
  <c r="K101" i="104" s="1"/>
  <c r="F101" i="103"/>
  <c r="D109" i="103"/>
  <c r="H109" i="104"/>
  <c r="J5" i="103"/>
  <c r="Q5" i="104"/>
  <c r="O14" i="103"/>
  <c r="AE14" i="104"/>
  <c r="AA14" i="74"/>
  <c r="AC17" i="4" s="1"/>
  <c r="K18" i="103"/>
  <c r="R18" i="104"/>
  <c r="U18" i="74"/>
  <c r="J21" i="3" s="1"/>
  <c r="E27" i="104"/>
  <c r="B27" i="103"/>
  <c r="F44" i="103"/>
  <c r="J44" i="104"/>
  <c r="L44" i="74"/>
  <c r="S47" i="103"/>
  <c r="AK47" i="104"/>
  <c r="AE47" i="74"/>
  <c r="AI50" i="4" s="1"/>
  <c r="AF49" i="104"/>
  <c r="P49" i="103"/>
  <c r="AB49" i="74"/>
  <c r="AD52" i="4" s="1"/>
  <c r="C55" i="97"/>
  <c r="C56" i="3"/>
  <c r="C56" i="4"/>
  <c r="C56" i="75"/>
  <c r="N58" i="104"/>
  <c r="G58" i="103"/>
  <c r="E67" i="103"/>
  <c r="I67" i="104"/>
  <c r="G90" i="103"/>
  <c r="N90" i="104"/>
  <c r="M13" i="103"/>
  <c r="Y13" i="74"/>
  <c r="AA16" i="4" s="1"/>
  <c r="AC13" i="104"/>
  <c r="I46" i="104"/>
  <c r="K46" i="104" s="1"/>
  <c r="E46" i="103"/>
  <c r="I46" i="74"/>
  <c r="L53" i="103"/>
  <c r="AA53" i="104"/>
  <c r="B87" i="103"/>
  <c r="E87" i="104"/>
  <c r="B6" i="103"/>
  <c r="E6" i="104"/>
  <c r="F8" i="103"/>
  <c r="J8" i="104"/>
  <c r="L8" i="74"/>
  <c r="M18" i="103"/>
  <c r="AC18" i="104"/>
  <c r="Y18" i="74"/>
  <c r="AA21" i="4" s="1"/>
  <c r="M47" i="103"/>
  <c r="AC47" i="104"/>
  <c r="Y47" i="74"/>
  <c r="AA50" i="4" s="1"/>
  <c r="W48" i="104"/>
  <c r="X48" i="104" s="1"/>
  <c r="T48" i="104" s="1"/>
  <c r="J59" i="85"/>
  <c r="AE52" i="104"/>
  <c r="O52" i="103"/>
  <c r="AA52" i="74"/>
  <c r="AC55" i="4" s="1"/>
  <c r="AK54" i="104"/>
  <c r="S54" i="103"/>
  <c r="AE54" i="74"/>
  <c r="AI57" i="4" s="1"/>
  <c r="L57" i="103"/>
  <c r="AA57" i="104"/>
  <c r="Q69" i="103"/>
  <c r="AH69" i="104"/>
  <c r="AJ69" i="104" s="1"/>
  <c r="AD73" i="104"/>
  <c r="N73" i="103"/>
  <c r="C89" i="75"/>
  <c r="Q96" i="74"/>
  <c r="F99" i="3" s="1"/>
  <c r="N96" i="104"/>
  <c r="G96" i="103"/>
  <c r="C107" i="103"/>
  <c r="F107" i="104"/>
  <c r="C114" i="97"/>
  <c r="C115" i="75"/>
  <c r="M28" i="4"/>
  <c r="AD37" i="104"/>
  <c r="N37" i="103"/>
  <c r="Z37" i="74"/>
  <c r="AB40" i="4" s="1"/>
  <c r="T47" i="4"/>
  <c r="L47" i="4"/>
  <c r="J47" i="4"/>
  <c r="M47" i="4"/>
  <c r="S47" i="4"/>
  <c r="V47" i="4"/>
  <c r="P47" i="4"/>
  <c r="G47" i="4"/>
  <c r="E60" i="104"/>
  <c r="B60" i="103"/>
  <c r="Z96" i="74"/>
  <c r="AB99" i="4" s="1"/>
  <c r="AD96" i="104"/>
  <c r="N96" i="103"/>
  <c r="Q100" i="74"/>
  <c r="F103" i="3" s="1"/>
  <c r="N100" i="104"/>
  <c r="G100" i="103"/>
  <c r="B103" i="103"/>
  <c r="E103" i="104"/>
  <c r="O13" i="104"/>
  <c r="H13" i="103"/>
  <c r="R13" i="74"/>
  <c r="G16" i="3" s="1"/>
  <c r="J47" i="104"/>
  <c r="F47" i="103"/>
  <c r="L47" i="74"/>
  <c r="X50" i="75" s="1"/>
  <c r="Y50" i="75" s="1"/>
  <c r="J49" i="103"/>
  <c r="Q49" i="104"/>
  <c r="T49" i="74"/>
  <c r="I52" i="3" s="1"/>
  <c r="J51" i="103"/>
  <c r="Q51" i="104"/>
  <c r="T51" i="74"/>
  <c r="S55" i="103"/>
  <c r="AK55" i="104"/>
  <c r="AE55" i="74"/>
  <c r="AI58" i="4" s="1"/>
  <c r="T61" i="4"/>
  <c r="G61" i="4"/>
  <c r="J61" i="4"/>
  <c r="P61" i="4"/>
  <c r="M61" i="4"/>
  <c r="V61" i="4"/>
  <c r="R90" i="104"/>
  <c r="K90" i="103"/>
  <c r="E92" i="103"/>
  <c r="I92" i="104"/>
  <c r="K92" i="104" s="1"/>
  <c r="R96" i="74"/>
  <c r="G99" i="3" s="1"/>
  <c r="H96" i="103"/>
  <c r="O96" i="104"/>
  <c r="AA99" i="74"/>
  <c r="AC102" i="4" s="1"/>
  <c r="AE99" i="104"/>
  <c r="O99" i="103"/>
  <c r="R103" i="74"/>
  <c r="G106" i="3" s="1"/>
  <c r="O103" i="104"/>
  <c r="H103" i="103"/>
  <c r="C110" i="3"/>
  <c r="C109" i="97"/>
  <c r="C110" i="4"/>
  <c r="C110" i="75"/>
  <c r="R110" i="74"/>
  <c r="G113" i="3" s="1"/>
  <c r="H110" i="103"/>
  <c r="O110" i="104"/>
  <c r="AF113" i="74"/>
  <c r="AJ116" i="4" s="1"/>
  <c r="AL113" i="104"/>
  <c r="T113" i="103"/>
  <c r="AG91" i="74"/>
  <c r="AK94" i="4" s="1"/>
  <c r="AM91" i="104"/>
  <c r="U91" i="103"/>
  <c r="B96" i="103"/>
  <c r="E96" i="104"/>
  <c r="AD101" i="74"/>
  <c r="AG104" i="4" s="1"/>
  <c r="AH104" i="4" s="1"/>
  <c r="AI101" i="104"/>
  <c r="R101" i="103"/>
  <c r="V95" i="4"/>
  <c r="F95" i="4"/>
  <c r="G95" i="4"/>
  <c r="I95" i="4"/>
  <c r="J95" i="4"/>
  <c r="M95" i="4"/>
  <c r="I115" i="74"/>
  <c r="I115" i="104"/>
  <c r="E115" i="103"/>
  <c r="H116" i="104"/>
  <c r="D116" i="103"/>
  <c r="I123" i="74"/>
  <c r="S126" i="75" s="1"/>
  <c r="I123" i="104"/>
  <c r="E123" i="103"/>
  <c r="J144" i="85"/>
  <c r="W114" i="104"/>
  <c r="X114" i="104" s="1"/>
  <c r="T114" i="104" s="1"/>
  <c r="Q114" i="74"/>
  <c r="F117" i="3" s="1"/>
  <c r="N114" i="104"/>
  <c r="G114" i="103"/>
  <c r="Y116" i="74"/>
  <c r="AA119" i="4" s="1"/>
  <c r="AC116" i="104"/>
  <c r="M116" i="103"/>
  <c r="AB119" i="74"/>
  <c r="AD122" i="4" s="1"/>
  <c r="P119" i="103"/>
  <c r="AF119" i="104"/>
  <c r="Q124" i="74"/>
  <c r="F127" i="3" s="1"/>
  <c r="G124" i="103"/>
  <c r="N124" i="104"/>
  <c r="AA126" i="74"/>
  <c r="AC129" i="4" s="1"/>
  <c r="AE126" i="104"/>
  <c r="O126" i="103"/>
  <c r="AC131" i="74"/>
  <c r="AF134" i="4" s="1"/>
  <c r="Q131" i="103"/>
  <c r="AH131" i="104"/>
  <c r="M139" i="4"/>
  <c r="S139" i="4"/>
  <c r="G139" i="4"/>
  <c r="L139" i="4"/>
  <c r="J139" i="4"/>
  <c r="P139" i="4"/>
  <c r="I139" i="4"/>
  <c r="K139" i="4" s="1"/>
  <c r="M75" i="4"/>
  <c r="V75" i="4"/>
  <c r="F75" i="4"/>
  <c r="G75" i="4"/>
  <c r="T75" i="4"/>
  <c r="I110" i="4"/>
  <c r="L110" i="4"/>
  <c r="AE118" i="74"/>
  <c r="AI121" i="4" s="1"/>
  <c r="S118" i="103"/>
  <c r="AK118" i="104"/>
  <c r="L121" i="74"/>
  <c r="J121" i="104"/>
  <c r="F121" i="103"/>
  <c r="T126" i="74"/>
  <c r="I129" i="3" s="1"/>
  <c r="J126" i="103"/>
  <c r="Q126" i="104"/>
  <c r="V103" i="4"/>
  <c r="F103" i="4"/>
  <c r="G103" i="4"/>
  <c r="H103" i="4" s="1"/>
  <c r="U103" i="4"/>
  <c r="P103" i="4"/>
  <c r="L103" i="4"/>
  <c r="L116" i="4"/>
  <c r="S116" i="4"/>
  <c r="V116" i="4"/>
  <c r="U116" i="4"/>
  <c r="J116" i="4"/>
  <c r="T116" i="4"/>
  <c r="M116" i="4"/>
  <c r="AC115" i="74"/>
  <c r="AF118" i="4" s="1"/>
  <c r="AH118" i="4" s="1"/>
  <c r="Q115" i="103"/>
  <c r="AH115" i="104"/>
  <c r="AG119" i="74"/>
  <c r="AK122" i="4" s="1"/>
  <c r="U119" i="103"/>
  <c r="AM119" i="104"/>
  <c r="Z120" i="74"/>
  <c r="AB123" i="4" s="1"/>
  <c r="AD120" i="104"/>
  <c r="AG120" i="104" s="1"/>
  <c r="N120" i="103"/>
  <c r="F123" i="104"/>
  <c r="C123" i="103"/>
  <c r="U126" i="74"/>
  <c r="J129" i="3" s="1"/>
  <c r="R126" i="104"/>
  <c r="K126" i="103"/>
  <c r="C134" i="97"/>
  <c r="C135" i="75"/>
  <c r="AB137" i="74"/>
  <c r="AD140" i="4" s="1"/>
  <c r="AF137" i="104"/>
  <c r="P137" i="103"/>
  <c r="AB115" i="74"/>
  <c r="AD118" i="4" s="1"/>
  <c r="AF115" i="104"/>
  <c r="P115" i="103"/>
  <c r="AE119" i="74"/>
  <c r="AI122" i="4" s="1"/>
  <c r="S119" i="103"/>
  <c r="AK119" i="104"/>
  <c r="AD122" i="74"/>
  <c r="AG125" i="4" s="1"/>
  <c r="AI122" i="104"/>
  <c r="R122" i="103"/>
  <c r="AB124" i="74"/>
  <c r="AD127" i="4" s="1"/>
  <c r="P124" i="103"/>
  <c r="AF124" i="104"/>
  <c r="AD126" i="74"/>
  <c r="AG129" i="4" s="1"/>
  <c r="R126" i="103"/>
  <c r="AI126" i="104"/>
  <c r="L131" i="74"/>
  <c r="W134" i="75" s="1"/>
  <c r="F131" i="103"/>
  <c r="J131" i="104"/>
  <c r="AD133" i="74"/>
  <c r="AG136" i="4" s="1"/>
  <c r="R133" i="103"/>
  <c r="AI133" i="104"/>
  <c r="U121" i="97"/>
  <c r="L141" i="74"/>
  <c r="J141" i="104"/>
  <c r="F141" i="103"/>
  <c r="I127" i="74"/>
  <c r="S130" i="75" s="1"/>
  <c r="E127" i="103"/>
  <c r="I127" i="104"/>
  <c r="C131" i="97"/>
  <c r="C132" i="3"/>
  <c r="AB129" i="74"/>
  <c r="AD132" i="4" s="1"/>
  <c r="P129" i="103"/>
  <c r="AF129" i="104"/>
  <c r="I129" i="74"/>
  <c r="S132" i="75" s="1"/>
  <c r="I129" i="104"/>
  <c r="E129" i="103"/>
  <c r="C141" i="75"/>
  <c r="C141" i="4"/>
  <c r="C140" i="97"/>
  <c r="C141" i="3"/>
  <c r="H148" i="104"/>
  <c r="D148" i="103"/>
  <c r="C127" i="97"/>
  <c r="C128" i="3"/>
  <c r="C128" i="75"/>
  <c r="C128" i="4"/>
  <c r="J125" i="103"/>
  <c r="Q125" i="104"/>
  <c r="AC125" i="74"/>
  <c r="AF128" i="4" s="1"/>
  <c r="AH125" i="104"/>
  <c r="Q125" i="103"/>
  <c r="P130" i="104"/>
  <c r="AB141" i="74"/>
  <c r="AD144" i="4" s="1"/>
  <c r="AF141" i="104"/>
  <c r="P141" i="103"/>
  <c r="AE146" i="74"/>
  <c r="AI149" i="4" s="1"/>
  <c r="AK146" i="104"/>
  <c r="S146" i="103"/>
  <c r="T7" i="102"/>
  <c r="R136" i="74"/>
  <c r="G139" i="3" s="1"/>
  <c r="H136" i="103"/>
  <c r="O136" i="104"/>
  <c r="B143" i="103"/>
  <c r="E143" i="104"/>
  <c r="S148" i="74"/>
  <c r="H151" i="3" s="1"/>
  <c r="S139" i="74"/>
  <c r="H142" i="3" s="1"/>
  <c r="AE141" i="74"/>
  <c r="AI144" i="4" s="1"/>
  <c r="S141" i="103"/>
  <c r="AK141" i="104"/>
  <c r="AL141" i="104"/>
  <c r="AF141" i="74"/>
  <c r="AJ144" i="4" s="1"/>
  <c r="T141" i="103"/>
  <c r="R146" i="74"/>
  <c r="G149" i="3" s="1"/>
  <c r="H146" i="103"/>
  <c r="O146" i="104"/>
  <c r="U145" i="74"/>
  <c r="J148" i="3" s="1"/>
  <c r="K145" i="103"/>
  <c r="R145" i="104"/>
  <c r="I40" i="104"/>
  <c r="E40" i="103"/>
  <c r="I40" i="74"/>
  <c r="S43" i="75" s="1"/>
  <c r="F35" i="104"/>
  <c r="C35" i="103"/>
  <c r="B7" i="103"/>
  <c r="E7" i="104"/>
  <c r="E16" i="103"/>
  <c r="I16" i="104"/>
  <c r="I16" i="74"/>
  <c r="S18" i="103"/>
  <c r="AK18" i="104"/>
  <c r="AE18" i="74"/>
  <c r="AI21" i="4" s="1"/>
  <c r="Q47" i="103"/>
  <c r="AH47" i="104"/>
  <c r="AC47" i="74"/>
  <c r="AF50" i="4" s="1"/>
  <c r="U51" i="103"/>
  <c r="AM51" i="104"/>
  <c r="AG51" i="74"/>
  <c r="AK54" i="4" s="1"/>
  <c r="AC55" i="104"/>
  <c r="Y55" i="74"/>
  <c r="AA58" i="4" s="1"/>
  <c r="M55" i="103"/>
  <c r="AC68" i="104"/>
  <c r="M68" i="103"/>
  <c r="T81" i="103"/>
  <c r="AL81" i="104"/>
  <c r="AM15" i="104"/>
  <c r="U15" i="103"/>
  <c r="AG15" i="74"/>
  <c r="AK18" i="4" s="1"/>
  <c r="I29" i="4"/>
  <c r="S29" i="4"/>
  <c r="F29" i="4"/>
  <c r="J29" i="4"/>
  <c r="M29" i="4"/>
  <c r="V29" i="4"/>
  <c r="U29" i="4"/>
  <c r="P27" i="103"/>
  <c r="AF27" i="104"/>
  <c r="AB27" i="74"/>
  <c r="AD30" i="4" s="1"/>
  <c r="C44" i="103"/>
  <c r="F44" i="104"/>
  <c r="AL52" i="104"/>
  <c r="T52" i="103"/>
  <c r="AF52" i="74"/>
  <c r="AJ55" i="4" s="1"/>
  <c r="H91" i="104"/>
  <c r="D91" i="103"/>
  <c r="AB96" i="74"/>
  <c r="AD99" i="4" s="1"/>
  <c r="P96" i="103"/>
  <c r="AF96" i="104"/>
  <c r="AA101" i="74"/>
  <c r="AC104" i="4" s="1"/>
  <c r="AE101" i="104"/>
  <c r="O101" i="103"/>
  <c r="AC109" i="74"/>
  <c r="AF112" i="4" s="1"/>
  <c r="AH109" i="104"/>
  <c r="AJ109" i="104" s="1"/>
  <c r="Q109" i="103"/>
  <c r="AI5" i="104"/>
  <c r="R5" i="103"/>
  <c r="AD5" i="74"/>
  <c r="AG8" i="4" s="1"/>
  <c r="I14" i="104"/>
  <c r="K14" i="104" s="1"/>
  <c r="E14" i="103"/>
  <c r="I14" i="74"/>
  <c r="L15" i="103"/>
  <c r="AA15" i="104"/>
  <c r="Y18" i="4"/>
  <c r="Z18" i="4" s="1"/>
  <c r="AF18" i="104"/>
  <c r="P18" i="103"/>
  <c r="AB18" i="74"/>
  <c r="AD21" i="4" s="1"/>
  <c r="D37" i="103"/>
  <c r="H37" i="104"/>
  <c r="R44" i="103"/>
  <c r="AI44" i="104"/>
  <c r="AD44" i="74"/>
  <c r="AG47" i="4" s="1"/>
  <c r="J50" i="104"/>
  <c r="F50" i="103"/>
  <c r="L50" i="74"/>
  <c r="W53" i="75" s="1"/>
  <c r="Q53" i="104"/>
  <c r="J53" i="103"/>
  <c r="T53" i="74"/>
  <c r="I56" i="3" s="1"/>
  <c r="R58" i="103"/>
  <c r="AI58" i="104"/>
  <c r="AD58" i="74"/>
  <c r="AG61" i="4" s="1"/>
  <c r="O67" i="103"/>
  <c r="AE67" i="104"/>
  <c r="E70" i="103"/>
  <c r="I70" i="104"/>
  <c r="K70" i="104" s="1"/>
  <c r="I102" i="74"/>
  <c r="S105" i="75" s="1"/>
  <c r="E102" i="103"/>
  <c r="I102" i="104"/>
  <c r="R13" i="104"/>
  <c r="K13" i="103"/>
  <c r="U13" i="74"/>
  <c r="J16" i="3" s="1"/>
  <c r="J37" i="104"/>
  <c r="F37" i="103"/>
  <c r="L37" i="74"/>
  <c r="W40" i="75" s="1"/>
  <c r="J49" i="4"/>
  <c r="V49" i="4"/>
  <c r="T49" i="4"/>
  <c r="U49" i="4"/>
  <c r="F49" i="4"/>
  <c r="I49" i="4"/>
  <c r="AL53" i="104"/>
  <c r="T53" i="103"/>
  <c r="AF53" i="74"/>
  <c r="AJ56" i="4" s="1"/>
  <c r="D6" i="103"/>
  <c r="H6" i="104"/>
  <c r="E9" i="103"/>
  <c r="I9" i="104"/>
  <c r="I9" i="74"/>
  <c r="S12" i="75" s="1"/>
  <c r="H27" i="103"/>
  <c r="O27" i="104"/>
  <c r="R27" i="74"/>
  <c r="G30" i="3" s="1"/>
  <c r="U47" i="103"/>
  <c r="AM47" i="104"/>
  <c r="AG47" i="74"/>
  <c r="AK50" i="4" s="1"/>
  <c r="N49" i="104"/>
  <c r="G49" i="103"/>
  <c r="Q49" i="74"/>
  <c r="F52" i="3" s="1"/>
  <c r="D53" i="103"/>
  <c r="H53" i="104"/>
  <c r="T57" i="103"/>
  <c r="AL57" i="104"/>
  <c r="C61" i="103"/>
  <c r="F61" i="104"/>
  <c r="F70" i="104"/>
  <c r="C70" i="103"/>
  <c r="F81" i="104"/>
  <c r="C81" i="103"/>
  <c r="D87" i="103"/>
  <c r="H87" i="104"/>
  <c r="J127" i="85"/>
  <c r="W96" i="104"/>
  <c r="X96" i="104" s="1"/>
  <c r="T96" i="104" s="1"/>
  <c r="L108" i="74"/>
  <c r="W111" i="75" s="1"/>
  <c r="F108" i="103"/>
  <c r="J108" i="104"/>
  <c r="Q112" i="74"/>
  <c r="F115" i="3" s="1"/>
  <c r="N112" i="104"/>
  <c r="G112" i="103"/>
  <c r="R3" i="103"/>
  <c r="AI3" i="104"/>
  <c r="AJ3" i="104" s="1"/>
  <c r="AD3" i="74"/>
  <c r="AG6" i="4" s="1"/>
  <c r="Q27" i="104"/>
  <c r="J27" i="103"/>
  <c r="T27" i="74"/>
  <c r="I30" i="3" s="1"/>
  <c r="E37" i="103"/>
  <c r="I37" i="104"/>
  <c r="I37" i="74"/>
  <c r="S40" i="75" s="1"/>
  <c r="F46" i="104"/>
  <c r="C46" i="103"/>
  <c r="P52" i="103"/>
  <c r="AF52" i="104"/>
  <c r="AB52" i="74"/>
  <c r="AD55" i="4" s="1"/>
  <c r="C96" i="3"/>
  <c r="C96" i="4"/>
  <c r="AG96" i="74"/>
  <c r="AK99" i="4" s="1"/>
  <c r="AM96" i="104"/>
  <c r="U96" i="103"/>
  <c r="AG100" i="74"/>
  <c r="AK103" i="4" s="1"/>
  <c r="AM100" i="104"/>
  <c r="U100" i="103"/>
  <c r="Z103" i="74"/>
  <c r="AB106" i="4" s="1"/>
  <c r="N103" i="103"/>
  <c r="AD103" i="104"/>
  <c r="AF13" i="104"/>
  <c r="P13" i="103"/>
  <c r="AB13" i="74"/>
  <c r="AD16" i="4" s="1"/>
  <c r="O47" i="103"/>
  <c r="AE47" i="104"/>
  <c r="AA47" i="74"/>
  <c r="AC50" i="4" s="1"/>
  <c r="L49" i="103"/>
  <c r="AA49" i="104"/>
  <c r="Y52" i="4"/>
  <c r="Z52" i="4" s="1"/>
  <c r="B51" i="103"/>
  <c r="E51" i="104"/>
  <c r="D54" i="103"/>
  <c r="H54" i="104"/>
  <c r="W55" i="104"/>
  <c r="X55" i="104" s="1"/>
  <c r="T55" i="104" s="1"/>
  <c r="J78" i="85"/>
  <c r="AA90" i="74"/>
  <c r="AC93" i="4" s="1"/>
  <c r="AE90" i="104"/>
  <c r="O90" i="103"/>
  <c r="Y95" i="4"/>
  <c r="Z95" i="4" s="1"/>
  <c r="L92" i="103"/>
  <c r="AA92" i="104"/>
  <c r="D100" i="103"/>
  <c r="H100" i="104"/>
  <c r="AD103" i="74"/>
  <c r="AG106" i="4" s="1"/>
  <c r="R103" i="103"/>
  <c r="AI103" i="104"/>
  <c r="AJ103" i="104" s="1"/>
  <c r="Q107" i="74"/>
  <c r="F110" i="3" s="1"/>
  <c r="N107" i="104"/>
  <c r="G107" i="103"/>
  <c r="AC110" i="74"/>
  <c r="AF113" i="4" s="1"/>
  <c r="AH110" i="104"/>
  <c r="Q110" i="103"/>
  <c r="K93" i="103"/>
  <c r="R93" i="104"/>
  <c r="AA96" i="74"/>
  <c r="AC99" i="4" s="1"/>
  <c r="AE96" i="104"/>
  <c r="O96" i="103"/>
  <c r="AG101" i="74"/>
  <c r="AK104" i="4" s="1"/>
  <c r="AM101" i="104"/>
  <c r="U101" i="103"/>
  <c r="P65" i="4"/>
  <c r="J65" i="4"/>
  <c r="L65" i="4"/>
  <c r="S65" i="4"/>
  <c r="F65" i="4"/>
  <c r="T65" i="4"/>
  <c r="Q116" i="74"/>
  <c r="F119" i="3" s="1"/>
  <c r="N116" i="104"/>
  <c r="G116" i="103"/>
  <c r="I126" i="74"/>
  <c r="S129" i="75" s="1"/>
  <c r="I126" i="104"/>
  <c r="E126" i="103"/>
  <c r="G79" i="4"/>
  <c r="I79" i="4"/>
  <c r="J79" i="4"/>
  <c r="L79" i="4"/>
  <c r="M79" i="4"/>
  <c r="F79" i="4"/>
  <c r="T79" i="4"/>
  <c r="AB114" i="74"/>
  <c r="AD117" i="4" s="1"/>
  <c r="AF114" i="104"/>
  <c r="P114" i="103"/>
  <c r="E114" i="104"/>
  <c r="B114" i="103"/>
  <c r="C117" i="75"/>
  <c r="AC117" i="74"/>
  <c r="AF120" i="4" s="1"/>
  <c r="Q117" i="103"/>
  <c r="AH117" i="104"/>
  <c r="AJ117" i="104" s="1"/>
  <c r="AF119" i="74"/>
  <c r="AJ122" i="4" s="1"/>
  <c r="AL119" i="104"/>
  <c r="T119" i="103"/>
  <c r="U122" i="74"/>
  <c r="J125" i="3" s="1"/>
  <c r="K122" i="103"/>
  <c r="R122" i="104"/>
  <c r="H124" i="104"/>
  <c r="D124" i="103"/>
  <c r="AE126" i="74"/>
  <c r="AI129" i="4" s="1"/>
  <c r="S126" i="103"/>
  <c r="AK126" i="104"/>
  <c r="AG131" i="74"/>
  <c r="AK134" i="4" s="1"/>
  <c r="AM131" i="104"/>
  <c r="U131" i="103"/>
  <c r="Q137" i="74"/>
  <c r="F140" i="3" s="1"/>
  <c r="N137" i="104"/>
  <c r="G137" i="103"/>
  <c r="U110" i="4"/>
  <c r="AA118" i="74"/>
  <c r="AC121" i="4" s="1"/>
  <c r="O118" i="103"/>
  <c r="AE118" i="104"/>
  <c r="Y121" i="74"/>
  <c r="AA124" i="4" s="1"/>
  <c r="AC121" i="104"/>
  <c r="M121" i="103"/>
  <c r="AE128" i="74"/>
  <c r="AI131" i="4" s="1"/>
  <c r="AL131" i="4" s="1"/>
  <c r="AK128" i="104"/>
  <c r="AN128" i="104" s="1"/>
  <c r="S128" i="103"/>
  <c r="Y115" i="74"/>
  <c r="AA118" i="4" s="1"/>
  <c r="AC115" i="104"/>
  <c r="M115" i="103"/>
  <c r="S71" i="4"/>
  <c r="V71" i="4"/>
  <c r="T71" i="4"/>
  <c r="F71" i="4"/>
  <c r="P71" i="4"/>
  <c r="J71" i="4"/>
  <c r="G86" i="4"/>
  <c r="U86" i="4"/>
  <c r="J86" i="4"/>
  <c r="L86" i="4"/>
  <c r="S86" i="4"/>
  <c r="V86" i="4"/>
  <c r="T86" i="4"/>
  <c r="AD120" i="74"/>
  <c r="AG123" i="4" s="1"/>
  <c r="R120" i="103"/>
  <c r="AI120" i="104"/>
  <c r="U123" i="74"/>
  <c r="J126" i="3" s="1"/>
  <c r="K123" i="103"/>
  <c r="R123" i="104"/>
  <c r="J172" i="85"/>
  <c r="W126" i="104"/>
  <c r="X126" i="104" s="1"/>
  <c r="T126" i="104" s="1"/>
  <c r="Q132" i="74"/>
  <c r="F135" i="3" s="1"/>
  <c r="N132" i="104"/>
  <c r="G132" i="103"/>
  <c r="C9" i="97"/>
  <c r="Z119" i="74"/>
  <c r="AB122" i="4" s="1"/>
  <c r="AD119" i="104"/>
  <c r="N119" i="103"/>
  <c r="Q118" i="74"/>
  <c r="F121" i="3" s="1"/>
  <c r="N118" i="104"/>
  <c r="G118" i="103"/>
  <c r="T120" i="74"/>
  <c r="I123" i="3" s="1"/>
  <c r="Q120" i="104"/>
  <c r="J120" i="103"/>
  <c r="AF124" i="74"/>
  <c r="AJ127" i="4" s="1"/>
  <c r="AL124" i="104"/>
  <c r="T124" i="103"/>
  <c r="F128" i="104"/>
  <c r="C128" i="103"/>
  <c r="Y134" i="4"/>
  <c r="Z134" i="4" s="1"/>
  <c r="L131" i="103"/>
  <c r="AA131" i="104"/>
  <c r="V136" i="4"/>
  <c r="F136" i="4"/>
  <c r="T136" i="4"/>
  <c r="J136" i="4"/>
  <c r="L136" i="4"/>
  <c r="M136" i="4"/>
  <c r="S136" i="4"/>
  <c r="P136" i="4"/>
  <c r="I136" i="4"/>
  <c r="U142" i="74"/>
  <c r="J145" i="3" s="1"/>
  <c r="R142" i="104"/>
  <c r="K142" i="103"/>
  <c r="M148" i="74"/>
  <c r="AG129" i="74"/>
  <c r="AK132" i="4" s="1"/>
  <c r="U129" i="103"/>
  <c r="AM129" i="104"/>
  <c r="Y132" i="4"/>
  <c r="Z132" i="4" s="1"/>
  <c r="L129" i="103"/>
  <c r="AA129" i="104"/>
  <c r="R129" i="74"/>
  <c r="G132" i="3" s="1"/>
  <c r="O129" i="104"/>
  <c r="H129" i="103"/>
  <c r="D138" i="103"/>
  <c r="H138" i="104"/>
  <c r="Z146" i="74"/>
  <c r="AB149" i="4" s="1"/>
  <c r="AD146" i="104"/>
  <c r="N146" i="103"/>
  <c r="Q148" i="74"/>
  <c r="F151" i="3" s="1"/>
  <c r="G148" i="103"/>
  <c r="N148" i="104"/>
  <c r="AE125" i="74"/>
  <c r="AI128" i="4" s="1"/>
  <c r="S125" i="103"/>
  <c r="AK125" i="104"/>
  <c r="B125" i="103"/>
  <c r="E125" i="104"/>
  <c r="E130" i="104"/>
  <c r="B130" i="103"/>
  <c r="I136" i="74"/>
  <c r="E136" i="103"/>
  <c r="I136" i="104"/>
  <c r="F142" i="104"/>
  <c r="C142" i="103"/>
  <c r="T143" i="74"/>
  <c r="I146" i="3" s="1"/>
  <c r="J143" i="103"/>
  <c r="Q143" i="104"/>
  <c r="J134" i="4"/>
  <c r="L134" i="4"/>
  <c r="M134" i="4"/>
  <c r="V134" i="4"/>
  <c r="I134" i="4"/>
  <c r="U134" i="4"/>
  <c r="T134" i="4"/>
  <c r="S136" i="74"/>
  <c r="H139" i="3" s="1"/>
  <c r="B138" i="103"/>
  <c r="E138" i="104"/>
  <c r="M152" i="74"/>
  <c r="Z139" i="74"/>
  <c r="AB142" i="4" s="1"/>
  <c r="N139" i="103"/>
  <c r="AD139" i="104"/>
  <c r="S141" i="74"/>
  <c r="H144" i="3" s="1"/>
  <c r="I142" i="104"/>
  <c r="I142" i="74"/>
  <c r="E142" i="103"/>
  <c r="I146" i="74"/>
  <c r="E146" i="103"/>
  <c r="I146" i="104"/>
  <c r="Y149" i="4"/>
  <c r="Z149" i="4" s="1"/>
  <c r="AA146" i="104"/>
  <c r="L146" i="103"/>
  <c r="AD146" i="74"/>
  <c r="AG149" i="4" s="1"/>
  <c r="R146" i="103"/>
  <c r="AI146" i="104"/>
  <c r="J110" i="4"/>
  <c r="K110" i="4" s="1"/>
  <c r="F145" i="104"/>
  <c r="C145" i="103"/>
  <c r="E150" i="97"/>
  <c r="E151" i="4"/>
  <c r="F151" i="4" s="1"/>
  <c r="E151" i="75"/>
  <c r="G151" i="75" s="1"/>
  <c r="H151" i="75" s="1"/>
  <c r="E151" i="3"/>
  <c r="U93" i="74"/>
  <c r="J96" i="3" s="1"/>
  <c r="N40" i="103"/>
  <c r="AD40" i="104"/>
  <c r="Z40" i="74"/>
  <c r="AB43" i="4" s="1"/>
  <c r="F41" i="104"/>
  <c r="C41" i="103"/>
  <c r="C50" i="97"/>
  <c r="C62" i="97"/>
  <c r="S3" i="74"/>
  <c r="H6" i="3" s="1"/>
  <c r="Q3" i="74"/>
  <c r="F6" i="3" s="1"/>
  <c r="R3" i="74"/>
  <c r="G6" i="3" s="1"/>
  <c r="W6" i="75"/>
  <c r="F6" i="75"/>
  <c r="Z3" i="74"/>
  <c r="AB6" i="4" s="1"/>
  <c r="AG3" i="74"/>
  <c r="AK6" i="4" s="1"/>
  <c r="Q5" i="74"/>
  <c r="F8" i="3" s="1"/>
  <c r="T5" i="74"/>
  <c r="I8" i="3" s="1"/>
  <c r="O8" i="75"/>
  <c r="Y8" i="4"/>
  <c r="Z8" i="4" s="1"/>
  <c r="Z5" i="74"/>
  <c r="AB8" i="4" s="1"/>
  <c r="P9" i="75"/>
  <c r="Q9" i="75" s="1"/>
  <c r="O9" i="75"/>
  <c r="P10" i="75"/>
  <c r="Q10" i="75" s="1"/>
  <c r="O10" i="75"/>
  <c r="T10" i="75"/>
  <c r="U10" i="75" s="1"/>
  <c r="X10" i="75"/>
  <c r="Y10" i="75" s="1"/>
  <c r="G10" i="75"/>
  <c r="H10" i="75" s="1"/>
  <c r="P11" i="75"/>
  <c r="Q11" i="75" s="1"/>
  <c r="O11" i="75"/>
  <c r="T11" i="75"/>
  <c r="U11" i="75" s="1"/>
  <c r="S13" i="74"/>
  <c r="H16" i="3" s="1"/>
  <c r="Y16" i="4"/>
  <c r="Z16" i="4" s="1"/>
  <c r="AA13" i="74"/>
  <c r="AC16" i="4" s="1"/>
  <c r="AC13" i="74"/>
  <c r="AF16" i="4" s="1"/>
  <c r="AE13" i="74"/>
  <c r="AI16" i="4" s="1"/>
  <c r="S14" i="74"/>
  <c r="H17" i="3" s="1"/>
  <c r="S17" i="75"/>
  <c r="Y14" i="74"/>
  <c r="AA17" i="4" s="1"/>
  <c r="Z14" i="74"/>
  <c r="AB17" i="4" s="1"/>
  <c r="AG14" i="74"/>
  <c r="AK17" i="4" s="1"/>
  <c r="U15" i="74"/>
  <c r="J18" i="3" s="1"/>
  <c r="Y15" i="74"/>
  <c r="AA18" i="4" s="1"/>
  <c r="AC15" i="74"/>
  <c r="AF18" i="4" s="1"/>
  <c r="AE15" i="74"/>
  <c r="AI18" i="4" s="1"/>
  <c r="S16" i="74"/>
  <c r="H19" i="3" s="1"/>
  <c r="T19" i="75"/>
  <c r="U19" i="75" s="1"/>
  <c r="S19" i="75"/>
  <c r="AE16" i="74"/>
  <c r="AI19" i="4" s="1"/>
  <c r="F20" i="4"/>
  <c r="I20" i="4"/>
  <c r="J20" i="4"/>
  <c r="M20" i="4"/>
  <c r="S20" i="4"/>
  <c r="V20" i="4"/>
  <c r="T20" i="4"/>
  <c r="P20" i="4"/>
  <c r="Q20" i="4"/>
  <c r="S18" i="74"/>
  <c r="H21" i="3" s="1"/>
  <c r="I18" i="74"/>
  <c r="J21" i="75"/>
  <c r="Z18" i="74"/>
  <c r="AB21" i="4" s="1"/>
  <c r="F21" i="4"/>
  <c r="I21" i="4"/>
  <c r="J21" i="4"/>
  <c r="L21" i="4"/>
  <c r="M21" i="4"/>
  <c r="S21" i="4"/>
  <c r="V21" i="4"/>
  <c r="T21" i="4"/>
  <c r="P21" i="4"/>
  <c r="J25" i="75"/>
  <c r="Y25" i="4"/>
  <c r="Z25" i="4" s="1"/>
  <c r="I28" i="4"/>
  <c r="U28" i="4"/>
  <c r="Q27" i="74"/>
  <c r="F30" i="3" s="1"/>
  <c r="O30" i="75"/>
  <c r="I27" i="74"/>
  <c r="S30" i="75" s="1"/>
  <c r="X30" i="75"/>
  <c r="Y30" i="75" s="1"/>
  <c r="Z30" i="75" s="1"/>
  <c r="J30" i="75"/>
  <c r="F30" i="75"/>
  <c r="Y30" i="4"/>
  <c r="Z30" i="4" s="1"/>
  <c r="Z27" i="74"/>
  <c r="AB30" i="4" s="1"/>
  <c r="AA27" i="74"/>
  <c r="AC30" i="4" s="1"/>
  <c r="AC27" i="74"/>
  <c r="AF30" i="4" s="1"/>
  <c r="AD27" i="74"/>
  <c r="AG30" i="4" s="1"/>
  <c r="F32" i="4"/>
  <c r="G32" i="4"/>
  <c r="I32" i="4"/>
  <c r="J32" i="4"/>
  <c r="L32" i="4"/>
  <c r="M32" i="4"/>
  <c r="S32" i="4"/>
  <c r="V32" i="4"/>
  <c r="T32" i="4"/>
  <c r="U32" i="4"/>
  <c r="P32" i="4"/>
  <c r="Q32" i="4"/>
  <c r="J38" i="75"/>
  <c r="R37" i="74"/>
  <c r="G40" i="3" s="1"/>
  <c r="F40" i="75"/>
  <c r="AA37" i="74"/>
  <c r="AC40" i="4" s="1"/>
  <c r="AD37" i="74"/>
  <c r="AG40" i="4" s="1"/>
  <c r="AF37" i="74"/>
  <c r="AJ40" i="4" s="1"/>
  <c r="AG37" i="74"/>
  <c r="AK40" i="4" s="1"/>
  <c r="Y44" i="4"/>
  <c r="Z44" i="4" s="1"/>
  <c r="AB41" i="74"/>
  <c r="AD44" i="4" s="1"/>
  <c r="AF41" i="74"/>
  <c r="AJ44" i="4" s="1"/>
  <c r="F45" i="4"/>
  <c r="G45" i="4"/>
  <c r="I45" i="4"/>
  <c r="J45" i="4"/>
  <c r="L45" i="4"/>
  <c r="V45" i="4"/>
  <c r="T45" i="4"/>
  <c r="U45" i="4"/>
  <c r="P45" i="4"/>
  <c r="N46" i="4"/>
  <c r="S44" i="74"/>
  <c r="H47" i="3" s="1"/>
  <c r="R44" i="74"/>
  <c r="G47" i="3" s="1"/>
  <c r="U46" i="74"/>
  <c r="J49" i="3" s="1"/>
  <c r="O49" i="75"/>
  <c r="X49" i="75"/>
  <c r="Y49" i="75" s="1"/>
  <c r="W49" i="75"/>
  <c r="Y46" i="74"/>
  <c r="AA49" i="4" s="1"/>
  <c r="AM49" i="4" s="1"/>
  <c r="U47" i="74"/>
  <c r="J50" i="3" s="1"/>
  <c r="O50" i="75"/>
  <c r="I47" i="74"/>
  <c r="F50" i="75"/>
  <c r="Y50" i="4"/>
  <c r="Z50" i="4" s="1"/>
  <c r="AF47" i="74"/>
  <c r="AJ50" i="4" s="1"/>
  <c r="J166" i="85"/>
  <c r="Q48" i="74"/>
  <c r="F51" i="3" s="1"/>
  <c r="T48" i="74"/>
  <c r="I51" i="3" s="1"/>
  <c r="O51" i="75"/>
  <c r="Y48" i="74"/>
  <c r="AA51" i="4" s="1"/>
  <c r="AA48" i="74"/>
  <c r="AC51" i="4" s="1"/>
  <c r="AC48" i="74"/>
  <c r="AF51" i="4" s="1"/>
  <c r="S51" i="4"/>
  <c r="W52" i="75"/>
  <c r="Z49" i="74"/>
  <c r="AB52" i="4" s="1"/>
  <c r="AD49" i="74"/>
  <c r="AG52" i="4" s="1"/>
  <c r="AF49" i="74"/>
  <c r="AJ52" i="4" s="1"/>
  <c r="Q52" i="4"/>
  <c r="C53" i="3"/>
  <c r="Q50" i="74"/>
  <c r="F53" i="3" s="1"/>
  <c r="T50" i="74"/>
  <c r="I53" i="3" s="1"/>
  <c r="Y53" i="4"/>
  <c r="Z53" i="4" s="1"/>
  <c r="AB50" i="74"/>
  <c r="AD53" i="4" s="1"/>
  <c r="AD50" i="74"/>
  <c r="AG53" i="4" s="1"/>
  <c r="I54" i="3"/>
  <c r="L51" i="74"/>
  <c r="G54" i="75"/>
  <c r="H54" i="75" s="1"/>
  <c r="F54" i="75"/>
  <c r="AA51" i="74"/>
  <c r="AC54" i="4" s="1"/>
  <c r="AE51" i="74"/>
  <c r="AI54" i="4" s="1"/>
  <c r="J68" i="85"/>
  <c r="Q54" i="4" s="1"/>
  <c r="R54" i="4" s="1"/>
  <c r="S52" i="74"/>
  <c r="H55" i="3" s="1"/>
  <c r="Q52" i="74"/>
  <c r="F55" i="3" s="1"/>
  <c r="T52" i="74"/>
  <c r="I55" i="3" s="1"/>
  <c r="I52" i="74"/>
  <c r="W55" i="75"/>
  <c r="F55" i="75"/>
  <c r="Y55" i="4"/>
  <c r="Z55" i="4" s="1"/>
  <c r="AE52" i="74"/>
  <c r="AI55" i="4" s="1"/>
  <c r="S53" i="74"/>
  <c r="H56" i="3" s="1"/>
  <c r="I53" i="74"/>
  <c r="W56" i="75"/>
  <c r="Y56" i="4"/>
  <c r="Z56" i="4" s="1"/>
  <c r="Y53" i="74"/>
  <c r="AA56" i="4" s="1"/>
  <c r="Z53" i="74"/>
  <c r="AB56" i="4" s="1"/>
  <c r="AE53" i="74"/>
  <c r="AI56" i="4" s="1"/>
  <c r="AG53" i="74"/>
  <c r="AK56" i="4" s="1"/>
  <c r="O57" i="75"/>
  <c r="Y54" i="74"/>
  <c r="AA57" i="4" s="1"/>
  <c r="AG54" i="74"/>
  <c r="AK57" i="4" s="1"/>
  <c r="F57" i="4"/>
  <c r="M57" i="4"/>
  <c r="P57" i="4"/>
  <c r="J75" i="85"/>
  <c r="Q57" i="4" s="1"/>
  <c r="Q55" i="74"/>
  <c r="F58" i="3" s="1"/>
  <c r="T55" i="74"/>
  <c r="I58" i="3" s="1"/>
  <c r="L55" i="74"/>
  <c r="F58" i="75"/>
  <c r="AA55" i="74"/>
  <c r="AC58" i="4" s="1"/>
  <c r="AC55" i="74"/>
  <c r="AF58" i="4" s="1"/>
  <c r="AG55" i="74"/>
  <c r="AK58" i="4" s="1"/>
  <c r="F58" i="4"/>
  <c r="I58" i="4"/>
  <c r="L58" i="4"/>
  <c r="M58" i="4"/>
  <c r="S58" i="4"/>
  <c r="V58" i="4"/>
  <c r="T58" i="4"/>
  <c r="U58" i="4"/>
  <c r="L56" i="74"/>
  <c r="O60" i="75"/>
  <c r="Z57" i="74"/>
  <c r="AB60" i="4" s="1"/>
  <c r="AB57" i="74"/>
  <c r="AD60" i="4" s="1"/>
  <c r="C61" i="3"/>
  <c r="T58" i="74"/>
  <c r="I61" i="3" s="1"/>
  <c r="Y61" i="4"/>
  <c r="Z61" i="4" s="1"/>
  <c r="AB58" i="74"/>
  <c r="AD61" i="4" s="1"/>
  <c r="S60" i="74"/>
  <c r="H63" i="3" s="1"/>
  <c r="N63" i="3" s="1"/>
  <c r="Q63" i="3" s="1"/>
  <c r="R63" i="3" s="1"/>
  <c r="O62" i="97" s="1"/>
  <c r="O63" i="75"/>
  <c r="X63" i="75"/>
  <c r="Y63" i="75" s="1"/>
  <c r="P64" i="75"/>
  <c r="Q64" i="75" s="1"/>
  <c r="O64" i="75"/>
  <c r="T64" i="75"/>
  <c r="U64" i="75" s="1"/>
  <c r="V64" i="75" s="1"/>
  <c r="F66" i="4"/>
  <c r="J66" i="4"/>
  <c r="L66" i="4"/>
  <c r="M66" i="4"/>
  <c r="S66" i="4"/>
  <c r="V66" i="4"/>
  <c r="T66" i="4"/>
  <c r="P66" i="4"/>
  <c r="S64" i="74"/>
  <c r="H67" i="3" s="1"/>
  <c r="F67" i="4"/>
  <c r="G67" i="4"/>
  <c r="I67" i="4"/>
  <c r="J67" i="4"/>
  <c r="L67" i="4"/>
  <c r="S67" i="4"/>
  <c r="V67" i="4"/>
  <c r="U67" i="4"/>
  <c r="P67" i="4"/>
  <c r="F69" i="4"/>
  <c r="G69" i="4"/>
  <c r="J69" i="4"/>
  <c r="L69" i="4"/>
  <c r="M69" i="4"/>
  <c r="V69" i="4"/>
  <c r="T69" i="4"/>
  <c r="U69" i="4"/>
  <c r="S67" i="74"/>
  <c r="H70" i="3" s="1"/>
  <c r="S68" i="74"/>
  <c r="H71" i="3" s="1"/>
  <c r="J72" i="75"/>
  <c r="AH72" i="4"/>
  <c r="J73" i="75"/>
  <c r="Y73" i="4"/>
  <c r="Z73" i="4" s="1"/>
  <c r="F74" i="75"/>
  <c r="S72" i="74"/>
  <c r="H75" i="3" s="1"/>
  <c r="Y75" i="4"/>
  <c r="Z75" i="4" s="1"/>
  <c r="F76" i="4"/>
  <c r="G76" i="4"/>
  <c r="J76" i="4"/>
  <c r="M76" i="4"/>
  <c r="S76" i="4"/>
  <c r="V76" i="4"/>
  <c r="T76" i="4"/>
  <c r="U76" i="4"/>
  <c r="P76" i="4"/>
  <c r="Y78" i="4"/>
  <c r="Z78" i="4" s="1"/>
  <c r="J84" i="75"/>
  <c r="Y84" i="4"/>
  <c r="Z84" i="4" s="1"/>
  <c r="F85" i="4"/>
  <c r="G85" i="4"/>
  <c r="I85" i="4"/>
  <c r="J85" i="4"/>
  <c r="S85" i="4"/>
  <c r="V85" i="4"/>
  <c r="T85" i="4"/>
  <c r="U85" i="4"/>
  <c r="P85" i="4"/>
  <c r="S84" i="74"/>
  <c r="H87" i="3" s="1"/>
  <c r="F87" i="75"/>
  <c r="S87" i="74"/>
  <c r="H90" i="3" s="1"/>
  <c r="P90" i="75"/>
  <c r="Q90" i="75" s="1"/>
  <c r="O90" i="75"/>
  <c r="T90" i="75"/>
  <c r="U90" i="75" s="1"/>
  <c r="X90" i="75"/>
  <c r="Y90" i="75" s="1"/>
  <c r="W90" i="75"/>
  <c r="G90" i="75"/>
  <c r="H90" i="75" s="1"/>
  <c r="F90" i="75"/>
  <c r="F92" i="75"/>
  <c r="Y92" i="4"/>
  <c r="Z92" i="4" s="1"/>
  <c r="C92" i="97"/>
  <c r="S90" i="74"/>
  <c r="H93" i="3" s="1"/>
  <c r="F93" i="75"/>
  <c r="F93" i="4"/>
  <c r="G93" i="4"/>
  <c r="I93" i="4"/>
  <c r="J93" i="4"/>
  <c r="L93" i="4"/>
  <c r="M93" i="4"/>
  <c r="S93" i="4"/>
  <c r="V93" i="4"/>
  <c r="T93" i="4"/>
  <c r="U93" i="4"/>
  <c r="P93" i="4"/>
  <c r="G94" i="75"/>
  <c r="H94" i="75" s="1"/>
  <c r="F94" i="75"/>
  <c r="Y94" i="4"/>
  <c r="Z94" i="4" s="1"/>
  <c r="AC91" i="74"/>
  <c r="AF94" i="4" s="1"/>
  <c r="F94" i="4"/>
  <c r="G94" i="4"/>
  <c r="I94" i="4"/>
  <c r="J94" i="4"/>
  <c r="L94" i="4"/>
  <c r="M94" i="4"/>
  <c r="S94" i="4"/>
  <c r="V94" i="4"/>
  <c r="T94" i="4"/>
  <c r="U94" i="4"/>
  <c r="P94" i="4"/>
  <c r="T93" i="74"/>
  <c r="I96" i="3" s="1"/>
  <c r="G96" i="75"/>
  <c r="H96" i="75" s="1"/>
  <c r="F96" i="75"/>
  <c r="Y96" i="4"/>
  <c r="Z96" i="4" s="1"/>
  <c r="Y93" i="74"/>
  <c r="AA96" i="4" s="1"/>
  <c r="AA93" i="74"/>
  <c r="AC96" i="4" s="1"/>
  <c r="F96" i="4"/>
  <c r="G96" i="4"/>
  <c r="J96" i="4"/>
  <c r="L96" i="4"/>
  <c r="M96" i="4"/>
  <c r="V96" i="4"/>
  <c r="T96" i="4"/>
  <c r="U96" i="4"/>
  <c r="P96" i="4"/>
  <c r="O98" i="75"/>
  <c r="G99" i="75"/>
  <c r="H99" i="75" s="1"/>
  <c r="Y99" i="4"/>
  <c r="Z99" i="4" s="1"/>
  <c r="AD96" i="74"/>
  <c r="AG99" i="4" s="1"/>
  <c r="F99" i="4"/>
  <c r="G99" i="4"/>
  <c r="I99" i="4"/>
  <c r="J99" i="4"/>
  <c r="L99" i="4"/>
  <c r="M99" i="4"/>
  <c r="S99" i="4"/>
  <c r="V99" i="4"/>
  <c r="T99" i="4"/>
  <c r="U99" i="4"/>
  <c r="P99" i="4"/>
  <c r="I97" i="74"/>
  <c r="S100" i="75" s="1"/>
  <c r="AB97" i="74"/>
  <c r="AD100" i="4" s="1"/>
  <c r="G100" i="4"/>
  <c r="I100" i="4"/>
  <c r="J100" i="4"/>
  <c r="L100" i="4"/>
  <c r="M100" i="4"/>
  <c r="S100" i="4"/>
  <c r="U100" i="4"/>
  <c r="P100" i="4"/>
  <c r="C100" i="97"/>
  <c r="C101" i="3"/>
  <c r="Q98" i="74"/>
  <c r="F101" i="3" s="1"/>
  <c r="U98" i="74"/>
  <c r="J101" i="3" s="1"/>
  <c r="Z98" i="74"/>
  <c r="AB101" i="4" s="1"/>
  <c r="I101" i="4"/>
  <c r="J101" i="4"/>
  <c r="L101" i="4"/>
  <c r="M101" i="4"/>
  <c r="S101" i="4"/>
  <c r="V101" i="4"/>
  <c r="U101" i="4"/>
  <c r="C101" i="97"/>
  <c r="C102" i="3"/>
  <c r="R99" i="74"/>
  <c r="G102" i="3" s="1"/>
  <c r="G102" i="75"/>
  <c r="H102" i="75" s="1"/>
  <c r="F102" i="75"/>
  <c r="G103" i="75"/>
  <c r="H103" i="75" s="1"/>
  <c r="F103" i="75"/>
  <c r="AD100" i="74"/>
  <c r="AG103" i="4" s="1"/>
  <c r="C103" i="97"/>
  <c r="C104" i="3"/>
  <c r="Q101" i="74"/>
  <c r="F104" i="3" s="1"/>
  <c r="Z101" i="74"/>
  <c r="AB104" i="4" s="1"/>
  <c r="F104" i="4"/>
  <c r="G104" i="4"/>
  <c r="I104" i="4"/>
  <c r="J104" i="4"/>
  <c r="L104" i="4"/>
  <c r="M104" i="4"/>
  <c r="S104" i="4"/>
  <c r="T104" i="4"/>
  <c r="U104" i="4"/>
  <c r="P104" i="4"/>
  <c r="S102" i="74"/>
  <c r="H105" i="3" s="1"/>
  <c r="N105" i="3" s="1"/>
  <c r="Q105" i="3" s="1"/>
  <c r="L102" i="74"/>
  <c r="C105" i="97"/>
  <c r="S103" i="74"/>
  <c r="H106" i="3" s="1"/>
  <c r="I103" i="74"/>
  <c r="Y106" i="4"/>
  <c r="Z106" i="4" s="1"/>
  <c r="Y103" i="74"/>
  <c r="AA106" i="4" s="1"/>
  <c r="AE103" i="74"/>
  <c r="AI106" i="4" s="1"/>
  <c r="AG103" i="74"/>
  <c r="AK106" i="4" s="1"/>
  <c r="C106" i="97"/>
  <c r="C107" i="3"/>
  <c r="Q104" i="74"/>
  <c r="F107" i="3" s="1"/>
  <c r="O107" i="75"/>
  <c r="Z104" i="74"/>
  <c r="AB107" i="4" s="1"/>
  <c r="AC104" i="74"/>
  <c r="AF107" i="4" s="1"/>
  <c r="F107" i="4"/>
  <c r="I107" i="4"/>
  <c r="J107" i="4"/>
  <c r="L107" i="4"/>
  <c r="M107" i="4"/>
  <c r="S107" i="4"/>
  <c r="V107" i="4"/>
  <c r="T107" i="4"/>
  <c r="P107" i="4"/>
  <c r="I107" i="74"/>
  <c r="S110" i="75" s="1"/>
  <c r="L107" i="74"/>
  <c r="AA107" i="74"/>
  <c r="AC110" i="4" s="1"/>
  <c r="G110" i="4"/>
  <c r="T110" i="4"/>
  <c r="E110" i="97"/>
  <c r="S108" i="74"/>
  <c r="H111" i="3" s="1"/>
  <c r="N111" i="3" s="1"/>
  <c r="Q111" i="3" s="1"/>
  <c r="R111" i="3" s="1"/>
  <c r="O110" i="97" s="1"/>
  <c r="E111" i="75"/>
  <c r="J111" i="75"/>
  <c r="C111" i="97"/>
  <c r="C112" i="3"/>
  <c r="Q109" i="74"/>
  <c r="F112" i="3" s="1"/>
  <c r="T109" i="74"/>
  <c r="I112" i="3" s="1"/>
  <c r="I109" i="74"/>
  <c r="Y112" i="4"/>
  <c r="Z112" i="4" s="1"/>
  <c r="AG109" i="74"/>
  <c r="AK112" i="4" s="1"/>
  <c r="J133" i="85"/>
  <c r="AA110" i="74"/>
  <c r="AC113" i="4" s="1"/>
  <c r="R112" i="74"/>
  <c r="G115" i="3" s="1"/>
  <c r="W115" i="75"/>
  <c r="Z112" i="74"/>
  <c r="AB115" i="4" s="1"/>
  <c r="AD112" i="74"/>
  <c r="AG115" i="4" s="1"/>
  <c r="F115" i="4"/>
  <c r="G115" i="4"/>
  <c r="I115" i="4"/>
  <c r="J115" i="4"/>
  <c r="L115" i="4"/>
  <c r="M115" i="4"/>
  <c r="S115" i="4"/>
  <c r="V115" i="4"/>
  <c r="T115" i="4"/>
  <c r="U115" i="4"/>
  <c r="P115" i="4"/>
  <c r="R114" i="74"/>
  <c r="G117" i="3" s="1"/>
  <c r="U114" i="74"/>
  <c r="J117" i="3" s="1"/>
  <c r="P117" i="75"/>
  <c r="Q117" i="75" s="1"/>
  <c r="O117" i="75"/>
  <c r="I114" i="74"/>
  <c r="J117" i="75"/>
  <c r="F117" i="75"/>
  <c r="Y114" i="74"/>
  <c r="AA117" i="4" s="1"/>
  <c r="AC114" i="74"/>
  <c r="AF117" i="4" s="1"/>
  <c r="AH117" i="4" s="1"/>
  <c r="U115" i="74"/>
  <c r="J118" i="3" s="1"/>
  <c r="W118" i="75"/>
  <c r="J118" i="75"/>
  <c r="Z115" i="74"/>
  <c r="AB118" i="4" s="1"/>
  <c r="AE115" i="74"/>
  <c r="AI118" i="4" s="1"/>
  <c r="AF115" i="74"/>
  <c r="AJ118" i="4" s="1"/>
  <c r="U116" i="74"/>
  <c r="J119" i="3" s="1"/>
  <c r="J119" i="75"/>
  <c r="AA116" i="74"/>
  <c r="AC119" i="4" s="1"/>
  <c r="AB116" i="74"/>
  <c r="AD119" i="4" s="1"/>
  <c r="AE116" i="74"/>
  <c r="AI119" i="4" s="1"/>
  <c r="C119" i="97"/>
  <c r="S117" i="74"/>
  <c r="H120" i="3" s="1"/>
  <c r="C120" i="3"/>
  <c r="Q117" i="74"/>
  <c r="F120" i="3" s="1"/>
  <c r="L117" i="74"/>
  <c r="W120" i="4"/>
  <c r="Q120" i="4"/>
  <c r="I118" i="74"/>
  <c r="L118" i="74"/>
  <c r="J121" i="75"/>
  <c r="F121" i="75"/>
  <c r="Y118" i="74"/>
  <c r="AA121" i="4" s="1"/>
  <c r="AF118" i="74"/>
  <c r="AJ121" i="4" s="1"/>
  <c r="S119" i="74"/>
  <c r="H122" i="3" s="1"/>
  <c r="R119" i="74"/>
  <c r="G122" i="3" s="1"/>
  <c r="T119" i="74"/>
  <c r="I122" i="3" s="1"/>
  <c r="L119" i="74"/>
  <c r="F122" i="75"/>
  <c r="Y122" i="4"/>
  <c r="Z122" i="4" s="1"/>
  <c r="Y119" i="74"/>
  <c r="AA122" i="4" s="1"/>
  <c r="U120" i="74"/>
  <c r="J123" i="3" s="1"/>
  <c r="K123" i="4"/>
  <c r="J164" i="85"/>
  <c r="C123" i="97"/>
  <c r="C124" i="3"/>
  <c r="Q121" i="74"/>
  <c r="F124" i="3" s="1"/>
  <c r="T121" i="74"/>
  <c r="I124" i="3" s="1"/>
  <c r="W124" i="75"/>
  <c r="J124" i="75"/>
  <c r="Y124" i="4"/>
  <c r="Z124" i="4" s="1"/>
  <c r="Z121" i="74"/>
  <c r="AB124" i="4" s="1"/>
  <c r="AE121" i="74"/>
  <c r="AI124" i="4" s="1"/>
  <c r="T122" i="74"/>
  <c r="I125" i="3" s="1"/>
  <c r="Y122" i="74"/>
  <c r="AA125" i="4" s="1"/>
  <c r="AB122" i="74"/>
  <c r="AD125" i="4" s="1"/>
  <c r="AE122" i="74"/>
  <c r="AI125" i="4" s="1"/>
  <c r="F125" i="4"/>
  <c r="G125" i="4"/>
  <c r="I125" i="4"/>
  <c r="J125" i="4"/>
  <c r="L125" i="4"/>
  <c r="M125" i="4"/>
  <c r="S125" i="4"/>
  <c r="V125" i="4"/>
  <c r="T125" i="4"/>
  <c r="U125" i="4"/>
  <c r="P125" i="4"/>
  <c r="S123" i="74"/>
  <c r="H126" i="3" s="1"/>
  <c r="T123" i="74"/>
  <c r="I126" i="3" s="1"/>
  <c r="L123" i="74"/>
  <c r="J126" i="75"/>
  <c r="Z123" i="74"/>
  <c r="AB126" i="4" s="1"/>
  <c r="AD123" i="74"/>
  <c r="AG126" i="4" s="1"/>
  <c r="AF123" i="74"/>
  <c r="AJ126" i="4" s="1"/>
  <c r="S124" i="74"/>
  <c r="H127" i="3" s="1"/>
  <c r="P127" i="75"/>
  <c r="Q127" i="75" s="1"/>
  <c r="O127" i="75"/>
  <c r="J127" i="75"/>
  <c r="Y127" i="4"/>
  <c r="Z127" i="4" s="1"/>
  <c r="Y124" i="74"/>
  <c r="AA127" i="4" s="1"/>
  <c r="AC124" i="74"/>
  <c r="AF127" i="4" s="1"/>
  <c r="N9" i="98"/>
  <c r="S125" i="74"/>
  <c r="H128" i="3" s="1"/>
  <c r="U125" i="74"/>
  <c r="J128" i="3" s="1"/>
  <c r="O128" i="75"/>
  <c r="I125" i="74"/>
  <c r="X128" i="75"/>
  <c r="Y128" i="75" s="1"/>
  <c r="W128" i="75"/>
  <c r="F128" i="75"/>
  <c r="Y128" i="4"/>
  <c r="Z128" i="4" s="1"/>
  <c r="AA125" i="74"/>
  <c r="AC128" i="4" s="1"/>
  <c r="AG125" i="74"/>
  <c r="AK128" i="4" s="1"/>
  <c r="S126" i="74"/>
  <c r="H129" i="3" s="1"/>
  <c r="F129" i="75"/>
  <c r="Y126" i="74"/>
  <c r="AA129" i="4" s="1"/>
  <c r="AC126" i="74"/>
  <c r="AF129" i="4" s="1"/>
  <c r="C129" i="97"/>
  <c r="U129" i="97" s="1"/>
  <c r="S128" i="74"/>
  <c r="H131" i="3" s="1"/>
  <c r="Q128" i="74"/>
  <c r="F131" i="3" s="1"/>
  <c r="U128" i="74"/>
  <c r="J131" i="3" s="1"/>
  <c r="P131" i="75"/>
  <c r="Q131" i="75" s="1"/>
  <c r="O131" i="75"/>
  <c r="J131" i="75"/>
  <c r="Z128" i="74"/>
  <c r="AB131" i="4" s="1"/>
  <c r="AB128" i="74"/>
  <c r="AD131" i="4" s="1"/>
  <c r="S129" i="74"/>
  <c r="H132" i="3" s="1"/>
  <c r="U129" i="74"/>
  <c r="J132" i="3" s="1"/>
  <c r="P132" i="75"/>
  <c r="Q132" i="75" s="1"/>
  <c r="O132" i="75"/>
  <c r="L129" i="74"/>
  <c r="J132" i="75"/>
  <c r="Y129" i="74"/>
  <c r="AA132" i="4" s="1"/>
  <c r="Z129" i="74"/>
  <c r="AB132" i="4" s="1"/>
  <c r="AC129" i="74"/>
  <c r="AF132" i="4" s="1"/>
  <c r="AD129" i="74"/>
  <c r="AG132" i="4" s="1"/>
  <c r="P133" i="75"/>
  <c r="Q133" i="75" s="1"/>
  <c r="O133" i="75"/>
  <c r="T133" i="75"/>
  <c r="U133" i="75" s="1"/>
  <c r="L130" i="74"/>
  <c r="X133" i="75" s="1"/>
  <c r="Y133" i="75" s="1"/>
  <c r="J133" i="75"/>
  <c r="T131" i="74"/>
  <c r="I134" i="3" s="1"/>
  <c r="AB131" i="74"/>
  <c r="AD134" i="4" s="1"/>
  <c r="AF131" i="74"/>
  <c r="AJ134" i="4" s="1"/>
  <c r="J179" i="85"/>
  <c r="Q134" i="4" s="1"/>
  <c r="S132" i="74"/>
  <c r="H135" i="3" s="1"/>
  <c r="U132" i="74"/>
  <c r="J135" i="3" s="1"/>
  <c r="P135" i="75"/>
  <c r="Q135" i="75" s="1"/>
  <c r="L132" i="74"/>
  <c r="J135" i="75"/>
  <c r="F135" i="75"/>
  <c r="Y132" i="74"/>
  <c r="AA135" i="4" s="1"/>
  <c r="Z132" i="74"/>
  <c r="AB135" i="4" s="1"/>
  <c r="AA132" i="74"/>
  <c r="AC135" i="4" s="1"/>
  <c r="AC132" i="74"/>
  <c r="AF135" i="4" s="1"/>
  <c r="S133" i="74"/>
  <c r="H136" i="3" s="1"/>
  <c r="Q133" i="74"/>
  <c r="F136" i="3" s="1"/>
  <c r="P136" i="75"/>
  <c r="Q136" i="75" s="1"/>
  <c r="O136" i="75"/>
  <c r="J136" i="75"/>
  <c r="C137" i="97"/>
  <c r="P138" i="75"/>
  <c r="Q138" i="75" s="1"/>
  <c r="O138" i="75"/>
  <c r="T138" i="75"/>
  <c r="U138" i="75" s="1"/>
  <c r="G138" i="75"/>
  <c r="H138" i="75" s="1"/>
  <c r="F138" i="75"/>
  <c r="O139" i="75"/>
  <c r="G139" i="75"/>
  <c r="H139" i="75" s="1"/>
  <c r="F139" i="75"/>
  <c r="Z136" i="74"/>
  <c r="AB139" i="4" s="1"/>
  <c r="AA136" i="74"/>
  <c r="AC139" i="4" s="1"/>
  <c r="AC136" i="74"/>
  <c r="AF139" i="4" s="1"/>
  <c r="AD136" i="74"/>
  <c r="AG139" i="4" s="1"/>
  <c r="AG136" i="74"/>
  <c r="AK139" i="4" s="1"/>
  <c r="S137" i="74"/>
  <c r="H140" i="3" s="1"/>
  <c r="U137" i="74"/>
  <c r="J140" i="3" s="1"/>
  <c r="AD137" i="74"/>
  <c r="AG140" i="4" s="1"/>
  <c r="O141" i="75"/>
  <c r="I138" i="74"/>
  <c r="L138" i="74"/>
  <c r="W141" i="75" s="1"/>
  <c r="Q139" i="74"/>
  <c r="F142" i="3" s="1"/>
  <c r="O142" i="75"/>
  <c r="Y139" i="74"/>
  <c r="AA142" i="4" s="1"/>
  <c r="AC139" i="74"/>
  <c r="AF142" i="4" s="1"/>
  <c r="J183" i="85"/>
  <c r="Z141" i="74"/>
  <c r="AB144" i="4" s="1"/>
  <c r="AD141" i="74"/>
  <c r="AG144" i="4" s="1"/>
  <c r="C144" i="97"/>
  <c r="C145" i="3"/>
  <c r="Q142" i="74"/>
  <c r="F145" i="3" s="1"/>
  <c r="P145" i="75"/>
  <c r="Q145" i="75" s="1"/>
  <c r="O145" i="75"/>
  <c r="C145" i="75"/>
  <c r="J145" i="75"/>
  <c r="F145" i="75"/>
  <c r="AB142" i="74"/>
  <c r="AD145" i="4" s="1"/>
  <c r="AC142" i="74"/>
  <c r="AF145" i="4" s="1"/>
  <c r="AG142" i="74"/>
  <c r="AK145" i="4" s="1"/>
  <c r="C145" i="4"/>
  <c r="F145" i="4" s="1"/>
  <c r="C145" i="97"/>
  <c r="C146" i="3"/>
  <c r="G146" i="75"/>
  <c r="H146" i="75" s="1"/>
  <c r="F146" i="75"/>
  <c r="F146" i="4"/>
  <c r="G146" i="4"/>
  <c r="I146" i="4"/>
  <c r="J146" i="4"/>
  <c r="L146" i="4"/>
  <c r="M146" i="4"/>
  <c r="S146" i="4"/>
  <c r="V146" i="4"/>
  <c r="T146" i="4"/>
  <c r="U146" i="4"/>
  <c r="P146" i="4"/>
  <c r="S145" i="74"/>
  <c r="H148" i="3" s="1"/>
  <c r="Q145" i="74"/>
  <c r="F148" i="3" s="1"/>
  <c r="O148" i="75"/>
  <c r="F148" i="75"/>
  <c r="Y148" i="4"/>
  <c r="Z148" i="4" s="1"/>
  <c r="AC145" i="74"/>
  <c r="AF148" i="4" s="1"/>
  <c r="S146" i="74"/>
  <c r="H149" i="3" s="1"/>
  <c r="Q146" i="74"/>
  <c r="F149" i="3" s="1"/>
  <c r="U146" i="74"/>
  <c r="J149" i="3" s="1"/>
  <c r="P149" i="75"/>
  <c r="Q149" i="75" s="1"/>
  <c r="O149" i="75"/>
  <c r="J149" i="75"/>
  <c r="AB146" i="74"/>
  <c r="AD149" i="4" s="1"/>
  <c r="AF146" i="74"/>
  <c r="AJ149" i="4" s="1"/>
  <c r="J193" i="85"/>
  <c r="Q149" i="4" s="1"/>
  <c r="R149" i="4" s="1"/>
  <c r="C150" i="97"/>
  <c r="C151" i="3"/>
  <c r="O151" i="75"/>
  <c r="T151" i="75"/>
  <c r="U151" i="75" s="1"/>
  <c r="V151" i="75" s="1"/>
  <c r="L148" i="74"/>
  <c r="X151" i="75" s="1"/>
  <c r="Y151" i="75" s="1"/>
  <c r="F151" i="75"/>
  <c r="AA148" i="74"/>
  <c r="AC151" i="4" s="1"/>
  <c r="AG148" i="74"/>
  <c r="AK151" i="4" s="1"/>
  <c r="AL151" i="4" s="1"/>
  <c r="I152" i="74"/>
  <c r="C10" i="75"/>
  <c r="C10" i="4"/>
  <c r="G10" i="4" s="1"/>
  <c r="P16" i="104"/>
  <c r="Q52" i="104"/>
  <c r="J52" i="103"/>
  <c r="AM55" i="104"/>
  <c r="U55" i="103"/>
  <c r="AM68" i="104"/>
  <c r="U68" i="103"/>
  <c r="AH83" i="104"/>
  <c r="Q83" i="103"/>
  <c r="M15" i="103"/>
  <c r="AC15" i="104"/>
  <c r="C27" i="103"/>
  <c r="F27" i="104"/>
  <c r="R46" i="104"/>
  <c r="K46" i="103"/>
  <c r="L91" i="103"/>
  <c r="AA91" i="104"/>
  <c r="E97" i="103"/>
  <c r="I97" i="104"/>
  <c r="M103" i="103"/>
  <c r="AC103" i="104"/>
  <c r="U109" i="103"/>
  <c r="AM109" i="104"/>
  <c r="G5" i="103"/>
  <c r="N5" i="104"/>
  <c r="P14" i="104"/>
  <c r="F18" i="104"/>
  <c r="C18" i="103"/>
  <c r="AI37" i="104"/>
  <c r="R37" i="103"/>
  <c r="W47" i="104"/>
  <c r="X47" i="104" s="1"/>
  <c r="T47" i="104" s="1"/>
  <c r="P50" i="103"/>
  <c r="AF50" i="104"/>
  <c r="E53" i="104"/>
  <c r="B53" i="103"/>
  <c r="J55" i="104"/>
  <c r="F55" i="103"/>
  <c r="E59" i="103"/>
  <c r="I59" i="104"/>
  <c r="N70" i="103"/>
  <c r="AD70" i="104"/>
  <c r="AF70" i="104"/>
  <c r="AH13" i="104"/>
  <c r="Q13" i="103"/>
  <c r="R47" i="104"/>
  <c r="K47" i="103"/>
  <c r="AA13" i="104"/>
  <c r="L13" i="103"/>
  <c r="AE27" i="104"/>
  <c r="O27" i="103"/>
  <c r="R49" i="103"/>
  <c r="AI49" i="104"/>
  <c r="AC53" i="104"/>
  <c r="M53" i="103"/>
  <c r="W54" i="104"/>
  <c r="X54" i="104" s="1"/>
  <c r="T54" i="104" s="1"/>
  <c r="C61" i="75"/>
  <c r="P61" i="103"/>
  <c r="AF61" i="104"/>
  <c r="P70" i="103"/>
  <c r="K74" i="103"/>
  <c r="R74" i="104"/>
  <c r="P81" i="103"/>
  <c r="AF81" i="104"/>
  <c r="F89" i="104"/>
  <c r="G89" i="104" s="1"/>
  <c r="C89" i="103"/>
  <c r="I102" i="103"/>
  <c r="F109" i="104"/>
  <c r="C109" i="103"/>
  <c r="AD112" i="104"/>
  <c r="N112" i="103"/>
  <c r="AH27" i="104"/>
  <c r="Q27" i="103"/>
  <c r="I37" i="103"/>
  <c r="H93" i="103"/>
  <c r="O93" i="104"/>
  <c r="C104" i="4"/>
  <c r="C104" i="75"/>
  <c r="U103" i="103"/>
  <c r="AM103" i="104"/>
  <c r="D27" i="103"/>
  <c r="H27" i="104"/>
  <c r="AL49" i="104"/>
  <c r="T49" i="103"/>
  <c r="AK51" i="104"/>
  <c r="S51" i="103"/>
  <c r="M54" i="103"/>
  <c r="AC54" i="104"/>
  <c r="J56" i="104"/>
  <c r="F56" i="103"/>
  <c r="I77" i="103"/>
  <c r="E84" i="104"/>
  <c r="B84" i="103"/>
  <c r="AM90" i="104"/>
  <c r="U90" i="103"/>
  <c r="U92" i="103"/>
  <c r="AM92" i="104"/>
  <c r="AI96" i="104"/>
  <c r="R96" i="103"/>
  <c r="B100" i="103"/>
  <c r="E100" i="104"/>
  <c r="H104" i="104"/>
  <c r="D104" i="103"/>
  <c r="D90" i="103"/>
  <c r="H90" i="104"/>
  <c r="B93" i="103"/>
  <c r="E93" i="104"/>
  <c r="AK116" i="104"/>
  <c r="S116" i="103"/>
  <c r="J132" i="104"/>
  <c r="F132" i="103"/>
  <c r="M114" i="103"/>
  <c r="AC114" i="104"/>
  <c r="E114" i="103"/>
  <c r="I114" i="104"/>
  <c r="K114" i="104" s="1"/>
  <c r="G117" i="103"/>
  <c r="N117" i="104"/>
  <c r="F118" i="103"/>
  <c r="J118" i="104"/>
  <c r="K120" i="103"/>
  <c r="R120" i="104"/>
  <c r="AC122" i="104"/>
  <c r="M122" i="103"/>
  <c r="G128" i="103"/>
  <c r="N128" i="104"/>
  <c r="W131" i="104"/>
  <c r="H137" i="104"/>
  <c r="D137" i="103"/>
  <c r="E118" i="104"/>
  <c r="B118" i="103"/>
  <c r="C132" i="103"/>
  <c r="F132" i="104"/>
  <c r="AD115" i="104"/>
  <c r="N115" i="103"/>
  <c r="K115" i="103"/>
  <c r="R115" i="104"/>
  <c r="T115" i="103"/>
  <c r="AL115" i="104"/>
  <c r="C124" i="75"/>
  <c r="C124" i="4"/>
  <c r="AL123" i="104"/>
  <c r="T123" i="103"/>
  <c r="H132" i="104"/>
  <c r="D132" i="103"/>
  <c r="I118" i="104"/>
  <c r="E118" i="103"/>
  <c r="AD123" i="104"/>
  <c r="N123" i="103"/>
  <c r="R128" i="104"/>
  <c r="K128" i="103"/>
  <c r="AF131" i="104"/>
  <c r="P131" i="103"/>
  <c r="AE136" i="104"/>
  <c r="O136" i="103"/>
  <c r="C146" i="4"/>
  <c r="C146" i="75"/>
  <c r="M146" i="74"/>
  <c r="Q129" i="103"/>
  <c r="AH129" i="104"/>
  <c r="J129" i="104"/>
  <c r="F129" i="103"/>
  <c r="W146" i="104"/>
  <c r="X146" i="104" s="1"/>
  <c r="T146" i="104" s="1"/>
  <c r="C151" i="75"/>
  <c r="C151" i="4"/>
  <c r="R125" i="104"/>
  <c r="K125" i="103"/>
  <c r="I125" i="104"/>
  <c r="K125" i="104" s="1"/>
  <c r="E125" i="103"/>
  <c r="F130" i="103"/>
  <c r="J130" i="104"/>
  <c r="E142" i="104"/>
  <c r="B142" i="103"/>
  <c r="R136" i="103"/>
  <c r="AI136" i="104"/>
  <c r="E152" i="104"/>
  <c r="B127" i="103"/>
  <c r="E127" i="104"/>
  <c r="W139" i="104"/>
  <c r="X139" i="104" s="1"/>
  <c r="T139" i="104" s="1"/>
  <c r="R141" i="103"/>
  <c r="AI141" i="104"/>
  <c r="Q142" i="103"/>
  <c r="AH142" i="104"/>
  <c r="P146" i="103"/>
  <c r="AF146" i="104"/>
  <c r="H142" i="104"/>
  <c r="D142" i="103"/>
  <c r="K146" i="103"/>
  <c r="R146" i="104"/>
  <c r="B145" i="103"/>
  <c r="E145" i="104"/>
  <c r="T30" i="107"/>
  <c r="T97" i="107"/>
  <c r="T49" i="102"/>
  <c r="AA41" i="104"/>
  <c r="L41" i="103"/>
  <c r="AF41" i="104"/>
  <c r="P41" i="103"/>
  <c r="H13" i="104"/>
  <c r="D13" i="103"/>
  <c r="S16" i="103"/>
  <c r="AK16" i="104"/>
  <c r="H37" i="103"/>
  <c r="O37" i="104"/>
  <c r="AE48" i="104"/>
  <c r="O48" i="103"/>
  <c r="E52" i="104"/>
  <c r="G52" i="104" s="1"/>
  <c r="B52" i="103"/>
  <c r="AF57" i="104"/>
  <c r="P57" i="103"/>
  <c r="AC69" i="104"/>
  <c r="M69" i="103"/>
  <c r="AA89" i="104"/>
  <c r="L89" i="103"/>
  <c r="R15" i="104"/>
  <c r="K15" i="103"/>
  <c r="AD27" i="104"/>
  <c r="N27" i="103"/>
  <c r="L46" i="103"/>
  <c r="AA46" i="104"/>
  <c r="Q91" i="103"/>
  <c r="AH91" i="104"/>
  <c r="L97" i="103"/>
  <c r="AA97" i="104"/>
  <c r="S103" i="103"/>
  <c r="AK103" i="104"/>
  <c r="W109" i="104"/>
  <c r="X109" i="104" s="1"/>
  <c r="T109" i="104" s="1"/>
  <c r="AD5" i="104"/>
  <c r="N5" i="103"/>
  <c r="U14" i="103"/>
  <c r="AM14" i="104"/>
  <c r="N18" i="103"/>
  <c r="AD18" i="104"/>
  <c r="H46" i="104"/>
  <c r="L46" i="104" s="1"/>
  <c r="D46" i="103"/>
  <c r="N48" i="104"/>
  <c r="G48" i="103"/>
  <c r="J51" i="104"/>
  <c r="F51" i="103"/>
  <c r="S53" i="103"/>
  <c r="AK53" i="104"/>
  <c r="AE55" i="104"/>
  <c r="O55" i="103"/>
  <c r="C63" i="3"/>
  <c r="C130" i="3"/>
  <c r="C138" i="3"/>
  <c r="C63" i="75"/>
  <c r="C63" i="4"/>
  <c r="I68" i="104"/>
  <c r="E68" i="103"/>
  <c r="F9" i="104"/>
  <c r="C9" i="103"/>
  <c r="F13" i="104"/>
  <c r="C13" i="103"/>
  <c r="AA47" i="104"/>
  <c r="L47" i="103"/>
  <c r="P52" i="104"/>
  <c r="F107" i="103"/>
  <c r="J107" i="104"/>
  <c r="N14" i="103"/>
  <c r="AD14" i="104"/>
  <c r="C51" i="75"/>
  <c r="C51" i="4"/>
  <c r="G50" i="103"/>
  <c r="N50" i="104"/>
  <c r="AM53" i="104"/>
  <c r="U53" i="103"/>
  <c r="N55" i="104"/>
  <c r="G55" i="103"/>
  <c r="Q58" i="104"/>
  <c r="J58" i="103"/>
  <c r="F67" i="104"/>
  <c r="C67" i="103"/>
  <c r="K76" i="103"/>
  <c r="R76" i="104"/>
  <c r="K83" i="103"/>
  <c r="R83" i="104"/>
  <c r="C93" i="4"/>
  <c r="C93" i="75"/>
  <c r="J102" i="104"/>
  <c r="K102" i="104" s="1"/>
  <c r="F102" i="103"/>
  <c r="I109" i="104"/>
  <c r="K109" i="104" s="1"/>
  <c r="E109" i="103"/>
  <c r="AI112" i="104"/>
  <c r="R112" i="103"/>
  <c r="O3" i="104"/>
  <c r="H3" i="103"/>
  <c r="T37" i="103"/>
  <c r="AL37" i="104"/>
  <c r="P47" i="104"/>
  <c r="I53" i="104"/>
  <c r="E53" i="103"/>
  <c r="I85" i="104"/>
  <c r="J85" i="104"/>
  <c r="E85" i="103"/>
  <c r="S93" i="103"/>
  <c r="AK93" i="104"/>
  <c r="C101" i="75"/>
  <c r="C101" i="4"/>
  <c r="N101" i="104"/>
  <c r="G101" i="103"/>
  <c r="C107" i="75"/>
  <c r="C107" i="4"/>
  <c r="D15" i="103"/>
  <c r="H15" i="104"/>
  <c r="AI27" i="104"/>
  <c r="R27" i="103"/>
  <c r="E37" i="104"/>
  <c r="B37" i="103"/>
  <c r="D48" i="103"/>
  <c r="H48" i="104"/>
  <c r="C53" i="75"/>
  <c r="C53" i="4"/>
  <c r="W51" i="104"/>
  <c r="X51" i="104" s="1"/>
  <c r="T51" i="104" s="1"/>
  <c r="U54" i="103"/>
  <c r="AM54" i="104"/>
  <c r="H57" i="104"/>
  <c r="D57" i="103"/>
  <c r="D60" i="103"/>
  <c r="H60" i="104"/>
  <c r="I77" i="104"/>
  <c r="E77" i="103"/>
  <c r="F85" i="103"/>
  <c r="J93" i="103"/>
  <c r="Q93" i="104"/>
  <c r="K98" i="103"/>
  <c r="R98" i="104"/>
  <c r="R100" i="103"/>
  <c r="AI100" i="104"/>
  <c r="N104" i="103"/>
  <c r="AD104" i="104"/>
  <c r="C112" i="75"/>
  <c r="C112" i="4"/>
  <c r="H112" i="103"/>
  <c r="O112" i="104"/>
  <c r="E90" i="104"/>
  <c r="B90" i="103"/>
  <c r="N98" i="104"/>
  <c r="G98" i="103"/>
  <c r="E103" i="103"/>
  <c r="I103" i="104"/>
  <c r="K103" i="104" s="1"/>
  <c r="P116" i="103"/>
  <c r="AF116" i="104"/>
  <c r="AC132" i="104"/>
  <c r="M132" i="103"/>
  <c r="U29" i="97"/>
  <c r="R114" i="104"/>
  <c r="K114" i="103"/>
  <c r="H114" i="103"/>
  <c r="O114" i="104"/>
  <c r="C120" i="4"/>
  <c r="C120" i="75"/>
  <c r="AL118" i="104"/>
  <c r="T118" i="103"/>
  <c r="W120" i="104"/>
  <c r="X120" i="104" s="1"/>
  <c r="T120" i="104" s="1"/>
  <c r="P122" i="103"/>
  <c r="AF122" i="104"/>
  <c r="AC124" i="104"/>
  <c r="M124" i="103"/>
  <c r="D128" i="103"/>
  <c r="H128" i="104"/>
  <c r="N133" i="104"/>
  <c r="G133" i="103"/>
  <c r="E137" i="104"/>
  <c r="B137" i="103"/>
  <c r="D118" i="103"/>
  <c r="H118" i="104"/>
  <c r="J123" i="103"/>
  <c r="Q123" i="104"/>
  <c r="K132" i="103"/>
  <c r="R132" i="104"/>
  <c r="C115" i="103"/>
  <c r="F115" i="104"/>
  <c r="O119" i="104"/>
  <c r="H119" i="103"/>
  <c r="G121" i="103"/>
  <c r="N121" i="104"/>
  <c r="P128" i="104"/>
  <c r="E132" i="104"/>
  <c r="B132" i="103"/>
  <c r="M126" i="103"/>
  <c r="AC126" i="104"/>
  <c r="J119" i="104"/>
  <c r="F119" i="103"/>
  <c r="R116" i="104"/>
  <c r="K116" i="103"/>
  <c r="AC118" i="104"/>
  <c r="M118" i="103"/>
  <c r="S121" i="103"/>
  <c r="AK121" i="104"/>
  <c r="AN121" i="104" s="1"/>
  <c r="AI123" i="104"/>
  <c r="R123" i="103"/>
  <c r="T131" i="103"/>
  <c r="AL131" i="104"/>
  <c r="F137" i="104"/>
  <c r="C137" i="103"/>
  <c r="J146" i="74"/>
  <c r="R129" i="103"/>
  <c r="AI129" i="104"/>
  <c r="M129" i="103"/>
  <c r="AC129" i="104"/>
  <c r="J129" i="103"/>
  <c r="Q129" i="104"/>
  <c r="U148" i="103"/>
  <c r="AM148" i="104"/>
  <c r="F125" i="104"/>
  <c r="G125" i="104" s="1"/>
  <c r="C125" i="103"/>
  <c r="U142" i="103"/>
  <c r="AM142" i="104"/>
  <c r="W150" i="74"/>
  <c r="AM136" i="104"/>
  <c r="U136" i="103"/>
  <c r="N136" i="103"/>
  <c r="AD136" i="104"/>
  <c r="L145" i="103"/>
  <c r="AA145" i="104"/>
  <c r="C138" i="4"/>
  <c r="C138" i="75"/>
  <c r="Q139" i="103"/>
  <c r="AH139" i="104"/>
  <c r="AJ139" i="104" s="1"/>
  <c r="D139" i="103"/>
  <c r="H139" i="104"/>
  <c r="AD141" i="104"/>
  <c r="N141" i="103"/>
  <c r="AL146" i="104"/>
  <c r="T146" i="103"/>
  <c r="T57" i="102"/>
  <c r="N142" i="104"/>
  <c r="G142" i="103"/>
  <c r="F146" i="104"/>
  <c r="G146" i="104" s="1"/>
  <c r="C146" i="103"/>
  <c r="I138" i="104"/>
  <c r="E138" i="103"/>
  <c r="D145" i="103"/>
  <c r="H145" i="104"/>
  <c r="T56" i="102"/>
  <c r="T131" i="107"/>
  <c r="T41" i="103"/>
  <c r="AL41" i="104"/>
  <c r="N3" i="104"/>
  <c r="S13" i="103"/>
  <c r="AK13" i="104"/>
  <c r="K16" i="103"/>
  <c r="R16" i="104"/>
  <c r="AE37" i="104"/>
  <c r="O37" i="103"/>
  <c r="D44" i="103"/>
  <c r="H44" i="104"/>
  <c r="AD49" i="104"/>
  <c r="N49" i="103"/>
  <c r="S52" i="103"/>
  <c r="AK52" i="104"/>
  <c r="AN52" i="104" s="1"/>
  <c r="AF58" i="104"/>
  <c r="P58" i="103"/>
  <c r="AM69" i="104"/>
  <c r="U69" i="103"/>
  <c r="Q15" i="103"/>
  <c r="AH15" i="104"/>
  <c r="E27" i="103"/>
  <c r="I27" i="104"/>
  <c r="K27" i="104" s="1"/>
  <c r="M93" i="103"/>
  <c r="AC93" i="104"/>
  <c r="AF97" i="104"/>
  <c r="P97" i="103"/>
  <c r="I107" i="104"/>
  <c r="E107" i="103"/>
  <c r="AE110" i="104"/>
  <c r="O110" i="103"/>
  <c r="H5" i="104"/>
  <c r="D5" i="103"/>
  <c r="AC14" i="104"/>
  <c r="M14" i="103"/>
  <c r="I18" i="104"/>
  <c r="K18" i="104" s="1"/>
  <c r="E18" i="103"/>
  <c r="M46" i="103"/>
  <c r="AC46" i="104"/>
  <c r="AG46" i="104" s="1"/>
  <c r="AH48" i="104"/>
  <c r="AC48" i="104"/>
  <c r="Q48" i="103"/>
  <c r="O51" i="103"/>
  <c r="AE51" i="104"/>
  <c r="AE68" i="104"/>
  <c r="O68" i="103"/>
  <c r="B85" i="103"/>
  <c r="E85" i="104"/>
  <c r="G85" i="104" s="1"/>
  <c r="AE13" i="104"/>
  <c r="O13" i="103"/>
  <c r="G27" i="103"/>
  <c r="N27" i="104"/>
  <c r="T47" i="103"/>
  <c r="AL47" i="104"/>
  <c r="E52" i="103"/>
  <c r="I52" i="104"/>
  <c r="AE107" i="104"/>
  <c r="O107" i="103"/>
  <c r="AM3" i="104"/>
  <c r="U3" i="103"/>
  <c r="AM37" i="104"/>
  <c r="U37" i="103"/>
  <c r="J48" i="103"/>
  <c r="Q48" i="104"/>
  <c r="R50" i="103"/>
  <c r="AI50" i="104"/>
  <c r="AH55" i="104"/>
  <c r="Q55" i="103"/>
  <c r="L58" i="103"/>
  <c r="AA58" i="104"/>
  <c r="Q67" i="103"/>
  <c r="AH67" i="104"/>
  <c r="E72" i="103"/>
  <c r="I72" i="104"/>
  <c r="R77" i="104"/>
  <c r="K77" i="103"/>
  <c r="M83" i="103"/>
  <c r="AC83" i="104"/>
  <c r="AK90" i="104"/>
  <c r="S90" i="103"/>
  <c r="C106" i="75"/>
  <c r="C106" i="4"/>
  <c r="C102" i="4"/>
  <c r="C130" i="4"/>
  <c r="B109" i="103"/>
  <c r="E109" i="104"/>
  <c r="AD3" i="104"/>
  <c r="N3" i="103"/>
  <c r="AA37" i="104"/>
  <c r="L37" i="103"/>
  <c r="E47" i="103"/>
  <c r="I47" i="104"/>
  <c r="K47" i="104" s="1"/>
  <c r="AD53" i="104"/>
  <c r="N53" i="103"/>
  <c r="E87" i="103"/>
  <c r="I87" i="104"/>
  <c r="K87" i="104" s="1"/>
  <c r="C102" i="75"/>
  <c r="H101" i="104"/>
  <c r="D101" i="103"/>
  <c r="N104" i="104"/>
  <c r="G104" i="103"/>
  <c r="AK15" i="104"/>
  <c r="S15" i="103"/>
  <c r="O44" i="104"/>
  <c r="H44" i="103"/>
  <c r="M48" i="103"/>
  <c r="Q50" i="104"/>
  <c r="J50" i="103"/>
  <c r="G52" i="103"/>
  <c r="N52" i="104"/>
  <c r="N57" i="103"/>
  <c r="AD57" i="104"/>
  <c r="N77" i="103"/>
  <c r="AD77" i="104"/>
  <c r="Q91" i="104"/>
  <c r="J91" i="103"/>
  <c r="AE93" i="104"/>
  <c r="O93" i="103"/>
  <c r="N98" i="103"/>
  <c r="AD98" i="104"/>
  <c r="AD101" i="104"/>
  <c r="N101" i="103"/>
  <c r="AH104" i="104"/>
  <c r="AJ104" i="104" s="1"/>
  <c r="Q104" i="103"/>
  <c r="G109" i="103"/>
  <c r="N109" i="104"/>
  <c r="E112" i="104"/>
  <c r="G112" i="104" s="1"/>
  <c r="B112" i="103"/>
  <c r="H99" i="103"/>
  <c r="O99" i="104"/>
  <c r="L103" i="103"/>
  <c r="AA103" i="104"/>
  <c r="E111" i="3"/>
  <c r="E111" i="4"/>
  <c r="S111" i="4" s="1"/>
  <c r="F116" i="104"/>
  <c r="C116" i="103"/>
  <c r="AH132" i="104"/>
  <c r="AJ132" i="104" s="1"/>
  <c r="Q132" i="103"/>
  <c r="C114" i="103"/>
  <c r="F114" i="104"/>
  <c r="AH114" i="104"/>
  <c r="AJ114" i="104" s="1"/>
  <c r="Q114" i="103"/>
  <c r="F117" i="103"/>
  <c r="J117" i="104"/>
  <c r="Q121" i="104"/>
  <c r="J121" i="103"/>
  <c r="S122" i="103"/>
  <c r="AK122" i="104"/>
  <c r="AN122" i="104" s="1"/>
  <c r="Q124" i="103"/>
  <c r="AH124" i="104"/>
  <c r="B128" i="103"/>
  <c r="E128" i="104"/>
  <c r="H133" i="104"/>
  <c r="D133" i="103"/>
  <c r="AI137" i="104"/>
  <c r="R137" i="103"/>
  <c r="J123" i="104"/>
  <c r="K123" i="104" s="1"/>
  <c r="F123" i="103"/>
  <c r="N132" i="103"/>
  <c r="AD132" i="104"/>
  <c r="H115" i="104"/>
  <c r="D115" i="103"/>
  <c r="AK115" i="104"/>
  <c r="S115" i="103"/>
  <c r="AE116" i="104"/>
  <c r="O116" i="103"/>
  <c r="M119" i="103"/>
  <c r="AC119" i="104"/>
  <c r="AD121" i="104"/>
  <c r="N121" i="103"/>
  <c r="W124" i="104"/>
  <c r="X124" i="104" s="1"/>
  <c r="T124" i="104" s="1"/>
  <c r="P128" i="103"/>
  <c r="AF128" i="104"/>
  <c r="O132" i="103"/>
  <c r="AE132" i="104"/>
  <c r="Q126" i="103"/>
  <c r="AH126" i="104"/>
  <c r="Q119" i="104"/>
  <c r="J119" i="103"/>
  <c r="E116" i="104"/>
  <c r="B116" i="103"/>
  <c r="P119" i="104"/>
  <c r="F124" i="104"/>
  <c r="C124" i="103"/>
  <c r="N128" i="103"/>
  <c r="AD128" i="104"/>
  <c r="K137" i="103"/>
  <c r="R137" i="104"/>
  <c r="J138" i="104"/>
  <c r="F138" i="103"/>
  <c r="J148" i="104"/>
  <c r="F148" i="103"/>
  <c r="P146" i="74"/>
  <c r="C130" i="75"/>
  <c r="AD129" i="104"/>
  <c r="N129" i="103"/>
  <c r="R129" i="104"/>
  <c r="K129" i="103"/>
  <c r="P129" i="104"/>
  <c r="O148" i="103"/>
  <c r="AE148" i="104"/>
  <c r="AE125" i="104"/>
  <c r="O125" i="103"/>
  <c r="AM125" i="104"/>
  <c r="U125" i="103"/>
  <c r="D143" i="103"/>
  <c r="H143" i="104"/>
  <c r="N150" i="104"/>
  <c r="Q150" i="74"/>
  <c r="O146" i="74"/>
  <c r="Q136" i="103"/>
  <c r="AH136" i="104"/>
  <c r="AJ136" i="104" s="1"/>
  <c r="AF142" i="104"/>
  <c r="P142" i="103"/>
  <c r="Q145" i="103"/>
  <c r="AH145" i="104"/>
  <c r="AJ145" i="104" s="1"/>
  <c r="I152" i="104"/>
  <c r="K152" i="104" s="1"/>
  <c r="B135" i="103"/>
  <c r="E135" i="104"/>
  <c r="AC139" i="104"/>
  <c r="M139" i="103"/>
  <c r="N139" i="104"/>
  <c r="G139" i="103"/>
  <c r="K148" i="74"/>
  <c r="N146" i="104"/>
  <c r="G146" i="103"/>
  <c r="N145" i="104"/>
  <c r="G145" i="103"/>
  <c r="T6" i="102"/>
  <c r="T55" i="107"/>
  <c r="T81" i="107"/>
  <c r="T132" i="97"/>
  <c r="T112" i="107"/>
  <c r="T91" i="107"/>
  <c r="T25" i="107"/>
  <c r="V72" i="74"/>
  <c r="V70" i="74"/>
  <c r="V75" i="74"/>
  <c r="T66" i="107"/>
  <c r="T85" i="107"/>
  <c r="V93" i="74"/>
  <c r="T118" i="107"/>
  <c r="V81" i="74"/>
  <c r="T89" i="107"/>
  <c r="T26" i="107"/>
  <c r="T42" i="107"/>
  <c r="U144" i="97"/>
  <c r="T111" i="4"/>
  <c r="U62" i="97"/>
  <c r="I14" i="103"/>
  <c r="I16" i="103"/>
  <c r="I90" i="103"/>
  <c r="K50" i="104"/>
  <c r="U127" i="97"/>
  <c r="U131" i="97"/>
  <c r="P117" i="104"/>
  <c r="V96" i="74"/>
  <c r="V52" i="74"/>
  <c r="V22" i="74"/>
  <c r="G130" i="104"/>
  <c r="P145" i="104"/>
  <c r="K117" i="104"/>
  <c r="I114" i="103"/>
  <c r="U51" i="97"/>
  <c r="P56" i="104"/>
  <c r="M56" i="104" s="1"/>
  <c r="P13" i="104"/>
  <c r="U92" i="97"/>
  <c r="G142" i="104"/>
  <c r="I103" i="103"/>
  <c r="U10" i="4"/>
  <c r="P10" i="4"/>
  <c r="Q10" i="4"/>
  <c r="V10" i="4"/>
  <c r="M10" i="4"/>
  <c r="L10" i="4"/>
  <c r="F10" i="4"/>
  <c r="I10" i="4"/>
  <c r="J10" i="4"/>
  <c r="T10" i="4"/>
  <c r="S10" i="4"/>
  <c r="P139" i="104"/>
  <c r="I130" i="103"/>
  <c r="G87" i="104"/>
  <c r="I15" i="103"/>
  <c r="I46" i="103"/>
  <c r="P67" i="104"/>
  <c r="V119" i="74"/>
  <c r="I96" i="103"/>
  <c r="V109" i="74"/>
  <c r="U59" i="97"/>
  <c r="U101" i="97"/>
  <c r="V103" i="74"/>
  <c r="U119" i="97"/>
  <c r="U103" i="97"/>
  <c r="I68" i="103"/>
  <c r="V129" i="74"/>
  <c r="V92" i="74"/>
  <c r="I84" i="103"/>
  <c r="P70" i="104"/>
  <c r="K40" i="104"/>
  <c r="I146" i="103"/>
  <c r="G103" i="104"/>
  <c r="I60" i="103"/>
  <c r="U98" i="97"/>
  <c r="K96" i="104"/>
  <c r="V121" i="74"/>
  <c r="P123" i="104"/>
  <c r="U106" i="97"/>
  <c r="U50" i="97"/>
  <c r="V41" i="74"/>
  <c r="U150" i="97"/>
  <c r="P103" i="104"/>
  <c r="P53" i="104"/>
  <c r="P68" i="104"/>
  <c r="K97" i="104"/>
  <c r="U95" i="97"/>
  <c r="I148" i="103"/>
  <c r="P135" i="104"/>
  <c r="V124" i="74"/>
  <c r="V5" i="74"/>
  <c r="L125" i="104"/>
  <c r="V3" i="74"/>
  <c r="P85" i="104"/>
  <c r="I126" i="103"/>
  <c r="L109" i="104"/>
  <c r="I138" i="4"/>
  <c r="U138" i="4"/>
  <c r="J138" i="4"/>
  <c r="L138" i="4"/>
  <c r="M138" i="4"/>
  <c r="P138" i="4"/>
  <c r="S138" i="4"/>
  <c r="V138" i="4"/>
  <c r="T138" i="4"/>
  <c r="F138" i="4"/>
  <c r="G138" i="4"/>
  <c r="V47" i="74"/>
  <c r="U145" i="97"/>
  <c r="U60" i="97"/>
  <c r="U9" i="97"/>
  <c r="K107" i="104"/>
  <c r="L107" i="104" s="1"/>
  <c r="U140" i="97"/>
  <c r="U134" i="97"/>
  <c r="I117" i="103"/>
  <c r="U109" i="97"/>
  <c r="G3" i="103"/>
  <c r="I3" i="103"/>
  <c r="AN47" i="104"/>
  <c r="I135" i="103"/>
  <c r="I145" i="103"/>
  <c r="L114" i="104"/>
  <c r="U53" i="97"/>
  <c r="L103" i="104"/>
  <c r="U102" i="97"/>
  <c r="I56" i="103"/>
  <c r="V27" i="74"/>
  <c r="P62" i="4"/>
  <c r="Q62" i="4"/>
  <c r="I62" i="4"/>
  <c r="J62" i="4"/>
  <c r="L62" i="4"/>
  <c r="S62" i="4"/>
  <c r="U62" i="4"/>
  <c r="F62" i="4"/>
  <c r="G62" i="4"/>
  <c r="V62" i="4"/>
  <c r="T62" i="4"/>
  <c r="M62" i="4"/>
  <c r="G135" i="104"/>
  <c r="D135" i="104" s="1"/>
  <c r="B135" i="104" s="1"/>
  <c r="F135" i="99" s="1"/>
  <c r="C135" i="99" s="1"/>
  <c r="V125" i="74"/>
  <c r="G129" i="104"/>
  <c r="I69" i="103"/>
  <c r="U105" i="97"/>
  <c r="V58" i="74"/>
  <c r="P3" i="104"/>
  <c r="U137" i="97"/>
  <c r="V145" i="74"/>
  <c r="P125" i="104"/>
  <c r="U123" i="97"/>
  <c r="I108" i="103"/>
  <c r="V49" i="74"/>
  <c r="P146" i="104"/>
  <c r="V53" i="74"/>
  <c r="P127" i="104"/>
  <c r="P114" i="104"/>
  <c r="P60" i="104"/>
  <c r="P87" i="104"/>
  <c r="P46" i="104"/>
  <c r="I67" i="103"/>
  <c r="K127" i="104"/>
  <c r="L127" i="104" s="1"/>
  <c r="I127" i="103"/>
  <c r="I133" i="103"/>
  <c r="P96" i="104"/>
  <c r="G3" i="104"/>
  <c r="I13" i="103"/>
  <c r="P83" i="104"/>
  <c r="G48" i="104"/>
  <c r="Q137" i="4"/>
  <c r="P27" i="104"/>
  <c r="U11" i="97"/>
  <c r="P132" i="104"/>
  <c r="I61" i="103"/>
  <c r="I124" i="103"/>
  <c r="U111" i="97"/>
  <c r="U100" i="97"/>
  <c r="G13" i="104"/>
  <c r="P37" i="104"/>
  <c r="P121" i="104"/>
  <c r="I53" i="103"/>
  <c r="AJ27" i="104"/>
  <c r="V146" i="74"/>
  <c r="V131" i="74"/>
  <c r="Q130" i="4"/>
  <c r="G37" i="104"/>
  <c r="I70" i="103"/>
  <c r="G126" i="104"/>
  <c r="V18" i="74"/>
  <c r="U128" i="97"/>
  <c r="I85" i="103"/>
  <c r="J154" i="97"/>
  <c r="U154" i="97"/>
  <c r="V154" i="97" a="1"/>
  <c r="V154" i="97" s="1"/>
  <c r="AJ119" i="104"/>
  <c r="K115" i="104"/>
  <c r="L115" i="104" s="1"/>
  <c r="U57" i="97"/>
  <c r="I119" i="103"/>
  <c r="AE49" i="4"/>
  <c r="V89" i="74"/>
  <c r="P102" i="104"/>
  <c r="V13" i="74"/>
  <c r="V91" i="74"/>
  <c r="G138" i="104"/>
  <c r="I136" i="103"/>
  <c r="P90" i="104"/>
  <c r="V15" i="74"/>
  <c r="I139" i="103"/>
  <c r="P148" i="104"/>
  <c r="U114" i="97"/>
  <c r="U55" i="97"/>
  <c r="U143" i="97"/>
  <c r="P133" i="104"/>
  <c r="P126" i="104"/>
  <c r="V50" i="74"/>
  <c r="K63" i="3"/>
  <c r="P62" i="97" s="1"/>
  <c r="K130" i="3"/>
  <c r="P129" i="97" s="1"/>
  <c r="K105" i="3"/>
  <c r="K59" i="3"/>
  <c r="P58" i="97" s="1"/>
  <c r="K111" i="3"/>
  <c r="P110" i="97" s="1"/>
  <c r="Q58" i="97"/>
  <c r="Q129" i="97"/>
  <c r="Q62" i="97"/>
  <c r="Q110" i="97"/>
  <c r="I58" i="97"/>
  <c r="I62" i="97"/>
  <c r="I110" i="97"/>
  <c r="B28" i="107" l="1"/>
  <c r="E121" i="107"/>
  <c r="D54" i="107"/>
  <c r="E31" i="102"/>
  <c r="B39" i="102"/>
  <c r="T54" i="107"/>
  <c r="T95" i="107"/>
  <c r="T28" i="107"/>
  <c r="E90" i="107"/>
  <c r="E124" i="107"/>
  <c r="T98" i="107"/>
  <c r="B31" i="102"/>
  <c r="B121" i="107"/>
  <c r="B47" i="102"/>
  <c r="D28" i="107"/>
  <c r="B19" i="107"/>
  <c r="T16" i="107"/>
  <c r="B124" i="107"/>
  <c r="E47" i="102"/>
  <c r="D19" i="107"/>
  <c r="E11" i="107"/>
  <c r="D15" i="102"/>
  <c r="T47" i="107"/>
  <c r="D116" i="107"/>
  <c r="D114" i="107"/>
  <c r="B11" i="107"/>
  <c r="D63" i="102"/>
  <c r="E15" i="102"/>
  <c r="D95" i="107"/>
  <c r="T32" i="107"/>
  <c r="T77" i="107"/>
  <c r="T61" i="107"/>
  <c r="T17" i="107"/>
  <c r="D75" i="107"/>
  <c r="T60" i="102"/>
  <c r="B114" i="107"/>
  <c r="E63" i="102"/>
  <c r="E95" i="107"/>
  <c r="B83" i="107"/>
  <c r="T29" i="107"/>
  <c r="D83" i="107"/>
  <c r="T127" i="107"/>
  <c r="T78" i="107"/>
  <c r="E54" i="107"/>
  <c r="D55" i="102"/>
  <c r="B90" i="107"/>
  <c r="E39" i="102"/>
  <c r="T21" i="102"/>
  <c r="T14" i="107"/>
  <c r="B75" i="107"/>
  <c r="E116" i="107"/>
  <c r="T133" i="107"/>
  <c r="U52" i="97"/>
  <c r="U116" i="97"/>
  <c r="U112" i="97"/>
  <c r="U88" i="97"/>
  <c r="U117" i="97"/>
  <c r="L101" i="104"/>
  <c r="P145" i="4"/>
  <c r="C118" i="3"/>
  <c r="G114" i="4"/>
  <c r="G55" i="4"/>
  <c r="U126" i="4"/>
  <c r="U145" i="4"/>
  <c r="F114" i="4"/>
  <c r="F55" i="4"/>
  <c r="H55" i="4" s="1"/>
  <c r="S126" i="4"/>
  <c r="L102" i="104"/>
  <c r="G118" i="104"/>
  <c r="C61" i="4"/>
  <c r="V145" i="4"/>
  <c r="U107" i="4"/>
  <c r="P101" i="4"/>
  <c r="I96" i="4"/>
  <c r="I76" i="4"/>
  <c r="T67" i="4"/>
  <c r="P58" i="4"/>
  <c r="G58" i="4"/>
  <c r="S45" i="4"/>
  <c r="P28" i="4"/>
  <c r="G20" i="75"/>
  <c r="H20" i="75" s="1"/>
  <c r="I20" i="75" s="1"/>
  <c r="P134" i="4"/>
  <c r="V65" i="4"/>
  <c r="C96" i="75"/>
  <c r="C132" i="4"/>
  <c r="J103" i="4"/>
  <c r="F139" i="4"/>
  <c r="C54" i="4"/>
  <c r="L54" i="4"/>
  <c r="T102" i="4"/>
  <c r="G58" i="75"/>
  <c r="H58" i="75" s="1"/>
  <c r="C115" i="3"/>
  <c r="C115" i="4"/>
  <c r="G55" i="75"/>
  <c r="H55" i="75" s="1"/>
  <c r="M65" i="4"/>
  <c r="G65" i="4"/>
  <c r="S83" i="4"/>
  <c r="J83" i="4"/>
  <c r="I83" i="4"/>
  <c r="T103" i="4"/>
  <c r="S103" i="4"/>
  <c r="I103" i="4"/>
  <c r="G136" i="4"/>
  <c r="H136" i="4" s="1"/>
  <c r="U136" i="4"/>
  <c r="C149" i="75"/>
  <c r="C148" i="97"/>
  <c r="C149" i="4"/>
  <c r="S145" i="4"/>
  <c r="AH135" i="4"/>
  <c r="C113" i="3"/>
  <c r="C113" i="75"/>
  <c r="C8" i="4"/>
  <c r="C8" i="3"/>
  <c r="I61" i="4"/>
  <c r="F61" i="4"/>
  <c r="H61" i="4" s="1"/>
  <c r="S61" i="4"/>
  <c r="L85" i="4"/>
  <c r="J46" i="4"/>
  <c r="V46" i="4"/>
  <c r="V70" i="4"/>
  <c r="L70" i="4"/>
  <c r="U70" i="4"/>
  <c r="C132" i="97"/>
  <c r="C133" i="3"/>
  <c r="L145" i="4"/>
  <c r="C89" i="3"/>
  <c r="C89" i="4"/>
  <c r="U114" i="4"/>
  <c r="T114" i="4"/>
  <c r="P116" i="4"/>
  <c r="G116" i="4"/>
  <c r="T78" i="4"/>
  <c r="M78" i="4"/>
  <c r="F101" i="4"/>
  <c r="T101" i="4"/>
  <c r="P123" i="4"/>
  <c r="T123" i="4"/>
  <c r="W123" i="4" s="1"/>
  <c r="M123" i="4"/>
  <c r="T139" i="4"/>
  <c r="V139" i="4"/>
  <c r="C142" i="75"/>
  <c r="C141" i="97"/>
  <c r="L111" i="4"/>
  <c r="G145" i="4"/>
  <c r="K134" i="4"/>
  <c r="V54" i="4"/>
  <c r="L29" i="4"/>
  <c r="G29" i="4"/>
  <c r="M49" i="4"/>
  <c r="P49" i="4"/>
  <c r="L49" i="4"/>
  <c r="C61" i="97"/>
  <c r="C62" i="75"/>
  <c r="P30" i="75"/>
  <c r="Q30" i="75" s="1"/>
  <c r="P79" i="4"/>
  <c r="V79" i="4"/>
  <c r="I48" i="4"/>
  <c r="F48" i="4"/>
  <c r="G20" i="4"/>
  <c r="U20" i="4"/>
  <c r="F100" i="4"/>
  <c r="T100" i="4"/>
  <c r="U55" i="4"/>
  <c r="J55" i="4"/>
  <c r="C117" i="4"/>
  <c r="C117" i="3"/>
  <c r="J75" i="4"/>
  <c r="U75" i="4"/>
  <c r="L75" i="4"/>
  <c r="P75" i="4"/>
  <c r="I69" i="4"/>
  <c r="P69" i="4"/>
  <c r="G71" i="4"/>
  <c r="U71" i="4"/>
  <c r="P86" i="4"/>
  <c r="I86" i="4"/>
  <c r="T95" i="4"/>
  <c r="S95" i="4"/>
  <c r="L95" i="4"/>
  <c r="F126" i="4"/>
  <c r="T126" i="4"/>
  <c r="T31" i="107"/>
  <c r="T37" i="107"/>
  <c r="K53" i="104"/>
  <c r="L53" i="104" s="1"/>
  <c r="F134" i="4"/>
  <c r="F86" i="4"/>
  <c r="L71" i="4"/>
  <c r="M71" i="4"/>
  <c r="U79" i="4"/>
  <c r="U65" i="4"/>
  <c r="AH6" i="4"/>
  <c r="S49" i="4"/>
  <c r="T29" i="4"/>
  <c r="C135" i="3"/>
  <c r="F116" i="4"/>
  <c r="S75" i="4"/>
  <c r="P95" i="4"/>
  <c r="L61" i="4"/>
  <c r="Q53" i="4"/>
  <c r="Q51" i="4"/>
  <c r="R51" i="4" s="1"/>
  <c r="S78" i="4"/>
  <c r="G70" i="4"/>
  <c r="G46" i="4"/>
  <c r="H46" i="4" s="1"/>
  <c r="O46" i="4" s="1"/>
  <c r="I114" i="4"/>
  <c r="K114" i="4" s="1"/>
  <c r="C113" i="4"/>
  <c r="I55" i="4"/>
  <c r="C147" i="97"/>
  <c r="I126" i="4"/>
  <c r="G52" i="4"/>
  <c r="H52" i="4" s="1"/>
  <c r="U54" i="4"/>
  <c r="G54" i="4"/>
  <c r="G21" i="4"/>
  <c r="U21" i="4"/>
  <c r="G87" i="75"/>
  <c r="H87" i="75" s="1"/>
  <c r="J108" i="4"/>
  <c r="G108" i="4"/>
  <c r="G66" i="4"/>
  <c r="U66" i="4"/>
  <c r="C144" i="4"/>
  <c r="C144" i="3"/>
  <c r="AG102" i="104"/>
  <c r="AJ10" i="104"/>
  <c r="AL6" i="4"/>
  <c r="G123" i="104"/>
  <c r="S53" i="4"/>
  <c r="W53" i="4" s="1"/>
  <c r="J53" i="4"/>
  <c r="F47" i="4"/>
  <c r="H47" i="4" s="1"/>
  <c r="U47" i="4"/>
  <c r="J74" i="4"/>
  <c r="U74" i="4"/>
  <c r="S134" i="4"/>
  <c r="AN154" i="104"/>
  <c r="AG7" i="104"/>
  <c r="AG127" i="104"/>
  <c r="AG108" i="104"/>
  <c r="AJ59" i="104"/>
  <c r="K154" i="104"/>
  <c r="L154" i="104" s="1"/>
  <c r="AG39" i="104"/>
  <c r="AG56" i="104"/>
  <c r="AB56" i="104" s="1"/>
  <c r="L130" i="4"/>
  <c r="N130" i="4" s="1"/>
  <c r="I130" i="4"/>
  <c r="V130" i="4"/>
  <c r="S7" i="4"/>
  <c r="V7" i="4"/>
  <c r="T120" i="107"/>
  <c r="AJ134" i="104"/>
  <c r="M154" i="104"/>
  <c r="AJ85" i="104"/>
  <c r="AJ154" i="104"/>
  <c r="D193" i="104"/>
  <c r="G14" i="4"/>
  <c r="I89" i="4"/>
  <c r="M39" i="104"/>
  <c r="AJ151" i="104"/>
  <c r="K80" i="104"/>
  <c r="L141" i="4"/>
  <c r="A127" i="97"/>
  <c r="AB187" i="104"/>
  <c r="Z187" i="104" s="1"/>
  <c r="K220" i="104"/>
  <c r="G44" i="104"/>
  <c r="Q49" i="4"/>
  <c r="G148" i="104"/>
  <c r="L153" i="104"/>
  <c r="AG11" i="104"/>
  <c r="AG9" i="104"/>
  <c r="A128" i="75"/>
  <c r="K176" i="104"/>
  <c r="AM105" i="4"/>
  <c r="AN105" i="4" s="1"/>
  <c r="T104" i="97" s="1"/>
  <c r="AM130" i="4"/>
  <c r="AN130" i="4" s="1"/>
  <c r="T129" i="97" s="1"/>
  <c r="AB4" i="104"/>
  <c r="Z4" i="104" s="1"/>
  <c r="I102" i="75"/>
  <c r="G116" i="104"/>
  <c r="AG122" i="104"/>
  <c r="X42" i="75"/>
  <c r="Y42" i="75" s="1"/>
  <c r="E71" i="107"/>
  <c r="N47" i="4"/>
  <c r="K70" i="4"/>
  <c r="H74" i="4"/>
  <c r="AM63" i="4"/>
  <c r="AN63" i="4" s="1"/>
  <c r="T62" i="97" s="1"/>
  <c r="T61" i="102"/>
  <c r="T40" i="107"/>
  <c r="T117" i="107"/>
  <c r="T107" i="107"/>
  <c r="T13" i="107"/>
  <c r="T39" i="107"/>
  <c r="T115" i="107"/>
  <c r="T125" i="107"/>
  <c r="T130" i="107"/>
  <c r="T15" i="107"/>
  <c r="T56" i="107"/>
  <c r="T57" i="107"/>
  <c r="T70" i="107"/>
  <c r="T96" i="107"/>
  <c r="T73" i="107"/>
  <c r="T9" i="107"/>
  <c r="T35" i="107"/>
  <c r="T94" i="107"/>
  <c r="T22" i="107"/>
  <c r="T92" i="107"/>
  <c r="T105" i="107"/>
  <c r="T82" i="107"/>
  <c r="T21" i="107"/>
  <c r="T49" i="107"/>
  <c r="T44" i="107"/>
  <c r="T36" i="107"/>
  <c r="T103" i="107"/>
  <c r="T41" i="107"/>
  <c r="T90" i="107"/>
  <c r="T122" i="107"/>
  <c r="T67" i="107"/>
  <c r="T10" i="107"/>
  <c r="T18" i="107"/>
  <c r="T31" i="102"/>
  <c r="T44" i="102"/>
  <c r="T20" i="102"/>
  <c r="T64" i="102"/>
  <c r="T39" i="102"/>
  <c r="T9" i="102"/>
  <c r="T36" i="102"/>
  <c r="T22" i="102"/>
  <c r="T25" i="102"/>
  <c r="T48" i="102"/>
  <c r="T19" i="102"/>
  <c r="T68" i="102"/>
  <c r="T15" i="102"/>
  <c r="T70" i="102"/>
  <c r="T33" i="102"/>
  <c r="T69" i="102"/>
  <c r="T52" i="102"/>
  <c r="T12" i="102"/>
  <c r="T43" i="102"/>
  <c r="T14" i="102"/>
  <c r="T58" i="102"/>
  <c r="T38" i="102"/>
  <c r="I47" i="103"/>
  <c r="P124" i="104"/>
  <c r="O42" i="75"/>
  <c r="D125" i="104"/>
  <c r="P61" i="104"/>
  <c r="L87" i="104"/>
  <c r="K129" i="3"/>
  <c r="P128" i="97" s="1"/>
  <c r="N71" i="4"/>
  <c r="AH128" i="4"/>
  <c r="AB152" i="104"/>
  <c r="Z152" i="104" s="1"/>
  <c r="S152" i="104" s="1"/>
  <c r="K108" i="4"/>
  <c r="AJ152" i="104"/>
  <c r="D50" i="102"/>
  <c r="B50" i="102"/>
  <c r="AL55" i="4"/>
  <c r="AL132" i="4"/>
  <c r="N95" i="4"/>
  <c r="H95" i="4"/>
  <c r="G66" i="75"/>
  <c r="H66" i="75" s="1"/>
  <c r="I66" i="75" s="1"/>
  <c r="H11" i="4"/>
  <c r="N63" i="4"/>
  <c r="AB134" i="104"/>
  <c r="Z134" i="104" s="1"/>
  <c r="S134" i="104" s="1"/>
  <c r="AG151" i="104"/>
  <c r="G153" i="104"/>
  <c r="D153" i="104" s="1"/>
  <c r="K148" i="3"/>
  <c r="T132" i="75"/>
  <c r="U132" i="75" s="1"/>
  <c r="V132" i="75" s="1"/>
  <c r="W50" i="75"/>
  <c r="H149" i="4"/>
  <c r="O149" i="4" s="1"/>
  <c r="T65" i="102"/>
  <c r="V152" i="74"/>
  <c r="G140" i="75"/>
  <c r="H140" i="75" s="1"/>
  <c r="I140" i="75" s="1"/>
  <c r="F140" i="75"/>
  <c r="P119" i="75"/>
  <c r="Q119" i="75" s="1"/>
  <c r="O119" i="75"/>
  <c r="T119" i="75"/>
  <c r="U119" i="75" s="1"/>
  <c r="V119" i="75" s="1"/>
  <c r="X6" i="75"/>
  <c r="Y6" i="75" s="1"/>
  <c r="P6" i="75"/>
  <c r="Q6" i="75" s="1"/>
  <c r="O6" i="75"/>
  <c r="P121" i="75"/>
  <c r="Q121" i="75" s="1"/>
  <c r="R121" i="75" s="1"/>
  <c r="O121" i="75"/>
  <c r="Q95" i="4"/>
  <c r="R95" i="4" s="1"/>
  <c r="Q96" i="4"/>
  <c r="Q94" i="4"/>
  <c r="K138" i="75"/>
  <c r="L138" i="75" s="1"/>
  <c r="J138" i="75"/>
  <c r="P69" i="104"/>
  <c r="AM59" i="4"/>
  <c r="AN59" i="4" s="1"/>
  <c r="T58" i="97" s="1"/>
  <c r="J145" i="4"/>
  <c r="J90" i="103"/>
  <c r="T58" i="103"/>
  <c r="AI107" i="104"/>
  <c r="M27" i="103"/>
  <c r="E61" i="103"/>
  <c r="F90" i="104"/>
  <c r="G90" i="104" s="1"/>
  <c r="M52" i="4"/>
  <c r="S69" i="74"/>
  <c r="H72" i="3" s="1"/>
  <c r="S22" i="4"/>
  <c r="T27" i="102"/>
  <c r="T42" i="102"/>
  <c r="I145" i="4"/>
  <c r="S28" i="4"/>
  <c r="K29" i="4"/>
  <c r="K83" i="4"/>
  <c r="Z50" i="74"/>
  <c r="AB53" i="4" s="1"/>
  <c r="AM48" i="104"/>
  <c r="F15" i="104"/>
  <c r="G15" i="104" s="1"/>
  <c r="P42" i="75"/>
  <c r="Q42" i="75" s="1"/>
  <c r="Z63" i="75"/>
  <c r="W75" i="4"/>
  <c r="K149" i="4"/>
  <c r="L28" i="4"/>
  <c r="R11" i="4"/>
  <c r="M145" i="4"/>
  <c r="N145" i="4" s="1"/>
  <c r="N123" i="4"/>
  <c r="Q51" i="74"/>
  <c r="F54" i="3" s="1"/>
  <c r="J112" i="104"/>
  <c r="C12" i="4"/>
  <c r="D192" i="104"/>
  <c r="F29" i="97"/>
  <c r="B30" i="3"/>
  <c r="E8" i="4"/>
  <c r="E8" i="75"/>
  <c r="G8" i="75" s="1"/>
  <c r="H8" i="75" s="1"/>
  <c r="E8" i="3"/>
  <c r="G130" i="103"/>
  <c r="D77" i="97"/>
  <c r="D78" i="4"/>
  <c r="D78" i="3"/>
  <c r="D78" i="75"/>
  <c r="D40" i="97"/>
  <c r="D41" i="75"/>
  <c r="B6" i="4"/>
  <c r="B6" i="3"/>
  <c r="E80" i="103"/>
  <c r="O46" i="104"/>
  <c r="M46" i="104" s="1"/>
  <c r="D26" i="103"/>
  <c r="Y4" i="74"/>
  <c r="AA7" i="4" s="1"/>
  <c r="AE7" i="4" s="1"/>
  <c r="AG4" i="74"/>
  <c r="AK7" i="4" s="1"/>
  <c r="AL7" i="4" s="1"/>
  <c r="AB6" i="74"/>
  <c r="AD9" i="4" s="1"/>
  <c r="AE9" i="4" s="1"/>
  <c r="Y7" i="74"/>
  <c r="AA10" i="4" s="1"/>
  <c r="AE10" i="4" s="1"/>
  <c r="AG7" i="74"/>
  <c r="AK10" i="4" s="1"/>
  <c r="AL10" i="4" s="1"/>
  <c r="AC8" i="74"/>
  <c r="AF11" i="4" s="1"/>
  <c r="AH11" i="4" s="1"/>
  <c r="K60" i="103"/>
  <c r="U60" i="74"/>
  <c r="J63" i="3" s="1"/>
  <c r="P63" i="3" s="1"/>
  <c r="R45" i="104"/>
  <c r="W6" i="104"/>
  <c r="X6" i="104" s="1"/>
  <c r="T6" i="104" s="1"/>
  <c r="J142" i="104"/>
  <c r="K142" i="104" s="1"/>
  <c r="L142" i="104" s="1"/>
  <c r="D142" i="104" s="1"/>
  <c r="Q130" i="104"/>
  <c r="R60" i="104"/>
  <c r="AB202" i="104"/>
  <c r="Z202" i="104" s="1"/>
  <c r="T130" i="4"/>
  <c r="J60" i="104"/>
  <c r="F60" i="103"/>
  <c r="D115" i="97"/>
  <c r="D116" i="75"/>
  <c r="D116" i="3"/>
  <c r="D116" i="4"/>
  <c r="D99" i="97"/>
  <c r="D100" i="4"/>
  <c r="D100" i="3"/>
  <c r="D100" i="75"/>
  <c r="D35" i="97"/>
  <c r="D36" i="75"/>
  <c r="D36" i="3"/>
  <c r="D36" i="4"/>
  <c r="F20" i="97"/>
  <c r="B21" i="3"/>
  <c r="J126" i="85"/>
  <c r="R104" i="104"/>
  <c r="F104" i="104"/>
  <c r="G104" i="104" s="1"/>
  <c r="J5" i="104"/>
  <c r="K104" i="103"/>
  <c r="Q104" i="104"/>
  <c r="I104" i="103"/>
  <c r="W5" i="104"/>
  <c r="X5" i="104" s="1"/>
  <c r="T5" i="104" s="1"/>
  <c r="O104" i="104"/>
  <c r="H104" i="103"/>
  <c r="B38" i="75"/>
  <c r="B38" i="3"/>
  <c r="F149" i="97"/>
  <c r="B150" i="3"/>
  <c r="W25" i="104"/>
  <c r="X25" i="104" s="1"/>
  <c r="T25" i="104" s="1"/>
  <c r="E23" i="103"/>
  <c r="I23" i="104"/>
  <c r="K23" i="104" s="1"/>
  <c r="AJ213" i="104"/>
  <c r="AJ196" i="104"/>
  <c r="A145" i="3"/>
  <c r="C52" i="74"/>
  <c r="K199" i="104"/>
  <c r="L199" i="104" s="1"/>
  <c r="G164" i="104"/>
  <c r="D164" i="104" s="1"/>
  <c r="C4" i="74"/>
  <c r="J178" i="85"/>
  <c r="Q133" i="4" s="1"/>
  <c r="W145" i="104"/>
  <c r="X145" i="104" s="1"/>
  <c r="T145" i="104" s="1"/>
  <c r="D226" i="104"/>
  <c r="W93" i="104"/>
  <c r="X93" i="104" s="1"/>
  <c r="T93" i="104" s="1"/>
  <c r="D188" i="104"/>
  <c r="D166" i="104"/>
  <c r="A122" i="75"/>
  <c r="A76" i="75"/>
  <c r="A25" i="3"/>
  <c r="A75" i="97"/>
  <c r="G199" i="104"/>
  <c r="D199" i="104" s="1"/>
  <c r="B199" i="104" s="1"/>
  <c r="AN171" i="104"/>
  <c r="AB171" i="104" s="1"/>
  <c r="Z171" i="104" s="1"/>
  <c r="E7" i="102"/>
  <c r="A72" i="3"/>
  <c r="AJ208" i="104"/>
  <c r="G208" i="104"/>
  <c r="U49" i="97"/>
  <c r="N87" i="3"/>
  <c r="Q87" i="3" s="1"/>
  <c r="K87" i="3"/>
  <c r="Z61" i="74"/>
  <c r="AB64" i="4" s="1"/>
  <c r="Y27" i="74"/>
  <c r="AA30" i="4" s="1"/>
  <c r="AC27" i="104"/>
  <c r="AC51" i="74"/>
  <c r="AF54" i="4" s="1"/>
  <c r="AH54" i="4" s="1"/>
  <c r="O72" i="103"/>
  <c r="I3" i="74"/>
  <c r="H96" i="74"/>
  <c r="O99" i="75" s="1"/>
  <c r="D96" i="103"/>
  <c r="H96" i="104"/>
  <c r="G90" i="74"/>
  <c r="J93" i="75" s="1"/>
  <c r="F60" i="4"/>
  <c r="S60" i="4"/>
  <c r="I83" i="74"/>
  <c r="S86" i="75" s="1"/>
  <c r="U132" i="103"/>
  <c r="V102" i="4"/>
  <c r="L102" i="4"/>
  <c r="B133" i="103"/>
  <c r="I119" i="74"/>
  <c r="I119" i="104"/>
  <c r="K119" i="104" s="1"/>
  <c r="L119" i="104" s="1"/>
  <c r="G115" i="103"/>
  <c r="W37" i="75"/>
  <c r="T20" i="107"/>
  <c r="T93" i="107"/>
  <c r="AE3" i="104"/>
  <c r="T54" i="4"/>
  <c r="I54" i="4"/>
  <c r="AF77" i="74"/>
  <c r="AJ80" i="4" s="1"/>
  <c r="T77" i="103"/>
  <c r="Q44" i="74"/>
  <c r="F47" i="3" s="1"/>
  <c r="N44" i="104"/>
  <c r="H58" i="74"/>
  <c r="F109" i="103"/>
  <c r="U124" i="103"/>
  <c r="AG124" i="74"/>
  <c r="AK127" i="4" s="1"/>
  <c r="AE132" i="74"/>
  <c r="AI135" i="4" s="1"/>
  <c r="AA139" i="74"/>
  <c r="AC142" i="4" s="1"/>
  <c r="H127" i="74"/>
  <c r="Q139" i="104"/>
  <c r="U139" i="74"/>
  <c r="J142" i="3" s="1"/>
  <c r="T26" i="102"/>
  <c r="L96" i="104"/>
  <c r="I132" i="103"/>
  <c r="U151" i="4"/>
  <c r="W134" i="4"/>
  <c r="K136" i="4"/>
  <c r="K86" i="4"/>
  <c r="W65" i="4"/>
  <c r="K65" i="4"/>
  <c r="N116" i="4"/>
  <c r="N139" i="4"/>
  <c r="H83" i="4"/>
  <c r="O83" i="4" s="1"/>
  <c r="K48" i="4"/>
  <c r="C12" i="75"/>
  <c r="L50" i="103"/>
  <c r="AH52" i="104"/>
  <c r="AJ52" i="104" s="1"/>
  <c r="Q52" i="103"/>
  <c r="AC52" i="74"/>
  <c r="AF55" i="4" s="1"/>
  <c r="AH55" i="4" s="1"/>
  <c r="AD98" i="74"/>
  <c r="AG101" i="4" s="1"/>
  <c r="J128" i="85"/>
  <c r="W101" i="104"/>
  <c r="X101" i="104" s="1"/>
  <c r="T101" i="104" s="1"/>
  <c r="F110" i="4"/>
  <c r="V110" i="4"/>
  <c r="T128" i="103"/>
  <c r="AD119" i="74"/>
  <c r="AG122" i="4" s="1"/>
  <c r="AH122" i="4" s="1"/>
  <c r="J52" i="4"/>
  <c r="J151" i="4"/>
  <c r="H108" i="4"/>
  <c r="AA3" i="74"/>
  <c r="AC6" i="4" s="1"/>
  <c r="AH101" i="104"/>
  <c r="AJ101" i="104" s="1"/>
  <c r="F56" i="74"/>
  <c r="G59" i="75" s="1"/>
  <c r="H59" i="75" s="1"/>
  <c r="H52" i="104"/>
  <c r="D52" i="103"/>
  <c r="T52" i="107"/>
  <c r="T63" i="102"/>
  <c r="T35" i="102"/>
  <c r="AE15" i="104"/>
  <c r="AG15" i="104" s="1"/>
  <c r="L44" i="103"/>
  <c r="AB100" i="74"/>
  <c r="AD103" i="4" s="1"/>
  <c r="U107" i="103"/>
  <c r="T47" i="74"/>
  <c r="I50" i="3" s="1"/>
  <c r="Q54" i="74"/>
  <c r="F57" i="3" s="1"/>
  <c r="AG44" i="74"/>
  <c r="AK47" i="4" s="1"/>
  <c r="AL47" i="4" s="1"/>
  <c r="U37" i="74"/>
  <c r="J40" i="3" s="1"/>
  <c r="I56" i="104"/>
  <c r="K56" i="104" s="1"/>
  <c r="L56" i="104" s="1"/>
  <c r="T90" i="74"/>
  <c r="I93" i="3" s="1"/>
  <c r="K93" i="3" s="1"/>
  <c r="Y44" i="74"/>
  <c r="AA47" i="4" s="1"/>
  <c r="M44" i="103"/>
  <c r="F108" i="74"/>
  <c r="F111" i="75" s="1"/>
  <c r="E108" i="104"/>
  <c r="AF121" i="104"/>
  <c r="P121" i="103"/>
  <c r="R119" i="104"/>
  <c r="Y136" i="74"/>
  <c r="AA139" i="4" s="1"/>
  <c r="I44" i="103"/>
  <c r="W47" i="4"/>
  <c r="K55" i="4"/>
  <c r="AG27" i="74"/>
  <c r="AK30" i="4" s="1"/>
  <c r="AL30" i="4" s="1"/>
  <c r="N50" i="103"/>
  <c r="P37" i="103"/>
  <c r="Z90" i="74"/>
  <c r="AB93" i="4" s="1"/>
  <c r="AD90" i="104"/>
  <c r="H9" i="74"/>
  <c r="D9" i="103"/>
  <c r="AL93" i="104"/>
  <c r="V28" i="4"/>
  <c r="W28" i="4" s="1"/>
  <c r="G28" i="4"/>
  <c r="H28" i="4" s="1"/>
  <c r="T55" i="4"/>
  <c r="W55" i="4" s="1"/>
  <c r="M55" i="4"/>
  <c r="P55" i="4"/>
  <c r="G48" i="4"/>
  <c r="H48" i="4" s="1"/>
  <c r="V48" i="4"/>
  <c r="W48" i="4" s="1"/>
  <c r="T108" i="4"/>
  <c r="S108" i="4"/>
  <c r="AL125" i="104"/>
  <c r="L125" i="103"/>
  <c r="AA125" i="104"/>
  <c r="S10" i="74"/>
  <c r="H13" i="3" s="1"/>
  <c r="M27" i="104"/>
  <c r="T145" i="4"/>
  <c r="AL50" i="4"/>
  <c r="N75" i="4"/>
  <c r="K46" i="4"/>
  <c r="S48" i="103"/>
  <c r="J54" i="4"/>
  <c r="AE139" i="104"/>
  <c r="I116" i="104"/>
  <c r="K116" i="104" s="1"/>
  <c r="I102" i="4"/>
  <c r="J60" i="4"/>
  <c r="K60" i="4" s="1"/>
  <c r="K37" i="103"/>
  <c r="AE72" i="104"/>
  <c r="D56" i="103"/>
  <c r="I52" i="4"/>
  <c r="O3" i="103"/>
  <c r="I86" i="104"/>
  <c r="K86" i="104" s="1"/>
  <c r="S44" i="103"/>
  <c r="G103" i="103"/>
  <c r="C57" i="3"/>
  <c r="C56" i="97"/>
  <c r="T38" i="107"/>
  <c r="W95" i="4"/>
  <c r="K47" i="4"/>
  <c r="R53" i="4"/>
  <c r="G68" i="74"/>
  <c r="J71" i="75" s="1"/>
  <c r="G126" i="4"/>
  <c r="H126" i="4" s="1"/>
  <c r="V126" i="4"/>
  <c r="L126" i="4"/>
  <c r="T47" i="102"/>
  <c r="T13" i="102"/>
  <c r="T34" i="107"/>
  <c r="T18" i="102"/>
  <c r="AM10" i="4"/>
  <c r="AN10" i="4" s="1"/>
  <c r="P148" i="103"/>
  <c r="AM13" i="4"/>
  <c r="AN13" i="4" s="1"/>
  <c r="T12" i="97" s="1"/>
  <c r="AM62" i="4"/>
  <c r="AN62" i="4" s="1"/>
  <c r="AM141" i="4"/>
  <c r="AN141" i="4" s="1"/>
  <c r="T140" i="97" s="1"/>
  <c r="N120" i="4"/>
  <c r="W11" i="4"/>
  <c r="AM138" i="4"/>
  <c r="AN138" i="4" s="1"/>
  <c r="T137" i="97" s="1"/>
  <c r="T121" i="107"/>
  <c r="T71" i="102"/>
  <c r="D135" i="103"/>
  <c r="V135" i="103" s="1"/>
  <c r="G135" i="99" s="1"/>
  <c r="D135" i="99" s="1"/>
  <c r="Q55" i="4"/>
  <c r="H12" i="4"/>
  <c r="AM12" i="4"/>
  <c r="AM9" i="4"/>
  <c r="AN9" i="4" s="1"/>
  <c r="AM90" i="4"/>
  <c r="AN90" i="4" s="1"/>
  <c r="T89" i="97" s="1"/>
  <c r="A116" i="3"/>
  <c r="A116" i="75"/>
  <c r="A116" i="4"/>
  <c r="A78" i="97"/>
  <c r="A79" i="75"/>
  <c r="A131" i="75"/>
  <c r="A130" i="97"/>
  <c r="A112" i="3"/>
  <c r="A111" i="97"/>
  <c r="A112" i="75"/>
  <c r="A112" i="4"/>
  <c r="A108" i="3"/>
  <c r="A108" i="75"/>
  <c r="M12" i="4"/>
  <c r="B50" i="75"/>
  <c r="G50" i="75" s="1"/>
  <c r="H50" i="75" s="1"/>
  <c r="I50" i="75" s="1"/>
  <c r="B50" i="4"/>
  <c r="J50" i="4" s="1"/>
  <c r="D165" i="104"/>
  <c r="F14" i="4"/>
  <c r="G141" i="4"/>
  <c r="A12" i="97"/>
  <c r="A38" i="75"/>
  <c r="D203" i="104"/>
  <c r="L133" i="4"/>
  <c r="J63" i="4"/>
  <c r="K63" i="4" s="1"/>
  <c r="B147" i="75"/>
  <c r="B147" i="3"/>
  <c r="W143" i="104"/>
  <c r="X143" i="104" s="1"/>
  <c r="T143" i="104" s="1"/>
  <c r="AB160" i="104"/>
  <c r="Z160" i="104" s="1"/>
  <c r="G89" i="4"/>
  <c r="G63" i="4"/>
  <c r="I7" i="4"/>
  <c r="K7" i="4" s="1"/>
  <c r="D15" i="107"/>
  <c r="B144" i="4"/>
  <c r="F143" i="97"/>
  <c r="B121" i="75"/>
  <c r="G121" i="75" s="1"/>
  <c r="H121" i="75" s="1"/>
  <c r="I121" i="75" s="1"/>
  <c r="F120" i="97"/>
  <c r="AJ228" i="104"/>
  <c r="AB228" i="104" s="1"/>
  <c r="Z228" i="104" s="1"/>
  <c r="S228" i="104" s="1"/>
  <c r="G228" i="104"/>
  <c r="G218" i="104"/>
  <c r="K215" i="104"/>
  <c r="L215" i="104" s="1"/>
  <c r="D215" i="104" s="1"/>
  <c r="G209" i="104"/>
  <c r="D209" i="104" s="1"/>
  <c r="G162" i="104"/>
  <c r="B28" i="75"/>
  <c r="C10" i="74"/>
  <c r="AG198" i="104"/>
  <c r="AG212" i="104"/>
  <c r="AG203" i="104"/>
  <c r="AJ201" i="104"/>
  <c r="AB201" i="104" s="1"/>
  <c r="Z201" i="104" s="1"/>
  <c r="AJ159" i="104"/>
  <c r="AN193" i="104"/>
  <c r="C151" i="74"/>
  <c r="C71" i="74"/>
  <c r="N12" i="98"/>
  <c r="AN190" i="104"/>
  <c r="AN169" i="104"/>
  <c r="C65" i="74"/>
  <c r="AN222" i="104"/>
  <c r="AB222" i="104" s="1"/>
  <c r="Z222" i="104" s="1"/>
  <c r="S222" i="104" s="1"/>
  <c r="AJ221" i="104"/>
  <c r="K214" i="104"/>
  <c r="L214" i="104" s="1"/>
  <c r="AJ181" i="104"/>
  <c r="K174" i="104"/>
  <c r="L174" i="104" s="1"/>
  <c r="AN170" i="104"/>
  <c r="C136" i="3"/>
  <c r="G227" i="104"/>
  <c r="K224" i="104"/>
  <c r="L224" i="104" s="1"/>
  <c r="D224" i="104" s="1"/>
  <c r="G186" i="104"/>
  <c r="C11" i="74"/>
  <c r="C6" i="74"/>
  <c r="D41" i="102"/>
  <c r="R120" i="4"/>
  <c r="K75" i="4"/>
  <c r="E57" i="102"/>
  <c r="K71" i="4"/>
  <c r="H29" i="4"/>
  <c r="N79" i="4"/>
  <c r="W116" i="4"/>
  <c r="B41" i="102"/>
  <c r="I125" i="103"/>
  <c r="V57" i="74"/>
  <c r="Y60" i="4"/>
  <c r="Z60" i="4" s="1"/>
  <c r="G115" i="75"/>
  <c r="H115" i="75" s="1"/>
  <c r="F115" i="75"/>
  <c r="O105" i="75"/>
  <c r="T105" i="75"/>
  <c r="U105" i="75" s="1"/>
  <c r="V105" i="75" s="1"/>
  <c r="G126" i="75"/>
  <c r="H126" i="75" s="1"/>
  <c r="F126" i="75"/>
  <c r="H139" i="4"/>
  <c r="O139" i="4" s="1"/>
  <c r="K53" i="4"/>
  <c r="AD47" i="104"/>
  <c r="C7" i="97"/>
  <c r="O16" i="103"/>
  <c r="F51" i="4"/>
  <c r="I13" i="74"/>
  <c r="S16" i="75" s="1"/>
  <c r="I13" i="104"/>
  <c r="K13" i="104" s="1"/>
  <c r="L13" i="104" s="1"/>
  <c r="D13" i="104" s="1"/>
  <c r="I22" i="4"/>
  <c r="M48" i="4"/>
  <c r="N48" i="4" s="1"/>
  <c r="P48" i="4"/>
  <c r="K89" i="4"/>
  <c r="Y42" i="4"/>
  <c r="Z42" i="4" s="1"/>
  <c r="V39" i="74"/>
  <c r="AB59" i="104"/>
  <c r="Z59" i="104" s="1"/>
  <c r="S59" i="104" s="1"/>
  <c r="V90" i="75"/>
  <c r="AL58" i="104"/>
  <c r="AG83" i="74"/>
  <c r="AK86" i="4" s="1"/>
  <c r="AM83" i="104"/>
  <c r="E56" i="104"/>
  <c r="G56" i="104" s="1"/>
  <c r="P111" i="4"/>
  <c r="W74" i="4"/>
  <c r="G55" i="74"/>
  <c r="J58" i="75" s="1"/>
  <c r="F55" i="104"/>
  <c r="G55" i="104" s="1"/>
  <c r="G15" i="74"/>
  <c r="J18" i="75" s="1"/>
  <c r="C15" i="103"/>
  <c r="C50" i="4"/>
  <c r="C50" i="75"/>
  <c r="AA128" i="74"/>
  <c r="AC131" i="4" s="1"/>
  <c r="S115" i="74"/>
  <c r="H118" i="3" s="1"/>
  <c r="U57" i="4"/>
  <c r="S57" i="4"/>
  <c r="J57" i="4"/>
  <c r="G57" i="4"/>
  <c r="H57" i="4" s="1"/>
  <c r="T11" i="107"/>
  <c r="T34" i="102"/>
  <c r="T17" i="102"/>
  <c r="I111" i="4"/>
  <c r="N107" i="103"/>
  <c r="O15" i="104"/>
  <c r="H15" i="103"/>
  <c r="B86" i="103"/>
  <c r="L77" i="103"/>
  <c r="AA72" i="74"/>
  <c r="AC75" i="4" s="1"/>
  <c r="M22" i="4"/>
  <c r="N22" i="4" s="1"/>
  <c r="Q99" i="74"/>
  <c r="F102" i="3" s="1"/>
  <c r="H120" i="4"/>
  <c r="I138" i="75"/>
  <c r="I58" i="75"/>
  <c r="AA44" i="74"/>
  <c r="AC47" i="4" s="1"/>
  <c r="G111" i="4"/>
  <c r="R6" i="75"/>
  <c r="W136" i="4"/>
  <c r="W46" i="4"/>
  <c r="AF58" i="74"/>
  <c r="AJ61" i="4" s="1"/>
  <c r="F119" i="104"/>
  <c r="G119" i="104" s="1"/>
  <c r="T100" i="107"/>
  <c r="T111" i="107"/>
  <c r="T10" i="102"/>
  <c r="U111" i="4"/>
  <c r="AE44" i="104"/>
  <c r="AE16" i="104"/>
  <c r="I86" i="74"/>
  <c r="S89" i="75" s="1"/>
  <c r="H56" i="74"/>
  <c r="P59" i="75" s="1"/>
  <c r="Q59" i="75" s="1"/>
  <c r="T106" i="107"/>
  <c r="T123" i="107"/>
  <c r="AB85" i="104"/>
  <c r="Z85" i="104" s="1"/>
  <c r="S85" i="104" s="1"/>
  <c r="T67" i="102"/>
  <c r="AJ149" i="104"/>
  <c r="J28" i="4"/>
  <c r="K28" i="4" s="1"/>
  <c r="U60" i="4"/>
  <c r="K12" i="4"/>
  <c r="AM88" i="4"/>
  <c r="AN88" i="4" s="1"/>
  <c r="T87" i="97" s="1"/>
  <c r="AM89" i="4"/>
  <c r="AN89" i="4" s="1"/>
  <c r="AM111" i="4"/>
  <c r="AN111" i="4" s="1"/>
  <c r="V52" i="4"/>
  <c r="T23" i="107"/>
  <c r="AM137" i="4"/>
  <c r="AN137" i="4" s="1"/>
  <c r="AB158" i="104"/>
  <c r="Z158" i="104" s="1"/>
  <c r="Q90" i="4"/>
  <c r="D154" i="97"/>
  <c r="D146" i="75"/>
  <c r="D146" i="4"/>
  <c r="D150" i="97"/>
  <c r="D151" i="3"/>
  <c r="D151" i="75"/>
  <c r="D151" i="4"/>
  <c r="D121" i="97"/>
  <c r="D122" i="4"/>
  <c r="D122" i="3"/>
  <c r="D122" i="75"/>
  <c r="D212" i="104"/>
  <c r="P137" i="4"/>
  <c r="R137" i="4" s="1"/>
  <c r="A153" i="97"/>
  <c r="D144" i="97"/>
  <c r="D145" i="3"/>
  <c r="D142" i="97"/>
  <c r="D143" i="75"/>
  <c r="D143" i="3"/>
  <c r="C143" i="3"/>
  <c r="C143" i="75"/>
  <c r="C143" i="4"/>
  <c r="C30" i="97"/>
  <c r="C31" i="4"/>
  <c r="C31" i="75"/>
  <c r="AB183" i="104"/>
  <c r="Z183" i="104" s="1"/>
  <c r="S141" i="4"/>
  <c r="T65" i="107"/>
  <c r="A24" i="3"/>
  <c r="A23" i="97"/>
  <c r="D152" i="97"/>
  <c r="E154" i="97"/>
  <c r="T59" i="4"/>
  <c r="A85" i="4"/>
  <c r="A84" i="97"/>
  <c r="E8" i="107"/>
  <c r="B8" i="107"/>
  <c r="E153" i="97"/>
  <c r="AB163" i="104"/>
  <c r="Z163" i="104" s="1"/>
  <c r="D160" i="104"/>
  <c r="G59" i="4"/>
  <c r="H59" i="4" s="1"/>
  <c r="D8" i="102"/>
  <c r="B8" i="102"/>
  <c r="AG220" i="104"/>
  <c r="AG205" i="104"/>
  <c r="AG200" i="104"/>
  <c r="C122" i="74"/>
  <c r="O98" i="85"/>
  <c r="U12" i="4"/>
  <c r="W12" i="4" s="1"/>
  <c r="A88" i="3"/>
  <c r="AG215" i="104"/>
  <c r="AJ212" i="104"/>
  <c r="AJ203" i="104"/>
  <c r="AB203" i="104" s="1"/>
  <c r="Z203" i="104" s="1"/>
  <c r="S203" i="104" s="1"/>
  <c r="B203" i="104" s="1"/>
  <c r="AN200" i="104"/>
  <c r="AN198" i="104"/>
  <c r="F10" i="98"/>
  <c r="I147" i="74"/>
  <c r="S150" i="75" s="1"/>
  <c r="AA145" i="74"/>
  <c r="AC148" i="4" s="1"/>
  <c r="C123" i="74"/>
  <c r="C82" i="74"/>
  <c r="E37" i="4"/>
  <c r="U37" i="4" s="1"/>
  <c r="E37" i="75"/>
  <c r="K227" i="104"/>
  <c r="L227" i="104" s="1"/>
  <c r="D227" i="104" s="1"/>
  <c r="AJ219" i="104"/>
  <c r="G213" i="104"/>
  <c r="K194" i="104"/>
  <c r="L194" i="104" s="1"/>
  <c r="D194" i="104" s="1"/>
  <c r="H147" i="74"/>
  <c r="C147" i="74"/>
  <c r="B147" i="4"/>
  <c r="Z142" i="74"/>
  <c r="AB145" i="4" s="1"/>
  <c r="AG141" i="74"/>
  <c r="AK144" i="4" s="1"/>
  <c r="AL144" i="4" s="1"/>
  <c r="T140" i="74"/>
  <c r="I143" i="3" s="1"/>
  <c r="AE117" i="74"/>
  <c r="AI120" i="4" s="1"/>
  <c r="F59" i="97"/>
  <c r="C44" i="74"/>
  <c r="D186" i="104"/>
  <c r="D156" i="104"/>
  <c r="A8" i="3"/>
  <c r="A29" i="97"/>
  <c r="A68" i="75"/>
  <c r="M192" i="104"/>
  <c r="L140" i="74"/>
  <c r="I124" i="74"/>
  <c r="A25" i="4"/>
  <c r="A138" i="97"/>
  <c r="K228" i="104"/>
  <c r="L228" i="104" s="1"/>
  <c r="AJ227" i="104"/>
  <c r="AB227" i="104" s="1"/>
  <c r="Z227" i="104" s="1"/>
  <c r="AN217" i="104"/>
  <c r="AB217" i="104" s="1"/>
  <c r="Z217" i="104" s="1"/>
  <c r="AJ200" i="104"/>
  <c r="M198" i="104"/>
  <c r="AJ193" i="104"/>
  <c r="K190" i="104"/>
  <c r="L190" i="104" s="1"/>
  <c r="D190" i="104" s="1"/>
  <c r="AJ183" i="104"/>
  <c r="O190" i="85"/>
  <c r="T147" i="74"/>
  <c r="I150" i="3" s="1"/>
  <c r="AG140" i="74"/>
  <c r="AK143" i="4" s="1"/>
  <c r="J169" i="85"/>
  <c r="Q126" i="4" s="1"/>
  <c r="R126" i="4" s="1"/>
  <c r="D157" i="104"/>
  <c r="I128" i="74"/>
  <c r="I110" i="74"/>
  <c r="S113" i="75" s="1"/>
  <c r="C73" i="74"/>
  <c r="D225" i="104"/>
  <c r="AN223" i="104"/>
  <c r="AB223" i="104" s="1"/>
  <c r="Z223" i="104" s="1"/>
  <c r="S223" i="104" s="1"/>
  <c r="K223" i="104"/>
  <c r="L223" i="104" s="1"/>
  <c r="K207" i="104"/>
  <c r="L207" i="104" s="1"/>
  <c r="D207" i="104" s="1"/>
  <c r="AJ180" i="104"/>
  <c r="AB180" i="104" s="1"/>
  <c r="Z180" i="104" s="1"/>
  <c r="AG174" i="104"/>
  <c r="AB174" i="104" s="1"/>
  <c r="Z174" i="104" s="1"/>
  <c r="AJ170" i="104"/>
  <c r="AB170" i="104" s="1"/>
  <c r="Z170" i="104" s="1"/>
  <c r="G170" i="104"/>
  <c r="D170" i="104" s="1"/>
  <c r="B140" i="4"/>
  <c r="F139" i="97"/>
  <c r="L12" i="4"/>
  <c r="N12" i="4" s="1"/>
  <c r="D211" i="104"/>
  <c r="A139" i="3"/>
  <c r="K218" i="104"/>
  <c r="G217" i="104"/>
  <c r="AJ185" i="104"/>
  <c r="AB140" i="74"/>
  <c r="AD143" i="4" s="1"/>
  <c r="AB125" i="74"/>
  <c r="AD128" i="4" s="1"/>
  <c r="F3" i="98"/>
  <c r="C105" i="74"/>
  <c r="C108" i="3" s="1"/>
  <c r="H105" i="74"/>
  <c r="G105" i="74"/>
  <c r="E84" i="75"/>
  <c r="E83" i="97"/>
  <c r="E70" i="75"/>
  <c r="F134" i="74"/>
  <c r="E30" i="4"/>
  <c r="G136" i="74"/>
  <c r="E120" i="104"/>
  <c r="C120" i="74"/>
  <c r="C102" i="74"/>
  <c r="Y89" i="74"/>
  <c r="AA92" i="4" s="1"/>
  <c r="C85" i="74"/>
  <c r="C21" i="74"/>
  <c r="C23" i="97" s="1"/>
  <c r="C17" i="74"/>
  <c r="C20" i="3" s="1"/>
  <c r="AF103" i="74"/>
  <c r="AJ106" i="4" s="1"/>
  <c r="AL106" i="4" s="1"/>
  <c r="C84" i="74"/>
  <c r="H45" i="104"/>
  <c r="AE120" i="74"/>
  <c r="AI123" i="4" s="1"/>
  <c r="O113" i="85"/>
  <c r="C64" i="74"/>
  <c r="C66" i="97" s="1"/>
  <c r="O26" i="85"/>
  <c r="K20" i="75" s="1"/>
  <c r="L20" i="75" s="1"/>
  <c r="M20" i="75" s="1"/>
  <c r="N20" i="75" s="1"/>
  <c r="N86" i="4"/>
  <c r="AG52" i="104"/>
  <c r="AB52" i="104" s="1"/>
  <c r="Z52" i="104" s="1"/>
  <c r="S52" i="104" s="1"/>
  <c r="K52" i="104"/>
  <c r="N146" i="4"/>
  <c r="W70" i="4"/>
  <c r="D12" i="107"/>
  <c r="B12" i="107"/>
  <c r="E12" i="107"/>
  <c r="AN44" i="104"/>
  <c r="AN119" i="104"/>
  <c r="G46" i="104"/>
  <c r="D46" i="104" s="1"/>
  <c r="AJ115" i="104"/>
  <c r="W103" i="4"/>
  <c r="N28" i="4"/>
  <c r="R89" i="4"/>
  <c r="AJ46" i="104"/>
  <c r="AB46" i="104" s="1"/>
  <c r="Z46" i="104" s="1"/>
  <c r="AB60" i="104"/>
  <c r="Z60" i="104" s="1"/>
  <c r="S60" i="104" s="1"/>
  <c r="T129" i="74"/>
  <c r="I132" i="3" s="1"/>
  <c r="K132" i="3" s="1"/>
  <c r="S11" i="74"/>
  <c r="H14" i="3" s="1"/>
  <c r="U16" i="74"/>
  <c r="J19" i="3" s="1"/>
  <c r="H62" i="4"/>
  <c r="D103" i="104"/>
  <c r="H138" i="4"/>
  <c r="G137" i="104"/>
  <c r="H146" i="4"/>
  <c r="N94" i="4"/>
  <c r="I55" i="75"/>
  <c r="I54" i="75"/>
  <c r="AJ125" i="104"/>
  <c r="N110" i="4"/>
  <c r="B62" i="107"/>
  <c r="D62" i="107"/>
  <c r="K79" i="4"/>
  <c r="W62" i="4"/>
  <c r="R10" i="4"/>
  <c r="AG27" i="104"/>
  <c r="AB27" i="104" s="1"/>
  <c r="Z27" i="104" s="1"/>
  <c r="W110" i="4"/>
  <c r="N66" i="4"/>
  <c r="W21" i="4"/>
  <c r="N21" i="4"/>
  <c r="S155" i="97"/>
  <c r="T45" i="102"/>
  <c r="M129" i="104"/>
  <c r="G132" i="104"/>
  <c r="AJ84" i="104"/>
  <c r="AB84" i="104" s="1"/>
  <c r="Z84" i="104" s="1"/>
  <c r="D60" i="107"/>
  <c r="B11" i="102"/>
  <c r="E60" i="107"/>
  <c r="D11" i="102"/>
  <c r="B46" i="102"/>
  <c r="N90" i="3"/>
  <c r="Q90" i="3" s="1"/>
  <c r="Q89" i="97" s="1"/>
  <c r="K90" i="3"/>
  <c r="R117" i="75"/>
  <c r="O93" i="75"/>
  <c r="P93" i="75"/>
  <c r="Q93" i="75" s="1"/>
  <c r="AL42" i="4"/>
  <c r="H145" i="4"/>
  <c r="K94" i="4"/>
  <c r="W66" i="4"/>
  <c r="K96" i="4"/>
  <c r="N58" i="4"/>
  <c r="N65" i="4"/>
  <c r="W29" i="4"/>
  <c r="AM11" i="4"/>
  <c r="AN11" i="4" s="1"/>
  <c r="AM87" i="4"/>
  <c r="AN87" i="4" s="1"/>
  <c r="T86" i="97" s="1"/>
  <c r="O47" i="4"/>
  <c r="N134" i="4"/>
  <c r="AN125" i="104"/>
  <c r="W86" i="4"/>
  <c r="W79" i="4"/>
  <c r="AN148" i="104"/>
  <c r="K120" i="4"/>
  <c r="AB86" i="104"/>
  <c r="Z86" i="104" s="1"/>
  <c r="S86" i="104" s="1"/>
  <c r="H107" i="4"/>
  <c r="R9" i="75"/>
  <c r="H71" i="4"/>
  <c r="O71" i="4" s="1"/>
  <c r="H116" i="4"/>
  <c r="K78" i="4"/>
  <c r="AN3" i="104"/>
  <c r="G133" i="104"/>
  <c r="AL93" i="4"/>
  <c r="O193" i="85"/>
  <c r="K149" i="75" s="1"/>
  <c r="L149" i="75" s="1"/>
  <c r="M149" i="75" s="1"/>
  <c r="F151" i="74"/>
  <c r="J10" i="85"/>
  <c r="Q12" i="4" s="1"/>
  <c r="R12" i="4" s="1"/>
  <c r="J130" i="103"/>
  <c r="I104" i="104"/>
  <c r="W23" i="104"/>
  <c r="X23" i="104" s="1"/>
  <c r="T23" i="104" s="1"/>
  <c r="W15" i="104"/>
  <c r="X15" i="104" s="1"/>
  <c r="T15" i="104" s="1"/>
  <c r="O79" i="85"/>
  <c r="O127" i="85"/>
  <c r="O159" i="85"/>
  <c r="K121" i="75" s="1"/>
  <c r="L121" i="75" s="1"/>
  <c r="M121" i="75" s="1"/>
  <c r="F9" i="98"/>
  <c r="O172" i="85"/>
  <c r="K131" i="75" s="1"/>
  <c r="L131" i="75" s="1"/>
  <c r="M131" i="75" s="1"/>
  <c r="O182" i="85"/>
  <c r="K140" i="75" s="1"/>
  <c r="L140" i="75" s="1"/>
  <c r="M140" i="75" s="1"/>
  <c r="O191" i="85"/>
  <c r="O144" i="85"/>
  <c r="L149" i="74"/>
  <c r="J97" i="103"/>
  <c r="K80" i="103"/>
  <c r="R72" i="104"/>
  <c r="K45" i="103"/>
  <c r="K82" i="74"/>
  <c r="F104" i="103"/>
  <c r="J104" i="104"/>
  <c r="K104" i="104" s="1"/>
  <c r="L104" i="104" s="1"/>
  <c r="N120" i="74"/>
  <c r="H46" i="103"/>
  <c r="V46" i="103" s="1"/>
  <c r="G46" i="99" s="1"/>
  <c r="D46" i="99" s="1"/>
  <c r="F5" i="103"/>
  <c r="F4" i="103"/>
  <c r="O171" i="85"/>
  <c r="O177" i="85"/>
  <c r="O183" i="85"/>
  <c r="F4" i="98"/>
  <c r="K145" i="75" s="1"/>
  <c r="L145" i="75" s="1"/>
  <c r="M145" i="75" s="1"/>
  <c r="Z148" i="74"/>
  <c r="AB151" i="4" s="1"/>
  <c r="W97" i="104"/>
  <c r="X97" i="104" s="1"/>
  <c r="T97" i="104" s="1"/>
  <c r="J133" i="104"/>
  <c r="O130" i="104"/>
  <c r="M130" i="104" s="1"/>
  <c r="D28" i="102"/>
  <c r="E28" i="102"/>
  <c r="B28" i="102"/>
  <c r="H151" i="74"/>
  <c r="F149" i="74"/>
  <c r="O164" i="85"/>
  <c r="O128" i="85"/>
  <c r="AC147" i="74"/>
  <c r="AF150" i="4" s="1"/>
  <c r="AC140" i="74"/>
  <c r="AF143" i="4" s="1"/>
  <c r="G140" i="74"/>
  <c r="J143" i="75" s="1"/>
  <c r="L139" i="74"/>
  <c r="AD139" i="74"/>
  <c r="AG142" i="4" s="1"/>
  <c r="AH142" i="4" s="1"/>
  <c r="AD131" i="74"/>
  <c r="AG134" i="4" s="1"/>
  <c r="AH134" i="4" s="1"/>
  <c r="W137" i="104"/>
  <c r="X137" i="104" s="1"/>
  <c r="T137" i="104" s="1"/>
  <c r="J13" i="85"/>
  <c r="Q14" i="4" s="1"/>
  <c r="H14" i="4"/>
  <c r="G151" i="74"/>
  <c r="O10" i="85"/>
  <c r="K12" i="75" s="1"/>
  <c r="L12" i="75" s="1"/>
  <c r="M12" i="75" s="1"/>
  <c r="Z147" i="74"/>
  <c r="AB150" i="4" s="1"/>
  <c r="U147" i="74"/>
  <c r="J150" i="3" s="1"/>
  <c r="R147" i="74"/>
  <c r="G150" i="3" s="1"/>
  <c r="AA144" i="74"/>
  <c r="AC147" i="4" s="1"/>
  <c r="S144" i="74"/>
  <c r="H147" i="3" s="1"/>
  <c r="Y141" i="74"/>
  <c r="AA144" i="4" s="1"/>
  <c r="G141" i="74"/>
  <c r="AB139" i="74"/>
  <c r="AD142" i="4" s="1"/>
  <c r="G138" i="74"/>
  <c r="Y133" i="74"/>
  <c r="AA136" i="4" s="1"/>
  <c r="O178" i="85"/>
  <c r="W83" i="104"/>
  <c r="X83" i="104" s="1"/>
  <c r="T83" i="104" s="1"/>
  <c r="W104" i="104"/>
  <c r="X104" i="104" s="1"/>
  <c r="T104" i="104" s="1"/>
  <c r="H130" i="103"/>
  <c r="T130" i="74"/>
  <c r="I133" i="3" s="1"/>
  <c r="O133" i="3" s="1"/>
  <c r="AA56" i="104"/>
  <c r="L151" i="74"/>
  <c r="Y148" i="74"/>
  <c r="AA151" i="4" s="1"/>
  <c r="AE151" i="4" s="1"/>
  <c r="O118" i="85"/>
  <c r="K90" i="75" s="1"/>
  <c r="L90" i="75" s="1"/>
  <c r="M90" i="75" s="1"/>
  <c r="O54" i="85"/>
  <c r="K47" i="75" s="1"/>
  <c r="L47" i="75" s="1"/>
  <c r="M47" i="75" s="1"/>
  <c r="F8" i="98"/>
  <c r="G148" i="74"/>
  <c r="AC146" i="74"/>
  <c r="AF149" i="4" s="1"/>
  <c r="AH149" i="4" s="1"/>
  <c r="H144" i="74"/>
  <c r="O147" i="75" s="1"/>
  <c r="L143" i="74"/>
  <c r="W146" i="75" s="1"/>
  <c r="Y140" i="74"/>
  <c r="AA143" i="4" s="1"/>
  <c r="R139" i="74"/>
  <c r="G142" i="3" s="1"/>
  <c r="L136" i="74"/>
  <c r="AF133" i="74"/>
  <c r="AJ136" i="4" s="1"/>
  <c r="R133" i="74"/>
  <c r="G136" i="3" s="1"/>
  <c r="B24" i="102"/>
  <c r="N10" i="98"/>
  <c r="Q138" i="4" s="1"/>
  <c r="R138" i="4" s="1"/>
  <c r="I151" i="74"/>
  <c r="I150" i="74"/>
  <c r="H149" i="74"/>
  <c r="O120" i="85"/>
  <c r="F7" i="98"/>
  <c r="AD147" i="74"/>
  <c r="AG150" i="4" s="1"/>
  <c r="Z145" i="74"/>
  <c r="AB148" i="4" s="1"/>
  <c r="AA142" i="74"/>
  <c r="AC145" i="4" s="1"/>
  <c r="L142" i="74"/>
  <c r="F139" i="74"/>
  <c r="F142" i="75" s="1"/>
  <c r="L137" i="74"/>
  <c r="W140" i="75" s="1"/>
  <c r="G127" i="74"/>
  <c r="P84" i="104"/>
  <c r="S130" i="74"/>
  <c r="H133" i="3" s="1"/>
  <c r="I141" i="103"/>
  <c r="P136" i="104"/>
  <c r="Q59" i="4"/>
  <c r="R59" i="4" s="1"/>
  <c r="Q60" i="4"/>
  <c r="Q58" i="4"/>
  <c r="R58" i="4" s="1"/>
  <c r="Q61" i="4"/>
  <c r="R61" i="4" s="1"/>
  <c r="K37" i="104"/>
  <c r="L37" i="104" s="1"/>
  <c r="D37" i="104" s="1"/>
  <c r="Y151" i="4"/>
  <c r="Z151" i="4" s="1"/>
  <c r="V148" i="74"/>
  <c r="S59" i="74"/>
  <c r="H62" i="3" s="1"/>
  <c r="S82" i="74"/>
  <c r="H85" i="3" s="1"/>
  <c r="P148" i="75"/>
  <c r="Q148" i="75" s="1"/>
  <c r="R148" i="75" s="1"/>
  <c r="J148" i="75"/>
  <c r="P128" i="75"/>
  <c r="Q128" i="75" s="1"/>
  <c r="R128" i="75" s="1"/>
  <c r="J128" i="75"/>
  <c r="G106" i="75"/>
  <c r="H106" i="75" s="1"/>
  <c r="F106" i="75"/>
  <c r="J70" i="75"/>
  <c r="T59" i="75"/>
  <c r="U59" i="75" s="1"/>
  <c r="O55" i="75"/>
  <c r="X55" i="75"/>
  <c r="Y55" i="75" s="1"/>
  <c r="Z55" i="75" s="1"/>
  <c r="P55" i="75"/>
  <c r="Q55" i="75" s="1"/>
  <c r="F49" i="75"/>
  <c r="G49" i="75"/>
  <c r="H49" i="75" s="1"/>
  <c r="J44" i="75"/>
  <c r="X61" i="75"/>
  <c r="Y61" i="75" s="1"/>
  <c r="Z61" i="75" s="1"/>
  <c r="O61" i="75"/>
  <c r="X88" i="75"/>
  <c r="Y88" i="75" s="1"/>
  <c r="W88" i="75"/>
  <c r="O146" i="75"/>
  <c r="G141" i="75"/>
  <c r="H141" i="75" s="1"/>
  <c r="F141" i="75"/>
  <c r="G98" i="75"/>
  <c r="H98" i="75" s="1"/>
  <c r="F98" i="75"/>
  <c r="O88" i="75"/>
  <c r="P88" i="75"/>
  <c r="Q88" i="75" s="1"/>
  <c r="T88" i="75"/>
  <c r="U88" i="75" s="1"/>
  <c r="V88" i="75" s="1"/>
  <c r="X56" i="75"/>
  <c r="Y56" i="75" s="1"/>
  <c r="Z56" i="75" s="1"/>
  <c r="O56" i="75"/>
  <c r="P47" i="75"/>
  <c r="Q47" i="75" s="1"/>
  <c r="O47" i="75"/>
  <c r="X40" i="75"/>
  <c r="Y40" i="75" s="1"/>
  <c r="Z40" i="75" s="1"/>
  <c r="P40" i="75"/>
  <c r="Q40" i="75" s="1"/>
  <c r="O40" i="75"/>
  <c r="T40" i="75"/>
  <c r="U40" i="75" s="1"/>
  <c r="V40" i="75" s="1"/>
  <c r="P19" i="75"/>
  <c r="Q19" i="75" s="1"/>
  <c r="J19" i="75"/>
  <c r="O16" i="75"/>
  <c r="T16" i="75"/>
  <c r="U16" i="75" s="1"/>
  <c r="V16" i="75" s="1"/>
  <c r="P16" i="75"/>
  <c r="Q16" i="75" s="1"/>
  <c r="R16" i="75" s="1"/>
  <c r="P142" i="75"/>
  <c r="Q142" i="75" s="1"/>
  <c r="R142" i="75" s="1"/>
  <c r="J142" i="75"/>
  <c r="W8" i="75"/>
  <c r="X8" i="75"/>
  <c r="Y8" i="75" s="1"/>
  <c r="S42" i="75"/>
  <c r="T42" i="75"/>
  <c r="U42" i="75" s="1"/>
  <c r="P112" i="75"/>
  <c r="Q112" i="75" s="1"/>
  <c r="O112" i="75"/>
  <c r="X112" i="75"/>
  <c r="Y112" i="75" s="1"/>
  <c r="Z112" i="75" s="1"/>
  <c r="I128" i="103"/>
  <c r="I121" i="103"/>
  <c r="S148" i="75"/>
  <c r="T148" i="75"/>
  <c r="U148" i="75" s="1"/>
  <c r="P77" i="104"/>
  <c r="Y49" i="4"/>
  <c r="Z49" i="4" s="1"/>
  <c r="AN49" i="4" s="1"/>
  <c r="V46" i="74"/>
  <c r="F112" i="75"/>
  <c r="T99" i="75"/>
  <c r="U99" i="75" s="1"/>
  <c r="V99" i="75" s="1"/>
  <c r="X99" i="75"/>
  <c r="Y99" i="75" s="1"/>
  <c r="Z99" i="75" s="1"/>
  <c r="F63" i="75"/>
  <c r="G63" i="75"/>
  <c r="H63" i="75" s="1"/>
  <c r="O18" i="75"/>
  <c r="T18" i="75"/>
  <c r="U18" i="75" s="1"/>
  <c r="V18" i="75" s="1"/>
  <c r="P118" i="75"/>
  <c r="Q118" i="75" s="1"/>
  <c r="O118" i="75"/>
  <c r="X118" i="75"/>
  <c r="Y118" i="75" s="1"/>
  <c r="Z118" i="75" s="1"/>
  <c r="J51" i="75"/>
  <c r="P51" i="75"/>
  <c r="Q51" i="75" s="1"/>
  <c r="R51" i="75" s="1"/>
  <c r="X16" i="75"/>
  <c r="Y16" i="75" s="1"/>
  <c r="W16" i="75"/>
  <c r="W89" i="75"/>
  <c r="S70" i="74"/>
  <c r="H73" i="3" s="1"/>
  <c r="S85" i="74"/>
  <c r="H88" i="3" s="1"/>
  <c r="G131" i="75"/>
  <c r="H131" i="75" s="1"/>
  <c r="F131" i="75"/>
  <c r="X104" i="75"/>
  <c r="Y104" i="75" s="1"/>
  <c r="Z104" i="75" s="1"/>
  <c r="O104" i="75"/>
  <c r="F88" i="75"/>
  <c r="G88" i="75"/>
  <c r="H88" i="75" s="1"/>
  <c r="P49" i="75"/>
  <c r="Q49" i="75" s="1"/>
  <c r="R49" i="75" s="1"/>
  <c r="J49" i="75"/>
  <c r="G47" i="75"/>
  <c r="H47" i="75" s="1"/>
  <c r="F47" i="75"/>
  <c r="O12" i="75"/>
  <c r="T12" i="75"/>
  <c r="U12" i="75" s="1"/>
  <c r="V12" i="75" s="1"/>
  <c r="P12" i="75"/>
  <c r="Q12" i="75" s="1"/>
  <c r="P140" i="75"/>
  <c r="Q140" i="75" s="1"/>
  <c r="O140" i="75"/>
  <c r="O29" i="75"/>
  <c r="O54" i="75"/>
  <c r="AJ126" i="104"/>
  <c r="G128" i="104"/>
  <c r="H110" i="4"/>
  <c r="L116" i="104"/>
  <c r="D116" i="104" s="1"/>
  <c r="G108" i="104"/>
  <c r="V125" i="103"/>
  <c r="G125" i="99" s="1"/>
  <c r="D125" i="99" s="1"/>
  <c r="W138" i="4"/>
  <c r="N138" i="4"/>
  <c r="H10" i="4"/>
  <c r="F111" i="4"/>
  <c r="M111" i="4"/>
  <c r="N111" i="4" s="1"/>
  <c r="V111" i="4"/>
  <c r="W111" i="4" s="1"/>
  <c r="AG116" i="104"/>
  <c r="L47" i="104"/>
  <c r="K129" i="104"/>
  <c r="L129" i="104" s="1"/>
  <c r="D129" i="104" s="1"/>
  <c r="T151" i="4"/>
  <c r="I151" i="4"/>
  <c r="R138" i="75"/>
  <c r="R133" i="75"/>
  <c r="AL128" i="4"/>
  <c r="N125" i="4"/>
  <c r="K115" i="4"/>
  <c r="R64" i="75"/>
  <c r="Z50" i="75"/>
  <c r="I10" i="75"/>
  <c r="H86" i="4"/>
  <c r="H65" i="4"/>
  <c r="K49" i="4"/>
  <c r="N49" i="4"/>
  <c r="K116" i="4"/>
  <c r="K103" i="4"/>
  <c r="W126" i="4"/>
  <c r="AD107" i="104"/>
  <c r="Z107" i="74"/>
  <c r="AB110" i="4" s="1"/>
  <c r="P52" i="4"/>
  <c r="R52" i="4" s="1"/>
  <c r="T52" i="4"/>
  <c r="R42" i="75"/>
  <c r="T51" i="4"/>
  <c r="U102" i="4"/>
  <c r="M151" i="4"/>
  <c r="G151" i="4"/>
  <c r="H151" i="4" s="1"/>
  <c r="R134" i="4"/>
  <c r="T106" i="75"/>
  <c r="U106" i="75" s="1"/>
  <c r="W101" i="4"/>
  <c r="W71" i="4"/>
  <c r="W49" i="4"/>
  <c r="AL122" i="4"/>
  <c r="Z42" i="75"/>
  <c r="M51" i="4"/>
  <c r="F146" i="74"/>
  <c r="AB127" i="104"/>
  <c r="Z127" i="104" s="1"/>
  <c r="S127" i="104" s="1"/>
  <c r="R62" i="4"/>
  <c r="N10" i="4"/>
  <c r="J111" i="4"/>
  <c r="D87" i="104"/>
  <c r="B87" i="104" s="1"/>
  <c r="F87" i="99" s="1"/>
  <c r="C87" i="99" s="1"/>
  <c r="AG14" i="104"/>
  <c r="P151" i="4"/>
  <c r="L151" i="4"/>
  <c r="R131" i="75"/>
  <c r="Z128" i="75"/>
  <c r="W125" i="4"/>
  <c r="N115" i="4"/>
  <c r="N107" i="4"/>
  <c r="K100" i="4"/>
  <c r="K85" i="4"/>
  <c r="H69" i="4"/>
  <c r="H58" i="4"/>
  <c r="N32" i="4"/>
  <c r="R11" i="75"/>
  <c r="H79" i="4"/>
  <c r="H49" i="4"/>
  <c r="N70" i="4"/>
  <c r="K126" i="4"/>
  <c r="N51" i="104"/>
  <c r="P99" i="103"/>
  <c r="L52" i="4"/>
  <c r="U52" i="4"/>
  <c r="U51" i="4"/>
  <c r="I51" i="4"/>
  <c r="L51" i="4"/>
  <c r="AB135" i="104"/>
  <c r="Z135" i="104" s="1"/>
  <c r="S135" i="104" s="1"/>
  <c r="AG154" i="104"/>
  <c r="AB154" i="104" s="1"/>
  <c r="Z154" i="104" s="1"/>
  <c r="AB7" i="104"/>
  <c r="Z7" i="104" s="1"/>
  <c r="S7" i="104" s="1"/>
  <c r="A25" i="97"/>
  <c r="A26" i="3"/>
  <c r="A26" i="4"/>
  <c r="A44" i="75"/>
  <c r="A44" i="4"/>
  <c r="A74" i="4"/>
  <c r="A74" i="3"/>
  <c r="A94" i="75"/>
  <c r="A94" i="3"/>
  <c r="A36" i="75"/>
  <c r="A35" i="97"/>
  <c r="A36" i="4"/>
  <c r="A36" i="3"/>
  <c r="A87" i="3"/>
  <c r="A87" i="4"/>
  <c r="A102" i="3"/>
  <c r="A101" i="97"/>
  <c r="A102" i="75"/>
  <c r="B5" i="102"/>
  <c r="D5" i="102"/>
  <c r="A62" i="97"/>
  <c r="A63" i="4"/>
  <c r="A63" i="3"/>
  <c r="A63" i="75"/>
  <c r="A19" i="97"/>
  <c r="A20" i="4"/>
  <c r="A54" i="4"/>
  <c r="A53" i="97"/>
  <c r="A54" i="75"/>
  <c r="A54" i="3"/>
  <c r="A96" i="4"/>
  <c r="A96" i="3"/>
  <c r="A96" i="75"/>
  <c r="A95" i="97"/>
  <c r="T141" i="4"/>
  <c r="J141" i="4"/>
  <c r="K141" i="4" s="1"/>
  <c r="T137" i="4"/>
  <c r="G137" i="4"/>
  <c r="J130" i="4"/>
  <c r="K130" i="4" s="1"/>
  <c r="Q63" i="4"/>
  <c r="R63" i="4" s="1"/>
  <c r="T7" i="4"/>
  <c r="D205" i="104"/>
  <c r="A122" i="97"/>
  <c r="A123" i="75"/>
  <c r="A123" i="3"/>
  <c r="A121" i="75"/>
  <c r="A121" i="4"/>
  <c r="M215" i="104"/>
  <c r="AB159" i="104"/>
  <c r="Z159" i="104" s="1"/>
  <c r="D182" i="104"/>
  <c r="B182" i="104" s="1"/>
  <c r="S137" i="4"/>
  <c r="F137" i="4"/>
  <c r="G130" i="4"/>
  <c r="D158" i="104"/>
  <c r="A37" i="75"/>
  <c r="F88" i="4"/>
  <c r="H88" i="4" s="1"/>
  <c r="A115" i="97"/>
  <c r="A60" i="3"/>
  <c r="A59" i="97"/>
  <c r="A63" i="97"/>
  <c r="A64" i="3"/>
  <c r="A74" i="97"/>
  <c r="A75" i="3"/>
  <c r="A97" i="3"/>
  <c r="A97" i="75"/>
  <c r="A128" i="97"/>
  <c r="A131" i="4"/>
  <c r="A124" i="97"/>
  <c r="D223" i="104"/>
  <c r="AN220" i="104"/>
  <c r="AB208" i="104"/>
  <c r="Z208" i="104" s="1"/>
  <c r="AG186" i="104"/>
  <c r="AB186" i="104" s="1"/>
  <c r="Z186" i="104" s="1"/>
  <c r="S186" i="104" s="1"/>
  <c r="AG181" i="104"/>
  <c r="AB181" i="104" s="1"/>
  <c r="Z181" i="104" s="1"/>
  <c r="D168" i="104"/>
  <c r="D184" i="104"/>
  <c r="A11" i="97"/>
  <c r="A12" i="4"/>
  <c r="A47" i="4"/>
  <c r="A47" i="75"/>
  <c r="A73" i="75"/>
  <c r="A72" i="97"/>
  <c r="A100" i="3"/>
  <c r="A100" i="4"/>
  <c r="AG226" i="104"/>
  <c r="M212" i="104"/>
  <c r="M178" i="104"/>
  <c r="L176" i="104"/>
  <c r="AN156" i="104"/>
  <c r="AB156" i="104" s="1"/>
  <c r="Z156" i="104" s="1"/>
  <c r="S156" i="104" s="1"/>
  <c r="M155" i="104"/>
  <c r="P141" i="4"/>
  <c r="U137" i="4"/>
  <c r="L137" i="4"/>
  <c r="N137" i="4" s="1"/>
  <c r="P130" i="4"/>
  <c r="R130" i="4" s="1"/>
  <c r="E30" i="102"/>
  <c r="E32" i="102"/>
  <c r="E8" i="102"/>
  <c r="A41" i="4"/>
  <c r="A71" i="4"/>
  <c r="A17" i="3"/>
  <c r="A128" i="4"/>
  <c r="A140" i="3"/>
  <c r="A40" i="97"/>
  <c r="L181" i="104"/>
  <c r="L179" i="104"/>
  <c r="D179" i="104" s="1"/>
  <c r="AB165" i="104"/>
  <c r="Z165" i="104" s="1"/>
  <c r="F135" i="97"/>
  <c r="B136" i="75"/>
  <c r="B113" i="4"/>
  <c r="V113" i="4" s="1"/>
  <c r="B113" i="75"/>
  <c r="C97" i="3"/>
  <c r="C96" i="97"/>
  <c r="E78" i="97"/>
  <c r="E79" i="75"/>
  <c r="E75" i="97"/>
  <c r="E76" i="75"/>
  <c r="B56" i="75"/>
  <c r="G56" i="75" s="1"/>
  <c r="H56" i="75" s="1"/>
  <c r="I56" i="75" s="1"/>
  <c r="F55" i="97"/>
  <c r="B56" i="4"/>
  <c r="B23" i="75"/>
  <c r="F22" i="97"/>
  <c r="B23" i="4"/>
  <c r="G221" i="104"/>
  <c r="AJ218" i="104"/>
  <c r="AB218" i="104" s="1"/>
  <c r="Z218" i="104" s="1"/>
  <c r="S218" i="104" s="1"/>
  <c r="M218" i="104"/>
  <c r="M210" i="104"/>
  <c r="G210" i="104"/>
  <c r="D210" i="104" s="1"/>
  <c r="AN209" i="104"/>
  <c r="AJ205" i="104"/>
  <c r="AB205" i="104" s="1"/>
  <c r="Z205" i="104" s="1"/>
  <c r="AN203" i="104"/>
  <c r="AJ190" i="104"/>
  <c r="AN189" i="104"/>
  <c r="K189" i="104"/>
  <c r="L189" i="104" s="1"/>
  <c r="D189" i="104" s="1"/>
  <c r="AJ184" i="104"/>
  <c r="G180" i="104"/>
  <c r="D180" i="104" s="1"/>
  <c r="AJ178" i="104"/>
  <c r="AB178" i="104" s="1"/>
  <c r="Z178" i="104" s="1"/>
  <c r="L178" i="104"/>
  <c r="D178" i="104" s="1"/>
  <c r="AJ177" i="104"/>
  <c r="AB177" i="104" s="1"/>
  <c r="Z177" i="104" s="1"/>
  <c r="K169" i="104"/>
  <c r="L169" i="104" s="1"/>
  <c r="AN166" i="104"/>
  <c r="AB166" i="104" s="1"/>
  <c r="Z166" i="104" s="1"/>
  <c r="D162" i="104"/>
  <c r="K159" i="104"/>
  <c r="L159" i="104" s="1"/>
  <c r="D159" i="104" s="1"/>
  <c r="M157" i="104"/>
  <c r="AJ155" i="104"/>
  <c r="AG155" i="104"/>
  <c r="C149" i="74"/>
  <c r="B97" i="4"/>
  <c r="F96" i="97"/>
  <c r="E37" i="97"/>
  <c r="E38" i="75"/>
  <c r="F131" i="97"/>
  <c r="B132" i="75"/>
  <c r="E92" i="4"/>
  <c r="E91" i="97"/>
  <c r="E64" i="4"/>
  <c r="E63" i="97"/>
  <c r="E64" i="75"/>
  <c r="E43" i="97"/>
  <c r="E44" i="4"/>
  <c r="B18" i="4"/>
  <c r="B18" i="75"/>
  <c r="G18" i="75" s="1"/>
  <c r="H18" i="75" s="1"/>
  <c r="F17" i="97"/>
  <c r="E5" i="107"/>
  <c r="D5" i="107"/>
  <c r="AN226" i="104"/>
  <c r="AN221" i="104"/>
  <c r="AB221" i="104" s="1"/>
  <c r="Z221" i="104" s="1"/>
  <c r="S221" i="104" s="1"/>
  <c r="K221" i="104"/>
  <c r="L221" i="104" s="1"/>
  <c r="AG214" i="104"/>
  <c r="AB214" i="104" s="1"/>
  <c r="Z214" i="104" s="1"/>
  <c r="K208" i="104"/>
  <c r="L208" i="104" s="1"/>
  <c r="D208" i="104" s="1"/>
  <c r="AJ206" i="104"/>
  <c r="AB206" i="104" s="1"/>
  <c r="Z206" i="104" s="1"/>
  <c r="S206" i="104" s="1"/>
  <c r="B206" i="104" s="1"/>
  <c r="AG206" i="104"/>
  <c r="K198" i="104"/>
  <c r="L198" i="104" s="1"/>
  <c r="D198" i="104" s="1"/>
  <c r="K197" i="104"/>
  <c r="L197" i="104" s="1"/>
  <c r="D197" i="104" s="1"/>
  <c r="G187" i="104"/>
  <c r="D187" i="104" s="1"/>
  <c r="AN185" i="104"/>
  <c r="G181" i="104"/>
  <c r="AG176" i="104"/>
  <c r="AB176" i="104" s="1"/>
  <c r="Z176" i="104" s="1"/>
  <c r="S176" i="104" s="1"/>
  <c r="M176" i="104"/>
  <c r="G176" i="104"/>
  <c r="G174" i="104"/>
  <c r="AN173" i="104"/>
  <c r="AB173" i="104" s="1"/>
  <c r="Z173" i="104" s="1"/>
  <c r="S173" i="104" s="1"/>
  <c r="G171" i="104"/>
  <c r="D171" i="104" s="1"/>
  <c r="AJ169" i="104"/>
  <c r="G169" i="104"/>
  <c r="AN167" i="104"/>
  <c r="AB167" i="104" s="1"/>
  <c r="Z167" i="104" s="1"/>
  <c r="M164" i="104"/>
  <c r="E84" i="97"/>
  <c r="E85" i="75"/>
  <c r="E64" i="97"/>
  <c r="E65" i="75"/>
  <c r="E39" i="4"/>
  <c r="E38" i="97"/>
  <c r="F24" i="97"/>
  <c r="B25" i="75"/>
  <c r="B124" i="4"/>
  <c r="C116" i="74"/>
  <c r="F115" i="74"/>
  <c r="B112" i="4"/>
  <c r="Q112" i="4" s="1"/>
  <c r="AE106" i="74"/>
  <c r="AI109" i="4" s="1"/>
  <c r="Z106" i="74"/>
  <c r="AB109" i="4" s="1"/>
  <c r="F106" i="74"/>
  <c r="Q106" i="74"/>
  <c r="F109" i="3" s="1"/>
  <c r="C106" i="74"/>
  <c r="AF101" i="74"/>
  <c r="AJ104" i="4" s="1"/>
  <c r="I95" i="74"/>
  <c r="C95" i="74"/>
  <c r="C88" i="74"/>
  <c r="C91" i="3" s="1"/>
  <c r="C87" i="74"/>
  <c r="E82" i="97"/>
  <c r="C79" i="74"/>
  <c r="C78" i="74"/>
  <c r="C75" i="74"/>
  <c r="O97" i="85"/>
  <c r="E68" i="97"/>
  <c r="F49" i="97"/>
  <c r="C46" i="74"/>
  <c r="B44" i="75"/>
  <c r="C38" i="74"/>
  <c r="C41" i="3" s="1"/>
  <c r="E36" i="97"/>
  <c r="E30" i="75"/>
  <c r="G30" i="75" s="1"/>
  <c r="H30" i="75" s="1"/>
  <c r="I30" i="75" s="1"/>
  <c r="C25" i="74"/>
  <c r="F21" i="97"/>
  <c r="C15" i="74"/>
  <c r="C12" i="97"/>
  <c r="Y144" i="74"/>
  <c r="AA147" i="4" s="1"/>
  <c r="E135" i="75"/>
  <c r="E135" i="4"/>
  <c r="AF126" i="74"/>
  <c r="AJ129" i="4" s="1"/>
  <c r="AL129" i="4" s="1"/>
  <c r="C20" i="74"/>
  <c r="E17" i="97"/>
  <c r="E18" i="4"/>
  <c r="C144" i="74"/>
  <c r="AE140" i="74"/>
  <c r="AI143" i="4" s="1"/>
  <c r="H140" i="74"/>
  <c r="Q140" i="74"/>
  <c r="F143" i="3" s="1"/>
  <c r="B142" i="4"/>
  <c r="G142" i="4" s="1"/>
  <c r="AA124" i="74"/>
  <c r="AC127" i="4" s="1"/>
  <c r="AG115" i="74"/>
  <c r="AK118" i="4" s="1"/>
  <c r="AL118" i="4" s="1"/>
  <c r="R115" i="74"/>
  <c r="G118" i="3" s="1"/>
  <c r="T112" i="74"/>
  <c r="I115" i="3" s="1"/>
  <c r="I111" i="74"/>
  <c r="S114" i="75" s="1"/>
  <c r="T106" i="74"/>
  <c r="I109" i="3" s="1"/>
  <c r="AB101" i="74"/>
  <c r="AD104" i="4" s="1"/>
  <c r="AG97" i="74"/>
  <c r="AK100" i="4" s="1"/>
  <c r="AA94" i="74"/>
  <c r="AC97" i="4" s="1"/>
  <c r="F94" i="74"/>
  <c r="E83" i="75"/>
  <c r="O104" i="85"/>
  <c r="C72" i="74"/>
  <c r="E69" i="75"/>
  <c r="C29" i="74"/>
  <c r="C26" i="74"/>
  <c r="C29" i="3" s="1"/>
  <c r="C23" i="74"/>
  <c r="C26" i="3" s="1"/>
  <c r="B17" i="75"/>
  <c r="B17" i="4"/>
  <c r="E15" i="4"/>
  <c r="E15" i="75"/>
  <c r="C12" i="74"/>
  <c r="E8" i="97"/>
  <c r="E9" i="75"/>
  <c r="G9" i="75" s="1"/>
  <c r="H9" i="75" s="1"/>
  <c r="I9" i="75" s="1"/>
  <c r="M228" i="104"/>
  <c r="AG224" i="104"/>
  <c r="AB224" i="104" s="1"/>
  <c r="Z224" i="104" s="1"/>
  <c r="S224" i="104" s="1"/>
  <c r="M224" i="104"/>
  <c r="M223" i="104"/>
  <c r="AG219" i="104"/>
  <c r="G219" i="104"/>
  <c r="D219" i="104" s="1"/>
  <c r="AN213" i="104"/>
  <c r="AB213" i="104" s="1"/>
  <c r="Z213" i="104" s="1"/>
  <c r="K213" i="104"/>
  <c r="L213" i="104" s="1"/>
  <c r="AN212" i="104"/>
  <c r="AJ210" i="104"/>
  <c r="AG209" i="104"/>
  <c r="AJ207" i="104"/>
  <c r="AB207" i="104" s="1"/>
  <c r="Z207" i="104" s="1"/>
  <c r="AN206" i="104"/>
  <c r="K204" i="104"/>
  <c r="L204" i="104" s="1"/>
  <c r="D204" i="104" s="1"/>
  <c r="AJ198" i="104"/>
  <c r="M195" i="104"/>
  <c r="C195" i="104" s="1"/>
  <c r="K191" i="104"/>
  <c r="L191" i="104" s="1"/>
  <c r="G191" i="104"/>
  <c r="AJ189" i="104"/>
  <c r="AG188" i="104"/>
  <c r="AB188" i="104" s="1"/>
  <c r="Z188" i="104" s="1"/>
  <c r="AN184" i="104"/>
  <c r="AG179" i="104"/>
  <c r="AB179" i="104" s="1"/>
  <c r="Z179" i="104" s="1"/>
  <c r="AJ175" i="104"/>
  <c r="AB175" i="104" s="1"/>
  <c r="Z175" i="104" s="1"/>
  <c r="M173" i="104"/>
  <c r="G172" i="104"/>
  <c r="D172" i="104" s="1"/>
  <c r="B172" i="104" s="1"/>
  <c r="M170" i="104"/>
  <c r="AG169" i="104"/>
  <c r="K167" i="104"/>
  <c r="L167" i="104" s="1"/>
  <c r="G167" i="104"/>
  <c r="AN164" i="104"/>
  <c r="AB164" i="104" s="1"/>
  <c r="Z164" i="104" s="1"/>
  <c r="S164" i="104" s="1"/>
  <c r="K163" i="104"/>
  <c r="L163" i="104" s="1"/>
  <c r="D163" i="104" s="1"/>
  <c r="AN161" i="104"/>
  <c r="AB161" i="104" s="1"/>
  <c r="Z161" i="104" s="1"/>
  <c r="M156" i="104"/>
  <c r="J192" i="85"/>
  <c r="Q147" i="4" s="1"/>
  <c r="AD140" i="74"/>
  <c r="AG143" i="4" s="1"/>
  <c r="C142" i="97"/>
  <c r="Y123" i="74"/>
  <c r="AA126" i="4" s="1"/>
  <c r="AA111" i="74"/>
  <c r="AC114" i="4" s="1"/>
  <c r="H111" i="74"/>
  <c r="B112" i="75"/>
  <c r="G112" i="75" s="1"/>
  <c r="H112" i="75" s="1"/>
  <c r="I106" i="74"/>
  <c r="S109" i="75" s="1"/>
  <c r="R106" i="74"/>
  <c r="G109" i="3" s="1"/>
  <c r="Y101" i="74"/>
  <c r="AA104" i="4" s="1"/>
  <c r="G101" i="74"/>
  <c r="E80" i="4"/>
  <c r="C69" i="74"/>
  <c r="O81" i="85"/>
  <c r="C37" i="74"/>
  <c r="C13" i="74"/>
  <c r="M119" i="104"/>
  <c r="N62" i="4"/>
  <c r="V119" i="103"/>
  <c r="G119" i="99" s="1"/>
  <c r="D119" i="99" s="1"/>
  <c r="K138" i="4"/>
  <c r="S151" i="97"/>
  <c r="W100" i="4"/>
  <c r="W96" i="4"/>
  <c r="I90" i="75"/>
  <c r="K69" i="4"/>
  <c r="AN53" i="104"/>
  <c r="T112" i="75"/>
  <c r="U112" i="75" s="1"/>
  <c r="S112" i="75"/>
  <c r="I139" i="75"/>
  <c r="X105" i="75"/>
  <c r="Y105" i="75" s="1"/>
  <c r="W105" i="75"/>
  <c r="I103" i="75"/>
  <c r="N104" i="4"/>
  <c r="H104" i="4"/>
  <c r="H101" i="4"/>
  <c r="N100" i="4"/>
  <c r="I99" i="75"/>
  <c r="W93" i="4"/>
  <c r="N85" i="4"/>
  <c r="H76" i="4"/>
  <c r="W69" i="4"/>
  <c r="K67" i="4"/>
  <c r="K66" i="4"/>
  <c r="N45" i="4"/>
  <c r="R30" i="75"/>
  <c r="R20" i="4"/>
  <c r="S152" i="97"/>
  <c r="AG121" i="104"/>
  <c r="W32" i="4"/>
  <c r="G145" i="104"/>
  <c r="H115" i="4"/>
  <c r="W104" i="4"/>
  <c r="H100" i="4"/>
  <c r="W99" i="4"/>
  <c r="K99" i="4"/>
  <c r="R96" i="4"/>
  <c r="N96" i="4"/>
  <c r="I96" i="75"/>
  <c r="H94" i="4"/>
  <c r="N93" i="4"/>
  <c r="H93" i="4"/>
  <c r="I87" i="75"/>
  <c r="K76" i="4"/>
  <c r="N67" i="4"/>
  <c r="H67" i="4"/>
  <c r="K45" i="4"/>
  <c r="Z10" i="75"/>
  <c r="I151" i="75"/>
  <c r="W149" i="4"/>
  <c r="H78" i="4"/>
  <c r="N53" i="4"/>
  <c r="N114" i="4"/>
  <c r="N108" i="4"/>
  <c r="R49" i="4"/>
  <c r="AL146" i="4"/>
  <c r="AM146" i="4" s="1"/>
  <c r="AN146" i="4" s="1"/>
  <c r="T145" i="97" s="1"/>
  <c r="N78" i="4"/>
  <c r="W83" i="4"/>
  <c r="W54" i="4"/>
  <c r="O7" i="75"/>
  <c r="P7" i="75"/>
  <c r="Q7" i="75" s="1"/>
  <c r="T7" i="75"/>
  <c r="U7" i="75" s="1"/>
  <c r="V7" i="75" s="1"/>
  <c r="AB11" i="104"/>
  <c r="Z11" i="104" s="1"/>
  <c r="S11" i="104" s="1"/>
  <c r="K137" i="4"/>
  <c r="T154" i="97"/>
  <c r="AB9" i="104"/>
  <c r="Z9" i="104" s="1"/>
  <c r="S9" i="104" s="1"/>
  <c r="AB6" i="104"/>
  <c r="Z6" i="104" s="1"/>
  <c r="G154" i="104"/>
  <c r="D154" i="104" s="1"/>
  <c r="AN8" i="104"/>
  <c r="AB8" i="104" s="1"/>
  <c r="Z8" i="104" s="1"/>
  <c r="K88" i="4"/>
  <c r="P104" i="97"/>
  <c r="P108" i="104"/>
  <c r="M108" i="104" s="1"/>
  <c r="S47" i="74"/>
  <c r="H50" i="3" s="1"/>
  <c r="K50" i="3" s="1"/>
  <c r="W125" i="75"/>
  <c r="T57" i="74"/>
  <c r="I60" i="3" s="1"/>
  <c r="W110" i="75"/>
  <c r="R105" i="3"/>
  <c r="Q104" i="97"/>
  <c r="S61" i="74"/>
  <c r="H64" i="3" s="1"/>
  <c r="W54" i="75"/>
  <c r="X54" i="75"/>
  <c r="Y54" i="75" s="1"/>
  <c r="S145" i="75"/>
  <c r="T145" i="75"/>
  <c r="U145" i="75" s="1"/>
  <c r="X144" i="75"/>
  <c r="Y144" i="75" s="1"/>
  <c r="W144" i="75"/>
  <c r="S118" i="75"/>
  <c r="T118" i="75"/>
  <c r="U118" i="75" s="1"/>
  <c r="S135" i="74"/>
  <c r="H138" i="3" s="1"/>
  <c r="T125" i="74"/>
  <c r="I128" i="3" s="1"/>
  <c r="K128" i="3" s="1"/>
  <c r="W47" i="75"/>
  <c r="X47" i="75"/>
  <c r="Y47" i="75" s="1"/>
  <c r="I87" i="103"/>
  <c r="V90" i="74"/>
  <c r="Y93" i="4"/>
  <c r="Z93" i="4" s="1"/>
  <c r="K148" i="104"/>
  <c r="L148" i="104" s="1"/>
  <c r="D148" i="104" s="1"/>
  <c r="V138" i="103"/>
  <c r="G138" i="99" s="1"/>
  <c r="D138" i="99" s="1"/>
  <c r="V102" i="103"/>
  <c r="G102" i="99" s="1"/>
  <c r="D102" i="99" s="1"/>
  <c r="I52" i="103"/>
  <c r="Y40" i="4"/>
  <c r="Z40" i="4" s="1"/>
  <c r="V37" i="74"/>
  <c r="S37" i="74"/>
  <c r="H40" i="3" s="1"/>
  <c r="S149" i="75"/>
  <c r="T149" i="75"/>
  <c r="U149" i="75" s="1"/>
  <c r="W11" i="75"/>
  <c r="X11" i="75"/>
  <c r="Y11" i="75" s="1"/>
  <c r="M125" i="104"/>
  <c r="S104" i="75"/>
  <c r="T104" i="75"/>
  <c r="U104" i="75" s="1"/>
  <c r="AH106" i="4"/>
  <c r="S46" i="74"/>
  <c r="H49" i="3" s="1"/>
  <c r="K49" i="3" s="1"/>
  <c r="I129" i="103"/>
  <c r="V129" i="103" s="1"/>
  <c r="G129" i="99" s="1"/>
  <c r="D129" i="99" s="1"/>
  <c r="X122" i="75"/>
  <c r="Y122" i="75" s="1"/>
  <c r="W122" i="75"/>
  <c r="Q102" i="4"/>
  <c r="R102" i="4" s="1"/>
  <c r="Q99" i="4"/>
  <c r="R99" i="4" s="1"/>
  <c r="Q101" i="4"/>
  <c r="R101" i="4" s="1"/>
  <c r="Q103" i="4"/>
  <c r="R103" i="4" s="1"/>
  <c r="Q100" i="4"/>
  <c r="R100" i="4" s="1"/>
  <c r="W21" i="75"/>
  <c r="P141" i="104"/>
  <c r="Y100" i="4"/>
  <c r="Z100" i="4" s="1"/>
  <c r="V97" i="74"/>
  <c r="S139" i="75"/>
  <c r="T139" i="75"/>
  <c r="U139" i="75" s="1"/>
  <c r="H53" i="4"/>
  <c r="W114" i="4"/>
  <c r="F8" i="75"/>
  <c r="V85" i="103"/>
  <c r="G85" i="99" s="1"/>
  <c r="D85" i="99" s="1"/>
  <c r="K10" i="4"/>
  <c r="L27" i="104"/>
  <c r="K146" i="4"/>
  <c r="K145" i="4"/>
  <c r="AH132" i="4"/>
  <c r="AH129" i="4"/>
  <c r="W115" i="4"/>
  <c r="H99" i="4"/>
  <c r="I94" i="75"/>
  <c r="R90" i="75"/>
  <c r="W45" i="4"/>
  <c r="T30" i="75"/>
  <c r="U30" i="75" s="1"/>
  <c r="V30" i="75" s="1"/>
  <c r="AA30" i="75" s="1"/>
  <c r="V19" i="75"/>
  <c r="W61" i="4"/>
  <c r="N74" i="4"/>
  <c r="AJ129" i="104"/>
  <c r="AH30" i="4"/>
  <c r="W20" i="4"/>
  <c r="N61" i="4"/>
  <c r="K74" i="4"/>
  <c r="T39" i="74"/>
  <c r="I42" i="3" s="1"/>
  <c r="K42" i="3" s="1"/>
  <c r="X10" i="104"/>
  <c r="T10" i="104" s="1"/>
  <c r="G114" i="104"/>
  <c r="D114" i="104" s="1"/>
  <c r="G27" i="104"/>
  <c r="R149" i="75"/>
  <c r="G145" i="75"/>
  <c r="H145" i="75" s="1"/>
  <c r="I145" i="75" s="1"/>
  <c r="R136" i="75"/>
  <c r="R119" i="75"/>
  <c r="H96" i="4"/>
  <c r="Z90" i="75"/>
  <c r="H66" i="4"/>
  <c r="R32" i="4"/>
  <c r="V151" i="4"/>
  <c r="H70" i="4"/>
  <c r="H123" i="4"/>
  <c r="O123" i="4" s="1"/>
  <c r="F16" i="75"/>
  <c r="R135" i="75"/>
  <c r="R127" i="75"/>
  <c r="H85" i="4"/>
  <c r="K14" i="3"/>
  <c r="N14" i="3"/>
  <c r="Q14" i="3" s="1"/>
  <c r="K62" i="4"/>
  <c r="K138" i="104"/>
  <c r="L138" i="104" s="1"/>
  <c r="D138" i="104" s="1"/>
  <c r="B138" i="104" s="1"/>
  <c r="F138" i="99" s="1"/>
  <c r="C138" i="99" s="1"/>
  <c r="S151" i="4"/>
  <c r="W146" i="4"/>
  <c r="W145" i="4"/>
  <c r="R145" i="75"/>
  <c r="K125" i="4"/>
  <c r="K104" i="4"/>
  <c r="K101" i="4"/>
  <c r="R94" i="4"/>
  <c r="W85" i="4"/>
  <c r="K20" i="4"/>
  <c r="N136" i="4"/>
  <c r="O136" i="4" s="1"/>
  <c r="N103" i="4"/>
  <c r="H75" i="4"/>
  <c r="W139" i="4"/>
  <c r="N11" i="3"/>
  <c r="Q11" i="3" s="1"/>
  <c r="K11" i="3"/>
  <c r="S9" i="74"/>
  <c r="H12" i="3" s="1"/>
  <c r="S29" i="74"/>
  <c r="H32" i="3" s="1"/>
  <c r="P11" i="104"/>
  <c r="AH148" i="4"/>
  <c r="F18" i="75"/>
  <c r="J52" i="75"/>
  <c r="V127" i="103"/>
  <c r="G127" i="99" s="1"/>
  <c r="D127" i="99" s="1"/>
  <c r="AG119" i="104"/>
  <c r="AN90" i="104"/>
  <c r="I146" i="75"/>
  <c r="M138" i="75"/>
  <c r="N138" i="75" s="1"/>
  <c r="R132" i="75"/>
  <c r="H125" i="4"/>
  <c r="I92" i="75"/>
  <c r="N69" i="4"/>
  <c r="K58" i="4"/>
  <c r="Z49" i="75"/>
  <c r="H20" i="4"/>
  <c r="H134" i="4"/>
  <c r="N29" i="4"/>
  <c r="W78" i="4"/>
  <c r="S7" i="74"/>
  <c r="H10" i="3" s="1"/>
  <c r="V12" i="74"/>
  <c r="Y15" i="4"/>
  <c r="Z15" i="4" s="1"/>
  <c r="O19" i="75"/>
  <c r="I57" i="103"/>
  <c r="N55" i="4"/>
  <c r="H54" i="4"/>
  <c r="S129" i="103"/>
  <c r="S102" i="4"/>
  <c r="G102" i="4"/>
  <c r="U91" i="74"/>
  <c r="J94" i="3" s="1"/>
  <c r="E86" i="104"/>
  <c r="V60" i="4"/>
  <c r="T60" i="4"/>
  <c r="E3" i="103"/>
  <c r="N52" i="103"/>
  <c r="Q15" i="74"/>
  <c r="F18" i="3" s="1"/>
  <c r="N15" i="104"/>
  <c r="T119" i="107"/>
  <c r="G42" i="75"/>
  <c r="H42" i="75" s="1"/>
  <c r="I42" i="75" s="1"/>
  <c r="J51" i="4"/>
  <c r="F133" i="74"/>
  <c r="T113" i="4"/>
  <c r="G99" i="103"/>
  <c r="U22" i="4"/>
  <c r="J22" i="4"/>
  <c r="T57" i="4"/>
  <c r="I57" i="4"/>
  <c r="G119" i="74"/>
  <c r="AE42" i="4"/>
  <c r="I90" i="74"/>
  <c r="AM126" i="104"/>
  <c r="AE128" i="104"/>
  <c r="M102" i="4"/>
  <c r="N102" i="4" s="1"/>
  <c r="F102" i="4"/>
  <c r="M60" i="4"/>
  <c r="N60" i="4" s="1"/>
  <c r="G60" i="4"/>
  <c r="H60" i="4" s="1"/>
  <c r="C57" i="4"/>
  <c r="G15" i="103"/>
  <c r="V22" i="4"/>
  <c r="L57" i="4"/>
  <c r="N57" i="4" s="1"/>
  <c r="G117" i="74"/>
  <c r="V57" i="4"/>
  <c r="AB10" i="104"/>
  <c r="Z10" i="104" s="1"/>
  <c r="AB87" i="104"/>
  <c r="Z87" i="104" s="1"/>
  <c r="S87" i="104" s="1"/>
  <c r="AN149" i="104"/>
  <c r="K11" i="4"/>
  <c r="L70" i="103"/>
  <c r="D39" i="104"/>
  <c r="I56" i="74"/>
  <c r="S59" i="75" s="1"/>
  <c r="E90" i="103"/>
  <c r="AL143" i="104"/>
  <c r="AN143" i="104" s="1"/>
  <c r="AB143" i="104" s="1"/>
  <c r="Z143" i="104" s="1"/>
  <c r="S143" i="104" s="1"/>
  <c r="AK129" i="104"/>
  <c r="AN129" i="104" s="1"/>
  <c r="C119" i="103"/>
  <c r="F117" i="104"/>
  <c r="J102" i="4"/>
  <c r="R91" i="104"/>
  <c r="P60" i="4"/>
  <c r="R15" i="74"/>
  <c r="G18" i="3" s="1"/>
  <c r="Z52" i="74"/>
  <c r="AB55" i="4" s="1"/>
  <c r="AE55" i="4" s="1"/>
  <c r="AM55" i="4" s="1"/>
  <c r="AN55" i="4" s="1"/>
  <c r="T54" i="97" s="1"/>
  <c r="AA61" i="104"/>
  <c r="G51" i="4"/>
  <c r="G22" i="4"/>
  <c r="H22" i="4" s="1"/>
  <c r="AB102" i="104"/>
  <c r="Z102" i="104" s="1"/>
  <c r="AB108" i="104"/>
  <c r="Z108" i="104" s="1"/>
  <c r="N54" i="4"/>
  <c r="Z47" i="74"/>
  <c r="AB50" i="4" s="1"/>
  <c r="I3" i="104"/>
  <c r="K3" i="104" s="1"/>
  <c r="L3" i="104" s="1"/>
  <c r="D3" i="104" s="1"/>
  <c r="F86" i="74"/>
  <c r="V51" i="4"/>
  <c r="AM98" i="4"/>
  <c r="AN98" i="4" s="1"/>
  <c r="H114" i="4"/>
  <c r="W108" i="4"/>
  <c r="N126" i="4"/>
  <c r="N47" i="103"/>
  <c r="AG150" i="104"/>
  <c r="AB150" i="104" s="1"/>
  <c r="Z150" i="104" s="1"/>
  <c r="S150" i="104" s="1"/>
  <c r="AN138" i="104"/>
  <c r="AB138" i="104" s="1"/>
  <c r="Z138" i="104" s="1"/>
  <c r="AG130" i="104"/>
  <c r="A66" i="97"/>
  <c r="A67" i="3"/>
  <c r="A67" i="75"/>
  <c r="A9" i="4"/>
  <c r="A9" i="75"/>
  <c r="A9" i="3"/>
  <c r="A8" i="97"/>
  <c r="A59" i="4"/>
  <c r="A59" i="3"/>
  <c r="A59" i="75"/>
  <c r="A104" i="75"/>
  <c r="A104" i="4"/>
  <c r="A104" i="3"/>
  <c r="A103" i="97"/>
  <c r="A133" i="75"/>
  <c r="A133" i="4"/>
  <c r="A132" i="97"/>
  <c r="A133" i="3"/>
  <c r="A113" i="3"/>
  <c r="A113" i="4"/>
  <c r="A113" i="75"/>
  <c r="A32" i="75"/>
  <c r="A32" i="3"/>
  <c r="A31" i="97"/>
  <c r="A42" i="97"/>
  <c r="A43" i="75"/>
  <c r="A43" i="4"/>
  <c r="A55" i="97"/>
  <c r="A56" i="75"/>
  <c r="A56" i="3"/>
  <c r="A56" i="4"/>
  <c r="A89" i="4"/>
  <c r="A88" i="97"/>
  <c r="A89" i="75"/>
  <c r="A89" i="3"/>
  <c r="A70" i="4"/>
  <c r="A70" i="3"/>
  <c r="A70" i="75"/>
  <c r="A69" i="97"/>
  <c r="A118" i="75"/>
  <c r="A118" i="3"/>
  <c r="A118" i="4"/>
  <c r="A117" i="97"/>
  <c r="A135" i="97"/>
  <c r="A136" i="3"/>
  <c r="A136" i="75"/>
  <c r="A136" i="4"/>
  <c r="A7" i="3"/>
  <c r="A7" i="75"/>
  <c r="A6" i="97"/>
  <c r="A21" i="3"/>
  <c r="A20" i="97"/>
  <c r="A21" i="4"/>
  <c r="A21" i="75"/>
  <c r="W8" i="104"/>
  <c r="X8" i="104" s="1"/>
  <c r="T8" i="104" s="1"/>
  <c r="U141" i="4"/>
  <c r="F141" i="4"/>
  <c r="F130" i="4"/>
  <c r="F90" i="4"/>
  <c r="H90" i="4" s="1"/>
  <c r="F89" i="4"/>
  <c r="H89" i="4" s="1"/>
  <c r="F63" i="4"/>
  <c r="H63" i="4" s="1"/>
  <c r="V59" i="4"/>
  <c r="M7" i="4"/>
  <c r="N7" i="4" s="1"/>
  <c r="A17" i="75"/>
  <c r="A138" i="3"/>
  <c r="A65" i="3"/>
  <c r="V14" i="4"/>
  <c r="P14" i="4"/>
  <c r="AJ220" i="104"/>
  <c r="AB220" i="104" s="1"/>
  <c r="Z220" i="104" s="1"/>
  <c r="L220" i="104"/>
  <c r="D220" i="104" s="1"/>
  <c r="AN216" i="104"/>
  <c r="AB216" i="104" s="1"/>
  <c r="Z216" i="104" s="1"/>
  <c r="AG194" i="104"/>
  <c r="AB194" i="104" s="1"/>
  <c r="Z194" i="104" s="1"/>
  <c r="K185" i="104"/>
  <c r="L185" i="104" s="1"/>
  <c r="D185" i="104" s="1"/>
  <c r="F150" i="97"/>
  <c r="E133" i="75"/>
  <c r="E132" i="97"/>
  <c r="E133" i="3"/>
  <c r="E128" i="97"/>
  <c r="E129" i="4"/>
  <c r="E129" i="75"/>
  <c r="B127" i="4"/>
  <c r="F126" i="97"/>
  <c r="B127" i="3"/>
  <c r="E98" i="4"/>
  <c r="J98" i="4" s="1"/>
  <c r="E97" i="97"/>
  <c r="E87" i="4"/>
  <c r="E86" i="97"/>
  <c r="F60" i="97"/>
  <c r="B61" i="75"/>
  <c r="B61" i="3"/>
  <c r="B27" i="75"/>
  <c r="B27" i="4"/>
  <c r="B26" i="75"/>
  <c r="B26" i="4"/>
  <c r="B16" i="75"/>
  <c r="F15" i="97"/>
  <c r="B16" i="4"/>
  <c r="E10" i="97"/>
  <c r="E11" i="75"/>
  <c r="O75" i="85"/>
  <c r="M133" i="4"/>
  <c r="N133" i="4" s="1"/>
  <c r="F9" i="4"/>
  <c r="D66" i="102"/>
  <c r="E37" i="102"/>
  <c r="B59" i="107"/>
  <c r="S14" i="4"/>
  <c r="A17" i="4"/>
  <c r="A53" i="4"/>
  <c r="A20" i="75"/>
  <c r="A20" i="3"/>
  <c r="A55" i="3"/>
  <c r="A66" i="3"/>
  <c r="A122" i="4"/>
  <c r="B5" i="107"/>
  <c r="AN215" i="104"/>
  <c r="AG197" i="104"/>
  <c r="AB197" i="104" s="1"/>
  <c r="Z197" i="104" s="1"/>
  <c r="AG196" i="104"/>
  <c r="AB196" i="104" s="1"/>
  <c r="Z196" i="104" s="1"/>
  <c r="E130" i="75"/>
  <c r="E129" i="97"/>
  <c r="E119" i="4"/>
  <c r="E118" i="97"/>
  <c r="E119" i="75"/>
  <c r="C79" i="4"/>
  <c r="C78" i="97"/>
  <c r="C79" i="3"/>
  <c r="C77" i="4"/>
  <c r="C77" i="75"/>
  <c r="C77" i="3"/>
  <c r="E74" i="97"/>
  <c r="E75" i="75"/>
  <c r="E67" i="97"/>
  <c r="E68" i="4"/>
  <c r="E68" i="75"/>
  <c r="E61" i="97"/>
  <c r="E62" i="4"/>
  <c r="B45" i="75"/>
  <c r="B45" i="3"/>
  <c r="B36" i="4"/>
  <c r="B36" i="75"/>
  <c r="F32" i="97"/>
  <c r="B33" i="4"/>
  <c r="E16" i="4"/>
  <c r="E15" i="97"/>
  <c r="E16" i="75"/>
  <c r="D11" i="97"/>
  <c r="D12" i="3"/>
  <c r="D12" i="4"/>
  <c r="P90" i="4"/>
  <c r="S59" i="4"/>
  <c r="L11" i="4"/>
  <c r="N11" i="4" s="1"/>
  <c r="F7" i="4"/>
  <c r="H7" i="4" s="1"/>
  <c r="P133" i="4"/>
  <c r="R133" i="4" s="1"/>
  <c r="U9" i="4"/>
  <c r="A14" i="4"/>
  <c r="A130" i="3"/>
  <c r="A52" i="4"/>
  <c r="A52" i="75"/>
  <c r="A148" i="97"/>
  <c r="A149" i="3"/>
  <c r="L218" i="104"/>
  <c r="L217" i="104"/>
  <c r="D217" i="104" s="1"/>
  <c r="E144" i="97"/>
  <c r="E145" i="4"/>
  <c r="E145" i="3"/>
  <c r="E143" i="75"/>
  <c r="E143" i="4"/>
  <c r="E142" i="97"/>
  <c r="E141" i="3"/>
  <c r="E140" i="97"/>
  <c r="C137" i="75"/>
  <c r="C136" i="97"/>
  <c r="B131" i="4"/>
  <c r="Q131" i="4" s="1"/>
  <c r="F130" i="97"/>
  <c r="E124" i="4"/>
  <c r="Q124" i="4" s="1"/>
  <c r="E123" i="97"/>
  <c r="E124" i="75"/>
  <c r="B122" i="4"/>
  <c r="F121" i="97"/>
  <c r="B122" i="75"/>
  <c r="G122" i="75" s="1"/>
  <c r="H122" i="75" s="1"/>
  <c r="I122" i="75" s="1"/>
  <c r="C120" i="97"/>
  <c r="C121" i="3"/>
  <c r="B118" i="4"/>
  <c r="Q118" i="4" s="1"/>
  <c r="B118" i="75"/>
  <c r="F117" i="97"/>
  <c r="E78" i="75"/>
  <c r="E77" i="97"/>
  <c r="E72" i="97"/>
  <c r="E73" i="75"/>
  <c r="E73" i="4"/>
  <c r="J73" i="4" s="1"/>
  <c r="B34" i="75"/>
  <c r="B34" i="4"/>
  <c r="F33" i="97"/>
  <c r="F9" i="97"/>
  <c r="B10" i="3"/>
  <c r="B10" i="75"/>
  <c r="M90" i="4"/>
  <c r="L59" i="4"/>
  <c r="N59" i="4" s="1"/>
  <c r="P7" i="4"/>
  <c r="U133" i="4"/>
  <c r="I133" i="4"/>
  <c r="V9" i="4"/>
  <c r="G9" i="4"/>
  <c r="A44" i="3"/>
  <c r="I14" i="4"/>
  <c r="K14" i="4" s="1"/>
  <c r="A26" i="75"/>
  <c r="A68" i="3"/>
  <c r="A24" i="4"/>
  <c r="A24" i="75"/>
  <c r="A42" i="75"/>
  <c r="A41" i="97"/>
  <c r="A60" i="75"/>
  <c r="A100" i="75"/>
  <c r="A99" i="97"/>
  <c r="A113" i="97"/>
  <c r="A114" i="3"/>
  <c r="M221" i="104"/>
  <c r="AJ215" i="104"/>
  <c r="M186" i="104"/>
  <c r="B135" i="4"/>
  <c r="B135" i="75"/>
  <c r="F134" i="97"/>
  <c r="H126" i="74"/>
  <c r="E121" i="97"/>
  <c r="E122" i="3"/>
  <c r="E90" i="97"/>
  <c r="E91" i="4"/>
  <c r="E91" i="75"/>
  <c r="C65" i="97"/>
  <c r="C66" i="3"/>
  <c r="B35" i="4"/>
  <c r="F34" i="97"/>
  <c r="B35" i="75"/>
  <c r="E12" i="97"/>
  <c r="E13" i="4"/>
  <c r="W108" i="104"/>
  <c r="X108" i="104" s="1"/>
  <c r="T108" i="104" s="1"/>
  <c r="J191" i="85"/>
  <c r="Q146" i="4" s="1"/>
  <c r="R146" i="4" s="1"/>
  <c r="M141" i="4"/>
  <c r="N141" i="4" s="1"/>
  <c r="S130" i="4"/>
  <c r="W130" i="4" s="1"/>
  <c r="V90" i="4"/>
  <c r="L90" i="4"/>
  <c r="V89" i="4"/>
  <c r="S63" i="4"/>
  <c r="W63" i="4" s="1"/>
  <c r="J59" i="4"/>
  <c r="K59" i="4" s="1"/>
  <c r="G133" i="4"/>
  <c r="J133" i="4"/>
  <c r="M9" i="4"/>
  <c r="N9" i="4" s="1"/>
  <c r="A122" i="3"/>
  <c r="A60" i="97"/>
  <c r="A52" i="97"/>
  <c r="A85" i="97"/>
  <c r="A86" i="4"/>
  <c r="AG225" i="104"/>
  <c r="AB225" i="104" s="1"/>
  <c r="Z225" i="104" s="1"/>
  <c r="M222" i="104"/>
  <c r="AN204" i="104"/>
  <c r="AJ192" i="104"/>
  <c r="AB192" i="104" s="1"/>
  <c r="Z192" i="104" s="1"/>
  <c r="AN162" i="104"/>
  <c r="AB162" i="104" s="1"/>
  <c r="Z162" i="104" s="1"/>
  <c r="AN155" i="104"/>
  <c r="E117" i="75"/>
  <c r="E116" i="97"/>
  <c r="E117" i="4"/>
  <c r="F92" i="97"/>
  <c r="B93" i="75"/>
  <c r="E82" i="75"/>
  <c r="E82" i="4"/>
  <c r="E81" i="75"/>
  <c r="E81" i="4"/>
  <c r="I81" i="4" s="1"/>
  <c r="E81" i="3"/>
  <c r="C79" i="97"/>
  <c r="C80" i="3"/>
  <c r="E73" i="97"/>
  <c r="E74" i="75"/>
  <c r="D59" i="97"/>
  <c r="D60" i="4"/>
  <c r="D43" i="97"/>
  <c r="D44" i="75"/>
  <c r="U90" i="4"/>
  <c r="J90" i="4"/>
  <c r="S89" i="4"/>
  <c r="V133" i="4"/>
  <c r="F133" i="4"/>
  <c r="D59" i="107"/>
  <c r="AB198" i="104"/>
  <c r="Z198" i="104" s="1"/>
  <c r="C150" i="74"/>
  <c r="AC123" i="74"/>
  <c r="AF126" i="4" s="1"/>
  <c r="AH126" i="4" s="1"/>
  <c r="E105" i="75"/>
  <c r="E104" i="97"/>
  <c r="E105" i="4"/>
  <c r="V105" i="4" s="1"/>
  <c r="D76" i="3"/>
  <c r="D75" i="97"/>
  <c r="E66" i="97"/>
  <c r="E67" i="75"/>
  <c r="C43" i="97"/>
  <c r="C44" i="4"/>
  <c r="C44" i="3"/>
  <c r="D27" i="97"/>
  <c r="D28" i="4"/>
  <c r="B24" i="4"/>
  <c r="F23" i="97"/>
  <c r="B24" i="75"/>
  <c r="T90" i="4"/>
  <c r="I90" i="4"/>
  <c r="M89" i="4"/>
  <c r="N89" i="4" s="1"/>
  <c r="U7" i="4"/>
  <c r="P9" i="4"/>
  <c r="A71" i="97"/>
  <c r="A98" i="75"/>
  <c r="A127" i="75"/>
  <c r="G214" i="104"/>
  <c r="M211" i="104"/>
  <c r="AG210" i="104"/>
  <c r="AJ204" i="104"/>
  <c r="AJ168" i="104"/>
  <c r="AB168" i="104" s="1"/>
  <c r="Z168" i="104" s="1"/>
  <c r="C153" i="74"/>
  <c r="E137" i="75"/>
  <c r="E136" i="97"/>
  <c r="E132" i="75"/>
  <c r="E132" i="4"/>
  <c r="E131" i="97"/>
  <c r="B128" i="4"/>
  <c r="F127" i="97"/>
  <c r="B128" i="75"/>
  <c r="E46" i="97"/>
  <c r="E47" i="3"/>
  <c r="E40" i="75"/>
  <c r="E39" i="97"/>
  <c r="E40" i="4"/>
  <c r="O36" i="85"/>
  <c r="K32" i="75" s="1"/>
  <c r="L32" i="75" s="1"/>
  <c r="M32" i="75" s="1"/>
  <c r="Y125" i="74"/>
  <c r="AA128" i="4" s="1"/>
  <c r="L133" i="74"/>
  <c r="AC133" i="74"/>
  <c r="AF136" i="4" s="1"/>
  <c r="AH136" i="4" s="1"/>
  <c r="AF140" i="74"/>
  <c r="AJ143" i="4" s="1"/>
  <c r="Q144" i="74"/>
  <c r="F147" i="3" s="1"/>
  <c r="O4" i="85"/>
  <c r="H134" i="74"/>
  <c r="G134" i="74"/>
  <c r="J137" i="75" s="1"/>
  <c r="J182" i="85"/>
  <c r="AF142" i="74"/>
  <c r="AJ145" i="4" s="1"/>
  <c r="Z144" i="74"/>
  <c r="AB147" i="4" s="1"/>
  <c r="AA122" i="74"/>
  <c r="AC125" i="4" s="1"/>
  <c r="O68" i="85"/>
  <c r="O161" i="85"/>
  <c r="O169" i="85"/>
  <c r="K126" i="75" s="1"/>
  <c r="L126" i="75" s="1"/>
  <c r="M126" i="75" s="1"/>
  <c r="O91" i="85"/>
  <c r="I134" i="74"/>
  <c r="S137" i="75" s="1"/>
  <c r="F12" i="98"/>
  <c r="O166" i="85"/>
  <c r="O30" i="85"/>
  <c r="O35" i="85"/>
  <c r="O59" i="85"/>
  <c r="K52" i="75" s="1"/>
  <c r="L52" i="75" s="1"/>
  <c r="I133" i="74"/>
  <c r="AB133" i="74"/>
  <c r="AD136" i="4" s="1"/>
  <c r="R140" i="74"/>
  <c r="G143" i="3" s="1"/>
  <c r="I140" i="74"/>
  <c r="S143" i="75" s="1"/>
  <c r="AG144" i="74"/>
  <c r="AK147" i="4" s="1"/>
  <c r="O13" i="85"/>
  <c r="F5" i="98"/>
  <c r="S90" i="4"/>
  <c r="E147" i="97"/>
  <c r="E148" i="4"/>
  <c r="E148" i="75"/>
  <c r="D131" i="97"/>
  <c r="D132" i="4"/>
  <c r="D132" i="3"/>
  <c r="F128" i="97"/>
  <c r="B129" i="75"/>
  <c r="B129" i="4"/>
  <c r="E127" i="97"/>
  <c r="E128" i="4"/>
  <c r="D89" i="4"/>
  <c r="D88" i="97"/>
  <c r="E72" i="4"/>
  <c r="E72" i="75"/>
  <c r="B43" i="4"/>
  <c r="B43" i="75"/>
  <c r="D24" i="97"/>
  <c r="D25" i="75"/>
  <c r="D25" i="3"/>
  <c r="E6" i="4"/>
  <c r="U6" i="4" s="1"/>
  <c r="E5" i="97"/>
  <c r="E6" i="75"/>
  <c r="G6" i="75" s="1"/>
  <c r="H6" i="75" s="1"/>
  <c r="I6" i="75" s="1"/>
  <c r="O151" i="85"/>
  <c r="E140" i="4"/>
  <c r="Q131" i="74"/>
  <c r="F134" i="3" s="1"/>
  <c r="R128" i="74"/>
  <c r="G131" i="3" s="1"/>
  <c r="R123" i="74"/>
  <c r="G126" i="3" s="1"/>
  <c r="F122" i="74"/>
  <c r="G122" i="74"/>
  <c r="B124" i="75"/>
  <c r="Q120" i="74"/>
  <c r="F123" i="3" s="1"/>
  <c r="B121" i="4"/>
  <c r="E120" i="97"/>
  <c r="B120" i="75"/>
  <c r="T116" i="74"/>
  <c r="I119" i="3" s="1"/>
  <c r="Y113" i="74"/>
  <c r="AA116" i="4" s="1"/>
  <c r="R113" i="74"/>
  <c r="G116" i="3" s="1"/>
  <c r="AC112" i="74"/>
  <c r="AF115" i="4" s="1"/>
  <c r="AH115" i="4" s="1"/>
  <c r="AC111" i="74"/>
  <c r="AF114" i="4" s="1"/>
  <c r="C111" i="74"/>
  <c r="AD110" i="74"/>
  <c r="AG113" i="4" s="1"/>
  <c r="AH113" i="4" s="1"/>
  <c r="AE109" i="74"/>
  <c r="AI112" i="4" s="1"/>
  <c r="U107" i="74"/>
  <c r="J110" i="3" s="1"/>
  <c r="L99" i="74"/>
  <c r="AE98" i="74"/>
  <c r="AI101" i="4" s="1"/>
  <c r="AE97" i="74"/>
  <c r="AI100" i="4" s="1"/>
  <c r="C97" i="74"/>
  <c r="AB92" i="74"/>
  <c r="AD95" i="4" s="1"/>
  <c r="AF91" i="74"/>
  <c r="AJ94" i="4" s="1"/>
  <c r="C89" i="74"/>
  <c r="C80" i="74"/>
  <c r="E79" i="97"/>
  <c r="C66" i="74"/>
  <c r="E65" i="97"/>
  <c r="C62" i="74"/>
  <c r="F50" i="97"/>
  <c r="C40" i="74"/>
  <c r="F41" i="97"/>
  <c r="E38" i="4"/>
  <c r="C34" i="74"/>
  <c r="C31" i="74"/>
  <c r="C30" i="74"/>
  <c r="F30" i="97"/>
  <c r="C24" i="74"/>
  <c r="C14" i="74"/>
  <c r="E7" i="97"/>
  <c r="C3" i="74"/>
  <c r="B150" i="75"/>
  <c r="AF139" i="74"/>
  <c r="AJ142" i="4" s="1"/>
  <c r="AL142" i="4" s="1"/>
  <c r="R116" i="74"/>
  <c r="G119" i="3" s="1"/>
  <c r="Q113" i="74"/>
  <c r="F116" i="3" s="1"/>
  <c r="AB110" i="74"/>
  <c r="AD113" i="4" s="1"/>
  <c r="U110" i="74"/>
  <c r="J113" i="3" s="1"/>
  <c r="AC107" i="74"/>
  <c r="AF110" i="4" s="1"/>
  <c r="AH110" i="4" s="1"/>
  <c r="T107" i="74"/>
  <c r="I110" i="3" s="1"/>
  <c r="AG99" i="74"/>
  <c r="AK102" i="4" s="1"/>
  <c r="I99" i="74"/>
  <c r="H98" i="74"/>
  <c r="AA92" i="74"/>
  <c r="AC95" i="4" s="1"/>
  <c r="G91" i="74"/>
  <c r="E84" i="4"/>
  <c r="T17" i="4"/>
  <c r="H107" i="74"/>
  <c r="O179" i="85"/>
  <c r="C131" i="74"/>
  <c r="AE124" i="74"/>
  <c r="AI127" i="4" s="1"/>
  <c r="AL127" i="4" s="1"/>
  <c r="R118" i="74"/>
  <c r="G121" i="3" s="1"/>
  <c r="AF114" i="74"/>
  <c r="AJ117" i="4" s="1"/>
  <c r="AG113" i="74"/>
  <c r="AK116" i="4" s="1"/>
  <c r="F113" i="74"/>
  <c r="G113" i="74"/>
  <c r="Z110" i="74"/>
  <c r="AB113" i="4" s="1"/>
  <c r="AB107" i="74"/>
  <c r="AD110" i="4" s="1"/>
  <c r="AF99" i="74"/>
  <c r="AJ102" i="4" s="1"/>
  <c r="U99" i="74"/>
  <c r="J102" i="3" s="1"/>
  <c r="AB98" i="74"/>
  <c r="AD101" i="4" s="1"/>
  <c r="Z92" i="74"/>
  <c r="AB95" i="4" s="1"/>
  <c r="C68" i="3"/>
  <c r="B51" i="75"/>
  <c r="B44" i="4"/>
  <c r="B144" i="75"/>
  <c r="E142" i="75"/>
  <c r="C137" i="74"/>
  <c r="G131" i="74"/>
  <c r="AD124" i="74"/>
  <c r="AG127" i="4" s="1"/>
  <c r="AH127" i="4" s="1"/>
  <c r="C124" i="74"/>
  <c r="AB123" i="74"/>
  <c r="AD126" i="4" s="1"/>
  <c r="AC122" i="74"/>
  <c r="AF125" i="4" s="1"/>
  <c r="AH125" i="4" s="1"/>
  <c r="G120" i="74"/>
  <c r="AC118" i="74"/>
  <c r="AF121" i="4" s="1"/>
  <c r="AG117" i="74"/>
  <c r="AK120" i="4" s="1"/>
  <c r="F117" i="74"/>
  <c r="E119" i="97"/>
  <c r="AG116" i="74"/>
  <c r="AK119" i="4" s="1"/>
  <c r="AL119" i="4" s="1"/>
  <c r="AE114" i="74"/>
  <c r="AI117" i="4" s="1"/>
  <c r="AE113" i="74"/>
  <c r="AI116" i="4" s="1"/>
  <c r="C113" i="74"/>
  <c r="J138" i="85"/>
  <c r="Z111" i="74"/>
  <c r="AB114" i="4" s="1"/>
  <c r="U111" i="74"/>
  <c r="J114" i="3" s="1"/>
  <c r="J137" i="85"/>
  <c r="Y110" i="74"/>
  <c r="AA113" i="4" s="1"/>
  <c r="G110" i="74"/>
  <c r="Y107" i="74"/>
  <c r="AA110" i="4" s="1"/>
  <c r="F109" i="97"/>
  <c r="AE99" i="74"/>
  <c r="AI102" i="4" s="1"/>
  <c r="G99" i="74"/>
  <c r="AA97" i="74"/>
  <c r="AC100" i="4" s="1"/>
  <c r="Q97" i="74"/>
  <c r="F100" i="3" s="1"/>
  <c r="C91" i="74"/>
  <c r="E86" i="75"/>
  <c r="C83" i="74"/>
  <c r="C68" i="74"/>
  <c r="B42" i="4"/>
  <c r="F40" i="97"/>
  <c r="B31" i="4"/>
  <c r="C22" i="74"/>
  <c r="C19" i="74"/>
  <c r="C18" i="74"/>
  <c r="C150" i="3"/>
  <c r="F146" i="97"/>
  <c r="P142" i="4"/>
  <c r="E141" i="97"/>
  <c r="C128" i="74"/>
  <c r="R122" i="74"/>
  <c r="G125" i="3" s="1"/>
  <c r="H121" i="74"/>
  <c r="AB118" i="74"/>
  <c r="AD121" i="4" s="1"/>
  <c r="AF117" i="74"/>
  <c r="AJ120" i="4" s="1"/>
  <c r="AC116" i="74"/>
  <c r="AF119" i="4" s="1"/>
  <c r="AH119" i="4" s="1"/>
  <c r="AD113" i="74"/>
  <c r="AG116" i="4" s="1"/>
  <c r="L113" i="74"/>
  <c r="T113" i="74"/>
  <c r="I116" i="3" s="1"/>
  <c r="I112" i="74"/>
  <c r="S115" i="75" s="1"/>
  <c r="AG111" i="74"/>
  <c r="AK114" i="4" s="1"/>
  <c r="H108" i="74"/>
  <c r="E106" i="4"/>
  <c r="AC99" i="74"/>
  <c r="AF102" i="4" s="1"/>
  <c r="AH102" i="4" s="1"/>
  <c r="T99" i="74"/>
  <c r="I102" i="3" s="1"/>
  <c r="Y98" i="74"/>
  <c r="AA101" i="4" s="1"/>
  <c r="Z97" i="74"/>
  <c r="AB100" i="4" s="1"/>
  <c r="AF92" i="74"/>
  <c r="AJ95" i="4" s="1"/>
  <c r="C92" i="74"/>
  <c r="Y91" i="74"/>
  <c r="AA94" i="4" s="1"/>
  <c r="E93" i="97"/>
  <c r="C81" i="74"/>
  <c r="E71" i="75"/>
  <c r="C67" i="74"/>
  <c r="C61" i="74"/>
  <c r="F56" i="97"/>
  <c r="C45" i="74"/>
  <c r="C43" i="74"/>
  <c r="C42" i="74"/>
  <c r="B41" i="4"/>
  <c r="C36" i="74"/>
  <c r="C33" i="74"/>
  <c r="C32" i="74"/>
  <c r="E25" i="4"/>
  <c r="C16" i="74"/>
  <c r="B150" i="4"/>
  <c r="I131" i="74"/>
  <c r="S134" i="75" s="1"/>
  <c r="H131" i="74"/>
  <c r="AA113" i="74"/>
  <c r="AC116" i="4" s="1"/>
  <c r="H113" i="74"/>
  <c r="J131" i="85"/>
  <c r="O131" i="85"/>
  <c r="Y99" i="74"/>
  <c r="AA102" i="4" s="1"/>
  <c r="F98" i="74"/>
  <c r="B57" i="75"/>
  <c r="G57" i="75" s="1"/>
  <c r="H57" i="75" s="1"/>
  <c r="I57" i="75" s="1"/>
  <c r="O188" i="85"/>
  <c r="E121" i="4"/>
  <c r="AB117" i="74"/>
  <c r="AD120" i="4" s="1"/>
  <c r="Z113" i="74"/>
  <c r="AB116" i="4" s="1"/>
  <c r="AF112" i="74"/>
  <c r="AJ115" i="4" s="1"/>
  <c r="AF109" i="74"/>
  <c r="AJ112" i="4" s="1"/>
  <c r="AF107" i="74"/>
  <c r="AJ110" i="4" s="1"/>
  <c r="AF98" i="74"/>
  <c r="AJ101" i="4" s="1"/>
  <c r="AF97" i="74"/>
  <c r="AJ100" i="4" s="1"/>
  <c r="AC92" i="74"/>
  <c r="AF95" i="4" s="1"/>
  <c r="P86" i="97"/>
  <c r="W10" i="4"/>
  <c r="P44" i="104"/>
  <c r="V56" i="103"/>
  <c r="G56" i="99" s="1"/>
  <c r="D56" i="99" s="1"/>
  <c r="X135" i="75"/>
  <c r="Y135" i="75" s="1"/>
  <c r="W135" i="75"/>
  <c r="S128" i="75"/>
  <c r="T128" i="75"/>
  <c r="U128" i="75" s="1"/>
  <c r="K122" i="3"/>
  <c r="X121" i="75"/>
  <c r="Y121" i="75" s="1"/>
  <c r="W121" i="75"/>
  <c r="AE119" i="4"/>
  <c r="S141" i="75"/>
  <c r="T141" i="75"/>
  <c r="U141" i="75" s="1"/>
  <c r="K126" i="3"/>
  <c r="S121" i="74"/>
  <c r="H124" i="3" s="1"/>
  <c r="AG129" i="104"/>
  <c r="G127" i="104"/>
  <c r="D127" i="104" s="1"/>
  <c r="B127" i="104" s="1"/>
  <c r="F127" i="99" s="1"/>
  <c r="C127" i="99" s="1"/>
  <c r="K118" i="104"/>
  <c r="L118" i="104" s="1"/>
  <c r="D118" i="104" s="1"/>
  <c r="X132" i="75"/>
  <c r="Y132" i="75" s="1"/>
  <c r="W132" i="75"/>
  <c r="S121" i="75"/>
  <c r="T121" i="75"/>
  <c r="U121" i="75" s="1"/>
  <c r="G109" i="104"/>
  <c r="D109" i="104" s="1"/>
  <c r="AE132" i="4"/>
  <c r="AM132" i="4" s="1"/>
  <c r="AN132" i="4" s="1"/>
  <c r="Q123" i="4"/>
  <c r="R123" i="4" s="1"/>
  <c r="Q125" i="4"/>
  <c r="R125" i="4" s="1"/>
  <c r="W120" i="75"/>
  <c r="AE142" i="4"/>
  <c r="AH139" i="4"/>
  <c r="W126" i="75"/>
  <c r="T117" i="75"/>
  <c r="U117" i="75" s="1"/>
  <c r="S117" i="75"/>
  <c r="V87" i="103"/>
  <c r="G87" i="99" s="1"/>
  <c r="D87" i="99" s="1"/>
  <c r="K85" i="104"/>
  <c r="L85" i="104" s="1"/>
  <c r="D85" i="104" s="1"/>
  <c r="B85" i="104" s="1"/>
  <c r="F85" i="99" s="1"/>
  <c r="C85" i="99" s="1"/>
  <c r="X131" i="104"/>
  <c r="T131" i="104" s="1"/>
  <c r="AE122" i="4"/>
  <c r="X141" i="75"/>
  <c r="Y141" i="75" s="1"/>
  <c r="Z141" i="75" s="1"/>
  <c r="W76" i="4"/>
  <c r="X59" i="75"/>
  <c r="Y59" i="75" s="1"/>
  <c r="W59" i="75"/>
  <c r="W151" i="75"/>
  <c r="Z151" i="75" s="1"/>
  <c r="AA151" i="75" s="1"/>
  <c r="K107" i="4"/>
  <c r="N99" i="4"/>
  <c r="R57" i="4"/>
  <c r="Q136" i="4"/>
  <c r="R136" i="4" s="1"/>
  <c r="T56" i="75"/>
  <c r="U56" i="75" s="1"/>
  <c r="S56" i="75"/>
  <c r="K56" i="3"/>
  <c r="T50" i="75"/>
  <c r="U50" i="75" s="1"/>
  <c r="S50" i="75"/>
  <c r="S21" i="75"/>
  <c r="W133" i="75"/>
  <c r="Z133" i="75" s="1"/>
  <c r="W58" i="75"/>
  <c r="AL56" i="4"/>
  <c r="K55" i="3"/>
  <c r="W107" i="4"/>
  <c r="S106" i="75"/>
  <c r="T55" i="75"/>
  <c r="U55" i="75" s="1"/>
  <c r="S55" i="75"/>
  <c r="O86" i="4"/>
  <c r="AE18" i="4"/>
  <c r="N76" i="4"/>
  <c r="W67" i="4"/>
  <c r="K32" i="4"/>
  <c r="K21" i="4"/>
  <c r="N20" i="4"/>
  <c r="AE17" i="4"/>
  <c r="N101" i="4"/>
  <c r="AE30" i="4"/>
  <c r="AM30" i="4" s="1"/>
  <c r="AN30" i="4" s="1"/>
  <c r="T29" i="97" s="1"/>
  <c r="H32" i="4"/>
  <c r="H21" i="4"/>
  <c r="Z6" i="75"/>
  <c r="S49" i="75"/>
  <c r="T49" i="75"/>
  <c r="U49" i="75" s="1"/>
  <c r="W58" i="4"/>
  <c r="W94" i="4"/>
  <c r="K93" i="4"/>
  <c r="H45" i="4"/>
  <c r="R10" i="75"/>
  <c r="K95" i="4"/>
  <c r="O95" i="4" s="1"/>
  <c r="X95" i="4" s="1"/>
  <c r="K61" i="4"/>
  <c r="T72" i="107"/>
  <c r="J92" i="75"/>
  <c r="R11" i="3"/>
  <c r="O20" i="75"/>
  <c r="T20" i="75"/>
  <c r="U20" i="75" s="1"/>
  <c r="V20" i="75" s="1"/>
  <c r="P20" i="75"/>
  <c r="Q20" i="75" s="1"/>
  <c r="W26" i="75"/>
  <c r="AN130" i="104"/>
  <c r="AG95" i="104"/>
  <c r="AB95" i="104" s="1"/>
  <c r="Z95" i="104" s="1"/>
  <c r="W88" i="4"/>
  <c r="E54" i="102"/>
  <c r="B54" i="102"/>
  <c r="D54" i="102"/>
  <c r="E16" i="102"/>
  <c r="D16" i="102"/>
  <c r="B16" i="102"/>
  <c r="E128" i="107"/>
  <c r="B128" i="107"/>
  <c r="D128" i="107"/>
  <c r="B51" i="107"/>
  <c r="E51" i="107"/>
  <c r="D87" i="107"/>
  <c r="E87" i="107"/>
  <c r="B87" i="107"/>
  <c r="E43" i="107"/>
  <c r="D43" i="107"/>
  <c r="B43" i="107"/>
  <c r="E84" i="107"/>
  <c r="B84" i="107"/>
  <c r="D24" i="107"/>
  <c r="B24" i="107"/>
  <c r="E24" i="107"/>
  <c r="B64" i="107"/>
  <c r="E64" i="107"/>
  <c r="D64" i="107"/>
  <c r="T99" i="107"/>
  <c r="F104" i="74"/>
  <c r="AE104" i="74"/>
  <c r="AI107" i="4" s="1"/>
  <c r="F105" i="74"/>
  <c r="AD106" i="74"/>
  <c r="AG109" i="4" s="1"/>
  <c r="AG106" i="74"/>
  <c r="AK109" i="4" s="1"/>
  <c r="I108" i="74"/>
  <c r="S111" i="75" s="1"/>
  <c r="U109" i="74"/>
  <c r="J112" i="3" s="1"/>
  <c r="Z109" i="74"/>
  <c r="AB112" i="4" s="1"/>
  <c r="AD111" i="74"/>
  <c r="AG114" i="4" s="1"/>
  <c r="AF111" i="74"/>
  <c r="AJ114" i="4" s="1"/>
  <c r="L114" i="74"/>
  <c r="AD117" i="74"/>
  <c r="AG120" i="4" s="1"/>
  <c r="AH120" i="4" s="1"/>
  <c r="AC120" i="74"/>
  <c r="AF123" i="4" s="1"/>
  <c r="AH123" i="4" s="1"/>
  <c r="AG120" i="74"/>
  <c r="AK123" i="4" s="1"/>
  <c r="AG133" i="74"/>
  <c r="AK136" i="4" s="1"/>
  <c r="AE136" i="74"/>
  <c r="AI139" i="4" s="1"/>
  <c r="O137" i="85"/>
  <c r="AG110" i="74"/>
  <c r="AK113" i="4" s="1"/>
  <c r="T111" i="74"/>
  <c r="I114" i="3" s="1"/>
  <c r="Y112" i="74"/>
  <c r="AA115" i="4" s="1"/>
  <c r="Z118" i="74"/>
  <c r="AB121" i="4" s="1"/>
  <c r="AD118" i="74"/>
  <c r="AG121" i="4" s="1"/>
  <c r="H120" i="74"/>
  <c r="R121" i="74"/>
  <c r="G124" i="3" s="1"/>
  <c r="I122" i="74"/>
  <c r="H123" i="74"/>
  <c r="X126" i="75" s="1"/>
  <c r="Y126" i="75" s="1"/>
  <c r="Z131" i="74"/>
  <c r="AB134" i="4" s="1"/>
  <c r="T104" i="74"/>
  <c r="I107" i="3" s="1"/>
  <c r="Y104" i="74"/>
  <c r="AA107" i="4" s="1"/>
  <c r="H110" i="74"/>
  <c r="Q111" i="74"/>
  <c r="F114" i="3" s="1"/>
  <c r="AB111" i="74"/>
  <c r="AD114" i="4" s="1"/>
  <c r="G112" i="74"/>
  <c r="AG112" i="74"/>
  <c r="AK115" i="4" s="1"/>
  <c r="U113" i="74"/>
  <c r="J116" i="3" s="1"/>
  <c r="U117" i="74"/>
  <c r="J120" i="3" s="1"/>
  <c r="Z117" i="74"/>
  <c r="AB120" i="4" s="1"/>
  <c r="T118" i="74"/>
  <c r="I121" i="3" s="1"/>
  <c r="AA120" i="74"/>
  <c r="AC123" i="4" s="1"/>
  <c r="L124" i="74"/>
  <c r="Z124" i="74"/>
  <c r="AB127" i="4" s="1"/>
  <c r="AF104" i="74"/>
  <c r="AJ107" i="4" s="1"/>
  <c r="AA106" i="74"/>
  <c r="AC109" i="4" s="1"/>
  <c r="O133" i="85"/>
  <c r="AB109" i="74"/>
  <c r="AD112" i="4" s="1"/>
  <c r="AE110" i="74"/>
  <c r="AI113" i="4" s="1"/>
  <c r="Y111" i="74"/>
  <c r="AA114" i="4" s="1"/>
  <c r="AB112" i="74"/>
  <c r="AD115" i="4" s="1"/>
  <c r="AC113" i="74"/>
  <c r="AF116" i="4" s="1"/>
  <c r="AA115" i="74"/>
  <c r="AC118" i="4" s="1"/>
  <c r="AE118" i="4" s="1"/>
  <c r="I120" i="74"/>
  <c r="S123" i="75" s="1"/>
  <c r="F121" i="74"/>
  <c r="AC121" i="74"/>
  <c r="AF124" i="4" s="1"/>
  <c r="AH124" i="4" s="1"/>
  <c r="Z122" i="74"/>
  <c r="AB125" i="4" s="1"/>
  <c r="O138" i="85"/>
  <c r="AE111" i="74"/>
  <c r="AI114" i="4" s="1"/>
  <c r="R117" i="74"/>
  <c r="G120" i="3" s="1"/>
  <c r="U118" i="74"/>
  <c r="J121" i="3" s="1"/>
  <c r="AG118" i="74"/>
  <c r="AK121" i="4" s="1"/>
  <c r="AL121" i="4" s="1"/>
  <c r="I121" i="74"/>
  <c r="S124" i="75" s="1"/>
  <c r="U121" i="74"/>
  <c r="J124" i="3" s="1"/>
  <c r="R132" i="74"/>
  <c r="G135" i="3" s="1"/>
  <c r="I135" i="74"/>
  <c r="S138" i="75" s="1"/>
  <c r="V138" i="75" s="1"/>
  <c r="AF136" i="74"/>
  <c r="AJ139" i="4" s="1"/>
  <c r="R137" i="74"/>
  <c r="G140" i="3" s="1"/>
  <c r="I139" i="74"/>
  <c r="L105" i="74"/>
  <c r="G106" i="74"/>
  <c r="R107" i="74"/>
  <c r="G110" i="3" s="1"/>
  <c r="AE107" i="74"/>
  <c r="AI110" i="4" s="1"/>
  <c r="Y109" i="74"/>
  <c r="AA112" i="4" s="1"/>
  <c r="F110" i="74"/>
  <c r="U112" i="74"/>
  <c r="J115" i="3" s="1"/>
  <c r="AB120" i="74"/>
  <c r="AD123" i="4" s="1"/>
  <c r="AF120" i="74"/>
  <c r="AJ123" i="4" s="1"/>
  <c r="AG122" i="74"/>
  <c r="AK125" i="4" s="1"/>
  <c r="AL125" i="4" s="1"/>
  <c r="Q123" i="74"/>
  <c r="F126" i="3" s="1"/>
  <c r="R126" i="74"/>
  <c r="G129" i="3" s="1"/>
  <c r="L126" i="74"/>
  <c r="R131" i="74"/>
  <c r="G134" i="3" s="1"/>
  <c r="L104" i="74"/>
  <c r="AD104" i="74"/>
  <c r="AG107" i="4" s="1"/>
  <c r="AH107" i="4" s="1"/>
  <c r="R105" i="74"/>
  <c r="G108" i="3" s="1"/>
  <c r="AC106" i="74"/>
  <c r="AF109" i="4" s="1"/>
  <c r="AF106" i="74"/>
  <c r="AJ109" i="4" s="1"/>
  <c r="N3" i="98"/>
  <c r="AD109" i="74"/>
  <c r="AG112" i="4" s="1"/>
  <c r="AH112" i="4" s="1"/>
  <c r="T110" i="74"/>
  <c r="I113" i="3" s="1"/>
  <c r="AF110" i="74"/>
  <c r="AJ113" i="4" s="1"/>
  <c r="R111" i="74"/>
  <c r="G114" i="3" s="1"/>
  <c r="F111" i="74"/>
  <c r="L116" i="74"/>
  <c r="H117" i="74"/>
  <c r="L120" i="74"/>
  <c r="AG121" i="74"/>
  <c r="AK124" i="4" s="1"/>
  <c r="AL124" i="4" s="1"/>
  <c r="Q122" i="74"/>
  <c r="F125" i="3" s="1"/>
  <c r="G104" i="74"/>
  <c r="AB106" i="74"/>
  <c r="AD109" i="4" s="1"/>
  <c r="L106" i="74"/>
  <c r="L110" i="74"/>
  <c r="G111" i="74"/>
  <c r="H112" i="74"/>
  <c r="I113" i="74"/>
  <c r="S116" i="75" s="1"/>
  <c r="AA114" i="74"/>
  <c r="AC117" i="4" s="1"/>
  <c r="AE117" i="4" s="1"/>
  <c r="Y117" i="74"/>
  <c r="AA120" i="4" s="1"/>
  <c r="R120" i="74"/>
  <c r="G123" i="3" s="1"/>
  <c r="Y120" i="74"/>
  <c r="AA123" i="4" s="1"/>
  <c r="AA121" i="74"/>
  <c r="AC124" i="4" s="1"/>
  <c r="AE124" i="4" s="1"/>
  <c r="F107" i="74"/>
  <c r="E45" i="102"/>
  <c r="D45" i="102"/>
  <c r="B40" i="102"/>
  <c r="E40" i="102"/>
  <c r="B23" i="102"/>
  <c r="E23" i="102"/>
  <c r="B48" i="107"/>
  <c r="E48" i="107"/>
  <c r="B45" i="107"/>
  <c r="E45" i="107"/>
  <c r="D37" i="107"/>
  <c r="E37" i="107"/>
  <c r="D80" i="107"/>
  <c r="E80" i="107"/>
  <c r="B80" i="107"/>
  <c r="D101" i="107"/>
  <c r="E101" i="107"/>
  <c r="B101" i="107"/>
  <c r="B68" i="107"/>
  <c r="E68" i="107"/>
  <c r="B73" i="102"/>
  <c r="E73" i="102"/>
  <c r="T27" i="107"/>
  <c r="D46" i="107"/>
  <c r="D109" i="107"/>
  <c r="B53" i="107"/>
  <c r="E62" i="107"/>
  <c r="D58" i="107"/>
  <c r="B55" i="102"/>
  <c r="D53" i="107"/>
  <c r="AH14" i="4"/>
  <c r="AM14" i="4" s="1"/>
  <c r="AN14" i="4" s="1"/>
  <c r="D108" i="107"/>
  <c r="E108" i="107"/>
  <c r="B108" i="107"/>
  <c r="B88" i="107"/>
  <c r="D88" i="107"/>
  <c r="E29" i="102"/>
  <c r="E27" i="107"/>
  <c r="D27" i="107"/>
  <c r="E50" i="107"/>
  <c r="B50" i="107"/>
  <c r="E69" i="107"/>
  <c r="B69" i="107"/>
  <c r="D69" i="107"/>
  <c r="D110" i="107"/>
  <c r="B110" i="107"/>
  <c r="D76" i="107"/>
  <c r="B76" i="107"/>
  <c r="D53" i="102"/>
  <c r="B53" i="102"/>
  <c r="E15" i="107"/>
  <c r="E58" i="107"/>
  <c r="R90" i="74"/>
  <c r="G93" i="3" s="1"/>
  <c r="I93" i="74"/>
  <c r="H94" i="74"/>
  <c r="L95" i="74"/>
  <c r="Y96" i="74"/>
  <c r="AA99" i="4" s="1"/>
  <c r="U97" i="74"/>
  <c r="J100" i="3" s="1"/>
  <c r="AC97" i="74"/>
  <c r="AF100" i="4" s="1"/>
  <c r="AA98" i="74"/>
  <c r="AC101" i="4" s="1"/>
  <c r="I100" i="74"/>
  <c r="AA100" i="74"/>
  <c r="AC103" i="4" s="1"/>
  <c r="T101" i="74"/>
  <c r="I104" i="3" s="1"/>
  <c r="F102" i="74"/>
  <c r="R104" i="74"/>
  <c r="G107" i="3" s="1"/>
  <c r="U92" i="74"/>
  <c r="J95" i="3" s="1"/>
  <c r="Z93" i="74"/>
  <c r="AB96" i="4" s="1"/>
  <c r="L94" i="74"/>
  <c r="L97" i="74"/>
  <c r="Y97" i="74"/>
  <c r="AA100" i="4" s="1"/>
  <c r="I98" i="74"/>
  <c r="S101" i="75" s="1"/>
  <c r="AG98" i="74"/>
  <c r="AK101" i="4" s="1"/>
  <c r="G103" i="74"/>
  <c r="AA104" i="74"/>
  <c r="AC107" i="4" s="1"/>
  <c r="T105" i="74"/>
  <c r="I108" i="3" s="1"/>
  <c r="Y105" i="74"/>
  <c r="AA108" i="4" s="1"/>
  <c r="U106" i="74"/>
  <c r="J109" i="3" s="1"/>
  <c r="Y106" i="74"/>
  <c r="AA109" i="4" s="1"/>
  <c r="Y90" i="74"/>
  <c r="AA93" i="4" s="1"/>
  <c r="AE96" i="74"/>
  <c r="AI99" i="4" s="1"/>
  <c r="G97" i="74"/>
  <c r="R98" i="74"/>
  <c r="G101" i="3" s="1"/>
  <c r="AC98" i="74"/>
  <c r="AF101" i="4" s="1"/>
  <c r="AH101" i="4" s="1"/>
  <c r="AF100" i="74"/>
  <c r="AJ103" i="4" s="1"/>
  <c r="AL103" i="4" s="1"/>
  <c r="F101" i="74"/>
  <c r="U103" i="74"/>
  <c r="J106" i="3" s="1"/>
  <c r="U104" i="74"/>
  <c r="J107" i="3" s="1"/>
  <c r="L89" i="74"/>
  <c r="AB89" i="74"/>
  <c r="AD92" i="4" s="1"/>
  <c r="Q92" i="74"/>
  <c r="F95" i="3" s="1"/>
  <c r="F92" i="74"/>
  <c r="AC93" i="74"/>
  <c r="AF96" i="4" s="1"/>
  <c r="U96" i="74"/>
  <c r="J99" i="3" s="1"/>
  <c r="T97" i="74"/>
  <c r="I100" i="3" s="1"/>
  <c r="G98" i="74"/>
  <c r="U100" i="74"/>
  <c r="J103" i="3" s="1"/>
  <c r="Z100" i="74"/>
  <c r="AB103" i="4" s="1"/>
  <c r="G102" i="74"/>
  <c r="L135" i="74"/>
  <c r="L93" i="74"/>
  <c r="I94" i="74"/>
  <c r="S97" i="75" s="1"/>
  <c r="O126" i="85"/>
  <c r="Z99" i="74"/>
  <c r="AB102" i="4" s="1"/>
  <c r="Z89" i="74"/>
  <c r="AB92" i="4" s="1"/>
  <c r="L90" i="74"/>
  <c r="AE92" i="74"/>
  <c r="AI95" i="4" s="1"/>
  <c r="O121" i="85"/>
  <c r="AC96" i="74"/>
  <c r="AF99" i="4" s="1"/>
  <c r="AH99" i="4" s="1"/>
  <c r="R97" i="74"/>
  <c r="G100" i="3" s="1"/>
  <c r="H97" i="74"/>
  <c r="F97" i="74"/>
  <c r="AD97" i="74"/>
  <c r="AG100" i="4" s="1"/>
  <c r="L100" i="74"/>
  <c r="AC100" i="74"/>
  <c r="AF103" i="4" s="1"/>
  <c r="AH103" i="4" s="1"/>
  <c r="U101" i="74"/>
  <c r="J104" i="3" s="1"/>
  <c r="AE101" i="74"/>
  <c r="AI104" i="4" s="1"/>
  <c r="L103" i="74"/>
  <c r="AB93" i="74"/>
  <c r="AD96" i="4" s="1"/>
  <c r="G95" i="74"/>
  <c r="L98" i="74"/>
  <c r="T100" i="74"/>
  <c r="I103" i="3" s="1"/>
  <c r="Y100" i="74"/>
  <c r="AA103" i="4" s="1"/>
  <c r="AB104" i="74"/>
  <c r="AD107" i="4" s="1"/>
  <c r="U105" i="74"/>
  <c r="J108" i="3" s="1"/>
  <c r="H106" i="74"/>
  <c r="L92" i="74"/>
  <c r="Z94" i="74"/>
  <c r="AB97" i="4" s="1"/>
  <c r="G96" i="74"/>
  <c r="AF96" i="74"/>
  <c r="AJ99" i="4" s="1"/>
  <c r="T98" i="74"/>
  <c r="I101" i="3" s="1"/>
  <c r="G100" i="74"/>
  <c r="AB103" i="74"/>
  <c r="AD106" i="4" s="1"/>
  <c r="AE106" i="4" s="1"/>
  <c r="I104" i="74"/>
  <c r="Q105" i="74"/>
  <c r="F108" i="3" s="1"/>
  <c r="I105" i="74"/>
  <c r="S108" i="75" s="1"/>
  <c r="T19" i="107" l="1"/>
  <c r="T75" i="107"/>
  <c r="T83" i="107"/>
  <c r="T114" i="107"/>
  <c r="T124" i="107"/>
  <c r="C127" i="104"/>
  <c r="H127" i="99" s="1"/>
  <c r="E127" i="99" s="1"/>
  <c r="C107" i="97"/>
  <c r="K102" i="4"/>
  <c r="AH143" i="4"/>
  <c r="AB185" i="104"/>
  <c r="Z185" i="104" s="1"/>
  <c r="D228" i="104"/>
  <c r="G111" i="75"/>
  <c r="H111" i="75" s="1"/>
  <c r="I111" i="75" s="1"/>
  <c r="C187" i="104"/>
  <c r="S187" i="104"/>
  <c r="U147" i="97"/>
  <c r="U141" i="97"/>
  <c r="D218" i="104"/>
  <c r="C218" i="104"/>
  <c r="H51" i="4"/>
  <c r="AB212" i="104"/>
  <c r="Z212" i="104" s="1"/>
  <c r="S212" i="104" s="1"/>
  <c r="B212" i="104" s="1"/>
  <c r="K151" i="4"/>
  <c r="O59" i="75"/>
  <c r="V104" i="103"/>
  <c r="G104" i="99" s="1"/>
  <c r="D104" i="99" s="1"/>
  <c r="B187" i="104"/>
  <c r="D104" i="104"/>
  <c r="AB130" i="104"/>
  <c r="Z130" i="104" s="1"/>
  <c r="S130" i="104" s="1"/>
  <c r="O76" i="4"/>
  <c r="D214" i="104"/>
  <c r="G135" i="75"/>
  <c r="H135" i="75" s="1"/>
  <c r="I135" i="75" s="1"/>
  <c r="H141" i="4"/>
  <c r="AM7" i="4"/>
  <c r="AN7" i="4" s="1"/>
  <c r="O75" i="4"/>
  <c r="N52" i="4"/>
  <c r="Z56" i="104"/>
  <c r="S56" i="104" s="1"/>
  <c r="B56" i="104" s="1"/>
  <c r="F56" i="99" s="1"/>
  <c r="C56" i="99" s="1"/>
  <c r="L52" i="104"/>
  <c r="D52" i="104" s="1"/>
  <c r="AB193" i="104"/>
  <c r="Z193" i="104" s="1"/>
  <c r="D119" i="104"/>
  <c r="L50" i="4"/>
  <c r="T152" i="97"/>
  <c r="P18" i="75"/>
  <c r="Q18" i="75" s="1"/>
  <c r="O55" i="4"/>
  <c r="O108" i="4"/>
  <c r="AB190" i="104"/>
  <c r="Z190" i="104" s="1"/>
  <c r="C190" i="104" s="1"/>
  <c r="U132" i="97"/>
  <c r="U148" i="97"/>
  <c r="U61" i="97"/>
  <c r="T97" i="97"/>
  <c r="M137" i="97"/>
  <c r="P13" i="97"/>
  <c r="R93" i="75"/>
  <c r="T88" i="97"/>
  <c r="T9" i="97"/>
  <c r="M19" i="97"/>
  <c r="I115" i="75"/>
  <c r="T8" i="97"/>
  <c r="T61" i="97"/>
  <c r="T136" i="97"/>
  <c r="P89" i="97"/>
  <c r="T6" i="97"/>
  <c r="R90" i="3"/>
  <c r="P147" i="97"/>
  <c r="AL136" i="4"/>
  <c r="P10" i="97"/>
  <c r="Q10" i="97"/>
  <c r="P41" i="97"/>
  <c r="O104" i="97"/>
  <c r="I104" i="97" s="1"/>
  <c r="T10" i="97"/>
  <c r="T110" i="97"/>
  <c r="P92" i="97"/>
  <c r="T64" i="107"/>
  <c r="T45" i="107"/>
  <c r="AA90" i="75"/>
  <c r="K111" i="4"/>
  <c r="I141" i="75"/>
  <c r="K141" i="75"/>
  <c r="L141" i="75" s="1"/>
  <c r="F59" i="75"/>
  <c r="O96" i="4"/>
  <c r="V106" i="75"/>
  <c r="O114" i="4"/>
  <c r="O29" i="4"/>
  <c r="X146" i="75"/>
  <c r="Y146" i="75" s="1"/>
  <c r="Z146" i="75" s="1"/>
  <c r="K139" i="75"/>
  <c r="L139" i="75" s="1"/>
  <c r="O48" i="4"/>
  <c r="I126" i="75"/>
  <c r="M104" i="104"/>
  <c r="O61" i="4"/>
  <c r="X61" i="4" s="1"/>
  <c r="S60" i="97" s="1"/>
  <c r="K57" i="4"/>
  <c r="T50" i="102"/>
  <c r="C171" i="104"/>
  <c r="S171" i="104"/>
  <c r="AH71" i="104"/>
  <c r="Q71" i="103"/>
  <c r="AC71" i="74"/>
  <c r="AF74" i="4" s="1"/>
  <c r="F86" i="104"/>
  <c r="G86" i="104" s="1"/>
  <c r="D86" i="104" s="1"/>
  <c r="B86" i="104" s="1"/>
  <c r="F86" i="99" s="1"/>
  <c r="C86" i="99" s="1"/>
  <c r="C86" i="103"/>
  <c r="G86" i="74"/>
  <c r="J89" i="75" s="1"/>
  <c r="AK79" i="104"/>
  <c r="S79" i="103"/>
  <c r="AE79" i="74"/>
  <c r="AI82" i="4" s="1"/>
  <c r="I43" i="104"/>
  <c r="E43" i="103"/>
  <c r="I43" i="74"/>
  <c r="S46" i="75" s="1"/>
  <c r="S34" i="74"/>
  <c r="H37" i="3" s="1"/>
  <c r="Q80" i="103"/>
  <c r="AH80" i="104"/>
  <c r="AC80" i="74"/>
  <c r="AF83" i="4" s="1"/>
  <c r="AA139" i="104"/>
  <c r="L139" i="103"/>
  <c r="E34" i="104"/>
  <c r="G34" i="104" s="1"/>
  <c r="B34" i="103"/>
  <c r="F34" i="74"/>
  <c r="AD76" i="74"/>
  <c r="AG79" i="4" s="1"/>
  <c r="AI76" i="104"/>
  <c r="R76" i="103"/>
  <c r="AH97" i="104"/>
  <c r="Q97" i="103"/>
  <c r="I8" i="4"/>
  <c r="P8" i="4"/>
  <c r="L8" i="4"/>
  <c r="F8" i="4"/>
  <c r="S8" i="4"/>
  <c r="G8" i="4"/>
  <c r="V8" i="4"/>
  <c r="J8" i="4"/>
  <c r="T8" i="4"/>
  <c r="M8" i="4"/>
  <c r="U8" i="4"/>
  <c r="AL110" i="4"/>
  <c r="G142" i="75"/>
  <c r="H142" i="75" s="1"/>
  <c r="I142" i="75" s="1"/>
  <c r="O63" i="4"/>
  <c r="L113" i="4"/>
  <c r="D213" i="104"/>
  <c r="R118" i="75"/>
  <c r="B120" i="103"/>
  <c r="C85" i="104"/>
  <c r="H85" i="99" s="1"/>
  <c r="E85" i="99" s="1"/>
  <c r="B85" i="99" s="1"/>
  <c r="K87" i="97" s="1"/>
  <c r="AB219" i="104"/>
  <c r="Z219" i="104" s="1"/>
  <c r="J72" i="103"/>
  <c r="Q72" i="104"/>
  <c r="AD93" i="104"/>
  <c r="N93" i="103"/>
  <c r="R80" i="104"/>
  <c r="U80" i="74"/>
  <c r="J83" i="3" s="1"/>
  <c r="N21" i="104"/>
  <c r="G21" i="103"/>
  <c r="Q21" i="74"/>
  <c r="F24" i="3" s="1"/>
  <c r="O58" i="103"/>
  <c r="AE58" i="104"/>
  <c r="AA58" i="74"/>
  <c r="AC61" i="4" s="1"/>
  <c r="AL38" i="104"/>
  <c r="T38" i="103"/>
  <c r="AF38" i="74"/>
  <c r="AJ41" i="4" s="1"/>
  <c r="H81" i="104"/>
  <c r="D81" i="103"/>
  <c r="H81" i="74"/>
  <c r="O142" i="103"/>
  <c r="AE142" i="104"/>
  <c r="O25" i="104"/>
  <c r="H25" i="103"/>
  <c r="R25" i="74"/>
  <c r="G28" i="3" s="1"/>
  <c r="Q42" i="104"/>
  <c r="J42" i="103"/>
  <c r="T42" i="74"/>
  <c r="I45" i="3" s="1"/>
  <c r="U79" i="74"/>
  <c r="J82" i="3" s="1"/>
  <c r="R79" i="104"/>
  <c r="K79" i="103"/>
  <c r="F102" i="104"/>
  <c r="G102" i="104" s="1"/>
  <c r="D102" i="104" s="1"/>
  <c r="B102" i="104" s="1"/>
  <c r="F102" i="99" s="1"/>
  <c r="C102" i="99" s="1"/>
  <c r="C102" i="103"/>
  <c r="Y12" i="4"/>
  <c r="Z12" i="4" s="1"/>
  <c r="AN12" i="4" s="1"/>
  <c r="V9" i="74"/>
  <c r="I88" i="75"/>
  <c r="AA74" i="104"/>
  <c r="L74" i="103"/>
  <c r="E107" i="104"/>
  <c r="G107" i="104" s="1"/>
  <c r="D107" i="104" s="1"/>
  <c r="B107" i="103"/>
  <c r="E101" i="104"/>
  <c r="B101" i="103"/>
  <c r="AK23" i="104"/>
  <c r="S23" i="103"/>
  <c r="AE23" i="74"/>
  <c r="AI26" i="4" s="1"/>
  <c r="C6" i="97"/>
  <c r="C7" i="3"/>
  <c r="C7" i="75"/>
  <c r="C7" i="4"/>
  <c r="P63" i="103"/>
  <c r="AF63" i="104"/>
  <c r="AB63" i="74"/>
  <c r="AD66" i="4" s="1"/>
  <c r="C55" i="4"/>
  <c r="C55" i="75"/>
  <c r="C54" i="97"/>
  <c r="C55" i="3"/>
  <c r="D84" i="103"/>
  <c r="H84" i="104"/>
  <c r="H84" i="74"/>
  <c r="AM26" i="104"/>
  <c r="U26" i="103"/>
  <c r="AG26" i="74"/>
  <c r="AK29" i="4" s="1"/>
  <c r="AC50" i="104"/>
  <c r="M50" i="103"/>
  <c r="Y50" i="74"/>
  <c r="AA53" i="4" s="1"/>
  <c r="C80" i="103"/>
  <c r="F80" i="104"/>
  <c r="G80" i="74"/>
  <c r="J83" i="75" s="1"/>
  <c r="F133" i="103"/>
  <c r="C202" i="104"/>
  <c r="S202" i="104"/>
  <c r="B202" i="104" s="1"/>
  <c r="W51" i="4"/>
  <c r="X51" i="4" s="1"/>
  <c r="Q23" i="104"/>
  <c r="J23" i="103"/>
  <c r="T23" i="74"/>
  <c r="I26" i="3" s="1"/>
  <c r="H78" i="103"/>
  <c r="O78" i="104"/>
  <c r="R78" i="74"/>
  <c r="G81" i="3" s="1"/>
  <c r="K112" i="103"/>
  <c r="R112" i="104"/>
  <c r="AI16" i="104"/>
  <c r="R16" i="103"/>
  <c r="AD16" i="74"/>
  <c r="AG19" i="4" s="1"/>
  <c r="M112" i="103"/>
  <c r="AC112" i="104"/>
  <c r="AG112" i="104" s="1"/>
  <c r="AA63" i="104"/>
  <c r="L63" i="103"/>
  <c r="AD148" i="104"/>
  <c r="AG148" i="104" s="1"/>
  <c r="N148" i="103"/>
  <c r="C4" i="103"/>
  <c r="F4" i="104"/>
  <c r="G4" i="74"/>
  <c r="J7" i="75" s="1"/>
  <c r="S74" i="74"/>
  <c r="H77" i="3" s="1"/>
  <c r="F63" i="104"/>
  <c r="G63" i="104" s="1"/>
  <c r="C63" i="103"/>
  <c r="G63" i="74"/>
  <c r="K66" i="75" s="1"/>
  <c r="L66" i="75" s="1"/>
  <c r="AA94" i="104"/>
  <c r="L94" i="103"/>
  <c r="N63" i="104"/>
  <c r="G63" i="103"/>
  <c r="Q63" i="74"/>
  <c r="F66" i="3" s="1"/>
  <c r="AL80" i="104"/>
  <c r="T80" i="103"/>
  <c r="AF80" i="74"/>
  <c r="AJ83" i="4" s="1"/>
  <c r="AB30" i="75"/>
  <c r="N29" i="97" s="1"/>
  <c r="AH121" i="4"/>
  <c r="AB155" i="104"/>
  <c r="Z155" i="104" s="1"/>
  <c r="W59" i="4"/>
  <c r="AC25" i="104"/>
  <c r="M25" i="103"/>
  <c r="Y25" i="74"/>
  <c r="AA28" i="4" s="1"/>
  <c r="B79" i="103"/>
  <c r="E79" i="104"/>
  <c r="F79" i="74"/>
  <c r="F82" i="75" s="1"/>
  <c r="AH133" i="104"/>
  <c r="AJ133" i="104" s="1"/>
  <c r="Q133" i="103"/>
  <c r="K23" i="103"/>
  <c r="R23" i="104"/>
  <c r="U23" i="74"/>
  <c r="J26" i="3" s="1"/>
  <c r="P26" i="3" s="1"/>
  <c r="H71" i="104"/>
  <c r="D71" i="103"/>
  <c r="H71" i="74"/>
  <c r="I10" i="104"/>
  <c r="E10" i="103"/>
  <c r="I10" i="74"/>
  <c r="S13" i="75" s="1"/>
  <c r="AF80" i="104"/>
  <c r="P80" i="103"/>
  <c r="AB80" i="74"/>
  <c r="AD83" i="4" s="1"/>
  <c r="T26" i="103"/>
  <c r="AL26" i="104"/>
  <c r="AF26" i="74"/>
  <c r="AJ29" i="4" s="1"/>
  <c r="S63" i="103"/>
  <c r="AK63" i="104"/>
  <c r="AE63" i="74"/>
  <c r="AI66" i="4" s="1"/>
  <c r="Q97" i="104"/>
  <c r="AK28" i="104"/>
  <c r="S28" i="103"/>
  <c r="AE28" i="74"/>
  <c r="AI31" i="4" s="1"/>
  <c r="AL63" i="104"/>
  <c r="T63" i="103"/>
  <c r="AF63" i="74"/>
  <c r="AJ66" i="4" s="1"/>
  <c r="I81" i="104"/>
  <c r="E81" i="103"/>
  <c r="I81" i="74"/>
  <c r="S84" i="75" s="1"/>
  <c r="P72" i="104"/>
  <c r="AE127" i="4"/>
  <c r="F120" i="74"/>
  <c r="O45" i="4"/>
  <c r="AE136" i="4"/>
  <c r="D56" i="104"/>
  <c r="K52" i="4"/>
  <c r="O52" i="4" s="1"/>
  <c r="E41" i="103"/>
  <c r="I41" i="104"/>
  <c r="I41" i="74"/>
  <c r="S44" i="75" s="1"/>
  <c r="Q80" i="104"/>
  <c r="J80" i="103"/>
  <c r="T80" i="74"/>
  <c r="I83" i="3" s="1"/>
  <c r="K147" i="103"/>
  <c r="R147" i="104"/>
  <c r="Q24" i="103"/>
  <c r="AH24" i="104"/>
  <c r="AC24" i="74"/>
  <c r="AF27" i="4" s="1"/>
  <c r="O20" i="103"/>
  <c r="AE20" i="104"/>
  <c r="AA20" i="74"/>
  <c r="AC23" i="4" s="1"/>
  <c r="AM89" i="104"/>
  <c r="AG89" i="74"/>
  <c r="AK92" i="4" s="1"/>
  <c r="U89" i="103"/>
  <c r="D28" i="103"/>
  <c r="H28" i="104"/>
  <c r="H28" i="74"/>
  <c r="O31" i="75" s="1"/>
  <c r="M71" i="103"/>
  <c r="AC71" i="104"/>
  <c r="Y71" i="74"/>
  <c r="AA74" i="4" s="1"/>
  <c r="K103" i="103"/>
  <c r="V103" i="103" s="1"/>
  <c r="G103" i="99" s="1"/>
  <c r="D103" i="99" s="1"/>
  <c r="R103" i="104"/>
  <c r="M103" i="104" s="1"/>
  <c r="B29" i="103"/>
  <c r="E29" i="104"/>
  <c r="G29" i="104" s="1"/>
  <c r="F29" i="74"/>
  <c r="J66" i="103"/>
  <c r="Q66" i="104"/>
  <c r="T66" i="74"/>
  <c r="I69" i="3" s="1"/>
  <c r="F84" i="104"/>
  <c r="G84" i="104" s="1"/>
  <c r="C84" i="103"/>
  <c r="G84" i="74"/>
  <c r="J87" i="75" s="1"/>
  <c r="AH109" i="4"/>
  <c r="AL116" i="4"/>
  <c r="D174" i="104"/>
  <c r="V59" i="75"/>
  <c r="B228" i="104"/>
  <c r="R42" i="104"/>
  <c r="K42" i="103"/>
  <c r="U42" i="74"/>
  <c r="J45" i="3" s="1"/>
  <c r="U80" i="103"/>
  <c r="AM80" i="104"/>
  <c r="AG80" i="74"/>
  <c r="AK83" i="4" s="1"/>
  <c r="O75" i="104"/>
  <c r="H75" i="103"/>
  <c r="R75" i="74"/>
  <c r="G78" i="3" s="1"/>
  <c r="AA80" i="104"/>
  <c r="L80" i="103"/>
  <c r="E21" i="104"/>
  <c r="B21" i="103"/>
  <c r="F21" i="74"/>
  <c r="F24" i="75" s="1"/>
  <c r="F94" i="103"/>
  <c r="J94" i="104"/>
  <c r="F29" i="103"/>
  <c r="J29" i="104"/>
  <c r="L29" i="74"/>
  <c r="W32" i="75" s="1"/>
  <c r="F74" i="103"/>
  <c r="J74" i="104"/>
  <c r="L74" i="74"/>
  <c r="W77" i="75" s="1"/>
  <c r="E133" i="103"/>
  <c r="I133" i="104"/>
  <c r="K133" i="104" s="1"/>
  <c r="L133" i="104" s="1"/>
  <c r="D133" i="104" s="1"/>
  <c r="H151" i="104"/>
  <c r="AD30" i="104"/>
  <c r="N30" i="103"/>
  <c r="Z30" i="74"/>
  <c r="AB33" i="4" s="1"/>
  <c r="P71" i="103"/>
  <c r="AF71" i="104"/>
  <c r="AB71" i="74"/>
  <c r="AD74" i="4" s="1"/>
  <c r="D93" i="103"/>
  <c r="H93" i="104"/>
  <c r="H93" i="74"/>
  <c r="O96" i="75" s="1"/>
  <c r="AL95" i="4"/>
  <c r="M107" i="3"/>
  <c r="AL115" i="4"/>
  <c r="Q113" i="4"/>
  <c r="AH114" i="4"/>
  <c r="K118" i="75"/>
  <c r="L118" i="75" s="1"/>
  <c r="M118" i="75" s="1"/>
  <c r="L112" i="4"/>
  <c r="AA40" i="75"/>
  <c r="K63" i="103"/>
  <c r="R63" i="104"/>
  <c r="U63" i="74"/>
  <c r="J66" i="3" s="1"/>
  <c r="AE81" i="104"/>
  <c r="O81" i="103"/>
  <c r="AA81" i="74"/>
  <c r="AC84" i="4" s="1"/>
  <c r="N78" i="103"/>
  <c r="AD78" i="104"/>
  <c r="Z78" i="74"/>
  <c r="AB81" i="4" s="1"/>
  <c r="U112" i="103"/>
  <c r="AM112" i="104"/>
  <c r="AC80" i="104"/>
  <c r="M80" i="103"/>
  <c r="Y80" i="74"/>
  <c r="AA83" i="4" s="1"/>
  <c r="R29" i="104"/>
  <c r="K29" i="103"/>
  <c r="U29" i="74"/>
  <c r="J32" i="3" s="1"/>
  <c r="AA114" i="104"/>
  <c r="L114" i="103"/>
  <c r="Q33" i="104"/>
  <c r="J33" i="103"/>
  <c r="T33" i="74"/>
  <c r="I36" i="3" s="1"/>
  <c r="C79" i="103"/>
  <c r="F79" i="104"/>
  <c r="G79" i="104" s="1"/>
  <c r="G79" i="74"/>
  <c r="J82" i="75" s="1"/>
  <c r="H134" i="104"/>
  <c r="D134" i="103"/>
  <c r="AA33" i="104"/>
  <c r="L33" i="103"/>
  <c r="C72" i="103"/>
  <c r="F72" i="104"/>
  <c r="G72" i="74"/>
  <c r="J75" i="75" s="1"/>
  <c r="AH94" i="104"/>
  <c r="Q94" i="103"/>
  <c r="AC94" i="74"/>
  <c r="AF97" i="4" s="1"/>
  <c r="H149" i="104"/>
  <c r="C193" i="104"/>
  <c r="S193" i="104"/>
  <c r="B193" i="104" s="1"/>
  <c r="N99" i="3"/>
  <c r="N90" i="4"/>
  <c r="O14" i="4"/>
  <c r="W9" i="4"/>
  <c r="AB209" i="104"/>
  <c r="Z209" i="104" s="1"/>
  <c r="AB169" i="104"/>
  <c r="Z169" i="104" s="1"/>
  <c r="AI40" i="104"/>
  <c r="R40" i="103"/>
  <c r="AD40" i="74"/>
  <c r="AG43" i="4" s="1"/>
  <c r="T71" i="103"/>
  <c r="AL71" i="104"/>
  <c r="AN71" i="104" s="1"/>
  <c r="AF71" i="74"/>
  <c r="AJ74" i="4" s="1"/>
  <c r="AL74" i="4" s="1"/>
  <c r="I100" i="104"/>
  <c r="E100" i="103"/>
  <c r="AC141" i="104"/>
  <c r="M141" i="103"/>
  <c r="N17" i="104"/>
  <c r="Q17" i="74"/>
  <c r="F20" i="3" s="1"/>
  <c r="G17" i="103"/>
  <c r="F64" i="104"/>
  <c r="C64" i="103"/>
  <c r="G64" i="74"/>
  <c r="J67" i="75" s="1"/>
  <c r="N100" i="103"/>
  <c r="AD100" i="104"/>
  <c r="W4" i="104"/>
  <c r="X4" i="104" s="1"/>
  <c r="T4" i="104" s="1"/>
  <c r="S4" i="104" s="1"/>
  <c r="J6" i="85"/>
  <c r="O31" i="103"/>
  <c r="AE31" i="104"/>
  <c r="AA31" i="74"/>
  <c r="AC34" i="4" s="1"/>
  <c r="H133" i="103"/>
  <c r="O133" i="104"/>
  <c r="Q151" i="104"/>
  <c r="T151" i="74"/>
  <c r="H10" i="104"/>
  <c r="H10" i="74"/>
  <c r="D10" i="103"/>
  <c r="F51" i="104"/>
  <c r="G51" i="104" s="1"/>
  <c r="C51" i="103"/>
  <c r="G51" i="74"/>
  <c r="K54" i="75" s="1"/>
  <c r="L54" i="75" s="1"/>
  <c r="C93" i="103"/>
  <c r="F93" i="104"/>
  <c r="G93" i="104" s="1"/>
  <c r="G93" i="74"/>
  <c r="E121" i="103"/>
  <c r="I121" i="104"/>
  <c r="K121" i="104" s="1"/>
  <c r="Q36" i="104"/>
  <c r="J36" i="103"/>
  <c r="T36" i="74"/>
  <c r="I39" i="3" s="1"/>
  <c r="I113" i="104"/>
  <c r="E113" i="103"/>
  <c r="R105" i="104"/>
  <c r="K105" i="103"/>
  <c r="D21" i="103"/>
  <c r="H21" i="104"/>
  <c r="H21" i="74"/>
  <c r="O24" i="75" s="1"/>
  <c r="AA51" i="104"/>
  <c r="L51" i="103"/>
  <c r="J93" i="104"/>
  <c r="F93" i="103"/>
  <c r="T50" i="4"/>
  <c r="M50" i="4"/>
  <c r="N50" i="4" s="1"/>
  <c r="I50" i="4"/>
  <c r="K50" i="4" s="1"/>
  <c r="V50" i="4"/>
  <c r="P50" i="4"/>
  <c r="U50" i="4"/>
  <c r="S50" i="4"/>
  <c r="F50" i="4"/>
  <c r="G50" i="4"/>
  <c r="R55" i="4"/>
  <c r="X55" i="4" s="1"/>
  <c r="P115" i="104"/>
  <c r="T139" i="74"/>
  <c r="I142" i="3" s="1"/>
  <c r="K142" i="3" s="1"/>
  <c r="K54" i="4"/>
  <c r="F113" i="4"/>
  <c r="I112" i="75"/>
  <c r="C8" i="97"/>
  <c r="C9" i="75"/>
  <c r="C9" i="4"/>
  <c r="C9" i="3"/>
  <c r="M41" i="103"/>
  <c r="AC41" i="104"/>
  <c r="Y41" i="74"/>
  <c r="AA44" i="4" s="1"/>
  <c r="J78" i="104"/>
  <c r="F78" i="103"/>
  <c r="L78" i="74"/>
  <c r="W81" i="75" s="1"/>
  <c r="Q118" i="104"/>
  <c r="J118" i="103"/>
  <c r="Q146" i="103"/>
  <c r="AH146" i="104"/>
  <c r="AJ146" i="104" s="1"/>
  <c r="I151" i="104"/>
  <c r="AD17" i="104"/>
  <c r="Z17" i="74"/>
  <c r="AB20" i="4" s="1"/>
  <c r="N17" i="103"/>
  <c r="S76" i="74"/>
  <c r="H79" i="3" s="1"/>
  <c r="J16" i="103"/>
  <c r="Q16" i="104"/>
  <c r="O32" i="103"/>
  <c r="AE32" i="104"/>
  <c r="AA32" i="74"/>
  <c r="AC35" i="4" s="1"/>
  <c r="Q71" i="104"/>
  <c r="J71" i="103"/>
  <c r="T71" i="74"/>
  <c r="I74" i="3" s="1"/>
  <c r="I89" i="104"/>
  <c r="E89" i="103"/>
  <c r="I89" i="74"/>
  <c r="S92" i="75" s="1"/>
  <c r="S136" i="103"/>
  <c r="AK136" i="104"/>
  <c r="AN136" i="104" s="1"/>
  <c r="K144" i="74"/>
  <c r="R17" i="104"/>
  <c r="K17" i="103"/>
  <c r="U17" i="74"/>
  <c r="J20" i="3" s="1"/>
  <c r="O64" i="104"/>
  <c r="H64" i="103"/>
  <c r="R64" i="74"/>
  <c r="G67" i="3" s="1"/>
  <c r="AM93" i="104"/>
  <c r="AN93" i="104" s="1"/>
  <c r="U93" i="103"/>
  <c r="AG93" i="74"/>
  <c r="AK96" i="4" s="1"/>
  <c r="AL96" i="4" s="1"/>
  <c r="E131" i="103"/>
  <c r="I131" i="104"/>
  <c r="K131" i="104" s="1"/>
  <c r="C153" i="97"/>
  <c r="H51" i="103"/>
  <c r="O51" i="104"/>
  <c r="R51" i="74"/>
  <c r="G54" i="3" s="1"/>
  <c r="AI131" i="104"/>
  <c r="AJ131" i="104" s="1"/>
  <c r="R131" i="103"/>
  <c r="AA151" i="104"/>
  <c r="R106" i="103"/>
  <c r="AI106" i="104"/>
  <c r="J4" i="104"/>
  <c r="K4" i="104" s="1"/>
  <c r="L4" i="104" s="1"/>
  <c r="L4" i="74"/>
  <c r="C23" i="103"/>
  <c r="F23" i="104"/>
  <c r="G23" i="74"/>
  <c r="J26" i="75" s="1"/>
  <c r="Y57" i="74"/>
  <c r="AA60" i="4" s="1"/>
  <c r="AC57" i="104"/>
  <c r="M57" i="103"/>
  <c r="AF94" i="104"/>
  <c r="P94" i="103"/>
  <c r="AB94" i="74"/>
  <c r="AD97" i="4" s="1"/>
  <c r="M93" i="3"/>
  <c r="B224" i="104"/>
  <c r="T18" i="4"/>
  <c r="R12" i="75"/>
  <c r="R40" i="75"/>
  <c r="AB40" i="75" s="1"/>
  <c r="Z88" i="75"/>
  <c r="AA88" i="75" s="1"/>
  <c r="R55" i="75"/>
  <c r="M124" i="3"/>
  <c r="I113" i="4"/>
  <c r="C228" i="104"/>
  <c r="D221" i="104"/>
  <c r="B4" i="103"/>
  <c r="E4" i="104"/>
  <c r="F4" i="74"/>
  <c r="K49" i="103"/>
  <c r="R49" i="104"/>
  <c r="U49" i="74"/>
  <c r="J52" i="3" s="1"/>
  <c r="H82" i="103"/>
  <c r="O82" i="104"/>
  <c r="R82" i="74"/>
  <c r="G85" i="3" s="1"/>
  <c r="AH120" i="104"/>
  <c r="AJ120" i="104" s="1"/>
  <c r="Q120" i="103"/>
  <c r="AH147" i="104"/>
  <c r="AJ147" i="104" s="1"/>
  <c r="Q147" i="103"/>
  <c r="AC22" i="104"/>
  <c r="M22" i="103"/>
  <c r="Y22" i="74"/>
  <c r="AA25" i="4" s="1"/>
  <c r="B82" i="103"/>
  <c r="E82" i="104"/>
  <c r="F82" i="74"/>
  <c r="F85" i="75" s="1"/>
  <c r="U133" i="103"/>
  <c r="AM133" i="104"/>
  <c r="Q17" i="104"/>
  <c r="J17" i="103"/>
  <c r="T17" i="74"/>
  <c r="I20" i="3" s="1"/>
  <c r="AL33" i="104"/>
  <c r="T33" i="103"/>
  <c r="AF33" i="74"/>
  <c r="AJ36" i="4" s="1"/>
  <c r="AD71" i="104"/>
  <c r="N71" i="103"/>
  <c r="Z71" i="74"/>
  <c r="AB74" i="4" s="1"/>
  <c r="R90" i="103"/>
  <c r="AI90" i="104"/>
  <c r="AJ90" i="104" s="1"/>
  <c r="AD90" i="74"/>
  <c r="AG93" i="4" s="1"/>
  <c r="AH93" i="4" s="1"/>
  <c r="AF17" i="104"/>
  <c r="P17" i="103"/>
  <c r="AB17" i="74"/>
  <c r="AD20" i="4" s="1"/>
  <c r="C73" i="97"/>
  <c r="C74" i="4"/>
  <c r="C74" i="75"/>
  <c r="C74" i="3"/>
  <c r="I94" i="104"/>
  <c r="K94" i="104" s="1"/>
  <c r="E94" i="103"/>
  <c r="L132" i="103"/>
  <c r="AA132" i="104"/>
  <c r="E151" i="104"/>
  <c r="S58" i="74"/>
  <c r="H61" i="3" s="1"/>
  <c r="E139" i="103"/>
  <c r="I139" i="104"/>
  <c r="C11" i="103"/>
  <c r="F11" i="104"/>
  <c r="G11" i="74"/>
  <c r="J14" i="75" s="1"/>
  <c r="AH113" i="104"/>
  <c r="Q113" i="103"/>
  <c r="C13" i="75"/>
  <c r="C13" i="3"/>
  <c r="C13" i="4"/>
  <c r="I58" i="104"/>
  <c r="K58" i="104" s="1"/>
  <c r="L58" i="104" s="1"/>
  <c r="E58" i="103"/>
  <c r="I58" i="74"/>
  <c r="AC105" i="104"/>
  <c r="AG105" i="104" s="1"/>
  <c r="AB105" i="104" s="1"/>
  <c r="M105" i="103"/>
  <c r="J151" i="74"/>
  <c r="U56" i="97"/>
  <c r="O130" i="75"/>
  <c r="T130" i="75"/>
  <c r="U130" i="75" s="1"/>
  <c r="V130" i="75" s="1"/>
  <c r="X130" i="75"/>
  <c r="Y130" i="75" s="1"/>
  <c r="Z130" i="75" s="1"/>
  <c r="S122" i="75"/>
  <c r="T122" i="75"/>
  <c r="U122" i="75" s="1"/>
  <c r="B223" i="104"/>
  <c r="K96" i="75"/>
  <c r="L96" i="75" s="1"/>
  <c r="C13" i="97"/>
  <c r="C14" i="3"/>
  <c r="C14" i="4"/>
  <c r="C14" i="75"/>
  <c r="F57" i="103"/>
  <c r="J57" i="104"/>
  <c r="L57" i="74"/>
  <c r="J84" i="104"/>
  <c r="K84" i="104" s="1"/>
  <c r="L84" i="104" s="1"/>
  <c r="F84" i="103"/>
  <c r="V84" i="103" s="1"/>
  <c r="G84" i="99" s="1"/>
  <c r="D84" i="99" s="1"/>
  <c r="L84" i="74"/>
  <c r="B121" i="103"/>
  <c r="E121" i="104"/>
  <c r="G121" i="104" s="1"/>
  <c r="H83" i="104"/>
  <c r="D83" i="103"/>
  <c r="H83" i="74"/>
  <c r="F136" i="103"/>
  <c r="J136" i="104"/>
  <c r="K136" i="104" s="1"/>
  <c r="L136" i="104" s="1"/>
  <c r="AE17" i="104"/>
  <c r="AA17" i="74"/>
  <c r="AC20" i="4" s="1"/>
  <c r="O17" i="103"/>
  <c r="D34" i="103"/>
  <c r="H34" i="104"/>
  <c r="H34" i="74"/>
  <c r="I75" i="104"/>
  <c r="E75" i="103"/>
  <c r="I75" i="74"/>
  <c r="S78" i="75" s="1"/>
  <c r="R21" i="103"/>
  <c r="AI21" i="104"/>
  <c r="AD21" i="74"/>
  <c r="AG24" i="4" s="1"/>
  <c r="K71" i="103"/>
  <c r="R71" i="104"/>
  <c r="U71" i="74"/>
  <c r="J74" i="3" s="1"/>
  <c r="H105" i="103"/>
  <c r="O105" i="104"/>
  <c r="Q133" i="104"/>
  <c r="J133" i="103"/>
  <c r="R64" i="104"/>
  <c r="K64" i="103"/>
  <c r="U64" i="74"/>
  <c r="J67" i="3" s="1"/>
  <c r="G144" i="103"/>
  <c r="N144" i="104"/>
  <c r="M35" i="103"/>
  <c r="AC35" i="104"/>
  <c r="Y35" i="74"/>
  <c r="AA38" i="4" s="1"/>
  <c r="J139" i="104"/>
  <c r="F139" i="103"/>
  <c r="J10" i="104"/>
  <c r="K10" i="104" s="1"/>
  <c r="L10" i="104" s="1"/>
  <c r="F10" i="103"/>
  <c r="L10" i="74"/>
  <c r="AI28" i="104"/>
  <c r="R28" i="103"/>
  <c r="AD28" i="74"/>
  <c r="AG31" i="4" s="1"/>
  <c r="AE64" i="104"/>
  <c r="O64" i="103"/>
  <c r="AA64" i="74"/>
  <c r="AC67" i="4" s="1"/>
  <c r="AF133" i="104"/>
  <c r="P133" i="103"/>
  <c r="S160" i="104"/>
  <c r="B160" i="104" s="1"/>
  <c r="C160" i="104"/>
  <c r="V44" i="74"/>
  <c r="Y47" i="4"/>
  <c r="Z47" i="4" s="1"/>
  <c r="N140" i="75"/>
  <c r="AL16" i="104"/>
  <c r="AN16" i="104" s="1"/>
  <c r="T16" i="103"/>
  <c r="AF16" i="74"/>
  <c r="AJ19" i="4" s="1"/>
  <c r="AL19" i="4" s="1"/>
  <c r="AH58" i="104"/>
  <c r="AJ58" i="104" s="1"/>
  <c r="Q58" i="103"/>
  <c r="AC58" i="74"/>
  <c r="AF61" i="4" s="1"/>
  <c r="AH61" i="4" s="1"/>
  <c r="AF93" i="104"/>
  <c r="AG93" i="104" s="1"/>
  <c r="P93" i="103"/>
  <c r="T133" i="103"/>
  <c r="AL133" i="104"/>
  <c r="D31" i="103"/>
  <c r="H31" i="104"/>
  <c r="H31" i="74"/>
  <c r="O34" i="75" s="1"/>
  <c r="S89" i="74"/>
  <c r="H92" i="3" s="1"/>
  <c r="AE21" i="104"/>
  <c r="O21" i="103"/>
  <c r="AA21" i="74"/>
  <c r="AC24" i="4" s="1"/>
  <c r="S40" i="74"/>
  <c r="H43" i="3" s="1"/>
  <c r="J76" i="104"/>
  <c r="F76" i="103"/>
  <c r="L76" i="74"/>
  <c r="W79" i="75" s="1"/>
  <c r="AI93" i="104"/>
  <c r="R93" i="103"/>
  <c r="AD93" i="74"/>
  <c r="AG96" i="4" s="1"/>
  <c r="AH96" i="4" s="1"/>
  <c r="F151" i="104"/>
  <c r="AM25" i="104"/>
  <c r="U25" i="103"/>
  <c r="AG25" i="74"/>
  <c r="AK28" i="4" s="1"/>
  <c r="O71" i="103"/>
  <c r="AE71" i="104"/>
  <c r="AA71" i="74"/>
  <c r="AC74" i="4" s="1"/>
  <c r="O139" i="104"/>
  <c r="M139" i="104" s="1"/>
  <c r="H139" i="103"/>
  <c r="T67" i="103"/>
  <c r="AL67" i="104"/>
  <c r="AF67" i="74"/>
  <c r="AJ70" i="4" s="1"/>
  <c r="U36" i="103"/>
  <c r="AM36" i="104"/>
  <c r="AG36" i="74"/>
  <c r="AK39" i="4" s="1"/>
  <c r="H144" i="104"/>
  <c r="D144" i="103"/>
  <c r="B11" i="103"/>
  <c r="E11" i="104"/>
  <c r="F11" i="74"/>
  <c r="Q29" i="104"/>
  <c r="J29" i="103"/>
  <c r="AC65" i="104"/>
  <c r="M65" i="103"/>
  <c r="Y65" i="74"/>
  <c r="AA68" i="4" s="1"/>
  <c r="B139" i="103"/>
  <c r="E139" i="104"/>
  <c r="G139" i="104" s="1"/>
  <c r="R19" i="75"/>
  <c r="AC17" i="104"/>
  <c r="AG17" i="104" s="1"/>
  <c r="M17" i="103"/>
  <c r="Y17" i="74"/>
  <c r="AA20" i="4" s="1"/>
  <c r="AH64" i="104"/>
  <c r="Q64" i="103"/>
  <c r="AC64" i="74"/>
  <c r="AF67" i="4" s="1"/>
  <c r="I134" i="104"/>
  <c r="E134" i="103"/>
  <c r="AG151" i="74"/>
  <c r="AM151" i="104"/>
  <c r="D32" i="103"/>
  <c r="H32" i="104"/>
  <c r="H32" i="74"/>
  <c r="O35" i="75" s="1"/>
  <c r="Q93" i="103"/>
  <c r="AH93" i="104"/>
  <c r="AJ93" i="104" s="1"/>
  <c r="AL151" i="104"/>
  <c r="AF151" i="74"/>
  <c r="Q25" i="103"/>
  <c r="AH25" i="104"/>
  <c r="AC25" i="74"/>
  <c r="AF28" i="4" s="1"/>
  <c r="O48" i="104"/>
  <c r="H48" i="103"/>
  <c r="R48" i="74"/>
  <c r="G51" i="3" s="1"/>
  <c r="B77" i="103"/>
  <c r="E77" i="104"/>
  <c r="F77" i="74"/>
  <c r="J94" i="103"/>
  <c r="Q94" i="104"/>
  <c r="T94" i="74"/>
  <c r="I97" i="3" s="1"/>
  <c r="AF26" i="104"/>
  <c r="P26" i="103"/>
  <c r="AB26" i="74"/>
  <c r="AD29" i="4" s="1"/>
  <c r="N76" i="103"/>
  <c r="AD76" i="104"/>
  <c r="Z76" i="74"/>
  <c r="AB79" i="4" s="1"/>
  <c r="L111" i="103"/>
  <c r="AA111" i="104"/>
  <c r="R151" i="104"/>
  <c r="U151" i="74"/>
  <c r="G93" i="103"/>
  <c r="N93" i="104"/>
  <c r="Q93" i="74"/>
  <c r="F96" i="3" s="1"/>
  <c r="F17" i="103"/>
  <c r="J17" i="104"/>
  <c r="K17" i="104" s="1"/>
  <c r="L17" i="104" s="1"/>
  <c r="D17" i="104" s="1"/>
  <c r="L17" i="74"/>
  <c r="AM35" i="104"/>
  <c r="U35" i="103"/>
  <c r="AG35" i="74"/>
  <c r="AK38" i="4" s="1"/>
  <c r="F71" i="103"/>
  <c r="J71" i="104"/>
  <c r="K71" i="104" s="1"/>
  <c r="L71" i="74"/>
  <c r="O140" i="104"/>
  <c r="H140" i="103"/>
  <c r="Q104" i="4"/>
  <c r="R104" i="4" s="1"/>
  <c r="Q107" i="4"/>
  <c r="R107" i="4" s="1"/>
  <c r="Q108" i="4"/>
  <c r="R108" i="4" s="1"/>
  <c r="Q50" i="4"/>
  <c r="S6" i="75"/>
  <c r="T6" i="75"/>
  <c r="U6" i="75" s="1"/>
  <c r="R87" i="3"/>
  <c r="Q86" i="97"/>
  <c r="N126" i="75"/>
  <c r="E25" i="103"/>
  <c r="I25" i="104"/>
  <c r="I25" i="74"/>
  <c r="S28" i="75" s="1"/>
  <c r="AM65" i="104"/>
  <c r="U65" i="103"/>
  <c r="AG65" i="74"/>
  <c r="AK68" i="4" s="1"/>
  <c r="T94" i="103"/>
  <c r="AL94" i="104"/>
  <c r="AF94" i="74"/>
  <c r="AJ97" i="4" s="1"/>
  <c r="AF139" i="104"/>
  <c r="AG139" i="104" s="1"/>
  <c r="P139" i="103"/>
  <c r="X151" i="74"/>
  <c r="H94" i="103"/>
  <c r="O94" i="104"/>
  <c r="R94" i="74"/>
  <c r="G97" i="3" s="1"/>
  <c r="J151" i="104"/>
  <c r="K151" i="74"/>
  <c r="AD26" i="104"/>
  <c r="N26" i="103"/>
  <c r="Z26" i="74"/>
  <c r="AB29" i="4" s="1"/>
  <c r="N64" i="104"/>
  <c r="G64" i="103"/>
  <c r="Q64" i="74"/>
  <c r="F67" i="3" s="1"/>
  <c r="AE82" i="74"/>
  <c r="AI85" i="4" s="1"/>
  <c r="AK82" i="104"/>
  <c r="S82" i="103"/>
  <c r="M97" i="103"/>
  <c r="AC97" i="104"/>
  <c r="O29" i="103"/>
  <c r="AE29" i="104"/>
  <c r="AA29" i="74"/>
  <c r="AC32" i="4" s="1"/>
  <c r="AL82" i="104"/>
  <c r="T82" i="103"/>
  <c r="AF82" i="74"/>
  <c r="AJ85" i="4" s="1"/>
  <c r="H112" i="104"/>
  <c r="D112" i="103"/>
  <c r="J11" i="104"/>
  <c r="F11" i="103"/>
  <c r="L11" i="74"/>
  <c r="W14" i="75" s="1"/>
  <c r="Q105" i="104"/>
  <c r="J105" i="103"/>
  <c r="F57" i="74"/>
  <c r="E57" i="104"/>
  <c r="B57" i="103"/>
  <c r="U17" i="103"/>
  <c r="AG17" i="74"/>
  <c r="AK20" i="4" s="1"/>
  <c r="AM17" i="104"/>
  <c r="R71" i="103"/>
  <c r="AI71" i="104"/>
  <c r="AJ71" i="104" s="1"/>
  <c r="AD71" i="74"/>
  <c r="AG74" i="4" s="1"/>
  <c r="L142" i="103"/>
  <c r="AA142" i="104"/>
  <c r="M144" i="4"/>
  <c r="I144" i="4"/>
  <c r="F144" i="4"/>
  <c r="J144" i="4"/>
  <c r="L144" i="4"/>
  <c r="P144" i="4"/>
  <c r="U144" i="4"/>
  <c r="V144" i="4"/>
  <c r="T144" i="4"/>
  <c r="S144" i="4"/>
  <c r="G144" i="4"/>
  <c r="V77" i="74"/>
  <c r="Y80" i="4"/>
  <c r="Z80" i="4" s="1"/>
  <c r="S8" i="104"/>
  <c r="M52" i="75"/>
  <c r="K13" i="75"/>
  <c r="L13" i="75" s="1"/>
  <c r="M13" i="75" s="1"/>
  <c r="K122" i="75"/>
  <c r="L122" i="75" s="1"/>
  <c r="B218" i="104"/>
  <c r="O11" i="4"/>
  <c r="X11" i="4" s="1"/>
  <c r="D167" i="104"/>
  <c r="N51" i="4"/>
  <c r="O58" i="4"/>
  <c r="O10" i="4"/>
  <c r="O65" i="4"/>
  <c r="I49" i="75"/>
  <c r="I59" i="75"/>
  <c r="H31" i="103"/>
  <c r="O31" i="104"/>
  <c r="R31" i="74"/>
  <c r="G34" i="3" s="1"/>
  <c r="L71" i="103"/>
  <c r="AA71" i="104"/>
  <c r="T140" i="103"/>
  <c r="AL140" i="104"/>
  <c r="M144" i="74"/>
  <c r="AM58" i="104"/>
  <c r="U58" i="103"/>
  <c r="AG58" i="74"/>
  <c r="AK61" i="4" s="1"/>
  <c r="AM94" i="104"/>
  <c r="U94" i="103"/>
  <c r="AG94" i="74"/>
  <c r="AK97" i="4" s="1"/>
  <c r="AD29" i="104"/>
  <c r="N29" i="103"/>
  <c r="Z29" i="74"/>
  <c r="AB32" i="4" s="1"/>
  <c r="C67" i="97"/>
  <c r="C68" i="4"/>
  <c r="C68" i="75"/>
  <c r="S83" i="103"/>
  <c r="AK83" i="104"/>
  <c r="AE83" i="74"/>
  <c r="AI86" i="4" s="1"/>
  <c r="H132" i="103"/>
  <c r="O132" i="104"/>
  <c r="M132" i="104" s="1"/>
  <c r="P151" i="74"/>
  <c r="Q3" i="104"/>
  <c r="M3" i="104" s="1"/>
  <c r="J3" i="103"/>
  <c r="AF31" i="104"/>
  <c r="P31" i="103"/>
  <c r="AB31" i="74"/>
  <c r="AD34" i="4" s="1"/>
  <c r="R89" i="103"/>
  <c r="AI89" i="104"/>
  <c r="AD89" i="74"/>
  <c r="AG92" i="4" s="1"/>
  <c r="D120" i="103"/>
  <c r="H120" i="104"/>
  <c r="F35" i="103"/>
  <c r="J35" i="104"/>
  <c r="L35" i="74"/>
  <c r="W38" i="75" s="1"/>
  <c r="S111" i="103"/>
  <c r="AK111" i="104"/>
  <c r="O58" i="104"/>
  <c r="H58" i="103"/>
  <c r="R58" i="74"/>
  <c r="G61" i="3" s="1"/>
  <c r="N151" i="74"/>
  <c r="E20" i="103"/>
  <c r="I20" i="104"/>
  <c r="I20" i="74"/>
  <c r="S23" i="75" s="1"/>
  <c r="H41" i="104"/>
  <c r="D41" i="103"/>
  <c r="H41" i="74"/>
  <c r="E93" i="103"/>
  <c r="I93" i="104"/>
  <c r="AE144" i="104"/>
  <c r="O144" i="103"/>
  <c r="K13" i="3"/>
  <c r="N13" i="3"/>
  <c r="Q13" i="3" s="1"/>
  <c r="O28" i="4"/>
  <c r="O12" i="4"/>
  <c r="R90" i="4"/>
  <c r="O104" i="4"/>
  <c r="X104" i="4" s="1"/>
  <c r="O116" i="4"/>
  <c r="O32" i="4"/>
  <c r="X32" i="4" s="1"/>
  <c r="H130" i="4"/>
  <c r="R60" i="4"/>
  <c r="O94" i="4"/>
  <c r="O103" i="4"/>
  <c r="O134" i="4"/>
  <c r="X134" i="4" s="1"/>
  <c r="O125" i="4"/>
  <c r="N151" i="4"/>
  <c r="O151" i="4" s="1"/>
  <c r="H111" i="4"/>
  <c r="O111" i="4" s="1"/>
  <c r="O120" i="4"/>
  <c r="X120" i="4" s="1"/>
  <c r="O107" i="4"/>
  <c r="K22" i="4"/>
  <c r="O146" i="4"/>
  <c r="O100" i="4"/>
  <c r="X100" i="4" s="1"/>
  <c r="O49" i="4"/>
  <c r="T41" i="102"/>
  <c r="S227" i="104"/>
  <c r="C227" i="104"/>
  <c r="S180" i="104"/>
  <c r="C180" i="104"/>
  <c r="P101" i="3"/>
  <c r="O102" i="3"/>
  <c r="P121" i="3"/>
  <c r="L18" i="4"/>
  <c r="S18" i="4"/>
  <c r="D169" i="104"/>
  <c r="O79" i="4"/>
  <c r="W106" i="104"/>
  <c r="X106" i="104" s="1"/>
  <c r="T106" i="104" s="1"/>
  <c r="P5" i="103"/>
  <c r="AF5" i="104"/>
  <c r="AB5" i="74"/>
  <c r="AD8" i="4" s="1"/>
  <c r="B23" i="103"/>
  <c r="E23" i="104"/>
  <c r="G23" i="104" s="1"/>
  <c r="F23" i="74"/>
  <c r="F26" i="75" s="1"/>
  <c r="G47" i="103"/>
  <c r="V47" i="103" s="1"/>
  <c r="G47" i="99" s="1"/>
  <c r="D47" i="99" s="1"/>
  <c r="N47" i="104"/>
  <c r="M47" i="104" s="1"/>
  <c r="Q47" i="74"/>
  <c r="F50" i="3" s="1"/>
  <c r="B72" i="103"/>
  <c r="E72" i="104"/>
  <c r="G72" i="104" s="1"/>
  <c r="F72" i="74"/>
  <c r="F75" i="75" s="1"/>
  <c r="E120" i="103"/>
  <c r="I120" i="104"/>
  <c r="K120" i="104" s="1"/>
  <c r="AD23" i="104"/>
  <c r="N23" i="103"/>
  <c r="Z23" i="74"/>
  <c r="AB26" i="4" s="1"/>
  <c r="T103" i="103"/>
  <c r="AL103" i="104"/>
  <c r="AN103" i="104" s="1"/>
  <c r="AB103" i="104" s="1"/>
  <c r="Z103" i="104" s="1"/>
  <c r="S103" i="104" s="1"/>
  <c r="B103" i="104" s="1"/>
  <c r="F103" i="99" s="1"/>
  <c r="C103" i="99" s="1"/>
  <c r="C19" i="97"/>
  <c r="C20" i="4"/>
  <c r="C20" i="75"/>
  <c r="S32" i="74"/>
  <c r="H35" i="3" s="1"/>
  <c r="AF72" i="104"/>
  <c r="P72" i="103"/>
  <c r="AB72" i="74"/>
  <c r="AD75" i="4" s="1"/>
  <c r="C123" i="3"/>
  <c r="C123" i="4"/>
  <c r="C123" i="75"/>
  <c r="C122" i="97"/>
  <c r="C7" i="103"/>
  <c r="F7" i="104"/>
  <c r="G7" i="104" s="1"/>
  <c r="G7" i="74"/>
  <c r="T74" i="103"/>
  <c r="AL74" i="104"/>
  <c r="AF74" i="74"/>
  <c r="AJ77" i="4" s="1"/>
  <c r="S24" i="74"/>
  <c r="H27" i="3" s="1"/>
  <c r="F105" i="104"/>
  <c r="C105" i="103"/>
  <c r="R106" i="104"/>
  <c r="K106" i="103"/>
  <c r="C6" i="103"/>
  <c r="F6" i="104"/>
  <c r="G6" i="104" s="1"/>
  <c r="G6" i="74"/>
  <c r="J9" i="75" s="1"/>
  <c r="U12" i="103"/>
  <c r="AM12" i="104"/>
  <c r="AG12" i="74"/>
  <c r="AK15" i="4" s="1"/>
  <c r="E110" i="104"/>
  <c r="B110" i="103"/>
  <c r="F62" i="103"/>
  <c r="J62" i="104"/>
  <c r="L62" i="74"/>
  <c r="K109" i="103"/>
  <c r="R109" i="104"/>
  <c r="T66" i="103"/>
  <c r="AL66" i="104"/>
  <c r="AF66" i="74"/>
  <c r="AJ69" i="4" s="1"/>
  <c r="AC140" i="104"/>
  <c r="M140" i="103"/>
  <c r="O14" i="104"/>
  <c r="H14" i="103"/>
  <c r="R14" i="74"/>
  <c r="G17" i="3" s="1"/>
  <c r="AK117" i="104"/>
  <c r="S117" i="103"/>
  <c r="C28" i="103"/>
  <c r="F28" i="104"/>
  <c r="G28" i="74"/>
  <c r="O31" i="3" s="1"/>
  <c r="P55" i="103"/>
  <c r="AF55" i="104"/>
  <c r="AB55" i="74"/>
  <c r="AD58" i="4" s="1"/>
  <c r="P82" i="103"/>
  <c r="AF82" i="104"/>
  <c r="AB82" i="74"/>
  <c r="AD85" i="4" s="1"/>
  <c r="H123" i="104"/>
  <c r="L123" i="104" s="1"/>
  <c r="D123" i="104" s="1"/>
  <c r="D123" i="103"/>
  <c r="L82" i="103"/>
  <c r="AA82" i="104"/>
  <c r="T8" i="102"/>
  <c r="O108" i="3"/>
  <c r="M110" i="3"/>
  <c r="L107" i="3"/>
  <c r="P124" i="3"/>
  <c r="O99" i="4"/>
  <c r="F18" i="4"/>
  <c r="J18" i="4"/>
  <c r="AB210" i="104"/>
  <c r="Z210" i="104" s="1"/>
  <c r="C210" i="104" s="1"/>
  <c r="S10" i="104"/>
  <c r="O85" i="4"/>
  <c r="AB226" i="104"/>
  <c r="Z226" i="104" s="1"/>
  <c r="H26" i="103"/>
  <c r="O26" i="104"/>
  <c r="R26" i="74"/>
  <c r="G29" i="3" s="1"/>
  <c r="R48" i="103"/>
  <c r="AI48" i="104"/>
  <c r="AJ48" i="104" s="1"/>
  <c r="AD48" i="74"/>
  <c r="AG51" i="4" s="1"/>
  <c r="AH51" i="4" s="1"/>
  <c r="AF75" i="104"/>
  <c r="P75" i="103"/>
  <c r="AB75" i="74"/>
  <c r="AD78" i="4" s="1"/>
  <c r="AK120" i="104"/>
  <c r="S120" i="103"/>
  <c r="J26" i="103"/>
  <c r="Q26" i="104"/>
  <c r="T26" i="74"/>
  <c r="I29" i="3" s="1"/>
  <c r="R5" i="104"/>
  <c r="K5" i="103"/>
  <c r="R17" i="74"/>
  <c r="G20" i="3" s="1"/>
  <c r="O17" i="104"/>
  <c r="H17" i="103"/>
  <c r="Q40" i="104"/>
  <c r="J40" i="103"/>
  <c r="P74" i="103"/>
  <c r="AF74" i="104"/>
  <c r="AB74" i="74"/>
  <c r="AD77" i="4" s="1"/>
  <c r="C8" i="103"/>
  <c r="F8" i="104"/>
  <c r="G8" i="74"/>
  <c r="F95" i="104"/>
  <c r="G95" i="104" s="1"/>
  <c r="C95" i="103"/>
  <c r="R24" i="103"/>
  <c r="AI24" i="104"/>
  <c r="AJ24" i="104" s="1"/>
  <c r="AD24" i="74"/>
  <c r="AG27" i="4" s="1"/>
  <c r="AH27" i="4" s="1"/>
  <c r="M82" i="103"/>
  <c r="AC82" i="104"/>
  <c r="Y82" i="74"/>
  <c r="AA85" i="4" s="1"/>
  <c r="F105" i="103"/>
  <c r="J105" i="104"/>
  <c r="C106" i="103"/>
  <c r="F106" i="104"/>
  <c r="J6" i="104"/>
  <c r="F6" i="103"/>
  <c r="L6" i="74"/>
  <c r="AF68" i="74"/>
  <c r="AJ71" i="4" s="1"/>
  <c r="T68" i="103"/>
  <c r="AL68" i="104"/>
  <c r="J67" i="104"/>
  <c r="K67" i="104" s="1"/>
  <c r="F67" i="103"/>
  <c r="L67" i="74"/>
  <c r="AC117" i="104"/>
  <c r="M117" i="103"/>
  <c r="AH66" i="104"/>
  <c r="Q66" i="103"/>
  <c r="AC66" i="74"/>
  <c r="AF69" i="4" s="1"/>
  <c r="F140" i="103"/>
  <c r="J140" i="104"/>
  <c r="E14" i="104"/>
  <c r="G14" i="104" s="1"/>
  <c r="B14" i="103"/>
  <c r="F14" i="74"/>
  <c r="J82" i="103"/>
  <c r="Q82" i="104"/>
  <c r="H117" i="103"/>
  <c r="O117" i="104"/>
  <c r="AA28" i="104"/>
  <c r="L28" i="103"/>
  <c r="N55" i="103"/>
  <c r="AD55" i="104"/>
  <c r="AG55" i="104" s="1"/>
  <c r="Z55" i="74"/>
  <c r="AB58" i="4" s="1"/>
  <c r="E82" i="103"/>
  <c r="I82" i="104"/>
  <c r="I82" i="74"/>
  <c r="S85" i="75" s="1"/>
  <c r="C126" i="75"/>
  <c r="C126" i="4"/>
  <c r="C126" i="3"/>
  <c r="L126" i="3" s="1"/>
  <c r="C125" i="97"/>
  <c r="Q96" i="103"/>
  <c r="AH96" i="104"/>
  <c r="AJ96" i="104" s="1"/>
  <c r="C125" i="3"/>
  <c r="P125" i="3" s="1"/>
  <c r="C125" i="75"/>
  <c r="C125" i="4"/>
  <c r="C124" i="97"/>
  <c r="O101" i="3"/>
  <c r="M129" i="3"/>
  <c r="K112" i="75"/>
  <c r="L112" i="75" s="1"/>
  <c r="M112" i="75" s="1"/>
  <c r="K144" i="75"/>
  <c r="L144" i="75" s="1"/>
  <c r="D181" i="104"/>
  <c r="B156" i="104"/>
  <c r="AD32" i="104"/>
  <c r="N32" i="103"/>
  <c r="Z32" i="74"/>
  <c r="AB35" i="4" s="1"/>
  <c r="O52" i="104"/>
  <c r="M52" i="104" s="1"/>
  <c r="H52" i="103"/>
  <c r="V52" i="103" s="1"/>
  <c r="G52" i="99" s="1"/>
  <c r="D52" i="99" s="1"/>
  <c r="R52" i="74"/>
  <c r="G55" i="3" s="1"/>
  <c r="R78" i="103"/>
  <c r="AI78" i="104"/>
  <c r="AD78" i="74"/>
  <c r="AG81" i="4" s="1"/>
  <c r="W136" i="104"/>
  <c r="X136" i="104" s="1"/>
  <c r="T136" i="104" s="1"/>
  <c r="D45" i="103"/>
  <c r="H45" i="74"/>
  <c r="AK5" i="104"/>
  <c r="S5" i="103"/>
  <c r="AE5" i="74"/>
  <c r="AI8" i="4" s="1"/>
  <c r="L17" i="103"/>
  <c r="AA17" i="104"/>
  <c r="I45" i="104"/>
  <c r="E45" i="103"/>
  <c r="I45" i="74"/>
  <c r="S48" i="75" s="1"/>
  <c r="C87" i="97"/>
  <c r="C88" i="75"/>
  <c r="C88" i="3"/>
  <c r="C88" i="4"/>
  <c r="U120" i="103"/>
  <c r="AM120" i="104"/>
  <c r="L120" i="103"/>
  <c r="AA120" i="104"/>
  <c r="D24" i="103"/>
  <c r="H24" i="104"/>
  <c r="H24" i="74"/>
  <c r="U88" i="103"/>
  <c r="AM88" i="104"/>
  <c r="AG88" i="74"/>
  <c r="AK91" i="4" s="1"/>
  <c r="P106" i="103"/>
  <c r="AF106" i="104"/>
  <c r="Q68" i="104"/>
  <c r="J68" i="103"/>
  <c r="T68" i="74"/>
  <c r="I71" i="3" s="1"/>
  <c r="I110" i="104"/>
  <c r="E110" i="103"/>
  <c r="H67" i="104"/>
  <c r="D67" i="103"/>
  <c r="H67" i="74"/>
  <c r="W123" i="104"/>
  <c r="X123" i="104" s="1"/>
  <c r="T123" i="104" s="1"/>
  <c r="AC66" i="104"/>
  <c r="M66" i="103"/>
  <c r="Y66" i="74"/>
  <c r="AA69" i="4" s="1"/>
  <c r="C140" i="103"/>
  <c r="F140" i="104"/>
  <c r="Q30" i="104"/>
  <c r="J30" i="103"/>
  <c r="T30" i="74"/>
  <c r="I33" i="3" s="1"/>
  <c r="F90" i="103"/>
  <c r="J90" i="104"/>
  <c r="K90" i="104" s="1"/>
  <c r="L90" i="104" s="1"/>
  <c r="D90" i="104" s="1"/>
  <c r="J140" i="103"/>
  <c r="Q140" i="104"/>
  <c r="E28" i="104"/>
  <c r="B28" i="103"/>
  <c r="F28" i="74"/>
  <c r="L55" i="103"/>
  <c r="AA55" i="104"/>
  <c r="AA82" i="74"/>
  <c r="AC85" i="4" s="1"/>
  <c r="O82" i="103"/>
  <c r="AE82" i="104"/>
  <c r="E140" i="103"/>
  <c r="I140" i="104"/>
  <c r="M12" i="103"/>
  <c r="AC12" i="104"/>
  <c r="Y12" i="74"/>
  <c r="AA15" i="4" s="1"/>
  <c r="K96" i="103"/>
  <c r="R96" i="104"/>
  <c r="AA140" i="104"/>
  <c r="L140" i="103"/>
  <c r="T8" i="107"/>
  <c r="C183" i="104"/>
  <c r="S183" i="104"/>
  <c r="B183" i="104" s="1"/>
  <c r="P107" i="3"/>
  <c r="L108" i="3"/>
  <c r="M120" i="3"/>
  <c r="P108" i="3"/>
  <c r="M123" i="3"/>
  <c r="O93" i="4"/>
  <c r="O20" i="4"/>
  <c r="X20" i="4" s="1"/>
  <c r="AM122" i="4"/>
  <c r="AN122" i="4" s="1"/>
  <c r="W14" i="4"/>
  <c r="W141" i="4"/>
  <c r="P113" i="4"/>
  <c r="R113" i="4" s="1"/>
  <c r="W102" i="4"/>
  <c r="AB119" i="104"/>
  <c r="Z119" i="104" s="1"/>
  <c r="B171" i="104"/>
  <c r="O145" i="4"/>
  <c r="AB184" i="104"/>
  <c r="Z184" i="104" s="1"/>
  <c r="O110" i="4"/>
  <c r="X140" i="75"/>
  <c r="Y140" i="75" s="1"/>
  <c r="Z140" i="75" s="1"/>
  <c r="AI17" i="104"/>
  <c r="AJ17" i="104" s="1"/>
  <c r="AD17" i="74"/>
  <c r="AG20" i="4" s="1"/>
  <c r="AH20" i="4" s="1"/>
  <c r="R17" i="103"/>
  <c r="Q35" i="103"/>
  <c r="AH35" i="104"/>
  <c r="AC35" i="74"/>
  <c r="AF38" i="4" s="1"/>
  <c r="R58" i="104"/>
  <c r="K58" i="103"/>
  <c r="AE79" i="104"/>
  <c r="O79" i="103"/>
  <c r="AA79" i="74"/>
  <c r="AC82" i="4" s="1"/>
  <c r="O5" i="104"/>
  <c r="M5" i="104" s="1"/>
  <c r="H5" i="103"/>
  <c r="R5" i="74"/>
  <c r="G8" i="3" s="1"/>
  <c r="E64" i="103"/>
  <c r="I64" i="104"/>
  <c r="I64" i="74"/>
  <c r="S67" i="75" s="1"/>
  <c r="E7" i="103"/>
  <c r="V7" i="103" s="1"/>
  <c r="G7" i="99" s="1"/>
  <c r="D7" i="99" s="1"/>
  <c r="I7" i="104"/>
  <c r="K7" i="104" s="1"/>
  <c r="L7" i="104" s="1"/>
  <c r="D7" i="104" s="1"/>
  <c r="B7" i="104" s="1"/>
  <c r="F7" i="99" s="1"/>
  <c r="C7" i="99" s="1"/>
  <c r="I7" i="74"/>
  <c r="S10" i="75" s="1"/>
  <c r="V10" i="75" s="1"/>
  <c r="AA10" i="75" s="1"/>
  <c r="AB10" i="75" s="1"/>
  <c r="M8" i="107" s="1"/>
  <c r="AL17" i="104"/>
  <c r="AN17" i="104" s="1"/>
  <c r="T17" i="103"/>
  <c r="AF17" i="74"/>
  <c r="AJ20" i="4" s="1"/>
  <c r="AL20" i="4" s="1"/>
  <c r="T51" i="103"/>
  <c r="AL51" i="104"/>
  <c r="AN51" i="104" s="1"/>
  <c r="AF51" i="74"/>
  <c r="AJ54" i="4" s="1"/>
  <c r="AL54" i="4" s="1"/>
  <c r="H86" i="104"/>
  <c r="L86" i="104" s="1"/>
  <c r="D86" i="103"/>
  <c r="H86" i="74"/>
  <c r="K121" i="103"/>
  <c r="R121" i="104"/>
  <c r="M121" i="104" s="1"/>
  <c r="R23" i="103"/>
  <c r="AI23" i="104"/>
  <c r="AD23" i="74"/>
  <c r="AG26" i="4" s="1"/>
  <c r="M133" i="103"/>
  <c r="V133" i="103" s="1"/>
  <c r="G133" i="99" s="1"/>
  <c r="D133" i="99" s="1"/>
  <c r="AC133" i="104"/>
  <c r="AG133" i="104" s="1"/>
  <c r="AH62" i="104"/>
  <c r="Q62" i="103"/>
  <c r="AC62" i="74"/>
  <c r="AF65" i="4" s="1"/>
  <c r="K88" i="103"/>
  <c r="R88" i="104"/>
  <c r="U88" i="74"/>
  <c r="J91" i="3" s="1"/>
  <c r="E105" i="103"/>
  <c r="I105" i="104"/>
  <c r="P125" i="103"/>
  <c r="AF125" i="104"/>
  <c r="AG125" i="104" s="1"/>
  <c r="AB125" i="104" s="1"/>
  <c r="Z125" i="104" s="1"/>
  <c r="E6" i="103"/>
  <c r="I6" i="104"/>
  <c r="I6" i="74"/>
  <c r="S9" i="75" s="1"/>
  <c r="V9" i="75" s="1"/>
  <c r="S174" i="104"/>
  <c r="B174" i="104" s="1"/>
  <c r="C174" i="104"/>
  <c r="F73" i="104"/>
  <c r="C73" i="103"/>
  <c r="G73" i="74"/>
  <c r="J76" i="75" s="1"/>
  <c r="E128" i="103"/>
  <c r="I128" i="104"/>
  <c r="B69" i="103"/>
  <c r="F69" i="74"/>
  <c r="F72" i="75" s="1"/>
  <c r="E69" i="104"/>
  <c r="G69" i="104" s="1"/>
  <c r="L66" i="103"/>
  <c r="AA66" i="104"/>
  <c r="F30" i="104"/>
  <c r="G30" i="104" s="1"/>
  <c r="C30" i="103"/>
  <c r="G30" i="74"/>
  <c r="J33" i="75" s="1"/>
  <c r="H90" i="103"/>
  <c r="O90" i="104"/>
  <c r="M90" i="104" s="1"/>
  <c r="U141" i="103"/>
  <c r="AM141" i="104"/>
  <c r="AN141" i="104" s="1"/>
  <c r="AF28" i="104"/>
  <c r="P28" i="103"/>
  <c r="AB28" i="74"/>
  <c r="AD31" i="4" s="1"/>
  <c r="AL28" i="104"/>
  <c r="T28" i="103"/>
  <c r="AF28" i="74"/>
  <c r="AJ31" i="4" s="1"/>
  <c r="AI82" i="104"/>
  <c r="R82" i="103"/>
  <c r="AD82" i="74"/>
  <c r="AG85" i="4" s="1"/>
  <c r="H82" i="104"/>
  <c r="D82" i="103"/>
  <c r="H82" i="74"/>
  <c r="O145" i="103"/>
  <c r="AE145" i="104"/>
  <c r="F69" i="103"/>
  <c r="J69" i="104"/>
  <c r="K69" i="104" s="1"/>
  <c r="L69" i="74"/>
  <c r="W72" i="75" s="1"/>
  <c r="G111" i="103"/>
  <c r="N111" i="104"/>
  <c r="T142" i="103"/>
  <c r="AL142" i="104"/>
  <c r="F37" i="4"/>
  <c r="S27" i="74"/>
  <c r="H30" i="3" s="1"/>
  <c r="K30" i="3" s="1"/>
  <c r="P29" i="97" s="1"/>
  <c r="B227" i="104"/>
  <c r="B180" i="104"/>
  <c r="N19" i="103"/>
  <c r="AD19" i="104"/>
  <c r="Z19" i="74"/>
  <c r="AB22" i="4" s="1"/>
  <c r="L36" i="103"/>
  <c r="AA36" i="104"/>
  <c r="C67" i="3"/>
  <c r="C67" i="4"/>
  <c r="C67" i="75"/>
  <c r="Q5" i="103"/>
  <c r="AH5" i="104"/>
  <c r="AJ5" i="104" s="1"/>
  <c r="AC5" i="74"/>
  <c r="AF8" i="4" s="1"/>
  <c r="AH8" i="4" s="1"/>
  <c r="T64" i="103"/>
  <c r="AL64" i="104"/>
  <c r="AF64" i="74"/>
  <c r="AJ67" i="4" s="1"/>
  <c r="E8" i="103"/>
  <c r="V8" i="103" s="1"/>
  <c r="G8" i="99" s="1"/>
  <c r="D8" i="99" s="1"/>
  <c r="I8" i="104"/>
  <c r="K8" i="104" s="1"/>
  <c r="L8" i="104" s="1"/>
  <c r="I8" i="74"/>
  <c r="S11" i="75" s="1"/>
  <c r="V11" i="75" s="1"/>
  <c r="C24" i="3"/>
  <c r="C24" i="75"/>
  <c r="C24" i="4"/>
  <c r="AC58" i="104"/>
  <c r="AG58" i="104" s="1"/>
  <c r="M58" i="103"/>
  <c r="Y58" i="74"/>
  <c r="AA61" i="4" s="1"/>
  <c r="AE61" i="4" s="1"/>
  <c r="AC89" i="104"/>
  <c r="M89" i="103"/>
  <c r="F134" i="104"/>
  <c r="C134" i="103"/>
  <c r="J30" i="4"/>
  <c r="Q30" i="4"/>
  <c r="L30" i="4"/>
  <c r="M30" i="4"/>
  <c r="S30" i="4"/>
  <c r="V30" i="4"/>
  <c r="F30" i="4"/>
  <c r="T30" i="4"/>
  <c r="G30" i="4"/>
  <c r="U30" i="4"/>
  <c r="I30" i="4"/>
  <c r="P30" i="4"/>
  <c r="B134" i="103"/>
  <c r="E134" i="104"/>
  <c r="C66" i="103"/>
  <c r="F66" i="104"/>
  <c r="G66" i="74"/>
  <c r="J69" i="75" s="1"/>
  <c r="O88" i="104"/>
  <c r="R88" i="74"/>
  <c r="G91" i="3" s="1"/>
  <c r="M91" i="3" s="1"/>
  <c r="H88" i="103"/>
  <c r="D105" i="103"/>
  <c r="H105" i="104"/>
  <c r="AF140" i="104"/>
  <c r="P140" i="103"/>
  <c r="AK73" i="104"/>
  <c r="S73" i="103"/>
  <c r="AE73" i="74"/>
  <c r="AI76" i="4" s="1"/>
  <c r="Q128" i="104"/>
  <c r="J128" i="103"/>
  <c r="K28" i="103"/>
  <c r="R28" i="104"/>
  <c r="U28" i="74"/>
  <c r="J31" i="3" s="1"/>
  <c r="G82" i="103"/>
  <c r="N82" i="104"/>
  <c r="Q82" i="74"/>
  <c r="F85" i="3" s="1"/>
  <c r="U140" i="103"/>
  <c r="AM140" i="104"/>
  <c r="AB200" i="104"/>
  <c r="Z200" i="104" s="1"/>
  <c r="S30" i="103"/>
  <c r="AK30" i="104"/>
  <c r="AE30" i="74"/>
  <c r="AI33" i="4" s="1"/>
  <c r="AF90" i="104"/>
  <c r="AG90" i="104" s="1"/>
  <c r="AB90" i="104" s="1"/>
  <c r="Z90" i="104" s="1"/>
  <c r="P90" i="103"/>
  <c r="AB90" i="74"/>
  <c r="AD93" i="4" s="1"/>
  <c r="AE93" i="4" s="1"/>
  <c r="AM93" i="4" s="1"/>
  <c r="AN93" i="4" s="1"/>
  <c r="AD142" i="104"/>
  <c r="N142" i="103"/>
  <c r="H28" i="103"/>
  <c r="O28" i="104"/>
  <c r="R28" i="74"/>
  <c r="G31" i="3" s="1"/>
  <c r="E28" i="103"/>
  <c r="I28" i="104"/>
  <c r="I28" i="74"/>
  <c r="W82" i="104"/>
  <c r="X82" i="104" s="1"/>
  <c r="T82" i="104" s="1"/>
  <c r="J111" i="85"/>
  <c r="I147" i="104"/>
  <c r="E147" i="103"/>
  <c r="H69" i="103"/>
  <c r="O69" i="104"/>
  <c r="R69" i="74"/>
  <c r="G72" i="3" s="1"/>
  <c r="C111" i="103"/>
  <c r="F111" i="104"/>
  <c r="G111" i="104" s="1"/>
  <c r="L147" i="103"/>
  <c r="AA147" i="104"/>
  <c r="C163" i="104"/>
  <c r="S163" i="104"/>
  <c r="B163" i="104" s="1"/>
  <c r="C158" i="104"/>
  <c r="S158" i="104"/>
  <c r="B158" i="104" s="1"/>
  <c r="I123" i="103"/>
  <c r="P18" i="104"/>
  <c r="I27" i="103"/>
  <c r="V27" i="103" s="1"/>
  <c r="G27" i="99" s="1"/>
  <c r="D27" i="99" s="1"/>
  <c r="M121" i="3"/>
  <c r="O110" i="3"/>
  <c r="O121" i="3"/>
  <c r="L124" i="4"/>
  <c r="N136" i="3"/>
  <c r="W90" i="4"/>
  <c r="Q135" i="4"/>
  <c r="O126" i="4"/>
  <c r="AB189" i="104"/>
  <c r="Z189" i="104" s="1"/>
  <c r="C189" i="104" s="1"/>
  <c r="O111" i="85"/>
  <c r="O5" i="103"/>
  <c r="AE5" i="104"/>
  <c r="AG5" i="104" s="1"/>
  <c r="AA5" i="74"/>
  <c r="AC8" i="4" s="1"/>
  <c r="AE8" i="4" s="1"/>
  <c r="AL20" i="104"/>
  <c r="T20" i="103"/>
  <c r="AF20" i="74"/>
  <c r="AJ23" i="4" s="1"/>
  <c r="Q37" i="104"/>
  <c r="M37" i="104" s="1"/>
  <c r="J37" i="103"/>
  <c r="H64" i="104"/>
  <c r="D64" i="103"/>
  <c r="H64" i="74"/>
  <c r="AF103" i="104"/>
  <c r="AG103" i="104" s="1"/>
  <c r="P103" i="103"/>
  <c r="J9" i="104"/>
  <c r="K9" i="104" s="1"/>
  <c r="L9" i="104" s="1"/>
  <c r="F9" i="103"/>
  <c r="V9" i="103" s="1"/>
  <c r="G9" i="99" s="1"/>
  <c r="D9" i="99" s="1"/>
  <c r="L9" i="74"/>
  <c r="K65" i="103"/>
  <c r="R65" i="104"/>
  <c r="U65" i="74"/>
  <c r="J68" i="3" s="1"/>
  <c r="B9" i="103"/>
  <c r="E9" i="104"/>
  <c r="F9" i="74"/>
  <c r="I21" i="104"/>
  <c r="E21" i="103"/>
  <c r="I21" i="74"/>
  <c r="E64" i="104"/>
  <c r="G64" i="104" s="1"/>
  <c r="B64" i="103"/>
  <c r="F64" i="74"/>
  <c r="F67" i="75" s="1"/>
  <c r="M94" i="103"/>
  <c r="AC94" i="104"/>
  <c r="Y94" i="74"/>
  <c r="AA97" i="4" s="1"/>
  <c r="C136" i="103"/>
  <c r="F136" i="104"/>
  <c r="G136" i="104" s="1"/>
  <c r="R40" i="104"/>
  <c r="K40" i="103"/>
  <c r="U40" i="74"/>
  <c r="J43" i="3" s="1"/>
  <c r="F24" i="103"/>
  <c r="J24" i="104"/>
  <c r="L24" i="74"/>
  <c r="AA105" i="104"/>
  <c r="Z105" i="104" s="1"/>
  <c r="S105" i="104" s="1"/>
  <c r="L105" i="103"/>
  <c r="C108" i="75"/>
  <c r="C108" i="4"/>
  <c r="N147" i="103"/>
  <c r="AD147" i="104"/>
  <c r="I54" i="104"/>
  <c r="E54" i="103"/>
  <c r="I54" i="74"/>
  <c r="AI73" i="104"/>
  <c r="R73" i="103"/>
  <c r="AD73" i="74"/>
  <c r="AG76" i="4" s="1"/>
  <c r="D62" i="103"/>
  <c r="H62" i="104"/>
  <c r="H62" i="74"/>
  <c r="U82" i="103"/>
  <c r="AG82" i="74"/>
  <c r="AK85" i="4" s="1"/>
  <c r="AL85" i="4" s="1"/>
  <c r="AM82" i="104"/>
  <c r="AN82" i="104" s="1"/>
  <c r="AA141" i="104"/>
  <c r="L141" i="103"/>
  <c r="E66" i="103"/>
  <c r="I66" i="104"/>
  <c r="I66" i="74"/>
  <c r="S69" i="75" s="1"/>
  <c r="E30" i="103"/>
  <c r="I30" i="104"/>
  <c r="I30" i="74"/>
  <c r="S33" i="75" s="1"/>
  <c r="J115" i="103"/>
  <c r="Q115" i="104"/>
  <c r="S147" i="4"/>
  <c r="U147" i="4"/>
  <c r="F147" i="4"/>
  <c r="M147" i="4"/>
  <c r="T147" i="4"/>
  <c r="G147" i="4"/>
  <c r="L147" i="4"/>
  <c r="P147" i="4"/>
  <c r="R147" i="4" s="1"/>
  <c r="J147" i="4"/>
  <c r="I147" i="4"/>
  <c r="V147" i="4"/>
  <c r="O28" i="103"/>
  <c r="AE28" i="104"/>
  <c r="AA28" i="74"/>
  <c r="AC31" i="4" s="1"/>
  <c r="J28" i="103"/>
  <c r="Q28" i="104"/>
  <c r="T28" i="74"/>
  <c r="I31" i="3" s="1"/>
  <c r="F82" i="104"/>
  <c r="G82" i="104" s="1"/>
  <c r="C82" i="103"/>
  <c r="G82" i="74"/>
  <c r="J85" i="75" s="1"/>
  <c r="AD82" i="104"/>
  <c r="N82" i="103"/>
  <c r="Z82" i="74"/>
  <c r="AB85" i="4" s="1"/>
  <c r="N69" i="104"/>
  <c r="G69" i="103"/>
  <c r="Q69" i="74"/>
  <c r="F72" i="3" s="1"/>
  <c r="U30" i="97"/>
  <c r="I18" i="103"/>
  <c r="U7" i="97"/>
  <c r="O113" i="3"/>
  <c r="X12" i="4"/>
  <c r="S40" i="103"/>
  <c r="AK40" i="104"/>
  <c r="AE40" i="74"/>
  <c r="AI43" i="4" s="1"/>
  <c r="O21" i="104"/>
  <c r="H21" i="103"/>
  <c r="R21" i="74"/>
  <c r="G24" i="3" s="1"/>
  <c r="H38" i="103"/>
  <c r="O38" i="104"/>
  <c r="R38" i="74"/>
  <c r="G41" i="3" s="1"/>
  <c r="S64" i="103"/>
  <c r="AK64" i="104"/>
  <c r="AE64" i="74"/>
  <c r="AI67" i="4" s="1"/>
  <c r="AE104" i="104"/>
  <c r="AG104" i="104" s="1"/>
  <c r="AB104" i="104" s="1"/>
  <c r="Z104" i="104" s="1"/>
  <c r="S104" i="104" s="1"/>
  <c r="B104" i="104" s="1"/>
  <c r="F104" i="99" s="1"/>
  <c r="C104" i="99" s="1"/>
  <c r="O104" i="103"/>
  <c r="B10" i="103"/>
  <c r="E10" i="104"/>
  <c r="G10" i="104" s="1"/>
  <c r="D10" i="104" s="1"/>
  <c r="B10" i="104" s="1"/>
  <c r="F10" i="99" s="1"/>
  <c r="C10" i="99" s="1"/>
  <c r="F10" i="74"/>
  <c r="AL75" i="104"/>
  <c r="T75" i="103"/>
  <c r="AF75" i="74"/>
  <c r="AJ78" i="4" s="1"/>
  <c r="E11" i="103"/>
  <c r="I11" i="104"/>
  <c r="K11" i="104" s="1"/>
  <c r="I11" i="74"/>
  <c r="S14" i="75" s="1"/>
  <c r="O23" i="103"/>
  <c r="AE23" i="104"/>
  <c r="AA23" i="74"/>
  <c r="AC26" i="4" s="1"/>
  <c r="U64" i="103"/>
  <c r="AM64" i="104"/>
  <c r="AG64" i="74"/>
  <c r="AK67" i="4" s="1"/>
  <c r="C104" i="97"/>
  <c r="C105" i="75"/>
  <c r="C105" i="3"/>
  <c r="C105" i="4"/>
  <c r="E5" i="103"/>
  <c r="I5" i="104"/>
  <c r="K5" i="104" s="1"/>
  <c r="L5" i="104" s="1"/>
  <c r="I5" i="74"/>
  <c r="AA64" i="104"/>
  <c r="L64" i="103"/>
  <c r="E24" i="103"/>
  <c r="I24" i="104"/>
  <c r="I24" i="74"/>
  <c r="S27" i="75" s="1"/>
  <c r="O73" i="103"/>
  <c r="AE73" i="104"/>
  <c r="AA73" i="74"/>
  <c r="AC76" i="4" s="1"/>
  <c r="N105" i="104"/>
  <c r="G105" i="103"/>
  <c r="C75" i="97"/>
  <c r="C76" i="75"/>
  <c r="C76" i="4"/>
  <c r="C76" i="3"/>
  <c r="C62" i="103"/>
  <c r="F62" i="104"/>
  <c r="G62" i="74"/>
  <c r="J65" i="75" s="1"/>
  <c r="AF109" i="104"/>
  <c r="P109" i="103"/>
  <c r="Q147" i="104"/>
  <c r="J147" i="103"/>
  <c r="I124" i="104"/>
  <c r="E124" i="103"/>
  <c r="L14" i="103"/>
  <c r="AA14" i="104"/>
  <c r="C47" i="4"/>
  <c r="C47" i="75"/>
  <c r="C46" i="97"/>
  <c r="C47" i="3"/>
  <c r="M47" i="3" s="1"/>
  <c r="L115" i="103"/>
  <c r="AA115" i="104"/>
  <c r="C149" i="97"/>
  <c r="C150" i="4"/>
  <c r="C150" i="75"/>
  <c r="N28" i="104"/>
  <c r="G28" i="103"/>
  <c r="Q28" i="74"/>
  <c r="F31" i="3" s="1"/>
  <c r="AH82" i="104"/>
  <c r="Q82" i="103"/>
  <c r="AC82" i="74"/>
  <c r="AF85" i="4" s="1"/>
  <c r="AH85" i="4" s="1"/>
  <c r="K82" i="103"/>
  <c r="R82" i="104"/>
  <c r="U82" i="74"/>
  <c r="J85" i="3" s="1"/>
  <c r="R69" i="104"/>
  <c r="K69" i="103"/>
  <c r="U69" i="74"/>
  <c r="J72" i="3" s="1"/>
  <c r="E122" i="103"/>
  <c r="I122" i="104"/>
  <c r="K122" i="104" s="1"/>
  <c r="N106" i="3"/>
  <c r="M135" i="3"/>
  <c r="AE125" i="4"/>
  <c r="D191" i="104"/>
  <c r="B191" i="104" s="1"/>
  <c r="C5" i="103"/>
  <c r="F5" i="104"/>
  <c r="G5" i="104" s="1"/>
  <c r="G5" i="74"/>
  <c r="O8" i="3" s="1"/>
  <c r="AK21" i="104"/>
  <c r="S21" i="103"/>
  <c r="AE21" i="74"/>
  <c r="AI24" i="4" s="1"/>
  <c r="R39" i="103"/>
  <c r="AI39" i="104"/>
  <c r="AJ39" i="104" s="1"/>
  <c r="AB39" i="104" s="1"/>
  <c r="Z39" i="104" s="1"/>
  <c r="AD39" i="74"/>
  <c r="AG42" i="4" s="1"/>
  <c r="AH42" i="4" s="1"/>
  <c r="AM42" i="4" s="1"/>
  <c r="AN42" i="4" s="1"/>
  <c r="Q65" i="104"/>
  <c r="J65" i="103"/>
  <c r="T65" i="74"/>
  <c r="I68" i="3" s="1"/>
  <c r="L118" i="103"/>
  <c r="AA118" i="104"/>
  <c r="H11" i="104"/>
  <c r="D11" i="103"/>
  <c r="H11" i="74"/>
  <c r="C86" i="97"/>
  <c r="C87" i="75"/>
  <c r="C87" i="4"/>
  <c r="C87" i="3"/>
  <c r="J16" i="104"/>
  <c r="K16" i="104" s="1"/>
  <c r="L16" i="104" s="1"/>
  <c r="F16" i="103"/>
  <c r="L16" i="74"/>
  <c r="F26" i="103"/>
  <c r="J26" i="104"/>
  <c r="L26" i="74"/>
  <c r="AA65" i="104"/>
  <c r="L65" i="103"/>
  <c r="U118" i="103"/>
  <c r="AM118" i="104"/>
  <c r="AN118" i="104" s="1"/>
  <c r="AM5" i="104"/>
  <c r="U5" i="103"/>
  <c r="AG5" i="74"/>
  <c r="AK8" i="4" s="1"/>
  <c r="AH72" i="104"/>
  <c r="Q72" i="103"/>
  <c r="AC72" i="74"/>
  <c r="AF75" i="4" s="1"/>
  <c r="J24" i="103"/>
  <c r="Q24" i="104"/>
  <c r="T24" i="74"/>
  <c r="I27" i="3" s="1"/>
  <c r="B105" i="103"/>
  <c r="E105" i="104"/>
  <c r="R12" i="104"/>
  <c r="K12" i="103"/>
  <c r="U12" i="74"/>
  <c r="J15" i="3" s="1"/>
  <c r="AL110" i="104"/>
  <c r="T110" i="103"/>
  <c r="W62" i="104"/>
  <c r="X62" i="104" s="1"/>
  <c r="T62" i="104" s="1"/>
  <c r="J81" i="85"/>
  <c r="AM66" i="104"/>
  <c r="U66" i="103"/>
  <c r="AG66" i="74"/>
  <c r="AK69" i="4" s="1"/>
  <c r="Q124" i="104"/>
  <c r="J124" i="103"/>
  <c r="Q14" i="104"/>
  <c r="J14" i="103"/>
  <c r="W44" i="104"/>
  <c r="X44" i="104" s="1"/>
  <c r="T44" i="104" s="1"/>
  <c r="J54" i="85"/>
  <c r="Q47" i="4" s="1"/>
  <c r="R47" i="4" s="1"/>
  <c r="X47" i="4" s="1"/>
  <c r="J117" i="103"/>
  <c r="Q117" i="104"/>
  <c r="D147" i="103"/>
  <c r="H147" i="104"/>
  <c r="N28" i="103"/>
  <c r="AD28" i="104"/>
  <c r="Z28" i="74"/>
  <c r="AB31" i="4" s="1"/>
  <c r="G37" i="4"/>
  <c r="J37" i="4"/>
  <c r="I37" i="4"/>
  <c r="L37" i="4"/>
  <c r="S37" i="4"/>
  <c r="V37" i="4"/>
  <c r="T37" i="4"/>
  <c r="M37" i="4"/>
  <c r="P37" i="4"/>
  <c r="F82" i="103"/>
  <c r="J82" i="104"/>
  <c r="L82" i="74"/>
  <c r="C84" i="97"/>
  <c r="C85" i="75"/>
  <c r="C85" i="4"/>
  <c r="C85" i="3"/>
  <c r="P85" i="3" s="1"/>
  <c r="G122" i="103"/>
  <c r="N122" i="104"/>
  <c r="O101" i="4"/>
  <c r="X101" i="4" s="1"/>
  <c r="S100" i="97" s="1"/>
  <c r="AB129" i="104"/>
  <c r="Z129" i="104" s="1"/>
  <c r="S129" i="104" s="1"/>
  <c r="B129" i="104" s="1"/>
  <c r="F129" i="99" s="1"/>
  <c r="C129" i="99" s="1"/>
  <c r="W7" i="4"/>
  <c r="O59" i="4"/>
  <c r="X59" i="4" s="1"/>
  <c r="S58" i="97" s="1"/>
  <c r="R58" i="97" s="1"/>
  <c r="X96" i="4"/>
  <c r="H102" i="4"/>
  <c r="O138" i="4"/>
  <c r="X138" i="4" s="1"/>
  <c r="T12" i="107"/>
  <c r="W57" i="4"/>
  <c r="K51" i="4"/>
  <c r="S27" i="104"/>
  <c r="C27" i="104"/>
  <c r="H27" i="99" s="1"/>
  <c r="E27" i="99" s="1"/>
  <c r="O69" i="4"/>
  <c r="O66" i="4"/>
  <c r="AA99" i="75"/>
  <c r="V112" i="75"/>
  <c r="AA112" i="75" s="1"/>
  <c r="Z8" i="75"/>
  <c r="R59" i="75"/>
  <c r="I106" i="75"/>
  <c r="T46" i="102"/>
  <c r="W133" i="4"/>
  <c r="W22" i="4"/>
  <c r="R140" i="75"/>
  <c r="R47" i="75"/>
  <c r="T62" i="107"/>
  <c r="O74" i="4"/>
  <c r="O115" i="4"/>
  <c r="N145" i="75"/>
  <c r="T11" i="102"/>
  <c r="C56" i="104"/>
  <c r="H56" i="99" s="1"/>
  <c r="E56" i="99" s="1"/>
  <c r="W151" i="4"/>
  <c r="O70" i="4"/>
  <c r="Z11" i="75"/>
  <c r="AA11" i="75" s="1"/>
  <c r="AB11" i="75" s="1"/>
  <c r="H137" i="4"/>
  <c r="O137" i="4" s="1"/>
  <c r="W52" i="4"/>
  <c r="Z16" i="75"/>
  <c r="AA16" i="75" s="1"/>
  <c r="AB16" i="75" s="1"/>
  <c r="R18" i="75"/>
  <c r="S131" i="75"/>
  <c r="T131" i="75"/>
  <c r="U131" i="75" s="1"/>
  <c r="J139" i="75"/>
  <c r="M139" i="75" s="1"/>
  <c r="N139" i="75" s="1"/>
  <c r="P139" i="75"/>
  <c r="Q139" i="75" s="1"/>
  <c r="R139" i="75" s="1"/>
  <c r="Y142" i="4"/>
  <c r="Z142" i="4" s="1"/>
  <c r="V139" i="74"/>
  <c r="Y150" i="4"/>
  <c r="Z150" i="4" s="1"/>
  <c r="V147" i="74"/>
  <c r="J144" i="75"/>
  <c r="M144" i="75" s="1"/>
  <c r="P144" i="75"/>
  <c r="Q144" i="75" s="1"/>
  <c r="R144" i="75" s="1"/>
  <c r="W142" i="75"/>
  <c r="X142" i="75"/>
  <c r="Y142" i="75" s="1"/>
  <c r="V104" i="75"/>
  <c r="AA104" i="75" s="1"/>
  <c r="C7" i="104"/>
  <c r="H7" i="99" s="1"/>
  <c r="E7" i="99" s="1"/>
  <c r="X149" i="4"/>
  <c r="I18" i="75"/>
  <c r="W137" i="4"/>
  <c r="V42" i="75"/>
  <c r="AA42" i="75" s="1"/>
  <c r="AB42" i="75" s="1"/>
  <c r="J130" i="75"/>
  <c r="P130" i="75"/>
  <c r="Q130" i="75" s="1"/>
  <c r="R130" i="75" s="1"/>
  <c r="Y143" i="4"/>
  <c r="Z143" i="4" s="1"/>
  <c r="V140" i="74"/>
  <c r="T24" i="102"/>
  <c r="W139" i="75"/>
  <c r="X139" i="75"/>
  <c r="Y139" i="75" s="1"/>
  <c r="J151" i="75"/>
  <c r="P151" i="75"/>
  <c r="Q151" i="75" s="1"/>
  <c r="R151" i="75" s="1"/>
  <c r="AB151" i="75" s="1"/>
  <c r="J141" i="75"/>
  <c r="M141" i="75" s="1"/>
  <c r="N141" i="75" s="1"/>
  <c r="P141" i="75"/>
  <c r="Q141" i="75" s="1"/>
  <c r="R141" i="75" s="1"/>
  <c r="O150" i="75"/>
  <c r="T150" i="75"/>
  <c r="U150" i="75" s="1"/>
  <c r="V150" i="75" s="1"/>
  <c r="AM142" i="4"/>
  <c r="AE128" i="4"/>
  <c r="AM128" i="4" s="1"/>
  <c r="AN128" i="4" s="1"/>
  <c r="T132" i="74"/>
  <c r="I135" i="3" s="1"/>
  <c r="K135" i="3" s="1"/>
  <c r="W145" i="75"/>
  <c r="X145" i="75"/>
  <c r="Y145" i="75" s="1"/>
  <c r="S147" i="74"/>
  <c r="H150" i="3" s="1"/>
  <c r="K150" i="3" s="1"/>
  <c r="S127" i="75"/>
  <c r="T127" i="75"/>
  <c r="U127" i="75" s="1"/>
  <c r="Y136" i="4"/>
  <c r="Z136" i="4" s="1"/>
  <c r="V133" i="74"/>
  <c r="S138" i="74"/>
  <c r="H141" i="3" s="1"/>
  <c r="Y135" i="4"/>
  <c r="Z135" i="4" s="1"/>
  <c r="V132" i="74"/>
  <c r="Y145" i="4"/>
  <c r="Z145" i="4" s="1"/>
  <c r="V142" i="74"/>
  <c r="AH150" i="4"/>
  <c r="I72" i="103"/>
  <c r="T128" i="74"/>
  <c r="I131" i="3" s="1"/>
  <c r="K131" i="3" s="1"/>
  <c r="Y144" i="4"/>
  <c r="Z144" i="4" s="1"/>
  <c r="V141" i="74"/>
  <c r="S153" i="74"/>
  <c r="T133" i="74"/>
  <c r="I136" i="3" s="1"/>
  <c r="K136" i="3" s="1"/>
  <c r="S151" i="74"/>
  <c r="T28" i="102"/>
  <c r="S189" i="104"/>
  <c r="S226" i="104"/>
  <c r="B226" i="104" s="1"/>
  <c r="C226" i="104"/>
  <c r="C207" i="104"/>
  <c r="S207" i="104"/>
  <c r="B207" i="104" s="1"/>
  <c r="N112" i="75"/>
  <c r="K124" i="75"/>
  <c r="L124" i="75" s="1"/>
  <c r="M124" i="75" s="1"/>
  <c r="Q128" i="4"/>
  <c r="O130" i="4"/>
  <c r="X130" i="4" s="1"/>
  <c r="X103" i="4"/>
  <c r="D27" i="104"/>
  <c r="C16" i="75"/>
  <c r="C16" i="4"/>
  <c r="C15" i="97"/>
  <c r="C16" i="3"/>
  <c r="Q12" i="104"/>
  <c r="J12" i="103"/>
  <c r="T12" i="74"/>
  <c r="I15" i="3" s="1"/>
  <c r="R20" i="104"/>
  <c r="K20" i="103"/>
  <c r="U20" i="74"/>
  <c r="J23" i="3" s="1"/>
  <c r="B25" i="103"/>
  <c r="E25" i="104"/>
  <c r="F25" i="74"/>
  <c r="R26" i="104"/>
  <c r="K26" i="103"/>
  <c r="U26" i="74"/>
  <c r="J29" i="3" s="1"/>
  <c r="AL31" i="104"/>
  <c r="T31" i="103"/>
  <c r="AF31" i="74"/>
  <c r="AJ34" i="4" s="1"/>
  <c r="Q35" i="104"/>
  <c r="J35" i="103"/>
  <c r="T35" i="74"/>
  <c r="I38" i="3" s="1"/>
  <c r="O38" i="3" s="1"/>
  <c r="C40" i="75"/>
  <c r="C40" i="4"/>
  <c r="C39" i="97"/>
  <c r="C40" i="3"/>
  <c r="P40" i="3" s="1"/>
  <c r="AC40" i="104"/>
  <c r="M40" i="103"/>
  <c r="Y40" i="74"/>
  <c r="AA43" i="4" s="1"/>
  <c r="O45" i="103"/>
  <c r="AE45" i="104"/>
  <c r="AA45" i="74"/>
  <c r="AC48" i="4" s="1"/>
  <c r="R51" i="104"/>
  <c r="K51" i="103"/>
  <c r="U51" i="74"/>
  <c r="J54" i="3" s="1"/>
  <c r="C58" i="103"/>
  <c r="F58" i="104"/>
  <c r="G58" i="74"/>
  <c r="L61" i="3" s="1"/>
  <c r="I60" i="104"/>
  <c r="K60" i="104" s="1"/>
  <c r="L60" i="104" s="1"/>
  <c r="E60" i="103"/>
  <c r="V60" i="103" s="1"/>
  <c r="G60" i="99" s="1"/>
  <c r="D60" i="99" s="1"/>
  <c r="I60" i="74"/>
  <c r="AI62" i="104"/>
  <c r="AJ62" i="104" s="1"/>
  <c r="R62" i="103"/>
  <c r="AD62" i="74"/>
  <c r="AG65" i="4" s="1"/>
  <c r="AH65" i="4" s="1"/>
  <c r="AH63" i="104"/>
  <c r="Q63" i="103"/>
  <c r="AC63" i="74"/>
  <c r="AF66" i="4" s="1"/>
  <c r="AD64" i="104"/>
  <c r="AG64" i="104" s="1"/>
  <c r="N64" i="103"/>
  <c r="Z64" i="74"/>
  <c r="AB67" i="4" s="1"/>
  <c r="AE67" i="4" s="1"/>
  <c r="C71" i="97"/>
  <c r="C72" i="75"/>
  <c r="C72" i="4"/>
  <c r="C72" i="3"/>
  <c r="J70" i="103"/>
  <c r="Q70" i="104"/>
  <c r="H72" i="104"/>
  <c r="D72" i="103"/>
  <c r="H72" i="74"/>
  <c r="AE74" i="104"/>
  <c r="O74" i="103"/>
  <c r="AA74" i="74"/>
  <c r="AC77" i="4" s="1"/>
  <c r="AI75" i="104"/>
  <c r="R75" i="103"/>
  <c r="AD75" i="74"/>
  <c r="AG78" i="4" s="1"/>
  <c r="H77" i="104"/>
  <c r="D77" i="103"/>
  <c r="H77" i="74"/>
  <c r="P78" i="103"/>
  <c r="AF78" i="104"/>
  <c r="AB78" i="74"/>
  <c r="AD81" i="4" s="1"/>
  <c r="Q79" i="103"/>
  <c r="AH79" i="104"/>
  <c r="AC79" i="74"/>
  <c r="AF82" i="4" s="1"/>
  <c r="N89" i="104"/>
  <c r="G89" i="103"/>
  <c r="Q89" i="74"/>
  <c r="F92" i="3" s="1"/>
  <c r="K94" i="103"/>
  <c r="R94" i="104"/>
  <c r="U94" i="74"/>
  <c r="J97" i="3" s="1"/>
  <c r="F95" i="103"/>
  <c r="J95" i="104"/>
  <c r="AI97" i="104"/>
  <c r="AJ97" i="104" s="1"/>
  <c r="R97" i="103"/>
  <c r="F101" i="104"/>
  <c r="G101" i="104" s="1"/>
  <c r="D101" i="104" s="1"/>
  <c r="C101" i="103"/>
  <c r="O106" i="103"/>
  <c r="AE106" i="104"/>
  <c r="H111" i="104"/>
  <c r="D111" i="103"/>
  <c r="J126" i="104"/>
  <c r="K126" i="104" s="1"/>
  <c r="L126" i="104" s="1"/>
  <c r="D126" i="104" s="1"/>
  <c r="F126" i="103"/>
  <c r="U142" i="97"/>
  <c r="R140" i="103"/>
  <c r="AI140" i="104"/>
  <c r="AJ140" i="104" s="1"/>
  <c r="Y142" i="74"/>
  <c r="AA145" i="4" s="1"/>
  <c r="AE145" i="4" s="1"/>
  <c r="M142" i="103"/>
  <c r="AC142" i="104"/>
  <c r="AG142" i="104" s="1"/>
  <c r="AB144" i="74"/>
  <c r="AD147" i="4" s="1"/>
  <c r="AF144" i="104"/>
  <c r="P144" i="103"/>
  <c r="S161" i="104"/>
  <c r="B161" i="104" s="1"/>
  <c r="C161" i="104"/>
  <c r="B173" i="104"/>
  <c r="C173" i="104"/>
  <c r="S188" i="104"/>
  <c r="B188" i="104" s="1"/>
  <c r="C188" i="104"/>
  <c r="C223" i="104"/>
  <c r="P144" i="74"/>
  <c r="F12" i="103"/>
  <c r="J12" i="104"/>
  <c r="L12" i="74"/>
  <c r="W15" i="75" s="1"/>
  <c r="AK20" i="104"/>
  <c r="S20" i="103"/>
  <c r="AE20" i="74"/>
  <c r="AI23" i="4" s="1"/>
  <c r="D25" i="103"/>
  <c r="H25" i="104"/>
  <c r="H25" i="74"/>
  <c r="C28" i="97"/>
  <c r="C29" i="75"/>
  <c r="C29" i="4"/>
  <c r="AI26" i="104"/>
  <c r="R26" i="103"/>
  <c r="AD26" i="74"/>
  <c r="AG29" i="4" s="1"/>
  <c r="AI30" i="104"/>
  <c r="R30" i="103"/>
  <c r="AD30" i="74"/>
  <c r="AG33" i="4" s="1"/>
  <c r="AL36" i="104"/>
  <c r="T36" i="103"/>
  <c r="AF36" i="74"/>
  <c r="AJ39" i="4" s="1"/>
  <c r="D43" i="103"/>
  <c r="H43" i="104"/>
  <c r="H43" i="74"/>
  <c r="S61" i="103"/>
  <c r="AK61" i="104"/>
  <c r="AN61" i="104" s="1"/>
  <c r="AE61" i="74"/>
  <c r="AI64" i="4" s="1"/>
  <c r="AL64" i="4" s="1"/>
  <c r="R63" i="103"/>
  <c r="AI63" i="104"/>
  <c r="AD63" i="74"/>
  <c r="AG66" i="4" s="1"/>
  <c r="N69" i="103"/>
  <c r="AD69" i="104"/>
  <c r="AG69" i="104" s="1"/>
  <c r="Z69" i="74"/>
  <c r="AB72" i="4" s="1"/>
  <c r="AE72" i="4" s="1"/>
  <c r="AK70" i="104"/>
  <c r="AN70" i="104" s="1"/>
  <c r="S70" i="103"/>
  <c r="AE70" i="74"/>
  <c r="AI73" i="4" s="1"/>
  <c r="AL73" i="4" s="1"/>
  <c r="N72" i="103"/>
  <c r="AD72" i="104"/>
  <c r="Z72" i="74"/>
  <c r="AB75" i="4" s="1"/>
  <c r="B75" i="103"/>
  <c r="E75" i="104"/>
  <c r="F75" i="74"/>
  <c r="F78" i="75" s="1"/>
  <c r="W77" i="104"/>
  <c r="X77" i="104" s="1"/>
  <c r="T77" i="104" s="1"/>
  <c r="J104" i="85"/>
  <c r="Q78" i="103"/>
  <c r="AH78" i="104"/>
  <c r="AJ78" i="104" s="1"/>
  <c r="AC78" i="74"/>
  <c r="AF81" i="4" s="1"/>
  <c r="AH81" i="4" s="1"/>
  <c r="F79" i="103"/>
  <c r="J79" i="104"/>
  <c r="L79" i="74"/>
  <c r="J88" i="103"/>
  <c r="Q88" i="104"/>
  <c r="T88" i="74"/>
  <c r="I91" i="3" s="1"/>
  <c r="F91" i="103"/>
  <c r="J91" i="104"/>
  <c r="L91" i="74"/>
  <c r="B94" i="103"/>
  <c r="E94" i="104"/>
  <c r="AM97" i="104"/>
  <c r="U97" i="103"/>
  <c r="M100" i="103"/>
  <c r="AC100" i="104"/>
  <c r="AH106" i="104"/>
  <c r="AJ106" i="104" s="1"/>
  <c r="Q106" i="103"/>
  <c r="AF111" i="104"/>
  <c r="P111" i="103"/>
  <c r="Q123" i="103"/>
  <c r="AH123" i="104"/>
  <c r="AJ123" i="104" s="1"/>
  <c r="M142" i="4"/>
  <c r="T142" i="4"/>
  <c r="U142" i="4"/>
  <c r="I142" i="4"/>
  <c r="V142" i="4"/>
  <c r="L142" i="4"/>
  <c r="J142" i="4"/>
  <c r="F142" i="4"/>
  <c r="H142" i="4" s="1"/>
  <c r="AA140" i="74"/>
  <c r="AC143" i="4" s="1"/>
  <c r="AE140" i="104"/>
  <c r="O140" i="103"/>
  <c r="J144" i="103"/>
  <c r="Q144" i="104"/>
  <c r="Q20" i="104"/>
  <c r="J20" i="103"/>
  <c r="T20" i="74"/>
  <c r="I23" i="3" s="1"/>
  <c r="AC144" i="104"/>
  <c r="M144" i="103"/>
  <c r="J15" i="103"/>
  <c r="Q15" i="104"/>
  <c r="M15" i="104" s="1"/>
  <c r="E20" i="104"/>
  <c r="B20" i="103"/>
  <c r="F20" i="74"/>
  <c r="C28" i="3"/>
  <c r="C27" i="97"/>
  <c r="C28" i="4"/>
  <c r="C28" i="75"/>
  <c r="AD25" i="104"/>
  <c r="N25" i="103"/>
  <c r="Z25" i="74"/>
  <c r="AB28" i="4" s="1"/>
  <c r="C40" i="97"/>
  <c r="C41" i="4"/>
  <c r="C41" i="75"/>
  <c r="S43" i="74"/>
  <c r="H46" i="3" s="1"/>
  <c r="D59" i="103"/>
  <c r="H59" i="104"/>
  <c r="H59" i="74"/>
  <c r="Q70" i="103"/>
  <c r="AH70" i="104"/>
  <c r="AC70" i="74"/>
  <c r="AF73" i="4" s="1"/>
  <c r="Q75" i="104"/>
  <c r="J75" i="103"/>
  <c r="T75" i="74"/>
  <c r="I78" i="3" s="1"/>
  <c r="U75" i="103"/>
  <c r="AM75" i="104"/>
  <c r="AG75" i="74"/>
  <c r="AK78" i="4" s="1"/>
  <c r="B78" i="103"/>
  <c r="E78" i="104"/>
  <c r="G78" i="104" s="1"/>
  <c r="F78" i="74"/>
  <c r="F81" i="75" s="1"/>
  <c r="G79" i="103"/>
  <c r="N79" i="104"/>
  <c r="Q79" i="74"/>
  <c r="F82" i="3" s="1"/>
  <c r="AL79" i="104"/>
  <c r="T79" i="103"/>
  <c r="AF79" i="74"/>
  <c r="AJ82" i="4" s="1"/>
  <c r="L88" i="103"/>
  <c r="AA88" i="104"/>
  <c r="I95" i="104"/>
  <c r="E95" i="103"/>
  <c r="AL101" i="104"/>
  <c r="AN101" i="104" s="1"/>
  <c r="T101" i="103"/>
  <c r="E106" i="104"/>
  <c r="B106" i="103"/>
  <c r="B115" i="103"/>
  <c r="E115" i="104"/>
  <c r="O150" i="74"/>
  <c r="S142" i="4"/>
  <c r="I149" i="74"/>
  <c r="I149" i="104"/>
  <c r="K149" i="104" s="1"/>
  <c r="L149" i="104" s="1"/>
  <c r="C166" i="104"/>
  <c r="S166" i="104"/>
  <c r="B166" i="104" s="1"/>
  <c r="C178" i="104"/>
  <c r="S178" i="104"/>
  <c r="B178" i="104" s="1"/>
  <c r="C205" i="104"/>
  <c r="S205" i="104"/>
  <c r="S217" i="104"/>
  <c r="B217" i="104" s="1"/>
  <c r="C217" i="104"/>
  <c r="M113" i="4"/>
  <c r="N113" i="4" s="1"/>
  <c r="G113" i="4"/>
  <c r="H113" i="4" s="1"/>
  <c r="J113" i="4"/>
  <c r="K113" i="4" s="1"/>
  <c r="S113" i="4"/>
  <c r="C181" i="104"/>
  <c r="S181" i="104"/>
  <c r="B181" i="104" s="1"/>
  <c r="S208" i="104"/>
  <c r="C208" i="104"/>
  <c r="T5" i="102"/>
  <c r="B195" i="104"/>
  <c r="S154" i="104"/>
  <c r="B154" i="104" s="1"/>
  <c r="C154" i="104"/>
  <c r="F112" i="4"/>
  <c r="N62" i="3"/>
  <c r="Q62" i="3" s="1"/>
  <c r="K62" i="3"/>
  <c r="N133" i="3"/>
  <c r="Q133" i="3" s="1"/>
  <c r="K133" i="3"/>
  <c r="X58" i="4"/>
  <c r="P145" i="3"/>
  <c r="N126" i="3"/>
  <c r="P105" i="4"/>
  <c r="G16" i="75"/>
  <c r="H16" i="75" s="1"/>
  <c r="I16" i="75" s="1"/>
  <c r="C206" i="104"/>
  <c r="N14" i="104"/>
  <c r="M14" i="104" s="1"/>
  <c r="G14" i="103"/>
  <c r="Q14" i="74"/>
  <c r="F17" i="3" s="1"/>
  <c r="AL12" i="104"/>
  <c r="T12" i="103"/>
  <c r="AF12" i="74"/>
  <c r="AJ15" i="4" s="1"/>
  <c r="AA20" i="104"/>
  <c r="L20" i="103"/>
  <c r="O25" i="103"/>
  <c r="AE25" i="104"/>
  <c r="AA25" i="74"/>
  <c r="AC28" i="4" s="1"/>
  <c r="L26" i="103"/>
  <c r="AA26" i="104"/>
  <c r="K30" i="103"/>
  <c r="R30" i="104"/>
  <c r="U30" i="74"/>
  <c r="J33" i="3" s="1"/>
  <c r="R32" i="104"/>
  <c r="K32" i="103"/>
  <c r="P35" i="103"/>
  <c r="AF35" i="104"/>
  <c r="AB35" i="74"/>
  <c r="AD38" i="4" s="1"/>
  <c r="AH37" i="104"/>
  <c r="AJ37" i="104" s="1"/>
  <c r="Q37" i="103"/>
  <c r="AC37" i="74"/>
  <c r="AF40" i="4" s="1"/>
  <c r="AH40" i="4" s="1"/>
  <c r="W40" i="104"/>
  <c r="X40" i="104" s="1"/>
  <c r="T40" i="104" s="1"/>
  <c r="J91" i="85"/>
  <c r="N42" i="103"/>
  <c r="AD42" i="104"/>
  <c r="Z42" i="74"/>
  <c r="AB45" i="4" s="1"/>
  <c r="N51" i="103"/>
  <c r="AD51" i="104"/>
  <c r="Z51" i="74"/>
  <c r="AB54" i="4" s="1"/>
  <c r="E58" i="104"/>
  <c r="B58" i="103"/>
  <c r="F58" i="74"/>
  <c r="F61" i="75" s="1"/>
  <c r="S62" i="74"/>
  <c r="H65" i="3" s="1"/>
  <c r="O63" i="104"/>
  <c r="H63" i="103"/>
  <c r="R63" i="74"/>
  <c r="G66" i="3" s="1"/>
  <c r="AM63" i="104"/>
  <c r="AN63" i="104" s="1"/>
  <c r="U63" i="103"/>
  <c r="AG63" i="74"/>
  <c r="AK66" i="4" s="1"/>
  <c r="AL66" i="4" s="1"/>
  <c r="AI64" i="104"/>
  <c r="AJ64" i="104" s="1"/>
  <c r="R64" i="103"/>
  <c r="AD64" i="74"/>
  <c r="AG67" i="4" s="1"/>
  <c r="AH67" i="4" s="1"/>
  <c r="J69" i="103"/>
  <c r="Q69" i="104"/>
  <c r="E70" i="104"/>
  <c r="B70" i="103"/>
  <c r="F70" i="74"/>
  <c r="F73" i="75" s="1"/>
  <c r="M72" i="103"/>
  <c r="AC72" i="104"/>
  <c r="AG72" i="104" s="1"/>
  <c r="Y72" i="74"/>
  <c r="AA75" i="4" s="1"/>
  <c r="R75" i="104"/>
  <c r="K75" i="103"/>
  <c r="U75" i="74"/>
  <c r="J78" i="3" s="1"/>
  <c r="W75" i="104"/>
  <c r="X75" i="104" s="1"/>
  <c r="T75" i="104" s="1"/>
  <c r="J100" i="85"/>
  <c r="J80" i="4"/>
  <c r="V80" i="4"/>
  <c r="Q80" i="4"/>
  <c r="F80" i="4"/>
  <c r="L80" i="4"/>
  <c r="T80" i="4"/>
  <c r="G80" i="4"/>
  <c r="M80" i="4"/>
  <c r="U80" i="4"/>
  <c r="I80" i="4"/>
  <c r="S80" i="4"/>
  <c r="P80" i="4"/>
  <c r="AL78" i="104"/>
  <c r="T78" i="103"/>
  <c r="AF78" i="74"/>
  <c r="AJ81" i="4" s="1"/>
  <c r="AM79" i="104"/>
  <c r="U79" i="103"/>
  <c r="AG79" i="74"/>
  <c r="AK82" i="4" s="1"/>
  <c r="AD89" i="104"/>
  <c r="N89" i="103"/>
  <c r="J96" i="103"/>
  <c r="Q96" i="104"/>
  <c r="M96" i="104" s="1"/>
  <c r="F100" i="104"/>
  <c r="G100" i="104" s="1"/>
  <c r="C100" i="103"/>
  <c r="AC101" i="104"/>
  <c r="M101" i="103"/>
  <c r="AL106" i="104"/>
  <c r="T106" i="103"/>
  <c r="AE111" i="104"/>
  <c r="O111" i="103"/>
  <c r="U140" i="74"/>
  <c r="J143" i="3" s="1"/>
  <c r="P143" i="3" s="1"/>
  <c r="R140" i="104"/>
  <c r="K140" i="103"/>
  <c r="J189" i="85"/>
  <c r="W140" i="104"/>
  <c r="X140" i="104" s="1"/>
  <c r="T140" i="104" s="1"/>
  <c r="AD144" i="104"/>
  <c r="N144" i="103"/>
  <c r="W144" i="104"/>
  <c r="X144" i="104" s="1"/>
  <c r="T144" i="104" s="1"/>
  <c r="C175" i="104"/>
  <c r="S175" i="104"/>
  <c r="B175" i="104" s="1"/>
  <c r="C209" i="104"/>
  <c r="S209" i="104"/>
  <c r="B209" i="104" s="1"/>
  <c r="C224" i="104"/>
  <c r="C14" i="97"/>
  <c r="C15" i="3"/>
  <c r="C15" i="4"/>
  <c r="C15" i="75"/>
  <c r="F20" i="104"/>
  <c r="C20" i="103"/>
  <c r="G20" i="74"/>
  <c r="J23" i="75" s="1"/>
  <c r="N22" i="104"/>
  <c r="G22" i="103"/>
  <c r="Q22" i="74"/>
  <c r="F25" i="3" s="1"/>
  <c r="AA25" i="104"/>
  <c r="L25" i="103"/>
  <c r="C26" i="103"/>
  <c r="F26" i="104"/>
  <c r="G26" i="74"/>
  <c r="O29" i="3" s="1"/>
  <c r="S31" i="74"/>
  <c r="H34" i="3" s="1"/>
  <c r="AK37" i="104"/>
  <c r="AN37" i="104" s="1"/>
  <c r="S37" i="103"/>
  <c r="AE37" i="74"/>
  <c r="AI40" i="4" s="1"/>
  <c r="AL40" i="4" s="1"/>
  <c r="AF45" i="104"/>
  <c r="P45" i="103"/>
  <c r="AB45" i="74"/>
  <c r="AD48" i="4" s="1"/>
  <c r="E51" i="103"/>
  <c r="I51" i="104"/>
  <c r="I51" i="74"/>
  <c r="R62" i="104"/>
  <c r="K62" i="103"/>
  <c r="U62" i="74"/>
  <c r="J65" i="3" s="1"/>
  <c r="Q63" i="104"/>
  <c r="J63" i="103"/>
  <c r="T63" i="74"/>
  <c r="I66" i="3" s="1"/>
  <c r="AL69" i="104"/>
  <c r="T69" i="103"/>
  <c r="AF69" i="74"/>
  <c r="AJ72" i="4" s="1"/>
  <c r="C74" i="97"/>
  <c r="C75" i="75"/>
  <c r="C75" i="4"/>
  <c r="C75" i="3"/>
  <c r="N75" i="3" s="1"/>
  <c r="AK72" i="104"/>
  <c r="AN72" i="104" s="1"/>
  <c r="S72" i="103"/>
  <c r="AE72" i="74"/>
  <c r="AI75" i="4" s="1"/>
  <c r="AL75" i="4" s="1"/>
  <c r="O75" i="103"/>
  <c r="AE75" i="104"/>
  <c r="AA75" i="74"/>
  <c r="AC78" i="4" s="1"/>
  <c r="G78" i="103"/>
  <c r="N78" i="104"/>
  <c r="Q78" i="74"/>
  <c r="F81" i="3" s="1"/>
  <c r="L81" i="3" s="1"/>
  <c r="U78" i="103"/>
  <c r="AM78" i="104"/>
  <c r="AG78" i="74"/>
  <c r="AK81" i="4" s="1"/>
  <c r="AD79" i="104"/>
  <c r="N79" i="103"/>
  <c r="Z79" i="74"/>
  <c r="AB82" i="4" s="1"/>
  <c r="T88" i="103"/>
  <c r="AL88" i="104"/>
  <c r="AF88" i="74"/>
  <c r="AJ91" i="4" s="1"/>
  <c r="H92" i="104"/>
  <c r="L92" i="104" s="1"/>
  <c r="D92" i="103"/>
  <c r="H92" i="74"/>
  <c r="O94" i="103"/>
  <c r="AE94" i="104"/>
  <c r="AA98" i="104"/>
  <c r="L98" i="103"/>
  <c r="AL100" i="104"/>
  <c r="AN100" i="104" s="1"/>
  <c r="T100" i="103"/>
  <c r="J106" i="103"/>
  <c r="Q106" i="104"/>
  <c r="U106" i="103"/>
  <c r="AM106" i="104"/>
  <c r="Q112" i="104"/>
  <c r="J112" i="103"/>
  <c r="AE124" i="104"/>
  <c r="O124" i="103"/>
  <c r="N140" i="104"/>
  <c r="G140" i="103"/>
  <c r="AK140" i="104"/>
  <c r="AN140" i="104" s="1"/>
  <c r="S140" i="103"/>
  <c r="O192" i="85"/>
  <c r="K148" i="75" s="1"/>
  <c r="L148" i="75" s="1"/>
  <c r="M148" i="75" s="1"/>
  <c r="R20" i="103"/>
  <c r="AI20" i="104"/>
  <c r="AD20" i="74"/>
  <c r="AG23" i="4" s="1"/>
  <c r="AE144" i="74"/>
  <c r="AI147" i="4" s="1"/>
  <c r="AK144" i="104"/>
  <c r="S144" i="103"/>
  <c r="C18" i="75"/>
  <c r="C18" i="4"/>
  <c r="C17" i="97"/>
  <c r="C18" i="3"/>
  <c r="N18" i="3" s="1"/>
  <c r="P20" i="103"/>
  <c r="AF20" i="104"/>
  <c r="AB20" i="74"/>
  <c r="AD23" i="4" s="1"/>
  <c r="R25" i="103"/>
  <c r="AI25" i="104"/>
  <c r="AJ25" i="104" s="1"/>
  <c r="AD25" i="74"/>
  <c r="AG28" i="4" s="1"/>
  <c r="AH28" i="4" s="1"/>
  <c r="Q38" i="104"/>
  <c r="J38" i="103"/>
  <c r="T38" i="74"/>
  <c r="I41" i="3" s="1"/>
  <c r="AE43" i="104"/>
  <c r="O43" i="103"/>
  <c r="AA43" i="74"/>
  <c r="AC46" i="4" s="1"/>
  <c r="K61" i="103"/>
  <c r="R61" i="104"/>
  <c r="U61" i="74"/>
  <c r="J64" i="3" s="1"/>
  <c r="K70" i="103"/>
  <c r="R70" i="104"/>
  <c r="U70" i="74"/>
  <c r="J73" i="3" s="1"/>
  <c r="W70" i="104"/>
  <c r="X70" i="104" s="1"/>
  <c r="T70" i="104" s="1"/>
  <c r="J97" i="85"/>
  <c r="F75" i="103"/>
  <c r="J75" i="104"/>
  <c r="K75" i="104" s="1"/>
  <c r="L75" i="74"/>
  <c r="R77" i="103"/>
  <c r="AI77" i="104"/>
  <c r="AD77" i="74"/>
  <c r="AG80" i="4" s="1"/>
  <c r="O78" i="103"/>
  <c r="AE78" i="104"/>
  <c r="AA78" i="74"/>
  <c r="AC81" i="4" s="1"/>
  <c r="D79" i="103"/>
  <c r="H79" i="104"/>
  <c r="H79" i="74"/>
  <c r="N92" i="104"/>
  <c r="G92" i="103"/>
  <c r="F100" i="103"/>
  <c r="J100" i="104"/>
  <c r="K100" i="104" s="1"/>
  <c r="L100" i="104" s="1"/>
  <c r="D100" i="104" s="1"/>
  <c r="C109" i="3"/>
  <c r="P109" i="3" s="1"/>
  <c r="C108" i="97"/>
  <c r="C109" i="4"/>
  <c r="Q109" i="4" s="1"/>
  <c r="C109" i="75"/>
  <c r="N106" i="103"/>
  <c r="AD106" i="104"/>
  <c r="C119" i="4"/>
  <c r="C119" i="75"/>
  <c r="C119" i="3"/>
  <c r="O119" i="3" s="1"/>
  <c r="C118" i="97"/>
  <c r="L150" i="74"/>
  <c r="J150" i="104"/>
  <c r="K150" i="104" s="1"/>
  <c r="C185" i="104"/>
  <c r="S185" i="104"/>
  <c r="B185" i="104" s="1"/>
  <c r="G92" i="4"/>
  <c r="M92" i="4"/>
  <c r="U92" i="4"/>
  <c r="I92" i="4"/>
  <c r="S92" i="4"/>
  <c r="P92" i="4"/>
  <c r="J92" i="4"/>
  <c r="V92" i="4"/>
  <c r="F92" i="4"/>
  <c r="H92" i="4" s="1"/>
  <c r="L92" i="4"/>
  <c r="N92" i="4" s="1"/>
  <c r="T92" i="4"/>
  <c r="AA149" i="74"/>
  <c r="AE149" i="104"/>
  <c r="B157" i="104"/>
  <c r="C157" i="104"/>
  <c r="U96" i="97"/>
  <c r="S201" i="104"/>
  <c r="B201" i="104" s="1"/>
  <c r="C201" i="104"/>
  <c r="C179" i="104"/>
  <c r="S179" i="104"/>
  <c r="B179" i="104" s="1"/>
  <c r="G149" i="75"/>
  <c r="H149" i="75" s="1"/>
  <c r="F149" i="75"/>
  <c r="I47" i="75"/>
  <c r="N47" i="75" s="1"/>
  <c r="I131" i="75"/>
  <c r="N131" i="75" s="1"/>
  <c r="R112" i="75"/>
  <c r="I98" i="75"/>
  <c r="Z126" i="75"/>
  <c r="AB204" i="104"/>
  <c r="Z204" i="104" s="1"/>
  <c r="S204" i="104" s="1"/>
  <c r="B204" i="104" s="1"/>
  <c r="L121" i="3"/>
  <c r="N121" i="75"/>
  <c r="Z122" i="75"/>
  <c r="O67" i="4"/>
  <c r="D18" i="103"/>
  <c r="H18" i="104"/>
  <c r="L18" i="104" s="1"/>
  <c r="H18" i="74"/>
  <c r="AI15" i="104"/>
  <c r="AJ15" i="104" s="1"/>
  <c r="R15" i="103"/>
  <c r="AD15" i="74"/>
  <c r="AG18" i="4" s="1"/>
  <c r="AH18" i="4" s="1"/>
  <c r="Q20" i="103"/>
  <c r="AH20" i="104"/>
  <c r="AC20" i="74"/>
  <c r="AF23" i="4" s="1"/>
  <c r="AK25" i="104"/>
  <c r="S25" i="103"/>
  <c r="AE25" i="74"/>
  <c r="AI28" i="4" s="1"/>
  <c r="AH26" i="104"/>
  <c r="AJ26" i="104" s="1"/>
  <c r="Q26" i="103"/>
  <c r="AC26" i="74"/>
  <c r="AF29" i="4" s="1"/>
  <c r="AH29" i="4" s="1"/>
  <c r="AE30" i="104"/>
  <c r="O30" i="103"/>
  <c r="AA30" i="74"/>
  <c r="AC33" i="4" s="1"/>
  <c r="Q34" i="104"/>
  <c r="J34" i="103"/>
  <c r="S36" i="74"/>
  <c r="H39" i="3" s="1"/>
  <c r="L38" i="103"/>
  <c r="AA38" i="104"/>
  <c r="G41" i="103"/>
  <c r="N41" i="104"/>
  <c r="Q41" i="74"/>
  <c r="F44" i="3" s="1"/>
  <c r="AF43" i="104"/>
  <c r="P43" i="103"/>
  <c r="AB43" i="74"/>
  <c r="AD46" i="4" s="1"/>
  <c r="D49" i="103"/>
  <c r="H49" i="104"/>
  <c r="H49" i="74"/>
  <c r="G53" i="103"/>
  <c r="N53" i="104"/>
  <c r="Q53" i="74"/>
  <c r="F56" i="3" s="1"/>
  <c r="AK58" i="104"/>
  <c r="AN58" i="104" s="1"/>
  <c r="AB58" i="104" s="1"/>
  <c r="Z58" i="104" s="1"/>
  <c r="S58" i="104" s="1"/>
  <c r="S58" i="103"/>
  <c r="AE58" i="74"/>
  <c r="AI61" i="4" s="1"/>
  <c r="AL61" i="4" s="1"/>
  <c r="AM61" i="4" s="1"/>
  <c r="AN61" i="4" s="1"/>
  <c r="T60" i="97" s="1"/>
  <c r="R60" i="97" s="1"/>
  <c r="G62" i="103"/>
  <c r="N62" i="104"/>
  <c r="Q62" i="74"/>
  <c r="F65" i="3" s="1"/>
  <c r="E63" i="103"/>
  <c r="I63" i="104"/>
  <c r="I63" i="74"/>
  <c r="J64" i="103"/>
  <c r="Q64" i="104"/>
  <c r="M64" i="104" s="1"/>
  <c r="J66" i="104"/>
  <c r="K66" i="104" s="1"/>
  <c r="F66" i="103"/>
  <c r="L66" i="74"/>
  <c r="W69" i="75" s="1"/>
  <c r="AA69" i="104"/>
  <c r="L69" i="103"/>
  <c r="AI70" i="104"/>
  <c r="R70" i="103"/>
  <c r="AD70" i="74"/>
  <c r="AG73" i="4" s="1"/>
  <c r="R72" i="103"/>
  <c r="AI72" i="104"/>
  <c r="AJ72" i="104" s="1"/>
  <c r="AD72" i="74"/>
  <c r="AG75" i="4" s="1"/>
  <c r="O100" i="85"/>
  <c r="K78" i="75" s="1"/>
  <c r="L78" i="75" s="1"/>
  <c r="M78" i="75" s="1"/>
  <c r="J76" i="103"/>
  <c r="Q76" i="104"/>
  <c r="D78" i="103"/>
  <c r="H78" i="104"/>
  <c r="H78" i="74"/>
  <c r="I79" i="104"/>
  <c r="E79" i="103"/>
  <c r="I79" i="74"/>
  <c r="S82" i="75" s="1"/>
  <c r="M88" i="103"/>
  <c r="AC88" i="104"/>
  <c r="Y88" i="74"/>
  <c r="AA91" i="4" s="1"/>
  <c r="S92" i="103"/>
  <c r="AK92" i="104"/>
  <c r="AD94" i="104"/>
  <c r="N94" i="103"/>
  <c r="H97" i="103"/>
  <c r="O97" i="104"/>
  <c r="L100" i="103"/>
  <c r="AA100" i="104"/>
  <c r="H106" i="103"/>
  <c r="O106" i="104"/>
  <c r="AE115" i="104"/>
  <c r="AG115" i="104" s="1"/>
  <c r="O115" i="103"/>
  <c r="AA136" i="104"/>
  <c r="L136" i="103"/>
  <c r="O189" i="85"/>
  <c r="U141" i="74"/>
  <c r="J144" i="3" s="1"/>
  <c r="K141" i="103"/>
  <c r="R141" i="104"/>
  <c r="R144" i="74"/>
  <c r="G147" i="3" s="1"/>
  <c r="O144" i="104"/>
  <c r="H144" i="103"/>
  <c r="C156" i="104"/>
  <c r="Q12" i="103"/>
  <c r="AH12" i="104"/>
  <c r="AC12" i="74"/>
  <c r="AF15" i="4" s="1"/>
  <c r="G15" i="4"/>
  <c r="M15" i="4"/>
  <c r="U15" i="4"/>
  <c r="I15" i="4"/>
  <c r="S15" i="4"/>
  <c r="P15" i="4"/>
  <c r="J15" i="4"/>
  <c r="V15" i="4"/>
  <c r="F15" i="4"/>
  <c r="H15" i="4" s="1"/>
  <c r="L15" i="4"/>
  <c r="N15" i="4" s="1"/>
  <c r="T15" i="4"/>
  <c r="H20" i="104"/>
  <c r="D20" i="103"/>
  <c r="H20" i="74"/>
  <c r="C25" i="97"/>
  <c r="C26" i="4"/>
  <c r="C26" i="75"/>
  <c r="P25" i="103"/>
  <c r="AF25" i="104"/>
  <c r="AB25" i="74"/>
  <c r="AD28" i="4" s="1"/>
  <c r="I26" i="104"/>
  <c r="K26" i="104" s="1"/>
  <c r="L26" i="104" s="1"/>
  <c r="E26" i="103"/>
  <c r="I26" i="74"/>
  <c r="C31" i="97"/>
  <c r="C32" i="3"/>
  <c r="C32" i="75"/>
  <c r="C32" i="4"/>
  <c r="AA31" i="104"/>
  <c r="L31" i="103"/>
  <c r="AC38" i="104"/>
  <c r="M38" i="103"/>
  <c r="Y38" i="74"/>
  <c r="AA41" i="4" s="1"/>
  <c r="AF48" i="104"/>
  <c r="P48" i="103"/>
  <c r="AB48" i="74"/>
  <c r="AD51" i="4" s="1"/>
  <c r="P51" i="103"/>
  <c r="AF51" i="104"/>
  <c r="AB51" i="74"/>
  <c r="AD54" i="4" s="1"/>
  <c r="AC62" i="104"/>
  <c r="M62" i="103"/>
  <c r="Y62" i="74"/>
  <c r="AA65" i="4" s="1"/>
  <c r="F63" i="103"/>
  <c r="J63" i="104"/>
  <c r="L63" i="74"/>
  <c r="F68" i="103"/>
  <c r="J68" i="104"/>
  <c r="K68" i="104" s="1"/>
  <c r="L68" i="74"/>
  <c r="W71" i="75" s="1"/>
  <c r="D70" i="103"/>
  <c r="H70" i="104"/>
  <c r="L70" i="104" s="1"/>
  <c r="H70" i="74"/>
  <c r="H72" i="103"/>
  <c r="O72" i="104"/>
  <c r="R72" i="74"/>
  <c r="G75" i="3" s="1"/>
  <c r="N75" i="104"/>
  <c r="G75" i="103"/>
  <c r="Q75" i="74"/>
  <c r="F78" i="3" s="1"/>
  <c r="L78" i="3" s="1"/>
  <c r="S75" i="103"/>
  <c r="AK75" i="104"/>
  <c r="AN75" i="104" s="1"/>
  <c r="AE75" i="74"/>
  <c r="AI78" i="4" s="1"/>
  <c r="I78" i="104"/>
  <c r="K78" i="104" s="1"/>
  <c r="E78" i="103"/>
  <c r="I78" i="74"/>
  <c r="S81" i="75" s="1"/>
  <c r="AI79" i="104"/>
  <c r="R79" i="103"/>
  <c r="AD79" i="74"/>
  <c r="AG82" i="4" s="1"/>
  <c r="H89" i="104"/>
  <c r="D89" i="103"/>
  <c r="H89" i="74"/>
  <c r="G94" i="103"/>
  <c r="N94" i="104"/>
  <c r="Q94" i="74"/>
  <c r="F97" i="3" s="1"/>
  <c r="AK94" i="104"/>
  <c r="AN94" i="104" s="1"/>
  <c r="S94" i="103"/>
  <c r="AE94" i="74"/>
  <c r="AI97" i="4" s="1"/>
  <c r="AL97" i="4" s="1"/>
  <c r="M96" i="103"/>
  <c r="AC96" i="104"/>
  <c r="AG96" i="104" s="1"/>
  <c r="N99" i="103"/>
  <c r="AD99" i="104"/>
  <c r="R101" i="104"/>
  <c r="K101" i="103"/>
  <c r="J106" i="104"/>
  <c r="F106" i="103"/>
  <c r="J110" i="104"/>
  <c r="K110" i="104" s="1"/>
  <c r="F110" i="103"/>
  <c r="H115" i="103"/>
  <c r="O115" i="104"/>
  <c r="M115" i="104" s="1"/>
  <c r="AB126" i="74"/>
  <c r="AD129" i="4" s="1"/>
  <c r="AE129" i="4" s="1"/>
  <c r="AF126" i="104"/>
  <c r="AG126" i="104" s="1"/>
  <c r="P126" i="103"/>
  <c r="H140" i="104"/>
  <c r="D140" i="103"/>
  <c r="AC144" i="74"/>
  <c r="AF147" i="4" s="1"/>
  <c r="AH147" i="4" s="1"/>
  <c r="AH144" i="104"/>
  <c r="AJ144" i="104" s="1"/>
  <c r="Q144" i="103"/>
  <c r="AD20" i="104"/>
  <c r="N20" i="103"/>
  <c r="Z20" i="74"/>
  <c r="AB23" i="4" s="1"/>
  <c r="C23" i="3"/>
  <c r="L23" i="3" s="1"/>
  <c r="C22" i="97"/>
  <c r="C23" i="4"/>
  <c r="C23" i="75"/>
  <c r="I143" i="74"/>
  <c r="E143" i="103"/>
  <c r="I143" i="104"/>
  <c r="K143" i="104" s="1"/>
  <c r="L143" i="104" s="1"/>
  <c r="U12" i="97"/>
  <c r="J15" i="104"/>
  <c r="K15" i="104" s="1"/>
  <c r="L15" i="104" s="1"/>
  <c r="D15" i="104" s="1"/>
  <c r="F15" i="103"/>
  <c r="V15" i="103" s="1"/>
  <c r="G15" i="99" s="1"/>
  <c r="D15" i="99" s="1"/>
  <c r="L15" i="74"/>
  <c r="U20" i="103"/>
  <c r="AM20" i="104"/>
  <c r="AG20" i="74"/>
  <c r="AK23" i="4" s="1"/>
  <c r="J25" i="103"/>
  <c r="Q25" i="104"/>
  <c r="T25" i="74"/>
  <c r="I28" i="3" s="1"/>
  <c r="O28" i="3" s="1"/>
  <c r="U38" i="103"/>
  <c r="AM38" i="104"/>
  <c r="AG38" i="74"/>
  <c r="AK41" i="4" s="1"/>
  <c r="C49" i="4"/>
  <c r="C49" i="75"/>
  <c r="C49" i="3"/>
  <c r="P49" i="3" s="1"/>
  <c r="C48" i="97"/>
  <c r="J61" i="104"/>
  <c r="K61" i="104" s="1"/>
  <c r="L61" i="104" s="1"/>
  <c r="F61" i="103"/>
  <c r="L61" i="74"/>
  <c r="H70" i="103"/>
  <c r="O70" i="104"/>
  <c r="R70" i="74"/>
  <c r="G73" i="3" s="1"/>
  <c r="C77" i="97"/>
  <c r="C78" i="4"/>
  <c r="C78" i="75"/>
  <c r="C78" i="3"/>
  <c r="AC75" i="104"/>
  <c r="M75" i="103"/>
  <c r="Y75" i="74"/>
  <c r="AA78" i="4" s="1"/>
  <c r="C81" i="3"/>
  <c r="C80" i="97"/>
  <c r="C81" i="4"/>
  <c r="C81" i="75"/>
  <c r="AK78" i="104"/>
  <c r="AN78" i="104" s="1"/>
  <c r="S78" i="103"/>
  <c r="AE78" i="74"/>
  <c r="AI81" i="4" s="1"/>
  <c r="AA79" i="104"/>
  <c r="L79" i="103"/>
  <c r="C89" i="97"/>
  <c r="C90" i="75"/>
  <c r="C90" i="3"/>
  <c r="C90" i="4"/>
  <c r="AI92" i="104"/>
  <c r="R92" i="103"/>
  <c r="AD92" i="74"/>
  <c r="AG95" i="4" s="1"/>
  <c r="AH95" i="4" s="1"/>
  <c r="AE100" i="104"/>
  <c r="O100" i="103"/>
  <c r="N106" i="104"/>
  <c r="G106" i="103"/>
  <c r="AK106" i="104"/>
  <c r="AN106" i="104" s="1"/>
  <c r="S106" i="103"/>
  <c r="L116" i="103"/>
  <c r="AA116" i="104"/>
  <c r="K85" i="75"/>
  <c r="L85" i="75" s="1"/>
  <c r="M85" i="75" s="1"/>
  <c r="G85" i="75"/>
  <c r="H85" i="75" s="1"/>
  <c r="I85" i="75" s="1"/>
  <c r="C164" i="104"/>
  <c r="B164" i="104"/>
  <c r="C176" i="104"/>
  <c r="S214" i="104"/>
  <c r="B214" i="104" s="1"/>
  <c r="C214" i="104"/>
  <c r="P18" i="4"/>
  <c r="I18" i="4"/>
  <c r="K18" i="4" s="1"/>
  <c r="V18" i="4"/>
  <c r="G18" i="4"/>
  <c r="H18" i="4" s="1"/>
  <c r="M18" i="4"/>
  <c r="U18" i="4"/>
  <c r="AD149" i="104"/>
  <c r="Z149" i="74"/>
  <c r="C151" i="97"/>
  <c r="C177" i="104"/>
  <c r="S177" i="104"/>
  <c r="B177" i="104" s="1"/>
  <c r="G56" i="4"/>
  <c r="P56" i="4"/>
  <c r="V56" i="4"/>
  <c r="S56" i="4"/>
  <c r="J56" i="4"/>
  <c r="F56" i="4"/>
  <c r="L56" i="4"/>
  <c r="U56" i="4"/>
  <c r="I56" i="4"/>
  <c r="T56" i="4"/>
  <c r="M56" i="4"/>
  <c r="Q56" i="4"/>
  <c r="Q142" i="4"/>
  <c r="R142" i="4" s="1"/>
  <c r="R88" i="75"/>
  <c r="AB88" i="75" s="1"/>
  <c r="N135" i="3"/>
  <c r="N117" i="3"/>
  <c r="B208" i="104"/>
  <c r="O62" i="4"/>
  <c r="X62" i="4" s="1"/>
  <c r="O53" i="4"/>
  <c r="X53" i="4" s="1"/>
  <c r="O88" i="4"/>
  <c r="X88" i="4" s="1"/>
  <c r="J19" i="103"/>
  <c r="Q19" i="104"/>
  <c r="T19" i="74"/>
  <c r="I22" i="3" s="1"/>
  <c r="K25" i="103"/>
  <c r="R25" i="104"/>
  <c r="U25" i="74"/>
  <c r="J28" i="3" s="1"/>
  <c r="P28" i="3" s="1"/>
  <c r="W26" i="104"/>
  <c r="X26" i="104" s="1"/>
  <c r="T26" i="104" s="1"/>
  <c r="J35" i="85"/>
  <c r="Q29" i="4" s="1"/>
  <c r="R29" i="4" s="1"/>
  <c r="X29" i="4" s="1"/>
  <c r="I31" i="104"/>
  <c r="E31" i="103"/>
  <c r="I31" i="74"/>
  <c r="AD34" i="104"/>
  <c r="N34" i="103"/>
  <c r="Z34" i="74"/>
  <c r="AB37" i="4" s="1"/>
  <c r="M36" i="103"/>
  <c r="AC36" i="104"/>
  <c r="Y36" i="74"/>
  <c r="AA39" i="4" s="1"/>
  <c r="C40" i="103"/>
  <c r="F40" i="104"/>
  <c r="G40" i="74"/>
  <c r="J43" i="75" s="1"/>
  <c r="AH41" i="104"/>
  <c r="AJ41" i="104" s="1"/>
  <c r="Q41" i="103"/>
  <c r="AC41" i="74"/>
  <c r="AF44" i="4" s="1"/>
  <c r="AH44" i="4" s="1"/>
  <c r="S45" i="74"/>
  <c r="H48" i="3" s="1"/>
  <c r="AC49" i="104"/>
  <c r="M49" i="103"/>
  <c r="Y49" i="74"/>
  <c r="AA52" i="4" s="1"/>
  <c r="H55" i="104"/>
  <c r="D55" i="103"/>
  <c r="H55" i="74"/>
  <c r="C59" i="103"/>
  <c r="F59" i="104"/>
  <c r="G59" i="74"/>
  <c r="J62" i="75" s="1"/>
  <c r="M63" i="103"/>
  <c r="AC63" i="104"/>
  <c r="Y63" i="74"/>
  <c r="AA66" i="4" s="1"/>
  <c r="J64" i="104"/>
  <c r="K64" i="104" s="1"/>
  <c r="L64" i="104" s="1"/>
  <c r="D64" i="104" s="1"/>
  <c r="F64" i="103"/>
  <c r="V64" i="103" s="1"/>
  <c r="G64" i="99" s="1"/>
  <c r="D64" i="99" s="1"/>
  <c r="L64" i="74"/>
  <c r="P66" i="103"/>
  <c r="AF66" i="104"/>
  <c r="AB66" i="74"/>
  <c r="AD69" i="4" s="1"/>
  <c r="S69" i="103"/>
  <c r="AK69" i="104"/>
  <c r="AN69" i="104" s="1"/>
  <c r="AB69" i="104" s="1"/>
  <c r="AE69" i="74"/>
  <c r="AI72" i="4" s="1"/>
  <c r="AL72" i="4" s="1"/>
  <c r="G72" i="103"/>
  <c r="N72" i="104"/>
  <c r="M72" i="104" s="1"/>
  <c r="Q72" i="74"/>
  <c r="F75" i="3" s="1"/>
  <c r="J74" i="103"/>
  <c r="Q74" i="104"/>
  <c r="N75" i="103"/>
  <c r="AD75" i="104"/>
  <c r="Z75" i="74"/>
  <c r="AB78" i="4" s="1"/>
  <c r="AH76" i="104"/>
  <c r="AJ76" i="104" s="1"/>
  <c r="Q76" i="103"/>
  <c r="AC76" i="74"/>
  <c r="AF79" i="4" s="1"/>
  <c r="AH79" i="4" s="1"/>
  <c r="L78" i="103"/>
  <c r="AA78" i="104"/>
  <c r="AC79" i="104"/>
  <c r="M79" i="103"/>
  <c r="Y79" i="74"/>
  <c r="AA82" i="4" s="1"/>
  <c r="R89" i="104"/>
  <c r="K89" i="103"/>
  <c r="U89" i="74"/>
  <c r="J92" i="3" s="1"/>
  <c r="C94" i="103"/>
  <c r="F94" i="104"/>
  <c r="G94" i="74"/>
  <c r="J97" i="75" s="1"/>
  <c r="R94" i="103"/>
  <c r="AI94" i="104"/>
  <c r="AJ94" i="104" s="1"/>
  <c r="AD94" i="74"/>
  <c r="AG97" i="4" s="1"/>
  <c r="AH97" i="4" s="1"/>
  <c r="K97" i="103"/>
  <c r="R97" i="104"/>
  <c r="AH100" i="104"/>
  <c r="AJ100" i="104" s="1"/>
  <c r="Q100" i="103"/>
  <c r="E106" i="103"/>
  <c r="I106" i="104"/>
  <c r="Q111" i="104"/>
  <c r="J111" i="103"/>
  <c r="M123" i="103"/>
  <c r="AC123" i="104"/>
  <c r="L137" i="103"/>
  <c r="AA137" i="104"/>
  <c r="Z140" i="74"/>
  <c r="AB143" i="4" s="1"/>
  <c r="N140" i="103"/>
  <c r="AD140" i="104"/>
  <c r="J190" i="85"/>
  <c r="Q144" i="4" s="1"/>
  <c r="R144" i="4" s="1"/>
  <c r="W141" i="104"/>
  <c r="X141" i="104" s="1"/>
  <c r="T141" i="104" s="1"/>
  <c r="I144" i="74"/>
  <c r="E144" i="103"/>
  <c r="I144" i="104"/>
  <c r="S184" i="104"/>
  <c r="B184" i="104" s="1"/>
  <c r="C184" i="104"/>
  <c r="P12" i="103"/>
  <c r="AF12" i="104"/>
  <c r="AB12" i="74"/>
  <c r="AD15" i="4" s="1"/>
  <c r="F12" i="104"/>
  <c r="C12" i="103"/>
  <c r="G12" i="74"/>
  <c r="J15" i="75" s="1"/>
  <c r="F17" i="4"/>
  <c r="L17" i="4"/>
  <c r="G17" i="4"/>
  <c r="J17" i="4"/>
  <c r="U17" i="4"/>
  <c r="I17" i="4"/>
  <c r="M17" i="4"/>
  <c r="P17" i="4"/>
  <c r="S17" i="4"/>
  <c r="V17" i="4"/>
  <c r="AC20" i="104"/>
  <c r="AG20" i="104" s="1"/>
  <c r="M20" i="103"/>
  <c r="Y20" i="74"/>
  <c r="AA23" i="4" s="1"/>
  <c r="AE23" i="4" s="1"/>
  <c r="G25" i="103"/>
  <c r="N25" i="104"/>
  <c r="Q25" i="74"/>
  <c r="F28" i="3" s="1"/>
  <c r="T25" i="103"/>
  <c r="AL25" i="104"/>
  <c r="AF25" i="74"/>
  <c r="AJ28" i="4" s="1"/>
  <c r="AC26" i="104"/>
  <c r="M26" i="103"/>
  <c r="Y26" i="74"/>
  <c r="AA29" i="4" s="1"/>
  <c r="F30" i="103"/>
  <c r="J30" i="104"/>
  <c r="K30" i="104" s="1"/>
  <c r="L30" i="74"/>
  <c r="W33" i="75" s="1"/>
  <c r="O36" i="104"/>
  <c r="H36" i="103"/>
  <c r="R36" i="74"/>
  <c r="G39" i="3" s="1"/>
  <c r="O42" i="103"/>
  <c r="AE42" i="104"/>
  <c r="AA42" i="74"/>
  <c r="AC45" i="4" s="1"/>
  <c r="AE49" i="104"/>
  <c r="O49" i="103"/>
  <c r="AA49" i="74"/>
  <c r="AC52" i="4" s="1"/>
  <c r="F59" i="103"/>
  <c r="J59" i="104"/>
  <c r="K59" i="104" s="1"/>
  <c r="L59" i="104" s="1"/>
  <c r="L59" i="74"/>
  <c r="AM62" i="104"/>
  <c r="U62" i="103"/>
  <c r="AG62" i="74"/>
  <c r="AK65" i="4" s="1"/>
  <c r="N63" i="103"/>
  <c r="AD63" i="104"/>
  <c r="Z63" i="74"/>
  <c r="AB66" i="4" s="1"/>
  <c r="D69" i="103"/>
  <c r="V69" i="103" s="1"/>
  <c r="G69" i="99" s="1"/>
  <c r="D69" i="99" s="1"/>
  <c r="H69" i="104"/>
  <c r="L69" i="104" s="1"/>
  <c r="D69" i="104" s="1"/>
  <c r="H69" i="74"/>
  <c r="M70" i="103"/>
  <c r="AC70" i="104"/>
  <c r="AG70" i="104" s="1"/>
  <c r="Y70" i="74"/>
  <c r="AA73" i="4" s="1"/>
  <c r="AE73" i="4" s="1"/>
  <c r="J72" i="104"/>
  <c r="K72" i="104" s="1"/>
  <c r="L72" i="104" s="1"/>
  <c r="D72" i="104" s="1"/>
  <c r="F72" i="103"/>
  <c r="L72" i="74"/>
  <c r="H75" i="104"/>
  <c r="D75" i="103"/>
  <c r="H75" i="74"/>
  <c r="AC78" i="104"/>
  <c r="M78" i="103"/>
  <c r="Y78" i="74"/>
  <c r="AA81" i="4" s="1"/>
  <c r="Q79" i="104"/>
  <c r="J79" i="103"/>
  <c r="T79" i="74"/>
  <c r="I82" i="3" s="1"/>
  <c r="Q89" i="103"/>
  <c r="AH89" i="104"/>
  <c r="AJ89" i="104" s="1"/>
  <c r="AC89" i="74"/>
  <c r="AF92" i="4" s="1"/>
  <c r="AH92" i="4" s="1"/>
  <c r="D94" i="103"/>
  <c r="H94" i="104"/>
  <c r="L94" i="104" s="1"/>
  <c r="W94" i="104"/>
  <c r="X94" i="104" s="1"/>
  <c r="T94" i="104" s="1"/>
  <c r="J121" i="85"/>
  <c r="Q97" i="4" s="1"/>
  <c r="E97" i="104"/>
  <c r="B97" i="103"/>
  <c r="K100" i="103"/>
  <c r="R100" i="104"/>
  <c r="P101" i="103"/>
  <c r="AF101" i="104"/>
  <c r="L106" i="103"/>
  <c r="AA106" i="104"/>
  <c r="E111" i="103"/>
  <c r="I111" i="104"/>
  <c r="AM115" i="104"/>
  <c r="AN115" i="104" s="1"/>
  <c r="U115" i="103"/>
  <c r="AE137" i="74"/>
  <c r="AI140" i="4" s="1"/>
  <c r="S137" i="103"/>
  <c r="AK137" i="104"/>
  <c r="F140" i="74"/>
  <c r="F143" i="75" s="1"/>
  <c r="B140" i="103"/>
  <c r="E140" i="104"/>
  <c r="C147" i="4"/>
  <c r="C147" i="75"/>
  <c r="C147" i="3"/>
  <c r="C146" i="97"/>
  <c r="F20" i="103"/>
  <c r="J20" i="104"/>
  <c r="K20" i="104" s="1"/>
  <c r="L20" i="104" s="1"/>
  <c r="L20" i="74"/>
  <c r="T126" i="103"/>
  <c r="AL126" i="104"/>
  <c r="AN126" i="104" s="1"/>
  <c r="U144" i="74"/>
  <c r="J147" i="3" s="1"/>
  <c r="K144" i="103"/>
  <c r="R144" i="104"/>
  <c r="AL15" i="104"/>
  <c r="AN15" i="104" s="1"/>
  <c r="T15" i="103"/>
  <c r="AF15" i="74"/>
  <c r="AJ18" i="4" s="1"/>
  <c r="AL18" i="4" s="1"/>
  <c r="AM18" i="4" s="1"/>
  <c r="AN18" i="4" s="1"/>
  <c r="U22" i="103"/>
  <c r="AM22" i="104"/>
  <c r="AG22" i="74"/>
  <c r="AK25" i="4" s="1"/>
  <c r="J25" i="104"/>
  <c r="K25" i="104" s="1"/>
  <c r="F25" i="103"/>
  <c r="L25" i="74"/>
  <c r="U66" i="97"/>
  <c r="Q75" i="103"/>
  <c r="AH75" i="104"/>
  <c r="AJ75" i="104" s="1"/>
  <c r="AC75" i="74"/>
  <c r="AF78" i="4" s="1"/>
  <c r="AH78" i="4" s="1"/>
  <c r="J78" i="103"/>
  <c r="Q78" i="104"/>
  <c r="T78" i="74"/>
  <c r="I81" i="3" s="1"/>
  <c r="C82" i="3"/>
  <c r="C81" i="97"/>
  <c r="C82" i="4"/>
  <c r="C82" i="75"/>
  <c r="AF79" i="104"/>
  <c r="P79" i="103"/>
  <c r="AB79" i="74"/>
  <c r="AD82" i="4" s="1"/>
  <c r="C90" i="97"/>
  <c r="C91" i="4"/>
  <c r="C91" i="75"/>
  <c r="C97" i="97"/>
  <c r="C98" i="3"/>
  <c r="P98" i="3" s="1"/>
  <c r="C98" i="4"/>
  <c r="C98" i="75"/>
  <c r="L101" i="103"/>
  <c r="AA101" i="104"/>
  <c r="D106" i="103"/>
  <c r="H106" i="104"/>
  <c r="J112" i="4"/>
  <c r="S112" i="4"/>
  <c r="G112" i="4"/>
  <c r="I112" i="4"/>
  <c r="V112" i="4"/>
  <c r="P112" i="4"/>
  <c r="R112" i="4" s="1"/>
  <c r="U112" i="4"/>
  <c r="T112" i="4"/>
  <c r="M112" i="4"/>
  <c r="N112" i="4" s="1"/>
  <c r="S39" i="4"/>
  <c r="M39" i="4"/>
  <c r="I39" i="4"/>
  <c r="F39" i="4"/>
  <c r="V39" i="4"/>
  <c r="J39" i="4"/>
  <c r="T39" i="4"/>
  <c r="U39" i="4"/>
  <c r="P39" i="4"/>
  <c r="L39" i="4"/>
  <c r="N39" i="4" s="1"/>
  <c r="G39" i="4"/>
  <c r="C167" i="104"/>
  <c r="S167" i="104"/>
  <c r="B167" i="104" s="1"/>
  <c r="G64" i="4"/>
  <c r="M64" i="4"/>
  <c r="U64" i="4"/>
  <c r="I64" i="4"/>
  <c r="S64" i="4"/>
  <c r="P64" i="4"/>
  <c r="J64" i="4"/>
  <c r="V64" i="4"/>
  <c r="F64" i="4"/>
  <c r="H64" i="4" s="1"/>
  <c r="L64" i="4"/>
  <c r="N64" i="4" s="1"/>
  <c r="T64" i="4"/>
  <c r="U97" i="4"/>
  <c r="M97" i="4"/>
  <c r="L97" i="4"/>
  <c r="S97" i="4"/>
  <c r="F97" i="4"/>
  <c r="P97" i="4"/>
  <c r="T97" i="4"/>
  <c r="I97" i="4"/>
  <c r="V97" i="4"/>
  <c r="G97" i="4"/>
  <c r="J97" i="4"/>
  <c r="G149" i="74"/>
  <c r="F149" i="104"/>
  <c r="G149" i="104" s="1"/>
  <c r="B189" i="104"/>
  <c r="P23" i="4"/>
  <c r="F23" i="4"/>
  <c r="S23" i="4"/>
  <c r="L23" i="4"/>
  <c r="I23" i="4"/>
  <c r="V23" i="4"/>
  <c r="J23" i="4"/>
  <c r="M23" i="4"/>
  <c r="U23" i="4"/>
  <c r="G23" i="4"/>
  <c r="T23" i="4"/>
  <c r="S165" i="104"/>
  <c r="B165" i="104" s="1"/>
  <c r="C165" i="104"/>
  <c r="D176" i="104"/>
  <c r="B176" i="104" s="1"/>
  <c r="S159" i="104"/>
  <c r="B159" i="104" s="1"/>
  <c r="C159" i="104"/>
  <c r="B205" i="104"/>
  <c r="C135" i="104"/>
  <c r="H135" i="99" s="1"/>
  <c r="E135" i="99" s="1"/>
  <c r="B135" i="99" s="1"/>
  <c r="K137" i="97" s="1"/>
  <c r="U113" i="4"/>
  <c r="N88" i="3"/>
  <c r="Q88" i="3" s="1"/>
  <c r="K88" i="3"/>
  <c r="P87" i="97" s="1"/>
  <c r="I63" i="75"/>
  <c r="V148" i="75"/>
  <c r="AM106" i="4"/>
  <c r="AN106" i="4" s="1"/>
  <c r="AM124" i="4"/>
  <c r="AN124" i="4" s="1"/>
  <c r="V117" i="75"/>
  <c r="AL143" i="4"/>
  <c r="O51" i="4"/>
  <c r="O22" i="4"/>
  <c r="S6" i="104"/>
  <c r="C6" i="104"/>
  <c r="H6" i="99" s="1"/>
  <c r="E6" i="99" s="1"/>
  <c r="O78" i="4"/>
  <c r="AE97" i="4"/>
  <c r="P106" i="3"/>
  <c r="P115" i="3"/>
  <c r="AL112" i="4"/>
  <c r="V55" i="75"/>
  <c r="AA55" i="75" s="1"/>
  <c r="AB55" i="75" s="1"/>
  <c r="X10" i="4"/>
  <c r="S9" i="97" s="1"/>
  <c r="R9" i="97" s="1"/>
  <c r="H133" i="4"/>
  <c r="W89" i="4"/>
  <c r="X63" i="4"/>
  <c r="O141" i="4"/>
  <c r="X108" i="4"/>
  <c r="O60" i="4"/>
  <c r="W60" i="4"/>
  <c r="AB90" i="75"/>
  <c r="AL113" i="4"/>
  <c r="O57" i="4"/>
  <c r="X57" i="4" s="1"/>
  <c r="O54" i="4"/>
  <c r="X54" i="4" s="1"/>
  <c r="N90" i="75"/>
  <c r="I8" i="75"/>
  <c r="Z144" i="75"/>
  <c r="R152" i="97"/>
  <c r="X123" i="4"/>
  <c r="S122" i="97" s="1"/>
  <c r="S108" i="104"/>
  <c r="X49" i="4"/>
  <c r="Z54" i="75"/>
  <c r="R7" i="75"/>
  <c r="Z105" i="75"/>
  <c r="AA105" i="75" s="1"/>
  <c r="S210" i="104"/>
  <c r="B210" i="104" s="1"/>
  <c r="S155" i="104"/>
  <c r="B155" i="104" s="1"/>
  <c r="C155" i="104"/>
  <c r="T134" i="75"/>
  <c r="U134" i="75" s="1"/>
  <c r="V134" i="75" s="1"/>
  <c r="O134" i="75"/>
  <c r="X134" i="75"/>
  <c r="Y134" i="75" s="1"/>
  <c r="Z134" i="75" s="1"/>
  <c r="S198" i="104"/>
  <c r="B198" i="104" s="1"/>
  <c r="C198" i="104"/>
  <c r="AM129" i="4"/>
  <c r="C225" i="104"/>
  <c r="S225" i="104"/>
  <c r="B225" i="104" s="1"/>
  <c r="O89" i="4"/>
  <c r="S119" i="104"/>
  <c r="B119" i="104" s="1"/>
  <c r="F119" i="99" s="1"/>
  <c r="C119" i="99" s="1"/>
  <c r="C119" i="104"/>
  <c r="H119" i="99" s="1"/>
  <c r="E119" i="99" s="1"/>
  <c r="M108" i="3"/>
  <c r="P120" i="3"/>
  <c r="M126" i="3"/>
  <c r="AM136" i="4"/>
  <c r="AN136" i="4" s="1"/>
  <c r="N55" i="3"/>
  <c r="Z59" i="75"/>
  <c r="AA59" i="75" s="1"/>
  <c r="AB59" i="75" s="1"/>
  <c r="N151" i="3"/>
  <c r="O122" i="3"/>
  <c r="N149" i="3"/>
  <c r="AL19" i="104"/>
  <c r="AF19" i="74"/>
  <c r="AJ22" i="4" s="1"/>
  <c r="T19" i="103"/>
  <c r="Q29" i="103"/>
  <c r="AH29" i="104"/>
  <c r="AJ29" i="104" s="1"/>
  <c r="AC29" i="74"/>
  <c r="AF32" i="4" s="1"/>
  <c r="AH32" i="4" s="1"/>
  <c r="E35" i="103"/>
  <c r="I35" i="104"/>
  <c r="K35" i="104" s="1"/>
  <c r="I35" i="74"/>
  <c r="S38" i="75" s="1"/>
  <c r="AH40" i="104"/>
  <c r="AJ40" i="104" s="1"/>
  <c r="Q40" i="103"/>
  <c r="AC40" i="74"/>
  <c r="AF43" i="4" s="1"/>
  <c r="AH43" i="4" s="1"/>
  <c r="AD45" i="104"/>
  <c r="N45" i="103"/>
  <c r="Z45" i="74"/>
  <c r="AB48" i="4" s="1"/>
  <c r="O66" i="103"/>
  <c r="AE66" i="104"/>
  <c r="AA66" i="74"/>
  <c r="AC69" i="4" s="1"/>
  <c r="I76" i="104"/>
  <c r="K76" i="104" s="1"/>
  <c r="E76" i="103"/>
  <c r="I76" i="74"/>
  <c r="S79" i="75" s="1"/>
  <c r="AK88" i="104"/>
  <c r="AN88" i="104" s="1"/>
  <c r="S88" i="103"/>
  <c r="AE88" i="74"/>
  <c r="AI91" i="4" s="1"/>
  <c r="S110" i="103"/>
  <c r="AK110" i="104"/>
  <c r="AN110" i="104" s="1"/>
  <c r="G123" i="103"/>
  <c r="N123" i="104"/>
  <c r="T22" i="103"/>
  <c r="AL22" i="104"/>
  <c r="AF22" i="74"/>
  <c r="AJ25" i="4" s="1"/>
  <c r="J83" i="103"/>
  <c r="Q83" i="104"/>
  <c r="T83" i="74"/>
  <c r="I86" i="3" s="1"/>
  <c r="D113" i="103"/>
  <c r="H113" i="104"/>
  <c r="Q146" i="104"/>
  <c r="M146" i="104" s="1"/>
  <c r="J146" i="103"/>
  <c r="J21" i="104"/>
  <c r="K21" i="104" s="1"/>
  <c r="L21" i="104" s="1"/>
  <c r="F21" i="103"/>
  <c r="L21" i="74"/>
  <c r="T23" i="103"/>
  <c r="AL23" i="104"/>
  <c r="AF23" i="74"/>
  <c r="AJ26" i="4" s="1"/>
  <c r="AA29" i="104"/>
  <c r="L29" i="103"/>
  <c r="I32" i="104"/>
  <c r="E32" i="103"/>
  <c r="I32" i="74"/>
  <c r="T34" i="103"/>
  <c r="AL34" i="104"/>
  <c r="AF34" i="74"/>
  <c r="AJ37" i="4" s="1"/>
  <c r="K38" i="103"/>
  <c r="R38" i="104"/>
  <c r="U38" i="74"/>
  <c r="J41" i="3" s="1"/>
  <c r="C45" i="75"/>
  <c r="C44" i="97"/>
  <c r="C45" i="3"/>
  <c r="C45" i="4"/>
  <c r="AH45" i="104"/>
  <c r="Q45" i="103"/>
  <c r="AC45" i="74"/>
  <c r="AF48" i="4" s="1"/>
  <c r="J54" i="104"/>
  <c r="F54" i="103"/>
  <c r="L54" i="74"/>
  <c r="O80" i="85"/>
  <c r="K64" i="75" s="1"/>
  <c r="L64" i="75" s="1"/>
  <c r="M64" i="75" s="1"/>
  <c r="R66" i="103"/>
  <c r="AI66" i="104"/>
  <c r="AJ66" i="104" s="1"/>
  <c r="AD66" i="74"/>
  <c r="AG69" i="4" s="1"/>
  <c r="AH69" i="4" s="1"/>
  <c r="F11" i="98"/>
  <c r="O105" i="85"/>
  <c r="K83" i="75" s="1"/>
  <c r="L83" i="75" s="1"/>
  <c r="M83" i="75" s="1"/>
  <c r="H88" i="104"/>
  <c r="D88" i="103"/>
  <c r="H88" i="74"/>
  <c r="B92" i="103"/>
  <c r="E92" i="104"/>
  <c r="J99" i="103"/>
  <c r="Q99" i="104"/>
  <c r="R113" i="103"/>
  <c r="AI113" i="104"/>
  <c r="AJ113" i="104" s="1"/>
  <c r="O122" i="104"/>
  <c r="H122" i="103"/>
  <c r="AK14" i="104"/>
  <c r="AN14" i="104" s="1"/>
  <c r="S14" i="103"/>
  <c r="AE14" i="74"/>
  <c r="AI17" i="4" s="1"/>
  <c r="AL17" i="4" s="1"/>
  <c r="C21" i="103"/>
  <c r="F21" i="104"/>
  <c r="G21" i="104" s="1"/>
  <c r="G21" i="74"/>
  <c r="P24" i="3" s="1"/>
  <c r="U23" i="103"/>
  <c r="AM23" i="104"/>
  <c r="AG23" i="74"/>
  <c r="AK26" i="4" s="1"/>
  <c r="H30" i="103"/>
  <c r="O30" i="104"/>
  <c r="R30" i="74"/>
  <c r="G33" i="3" s="1"/>
  <c r="N33" i="103"/>
  <c r="AD33" i="104"/>
  <c r="Z33" i="74"/>
  <c r="AB36" i="4" s="1"/>
  <c r="D36" i="103"/>
  <c r="H36" i="104"/>
  <c r="H36" i="74"/>
  <c r="H40" i="103"/>
  <c r="O40" i="104"/>
  <c r="R40" i="74"/>
  <c r="G43" i="3" s="1"/>
  <c r="F43" i="104"/>
  <c r="C43" i="103"/>
  <c r="G43" i="74"/>
  <c r="AI47" i="104"/>
  <c r="AJ47" i="104" s="1"/>
  <c r="R47" i="103"/>
  <c r="AD47" i="74"/>
  <c r="AG50" i="4" s="1"/>
  <c r="AH50" i="4" s="1"/>
  <c r="O55" i="104"/>
  <c r="H55" i="103"/>
  <c r="R55" i="74"/>
  <c r="G58" i="3" s="1"/>
  <c r="M58" i="3" s="1"/>
  <c r="AL62" i="104"/>
  <c r="T62" i="103"/>
  <c r="AF62" i="74"/>
  <c r="AJ65" i="4" s="1"/>
  <c r="L67" i="103"/>
  <c r="AA67" i="104"/>
  <c r="R74" i="103"/>
  <c r="AI74" i="104"/>
  <c r="AD74" i="74"/>
  <c r="AG77" i="4" s="1"/>
  <c r="O80" i="104"/>
  <c r="H80" i="103"/>
  <c r="R80" i="74"/>
  <c r="G83" i="3" s="1"/>
  <c r="O88" i="103"/>
  <c r="AE88" i="104"/>
  <c r="AA88" i="74"/>
  <c r="AC91" i="4" s="1"/>
  <c r="T96" i="103"/>
  <c r="AL96" i="104"/>
  <c r="N111" i="103"/>
  <c r="AD111" i="104"/>
  <c r="P123" i="103"/>
  <c r="AF123" i="104"/>
  <c r="AF137" i="74"/>
  <c r="AJ140" i="4" s="1"/>
  <c r="AL137" i="104"/>
  <c r="AN137" i="104" s="1"/>
  <c r="T137" i="103"/>
  <c r="AB145" i="74"/>
  <c r="AD148" i="4" s="1"/>
  <c r="AE148" i="4" s="1"/>
  <c r="AF145" i="104"/>
  <c r="AG145" i="104" s="1"/>
  <c r="P145" i="103"/>
  <c r="AL13" i="104"/>
  <c r="AN13" i="104" s="1"/>
  <c r="T13" i="103"/>
  <c r="AF13" i="74"/>
  <c r="AJ16" i="4" s="1"/>
  <c r="AL16" i="4" s="1"/>
  <c r="AC24" i="104"/>
  <c r="M24" i="103"/>
  <c r="Y24" i="74"/>
  <c r="AA27" i="4" s="1"/>
  <c r="B43" i="103"/>
  <c r="E43" i="104"/>
  <c r="F43" i="74"/>
  <c r="AK50" i="104"/>
  <c r="S50" i="103"/>
  <c r="AE50" i="74"/>
  <c r="AI53" i="4" s="1"/>
  <c r="W73" i="104"/>
  <c r="X73" i="104" s="1"/>
  <c r="T73" i="104" s="1"/>
  <c r="J98" i="85"/>
  <c r="Q76" i="4" s="1"/>
  <c r="R76" i="4" s="1"/>
  <c r="X76" i="4" s="1"/>
  <c r="C92" i="103"/>
  <c r="F92" i="104"/>
  <c r="G92" i="74"/>
  <c r="Q110" i="104"/>
  <c r="J110" i="103"/>
  <c r="R118" i="103"/>
  <c r="AI118" i="104"/>
  <c r="K136" i="103"/>
  <c r="V136" i="103" s="1"/>
  <c r="G136" i="99" s="1"/>
  <c r="D136" i="99" s="1"/>
  <c r="R136" i="104"/>
  <c r="M136" i="104" s="1"/>
  <c r="E22" i="103"/>
  <c r="I22" i="104"/>
  <c r="I22" i="74"/>
  <c r="S25" i="75" s="1"/>
  <c r="AH36" i="104"/>
  <c r="Q36" i="103"/>
  <c r="AC36" i="74"/>
  <c r="AF39" i="4" s="1"/>
  <c r="L43" i="103"/>
  <c r="AA43" i="104"/>
  <c r="O74" i="85"/>
  <c r="F65" i="104"/>
  <c r="C65" i="103"/>
  <c r="G65" i="74"/>
  <c r="S84" i="4"/>
  <c r="F84" i="4"/>
  <c r="V84" i="4"/>
  <c r="G84" i="4"/>
  <c r="T84" i="4"/>
  <c r="I84" i="4"/>
  <c r="U84" i="4"/>
  <c r="J84" i="4"/>
  <c r="P84" i="4"/>
  <c r="L84" i="4"/>
  <c r="M84" i="4"/>
  <c r="H98" i="104"/>
  <c r="D98" i="103"/>
  <c r="G113" i="103"/>
  <c r="N113" i="104"/>
  <c r="AE142" i="74"/>
  <c r="AI145" i="4" s="1"/>
  <c r="AL145" i="4" s="1"/>
  <c r="AK142" i="104"/>
  <c r="AN142" i="104" s="1"/>
  <c r="S142" i="103"/>
  <c r="AB147" i="74"/>
  <c r="AD150" i="4" s="1"/>
  <c r="P147" i="103"/>
  <c r="AF147" i="104"/>
  <c r="P16" i="103"/>
  <c r="AF16" i="104"/>
  <c r="AG16" i="104" s="1"/>
  <c r="AB16" i="74"/>
  <c r="AD19" i="4" s="1"/>
  <c r="AE19" i="4" s="1"/>
  <c r="T21" i="103"/>
  <c r="AL21" i="104"/>
  <c r="AF21" i="74"/>
  <c r="AJ24" i="4" s="1"/>
  <c r="AE24" i="104"/>
  <c r="O24" i="103"/>
  <c r="AA24" i="74"/>
  <c r="AC27" i="4" s="1"/>
  <c r="P29" i="103"/>
  <c r="AF29" i="104"/>
  <c r="AB29" i="74"/>
  <c r="AD32" i="4" s="1"/>
  <c r="O32" i="104"/>
  <c r="H32" i="103"/>
  <c r="R32" i="74"/>
  <c r="G35" i="3" s="1"/>
  <c r="K35" i="103"/>
  <c r="R35" i="104"/>
  <c r="U35" i="74"/>
  <c r="J38" i="3" s="1"/>
  <c r="P38" i="3" s="1"/>
  <c r="AI38" i="104"/>
  <c r="R38" i="103"/>
  <c r="AD38" i="74"/>
  <c r="AG41" i="4" s="1"/>
  <c r="G42" i="103"/>
  <c r="N42" i="104"/>
  <c r="Q42" i="74"/>
  <c r="F45" i="3" s="1"/>
  <c r="M45" i="103"/>
  <c r="AC45" i="104"/>
  <c r="AG45" i="104" s="1"/>
  <c r="Y45" i="74"/>
  <c r="AA48" i="4" s="1"/>
  <c r="R50" i="104"/>
  <c r="K50" i="103"/>
  <c r="U50" i="74"/>
  <c r="J53" i="3" s="1"/>
  <c r="Q61" i="104"/>
  <c r="J61" i="103"/>
  <c r="AI65" i="104"/>
  <c r="R65" i="103"/>
  <c r="AD65" i="74"/>
  <c r="AG68" i="4" s="1"/>
  <c r="H76" i="104"/>
  <c r="D76" i="103"/>
  <c r="H76" i="74"/>
  <c r="N80" i="103"/>
  <c r="AD80" i="104"/>
  <c r="Z80" i="74"/>
  <c r="AB83" i="4" s="1"/>
  <c r="R88" i="103"/>
  <c r="AI88" i="104"/>
  <c r="AD88" i="74"/>
  <c r="AG91" i="4" s="1"/>
  <c r="C96" i="103"/>
  <c r="F96" i="104"/>
  <c r="G96" i="104" s="1"/>
  <c r="D96" i="104" s="1"/>
  <c r="AK107" i="104"/>
  <c r="S107" i="103"/>
  <c r="AH112" i="104"/>
  <c r="AJ112" i="104" s="1"/>
  <c r="Q112" i="103"/>
  <c r="AG123" i="74"/>
  <c r="AK126" i="4" s="1"/>
  <c r="AL126" i="4" s="1"/>
  <c r="U123" i="103"/>
  <c r="AM123" i="104"/>
  <c r="AN123" i="104" s="1"/>
  <c r="G72" i="75"/>
  <c r="H72" i="75" s="1"/>
  <c r="I72" i="75" s="1"/>
  <c r="O143" i="3"/>
  <c r="V40" i="4"/>
  <c r="F40" i="4"/>
  <c r="T40" i="4"/>
  <c r="G40" i="4"/>
  <c r="U40" i="4"/>
  <c r="I40" i="4"/>
  <c r="P40" i="4"/>
  <c r="J40" i="4"/>
  <c r="L40" i="4"/>
  <c r="M40" i="4"/>
  <c r="S40" i="4"/>
  <c r="AA153" i="74"/>
  <c r="T155" i="97" s="1"/>
  <c r="R155" i="97" s="1"/>
  <c r="AE153" i="104"/>
  <c r="AG153" i="104" s="1"/>
  <c r="AB153" i="104" s="1"/>
  <c r="Z153" i="104" s="1"/>
  <c r="M6" i="4"/>
  <c r="L44" i="3"/>
  <c r="K90" i="4"/>
  <c r="O90" i="4" s="1"/>
  <c r="X90" i="4" s="1"/>
  <c r="G93" i="75"/>
  <c r="H93" i="75" s="1"/>
  <c r="I93" i="75" s="1"/>
  <c r="S192" i="104"/>
  <c r="B192" i="104" s="1"/>
  <c r="C192" i="104"/>
  <c r="L66" i="3"/>
  <c r="P66" i="3"/>
  <c r="T124" i="74"/>
  <c r="I127" i="3" s="1"/>
  <c r="C186" i="104"/>
  <c r="B186" i="104"/>
  <c r="G78" i="75"/>
  <c r="H78" i="75" s="1"/>
  <c r="I78" i="75" s="1"/>
  <c r="U136" i="97"/>
  <c r="O81" i="3"/>
  <c r="O102" i="4"/>
  <c r="X102" i="4" s="1"/>
  <c r="S101" i="97" s="1"/>
  <c r="P81" i="4"/>
  <c r="P122" i="3"/>
  <c r="N10" i="3"/>
  <c r="Q10" i="3" s="1"/>
  <c r="K10" i="3"/>
  <c r="P126" i="3"/>
  <c r="L136" i="3"/>
  <c r="L112" i="3"/>
  <c r="K31" i="75"/>
  <c r="L31" i="75" s="1"/>
  <c r="L110" i="3"/>
  <c r="L142" i="3"/>
  <c r="N51" i="3"/>
  <c r="N40" i="3"/>
  <c r="O148" i="3"/>
  <c r="M132" i="3"/>
  <c r="L30" i="3"/>
  <c r="L123" i="3"/>
  <c r="M119" i="3"/>
  <c r="AE121" i="4"/>
  <c r="AC21" i="104"/>
  <c r="M21" i="103"/>
  <c r="Y21" i="74"/>
  <c r="AA24" i="4" s="1"/>
  <c r="Q30" i="103"/>
  <c r="AH30" i="104"/>
  <c r="AC30" i="74"/>
  <c r="AF33" i="4" s="1"/>
  <c r="O35" i="103"/>
  <c r="AE35" i="104"/>
  <c r="AA35" i="74"/>
  <c r="AC38" i="4" s="1"/>
  <c r="J41" i="103"/>
  <c r="Q41" i="104"/>
  <c r="T41" i="74"/>
  <c r="I44" i="3" s="1"/>
  <c r="O44" i="3" s="1"/>
  <c r="W45" i="104"/>
  <c r="X45" i="104" s="1"/>
  <c r="T45" i="104" s="1"/>
  <c r="J55" i="85"/>
  <c r="Q48" i="4" s="1"/>
  <c r="R48" i="4" s="1"/>
  <c r="X48" i="4" s="1"/>
  <c r="W66" i="104"/>
  <c r="X66" i="104" s="1"/>
  <c r="T66" i="104" s="1"/>
  <c r="J89" i="85"/>
  <c r="Q72" i="4" s="1"/>
  <c r="AF76" i="104"/>
  <c r="P76" i="103"/>
  <c r="AB76" i="74"/>
  <c r="AD79" i="4" s="1"/>
  <c r="T89" i="103"/>
  <c r="AL89" i="104"/>
  <c r="AF89" i="74"/>
  <c r="AJ92" i="4" s="1"/>
  <c r="N131" i="103"/>
  <c r="AD131" i="104"/>
  <c r="H33" i="103"/>
  <c r="O33" i="104"/>
  <c r="R33" i="74"/>
  <c r="G36" i="3" s="1"/>
  <c r="AI83" i="104"/>
  <c r="AJ83" i="104" s="1"/>
  <c r="R83" i="103"/>
  <c r="AD83" i="74"/>
  <c r="AG86" i="4" s="1"/>
  <c r="AH86" i="4" s="1"/>
  <c r="AE113" i="104"/>
  <c r="O113" i="103"/>
  <c r="S150" i="4"/>
  <c r="V150" i="4"/>
  <c r="J150" i="4"/>
  <c r="U150" i="4"/>
  <c r="F150" i="4"/>
  <c r="P150" i="4"/>
  <c r="G150" i="4"/>
  <c r="I150" i="4"/>
  <c r="L150" i="4"/>
  <c r="M150" i="4"/>
  <c r="T150" i="4"/>
  <c r="C19" i="75"/>
  <c r="C19" i="3"/>
  <c r="C19" i="4"/>
  <c r="C18" i="97"/>
  <c r="AF21" i="104"/>
  <c r="P21" i="103"/>
  <c r="AB21" i="74"/>
  <c r="AD24" i="4" s="1"/>
  <c r="F24" i="104"/>
  <c r="C24" i="103"/>
  <c r="G24" i="74"/>
  <c r="T29" i="103"/>
  <c r="AL29" i="104"/>
  <c r="AF29" i="74"/>
  <c r="AJ32" i="4" s="1"/>
  <c r="AF32" i="104"/>
  <c r="P32" i="103"/>
  <c r="AB32" i="74"/>
  <c r="AD35" i="4" s="1"/>
  <c r="AD38" i="104"/>
  <c r="N38" i="103"/>
  <c r="Z38" i="74"/>
  <c r="AB41" i="4" s="1"/>
  <c r="D42" i="103"/>
  <c r="H42" i="104"/>
  <c r="H42" i="74"/>
  <c r="AF47" i="104"/>
  <c r="AG47" i="104" s="1"/>
  <c r="P47" i="103"/>
  <c r="AB47" i="74"/>
  <c r="AD50" i="4" s="1"/>
  <c r="H62" i="103"/>
  <c r="O62" i="104"/>
  <c r="R62" i="74"/>
  <c r="G65" i="3" s="1"/>
  <c r="C69" i="97"/>
  <c r="C70" i="75"/>
  <c r="C70" i="4"/>
  <c r="C70" i="3"/>
  <c r="AH74" i="104"/>
  <c r="AJ74" i="104" s="1"/>
  <c r="Q74" i="103"/>
  <c r="AC74" i="74"/>
  <c r="AF77" i="4" s="1"/>
  <c r="AI80" i="104"/>
  <c r="AJ80" i="104" s="1"/>
  <c r="R80" i="103"/>
  <c r="AD80" i="74"/>
  <c r="AG83" i="4" s="1"/>
  <c r="AH83" i="4" s="1"/>
  <c r="Z88" i="74"/>
  <c r="AB91" i="4" s="1"/>
  <c r="N88" i="103"/>
  <c r="AD88" i="104"/>
  <c r="T92" i="103"/>
  <c r="AL92" i="104"/>
  <c r="L110" i="103"/>
  <c r="AA110" i="104"/>
  <c r="O114" i="103"/>
  <c r="AE114" i="104"/>
  <c r="AG114" i="104" s="1"/>
  <c r="C130" i="97"/>
  <c r="C131" i="3"/>
  <c r="M131" i="3" s="1"/>
  <c r="C131" i="4"/>
  <c r="C131" i="75"/>
  <c r="L147" i="74"/>
  <c r="J147" i="104"/>
  <c r="K147" i="104" s="1"/>
  <c r="L147" i="104" s="1"/>
  <c r="F147" i="103"/>
  <c r="AH21" i="104"/>
  <c r="AJ21" i="104" s="1"/>
  <c r="Q21" i="103"/>
  <c r="AC21" i="74"/>
  <c r="AF24" i="4" s="1"/>
  <c r="AH24" i="4" s="1"/>
  <c r="G24" i="103"/>
  <c r="N24" i="104"/>
  <c r="Q24" i="74"/>
  <c r="F27" i="3" s="1"/>
  <c r="AC30" i="104"/>
  <c r="M30" i="103"/>
  <c r="Y30" i="74"/>
  <c r="AA33" i="4" s="1"/>
  <c r="W33" i="104"/>
  <c r="X33" i="104" s="1"/>
  <c r="T33" i="104" s="1"/>
  <c r="J39" i="85"/>
  <c r="Q37" i="4" s="1"/>
  <c r="R37" i="4" s="1"/>
  <c r="O36" i="103"/>
  <c r="AE36" i="104"/>
  <c r="AA36" i="74"/>
  <c r="AC39" i="4" s="1"/>
  <c r="L40" i="103"/>
  <c r="AA40" i="104"/>
  <c r="O53" i="85"/>
  <c r="I48" i="104"/>
  <c r="E48" i="103"/>
  <c r="I48" i="74"/>
  <c r="AL55" i="104"/>
  <c r="AN55" i="104" s="1"/>
  <c r="T55" i="103"/>
  <c r="AF55" i="74"/>
  <c r="AJ58" i="4" s="1"/>
  <c r="AL58" i="4" s="1"/>
  <c r="C70" i="97"/>
  <c r="C71" i="75"/>
  <c r="C71" i="4"/>
  <c r="C71" i="3"/>
  <c r="G76" i="103"/>
  <c r="Q76" i="74"/>
  <c r="F79" i="3" s="1"/>
  <c r="N76" i="104"/>
  <c r="E80" i="104"/>
  <c r="B80" i="103"/>
  <c r="F80" i="74"/>
  <c r="W88" i="104"/>
  <c r="X88" i="104" s="1"/>
  <c r="T88" i="104" s="1"/>
  <c r="J119" i="85"/>
  <c r="N97" i="104"/>
  <c r="G97" i="103"/>
  <c r="AC107" i="104"/>
  <c r="M107" i="103"/>
  <c r="W111" i="104"/>
  <c r="X111" i="104" s="1"/>
  <c r="T111" i="104" s="1"/>
  <c r="E117" i="104"/>
  <c r="B117" i="103"/>
  <c r="C127" i="75"/>
  <c r="K127" i="75" s="1"/>
  <c r="L127" i="75" s="1"/>
  <c r="M127" i="75" s="1"/>
  <c r="C126" i="97"/>
  <c r="C127" i="4"/>
  <c r="J127" i="4" s="1"/>
  <c r="C127" i="3"/>
  <c r="G147" i="74"/>
  <c r="P150" i="3" s="1"/>
  <c r="C147" i="103"/>
  <c r="F147" i="104"/>
  <c r="U24" i="103"/>
  <c r="AM24" i="104"/>
  <c r="AG24" i="74"/>
  <c r="AK27" i="4" s="1"/>
  <c r="I33" i="104"/>
  <c r="E33" i="103"/>
  <c r="I33" i="74"/>
  <c r="S36" i="75" s="1"/>
  <c r="I38" i="104"/>
  <c r="E38" i="103"/>
  <c r="I38" i="74"/>
  <c r="S41" i="75" s="1"/>
  <c r="AK43" i="104"/>
  <c r="S43" i="103"/>
  <c r="AE43" i="74"/>
  <c r="AI46" i="4" s="1"/>
  <c r="F54" i="104"/>
  <c r="C54" i="103"/>
  <c r="G54" i="74"/>
  <c r="L57" i="3" s="1"/>
  <c r="J65" i="104"/>
  <c r="L65" i="74"/>
  <c r="F65" i="103"/>
  <c r="H74" i="103"/>
  <c r="O74" i="104"/>
  <c r="R74" i="74"/>
  <c r="G77" i="3" s="1"/>
  <c r="O108" i="85"/>
  <c r="K84" i="75" s="1"/>
  <c r="L84" i="75" s="1"/>
  <c r="M84" i="75" s="1"/>
  <c r="AD92" i="104"/>
  <c r="N92" i="103"/>
  <c r="AD110" i="104"/>
  <c r="N110" i="103"/>
  <c r="V124" i="4"/>
  <c r="AB136" i="74"/>
  <c r="AD139" i="4" s="1"/>
  <c r="AE139" i="4" s="1"/>
  <c r="P136" i="103"/>
  <c r="AF136" i="104"/>
  <c r="AG136" i="104" s="1"/>
  <c r="AB136" i="104" s="1"/>
  <c r="Z136" i="104" s="1"/>
  <c r="Q22" i="103"/>
  <c r="AH22" i="104"/>
  <c r="AC22" i="74"/>
  <c r="AF25" i="4" s="1"/>
  <c r="T43" i="103"/>
  <c r="AL43" i="104"/>
  <c r="AF43" i="74"/>
  <c r="AJ46" i="4" s="1"/>
  <c r="O54" i="104"/>
  <c r="H54" i="103"/>
  <c r="R54" i="74"/>
  <c r="G57" i="3" s="1"/>
  <c r="AH65" i="104"/>
  <c r="Q65" i="103"/>
  <c r="AC65" i="74"/>
  <c r="AF68" i="4" s="1"/>
  <c r="L83" i="103"/>
  <c r="AA83" i="104"/>
  <c r="Q98" i="103"/>
  <c r="AH98" i="104"/>
  <c r="AJ98" i="104" s="1"/>
  <c r="AA113" i="104"/>
  <c r="L113" i="103"/>
  <c r="F131" i="74"/>
  <c r="E131" i="104"/>
  <c r="B131" i="103"/>
  <c r="N4" i="98"/>
  <c r="Q145" i="4" s="1"/>
  <c r="R145" i="4" s="1"/>
  <c r="X145" i="4" s="1"/>
  <c r="W142" i="104"/>
  <c r="X142" i="104" s="1"/>
  <c r="T142" i="104" s="1"/>
  <c r="Q147" i="74"/>
  <c r="F150" i="3" s="1"/>
  <c r="L150" i="3" s="1"/>
  <c r="N147" i="104"/>
  <c r="G147" i="103"/>
  <c r="H12" i="104"/>
  <c r="D12" i="103"/>
  <c r="H12" i="74"/>
  <c r="AI18" i="104"/>
  <c r="R18" i="103"/>
  <c r="AD18" i="74"/>
  <c r="AG21" i="4" s="1"/>
  <c r="F22" i="103"/>
  <c r="J22" i="104"/>
  <c r="K22" i="104" s="1"/>
  <c r="L22" i="74"/>
  <c r="G26" i="103"/>
  <c r="N26" i="104"/>
  <c r="Q26" i="74"/>
  <c r="F29" i="3" s="1"/>
  <c r="C32" i="97"/>
  <c r="C33" i="3"/>
  <c r="C33" i="75"/>
  <c r="C33" i="4"/>
  <c r="L32" i="103"/>
  <c r="AA32" i="104"/>
  <c r="D35" i="103"/>
  <c r="H35" i="104"/>
  <c r="H35" i="74"/>
  <c r="AA42" i="104"/>
  <c r="L42" i="103"/>
  <c r="AM45" i="104"/>
  <c r="U45" i="103"/>
  <c r="AG45" i="74"/>
  <c r="AK48" i="4" s="1"/>
  <c r="O70" i="85"/>
  <c r="K55" i="75" s="1"/>
  <c r="L55" i="75" s="1"/>
  <c r="M55" i="75" s="1"/>
  <c r="N55" i="75" s="1"/>
  <c r="AH61" i="104"/>
  <c r="Q61" i="103"/>
  <c r="AC61" i="74"/>
  <c r="AF64" i="4" s="1"/>
  <c r="C68" i="97"/>
  <c r="C69" i="3"/>
  <c r="C69" i="4"/>
  <c r="C69" i="75"/>
  <c r="H73" i="104"/>
  <c r="D73" i="103"/>
  <c r="H73" i="74"/>
  <c r="AE76" i="104"/>
  <c r="O76" i="103"/>
  <c r="AA76" i="74"/>
  <c r="AC79" i="4" s="1"/>
  <c r="O81" i="104"/>
  <c r="H81" i="103"/>
  <c r="R81" i="74"/>
  <c r="G84" i="3" s="1"/>
  <c r="C91" i="97"/>
  <c r="C92" i="4"/>
  <c r="C92" i="75"/>
  <c r="C92" i="3"/>
  <c r="C99" i="97"/>
  <c r="C100" i="3"/>
  <c r="L100" i="3" s="1"/>
  <c r="C100" i="75"/>
  <c r="C100" i="4"/>
  <c r="AK109" i="104"/>
  <c r="S109" i="103"/>
  <c r="H113" i="103"/>
  <c r="O113" i="104"/>
  <c r="I121" i="4"/>
  <c r="J121" i="4"/>
  <c r="G121" i="4"/>
  <c r="V121" i="4"/>
  <c r="P121" i="4"/>
  <c r="U121" i="4"/>
  <c r="S121" i="4"/>
  <c r="F121" i="4"/>
  <c r="T121" i="4"/>
  <c r="M121" i="4"/>
  <c r="L121" i="4"/>
  <c r="Q121" i="4"/>
  <c r="R124" i="74"/>
  <c r="G127" i="3" s="1"/>
  <c r="H124" i="103"/>
  <c r="O124" i="104"/>
  <c r="M124" i="104" s="1"/>
  <c r="I72" i="4"/>
  <c r="M72" i="4"/>
  <c r="P72" i="4"/>
  <c r="S72" i="4"/>
  <c r="J72" i="4"/>
  <c r="V72" i="4"/>
  <c r="L72" i="4"/>
  <c r="T72" i="4"/>
  <c r="U72" i="4"/>
  <c r="F72" i="4"/>
  <c r="G72" i="4"/>
  <c r="Q141" i="4"/>
  <c r="R141" i="4" s="1"/>
  <c r="X141" i="4" s="1"/>
  <c r="Q139" i="4"/>
  <c r="R139" i="4" s="1"/>
  <c r="X139" i="4" s="1"/>
  <c r="S140" i="74"/>
  <c r="H143" i="3" s="1"/>
  <c r="J132" i="4"/>
  <c r="V132" i="4"/>
  <c r="P132" i="4"/>
  <c r="G132" i="4"/>
  <c r="M132" i="4"/>
  <c r="I132" i="4"/>
  <c r="L132" i="4"/>
  <c r="S132" i="4"/>
  <c r="F132" i="4"/>
  <c r="T132" i="4"/>
  <c r="U132" i="4"/>
  <c r="W153" i="104"/>
  <c r="X153" i="104" s="1"/>
  <c r="T153" i="104" s="1"/>
  <c r="C204" i="104"/>
  <c r="U65" i="97"/>
  <c r="O129" i="75"/>
  <c r="P129" i="75"/>
  <c r="Q129" i="75" s="1"/>
  <c r="T129" i="75"/>
  <c r="U129" i="75" s="1"/>
  <c r="V129" i="75" s="1"/>
  <c r="U107" i="97"/>
  <c r="J36" i="4"/>
  <c r="L36" i="4"/>
  <c r="V36" i="4"/>
  <c r="F36" i="4"/>
  <c r="M36" i="4"/>
  <c r="T36" i="4"/>
  <c r="S36" i="4"/>
  <c r="U36" i="4"/>
  <c r="P36" i="4"/>
  <c r="G36" i="4"/>
  <c r="I36" i="4"/>
  <c r="K75" i="75"/>
  <c r="L75" i="75" s="1"/>
  <c r="M75" i="75" s="1"/>
  <c r="G119" i="75"/>
  <c r="H119" i="75" s="1"/>
  <c r="I119" i="75" s="1"/>
  <c r="K119" i="75"/>
  <c r="L119" i="75" s="1"/>
  <c r="M119" i="75" s="1"/>
  <c r="R152" i="104"/>
  <c r="U152" i="74"/>
  <c r="T5" i="107"/>
  <c r="F16" i="4"/>
  <c r="J16" i="4"/>
  <c r="L16" i="4"/>
  <c r="S16" i="4"/>
  <c r="P16" i="4"/>
  <c r="I16" i="4"/>
  <c r="M16" i="4"/>
  <c r="U16" i="4"/>
  <c r="V16" i="4"/>
  <c r="T16" i="4"/>
  <c r="G16" i="4"/>
  <c r="G61" i="75"/>
  <c r="H61" i="75" s="1"/>
  <c r="I61" i="75" s="1"/>
  <c r="V127" i="4"/>
  <c r="G127" i="4"/>
  <c r="M127" i="4"/>
  <c r="S170" i="104"/>
  <c r="B170" i="104" s="1"/>
  <c r="C170" i="104"/>
  <c r="S81" i="4"/>
  <c r="P72" i="3"/>
  <c r="M73" i="4"/>
  <c r="O74" i="3"/>
  <c r="T73" i="4"/>
  <c r="P129" i="3"/>
  <c r="P118" i="3"/>
  <c r="O42" i="3"/>
  <c r="M31" i="3"/>
  <c r="O96" i="3"/>
  <c r="L149" i="3"/>
  <c r="V118" i="75"/>
  <c r="AA118" i="75" s="1"/>
  <c r="O115" i="3"/>
  <c r="O52" i="3"/>
  <c r="O51" i="3"/>
  <c r="N139" i="3"/>
  <c r="E12" i="103"/>
  <c r="I12" i="104"/>
  <c r="K12" i="104" s="1"/>
  <c r="I12" i="74"/>
  <c r="S15" i="75" s="1"/>
  <c r="U21" i="103"/>
  <c r="AM21" i="104"/>
  <c r="AG21" i="74"/>
  <c r="AK24" i="4" s="1"/>
  <c r="AD31" i="104"/>
  <c r="N31" i="103"/>
  <c r="Z31" i="74"/>
  <c r="AB34" i="4" s="1"/>
  <c r="W35" i="104"/>
  <c r="X35" i="104" s="1"/>
  <c r="T35" i="104" s="1"/>
  <c r="J41" i="85"/>
  <c r="Q38" i="4" s="1"/>
  <c r="O41" i="103"/>
  <c r="AE41" i="104"/>
  <c r="AA41" i="74"/>
  <c r="AC44" i="4" s="1"/>
  <c r="AD48" i="104"/>
  <c r="N48" i="103"/>
  <c r="Z48" i="74"/>
  <c r="AB51" i="4" s="1"/>
  <c r="AE51" i="4" s="1"/>
  <c r="AK67" i="104"/>
  <c r="AN67" i="104" s="1"/>
  <c r="S67" i="103"/>
  <c r="AE67" i="74"/>
  <c r="AI70" i="4" s="1"/>
  <c r="AL70" i="4" s="1"/>
  <c r="U77" i="103"/>
  <c r="AM77" i="104"/>
  <c r="AG77" i="74"/>
  <c r="AK80" i="4" s="1"/>
  <c r="Q92" i="103"/>
  <c r="AH92" i="104"/>
  <c r="AJ92" i="104" s="1"/>
  <c r="AI111" i="104"/>
  <c r="R111" i="103"/>
  <c r="I132" i="74"/>
  <c r="I132" i="104"/>
  <c r="E132" i="103"/>
  <c r="J18" i="103"/>
  <c r="Q18" i="104"/>
  <c r="B33" i="103"/>
  <c r="E33" i="104"/>
  <c r="F33" i="74"/>
  <c r="E91" i="103"/>
  <c r="I91" i="104"/>
  <c r="K91" i="104" s="1"/>
  <c r="L91" i="104" s="1"/>
  <c r="I91" i="74"/>
  <c r="N124" i="103"/>
  <c r="AD124" i="104"/>
  <c r="AG124" i="104" s="1"/>
  <c r="E8" i="104"/>
  <c r="F8" i="74"/>
  <c r="B8" i="103"/>
  <c r="F6" i="98"/>
  <c r="K22" i="103"/>
  <c r="R22" i="104"/>
  <c r="U22" i="74"/>
  <c r="J25" i="3" s="1"/>
  <c r="B24" i="103"/>
  <c r="E24" i="104"/>
  <c r="F24" i="74"/>
  <c r="G30" i="103"/>
  <c r="N30" i="104"/>
  <c r="Q30" i="74"/>
  <c r="F33" i="3" s="1"/>
  <c r="C35" i="97"/>
  <c r="C36" i="3"/>
  <c r="C36" i="75"/>
  <c r="C36" i="4"/>
  <c r="O41" i="85"/>
  <c r="K38" i="75" s="1"/>
  <c r="L38" i="75" s="1"/>
  <c r="M38" i="75" s="1"/>
  <c r="V41" i="4"/>
  <c r="I41" i="4"/>
  <c r="S41" i="4"/>
  <c r="J41" i="4"/>
  <c r="M41" i="4"/>
  <c r="U41" i="4"/>
  <c r="T41" i="4"/>
  <c r="P41" i="4"/>
  <c r="F41" i="4"/>
  <c r="G41" i="4"/>
  <c r="L41" i="4"/>
  <c r="AF42" i="104"/>
  <c r="P42" i="103"/>
  <c r="AB42" i="74"/>
  <c r="AD45" i="4" s="1"/>
  <c r="K48" i="103"/>
  <c r="R48" i="104"/>
  <c r="M48" i="104" s="1"/>
  <c r="AA54" i="104"/>
  <c r="L54" i="103"/>
  <c r="B62" i="103"/>
  <c r="E62" i="104"/>
  <c r="G62" i="104" s="1"/>
  <c r="F62" i="74"/>
  <c r="B67" i="103"/>
  <c r="E67" i="104"/>
  <c r="G67" i="104" s="1"/>
  <c r="F67" i="74"/>
  <c r="W74" i="104"/>
  <c r="X74" i="104" s="1"/>
  <c r="T74" i="104" s="1"/>
  <c r="N11" i="98"/>
  <c r="Q77" i="4" s="1"/>
  <c r="C83" i="97"/>
  <c r="C84" i="4"/>
  <c r="C84" i="75"/>
  <c r="C84" i="3"/>
  <c r="H89" i="103"/>
  <c r="O89" i="104"/>
  <c r="R89" i="74"/>
  <c r="G92" i="3" s="1"/>
  <c r="AK96" i="104"/>
  <c r="S96" i="103"/>
  <c r="AH99" i="104"/>
  <c r="AJ99" i="104" s="1"/>
  <c r="Q99" i="103"/>
  <c r="O111" i="104"/>
  <c r="H111" i="103"/>
  <c r="Q116" i="103"/>
  <c r="AH116" i="104"/>
  <c r="AJ116" i="104" s="1"/>
  <c r="AC128" i="74"/>
  <c r="AF131" i="4" s="1"/>
  <c r="Q128" i="103"/>
  <c r="AH128" i="104"/>
  <c r="F147" i="74"/>
  <c r="B147" i="103"/>
  <c r="E147" i="104"/>
  <c r="B16" i="103"/>
  <c r="E16" i="104"/>
  <c r="G16" i="104" s="1"/>
  <c r="D16" i="104" s="1"/>
  <c r="F16" i="74"/>
  <c r="C25" i="3"/>
  <c r="C24" i="97"/>
  <c r="C25" i="4"/>
  <c r="C25" i="75"/>
  <c r="L24" i="103"/>
  <c r="AA24" i="104"/>
  <c r="AM30" i="104"/>
  <c r="U30" i="103"/>
  <c r="AG30" i="74"/>
  <c r="AK33" i="4" s="1"/>
  <c r="H34" i="103"/>
  <c r="O34" i="104"/>
  <c r="R34" i="74"/>
  <c r="G37" i="3" s="1"/>
  <c r="W36" i="104"/>
  <c r="X36" i="104" s="1"/>
  <c r="T36" i="104" s="1"/>
  <c r="J43" i="85"/>
  <c r="Q39" i="4" s="1"/>
  <c r="R39" i="4" s="1"/>
  <c r="AM40" i="104"/>
  <c r="U40" i="103"/>
  <c r="AG40" i="74"/>
  <c r="AK43" i="4" s="1"/>
  <c r="AI43" i="104"/>
  <c r="R43" i="103"/>
  <c r="AD43" i="74"/>
  <c r="AG46" i="4" s="1"/>
  <c r="E49" i="104"/>
  <c r="B49" i="103"/>
  <c r="F49" i="74"/>
  <c r="F57" i="104"/>
  <c r="G57" i="104" s="1"/>
  <c r="G57" i="74"/>
  <c r="C57" i="103"/>
  <c r="E65" i="103"/>
  <c r="I65" i="104"/>
  <c r="I65" i="74"/>
  <c r="S68" i="75" s="1"/>
  <c r="E68" i="104"/>
  <c r="B68" i="103"/>
  <c r="F68" i="74"/>
  <c r="AA76" i="104"/>
  <c r="L76" i="103"/>
  <c r="S80" i="103"/>
  <c r="AK80" i="104"/>
  <c r="AN80" i="104" s="1"/>
  <c r="AE80" i="74"/>
  <c r="AI83" i="4" s="1"/>
  <c r="AL83" i="4" s="1"/>
  <c r="Q89" i="104"/>
  <c r="J89" i="103"/>
  <c r="AE97" i="104"/>
  <c r="O97" i="103"/>
  <c r="I108" i="104"/>
  <c r="K108" i="104" s="1"/>
  <c r="E108" i="103"/>
  <c r="AA112" i="104"/>
  <c r="L112" i="103"/>
  <c r="AM117" i="104"/>
  <c r="U117" i="103"/>
  <c r="R124" i="103"/>
  <c r="AI124" i="104"/>
  <c r="AJ124" i="104" s="1"/>
  <c r="AA147" i="74"/>
  <c r="AC150" i="4" s="1"/>
  <c r="O147" i="103"/>
  <c r="AE147" i="104"/>
  <c r="O18" i="103"/>
  <c r="AE18" i="104"/>
  <c r="AG18" i="104" s="1"/>
  <c r="AA18" i="74"/>
  <c r="AC21" i="4" s="1"/>
  <c r="AE21" i="4" s="1"/>
  <c r="P29" i="3"/>
  <c r="O33" i="103"/>
  <c r="AE33" i="104"/>
  <c r="AA33" i="74"/>
  <c r="AC36" i="4" s="1"/>
  <c r="AF38" i="104"/>
  <c r="P38" i="103"/>
  <c r="AB38" i="74"/>
  <c r="AD41" i="4" s="1"/>
  <c r="I44" i="104"/>
  <c r="K44" i="104" s="1"/>
  <c r="L44" i="104" s="1"/>
  <c r="D44" i="104" s="1"/>
  <c r="E44" i="103"/>
  <c r="I44" i="74"/>
  <c r="P54" i="103"/>
  <c r="AF54" i="104"/>
  <c r="AB54" i="74"/>
  <c r="AD57" i="4" s="1"/>
  <c r="AF65" i="104"/>
  <c r="P65" i="103"/>
  <c r="AB65" i="74"/>
  <c r="AD68" i="4" s="1"/>
  <c r="AK74" i="104"/>
  <c r="S74" i="103"/>
  <c r="AE74" i="74"/>
  <c r="AI77" i="4" s="1"/>
  <c r="U81" i="103"/>
  <c r="AM81" i="104"/>
  <c r="AG81" i="74"/>
  <c r="AK84" i="4" s="1"/>
  <c r="Q98" i="104"/>
  <c r="J98" i="103"/>
  <c r="C113" i="103"/>
  <c r="F113" i="104"/>
  <c r="J124" i="104"/>
  <c r="K124" i="104" s="1"/>
  <c r="L124" i="104" s="1"/>
  <c r="F124" i="103"/>
  <c r="V124" i="103" s="1"/>
  <c r="G124" i="99" s="1"/>
  <c r="D124" i="99" s="1"/>
  <c r="J141" i="103"/>
  <c r="Q141" i="104"/>
  <c r="M141" i="104" s="1"/>
  <c r="G16" i="103"/>
  <c r="N16" i="104"/>
  <c r="Q16" i="74"/>
  <c r="F19" i="3" s="1"/>
  <c r="N32" i="104"/>
  <c r="G32" i="103"/>
  <c r="Q32" i="74"/>
  <c r="F35" i="3" s="1"/>
  <c r="F38" i="103"/>
  <c r="J38" i="104"/>
  <c r="L38" i="74"/>
  <c r="AD44" i="104"/>
  <c r="AG44" i="104" s="1"/>
  <c r="N44" i="103"/>
  <c r="Z44" i="74"/>
  <c r="AB47" i="4" s="1"/>
  <c r="AE47" i="4" s="1"/>
  <c r="R54" i="103"/>
  <c r="AI54" i="104"/>
  <c r="AJ54" i="104" s="1"/>
  <c r="AD54" i="74"/>
  <c r="AG57" i="4" s="1"/>
  <c r="AH57" i="4" s="1"/>
  <c r="O67" i="104"/>
  <c r="H67" i="103"/>
  <c r="R67" i="74"/>
  <c r="G70" i="3" s="1"/>
  <c r="C88" i="103"/>
  <c r="F88" i="104"/>
  <c r="G88" i="74"/>
  <c r="E99" i="103"/>
  <c r="I99" i="104"/>
  <c r="O116" i="104"/>
  <c r="H116" i="103"/>
  <c r="AB132" i="74"/>
  <c r="AD135" i="4" s="1"/>
  <c r="AE135" i="4" s="1"/>
  <c r="AF132" i="104"/>
  <c r="AG132" i="104" s="1"/>
  <c r="P132" i="103"/>
  <c r="G143" i="74"/>
  <c r="L146" i="3" s="1"/>
  <c r="F143" i="104"/>
  <c r="C143" i="103"/>
  <c r="AD12" i="104"/>
  <c r="N12" i="103"/>
  <c r="Z12" i="74"/>
  <c r="AB15" i="4" s="1"/>
  <c r="C19" i="103"/>
  <c r="F19" i="104"/>
  <c r="G19" i="74"/>
  <c r="R22" i="103"/>
  <c r="AI22" i="104"/>
  <c r="AD22" i="74"/>
  <c r="AG25" i="4" s="1"/>
  <c r="B26" i="103"/>
  <c r="E26" i="104"/>
  <c r="F26" i="74"/>
  <c r="H30" i="104"/>
  <c r="D30" i="103"/>
  <c r="H30" i="74"/>
  <c r="AL32" i="104"/>
  <c r="T32" i="103"/>
  <c r="AF32" i="74"/>
  <c r="AJ35" i="4" s="1"/>
  <c r="AD35" i="104"/>
  <c r="N35" i="103"/>
  <c r="Z35" i="74"/>
  <c r="AB38" i="4" s="1"/>
  <c r="AE38" i="4" s="1"/>
  <c r="C42" i="97"/>
  <c r="C43" i="3"/>
  <c r="C43" i="4"/>
  <c r="C43" i="75"/>
  <c r="AL42" i="104"/>
  <c r="T42" i="103"/>
  <c r="AF42" i="74"/>
  <c r="AJ45" i="4" s="1"/>
  <c r="C47" i="103"/>
  <c r="F47" i="104"/>
  <c r="G47" i="104" s="1"/>
  <c r="D47" i="104" s="1"/>
  <c r="G47" i="74"/>
  <c r="P53" i="103"/>
  <c r="AF53" i="104"/>
  <c r="AG53" i="104" s="1"/>
  <c r="AB53" i="104" s="1"/>
  <c r="Z53" i="104" s="1"/>
  <c r="S53" i="104" s="1"/>
  <c r="AB53" i="74"/>
  <c r="AD56" i="4" s="1"/>
  <c r="AE56" i="4" s="1"/>
  <c r="AM56" i="4" s="1"/>
  <c r="AN56" i="4" s="1"/>
  <c r="C64" i="97"/>
  <c r="C65" i="4"/>
  <c r="C65" i="75"/>
  <c r="C65" i="3"/>
  <c r="D66" i="103"/>
  <c r="H66" i="104"/>
  <c r="L66" i="104" s="1"/>
  <c r="H66" i="74"/>
  <c r="AF73" i="104"/>
  <c r="P73" i="103"/>
  <c r="AB73" i="74"/>
  <c r="AD76" i="4" s="1"/>
  <c r="C77" i="103"/>
  <c r="F77" i="104"/>
  <c r="G77" i="104" s="1"/>
  <c r="G77" i="74"/>
  <c r="P80" i="3" s="1"/>
  <c r="AC81" i="104"/>
  <c r="M81" i="103"/>
  <c r="Y81" i="74"/>
  <c r="AA84" i="4" s="1"/>
  <c r="F89" i="103"/>
  <c r="J89" i="104"/>
  <c r="H97" i="104"/>
  <c r="L97" i="104" s="1"/>
  <c r="D97" i="103"/>
  <c r="D110" i="103"/>
  <c r="H110" i="104"/>
  <c r="L110" i="104" s="1"/>
  <c r="AC113" i="104"/>
  <c r="M113" i="103"/>
  <c r="G120" i="103"/>
  <c r="V120" i="103" s="1"/>
  <c r="G120" i="99" s="1"/>
  <c r="D120" i="99" s="1"/>
  <c r="N120" i="104"/>
  <c r="M120" i="104" s="1"/>
  <c r="O128" i="104"/>
  <c r="M128" i="104" s="1"/>
  <c r="H128" i="103"/>
  <c r="V6" i="4"/>
  <c r="F6" i="4"/>
  <c r="S6" i="4"/>
  <c r="I6" i="4"/>
  <c r="P6" i="4"/>
  <c r="L6" i="4"/>
  <c r="T6" i="4"/>
  <c r="J6" i="4"/>
  <c r="T143" i="75"/>
  <c r="U143" i="75" s="1"/>
  <c r="V143" i="75" s="1"/>
  <c r="P143" i="75"/>
  <c r="Q143" i="75" s="1"/>
  <c r="O143" i="75"/>
  <c r="Y139" i="4"/>
  <c r="Z139" i="4" s="1"/>
  <c r="V136" i="74"/>
  <c r="K6" i="75"/>
  <c r="L6" i="75" s="1"/>
  <c r="M6" i="75" s="1"/>
  <c r="N6" i="75" s="1"/>
  <c r="G40" i="75"/>
  <c r="H40" i="75" s="1"/>
  <c r="I40" i="75" s="1"/>
  <c r="K132" i="75"/>
  <c r="L132" i="75" s="1"/>
  <c r="M132" i="75" s="1"/>
  <c r="G132" i="75"/>
  <c r="H132" i="75" s="1"/>
  <c r="I132" i="75" s="1"/>
  <c r="P153" i="74"/>
  <c r="G6" i="4"/>
  <c r="U43" i="97"/>
  <c r="U79" i="97"/>
  <c r="J117" i="4"/>
  <c r="L117" i="4"/>
  <c r="M117" i="4"/>
  <c r="S117" i="4"/>
  <c r="F117" i="4"/>
  <c r="V117" i="4"/>
  <c r="G117" i="4"/>
  <c r="T117" i="4"/>
  <c r="U117" i="4"/>
  <c r="I117" i="4"/>
  <c r="P117" i="4"/>
  <c r="AB215" i="104"/>
  <c r="Z215" i="104" s="1"/>
  <c r="V34" i="4"/>
  <c r="U34" i="4"/>
  <c r="J34" i="4"/>
  <c r="L34" i="4"/>
  <c r="P34" i="4"/>
  <c r="M34" i="4"/>
  <c r="Q34" i="4"/>
  <c r="T34" i="4"/>
  <c r="F34" i="4"/>
  <c r="G34" i="4"/>
  <c r="S34" i="4"/>
  <c r="I34" i="4"/>
  <c r="S122" i="4"/>
  <c r="V122" i="4"/>
  <c r="F122" i="4"/>
  <c r="G122" i="4"/>
  <c r="P122" i="4"/>
  <c r="M122" i="4"/>
  <c r="I122" i="4"/>
  <c r="J122" i="4"/>
  <c r="L122" i="4"/>
  <c r="U122" i="4"/>
  <c r="T122" i="4"/>
  <c r="O7" i="4"/>
  <c r="G105" i="4"/>
  <c r="M72" i="3"/>
  <c r="S84" i="104"/>
  <c r="C84" i="104"/>
  <c r="H84" i="99" s="1"/>
  <c r="E84" i="99" s="1"/>
  <c r="K120" i="75"/>
  <c r="L120" i="75" s="1"/>
  <c r="J120" i="75"/>
  <c r="G136" i="75"/>
  <c r="H136" i="75" s="1"/>
  <c r="F136" i="75"/>
  <c r="M81" i="4"/>
  <c r="Q122" i="4"/>
  <c r="P119" i="3"/>
  <c r="C10" i="104"/>
  <c r="H10" i="99" s="1"/>
  <c r="E10" i="99" s="1"/>
  <c r="N93" i="3"/>
  <c r="L24" i="3"/>
  <c r="B7" i="99"/>
  <c r="P96" i="3"/>
  <c r="K142" i="75"/>
  <c r="L142" i="75" s="1"/>
  <c r="M142" i="75" s="1"/>
  <c r="N142" i="75" s="1"/>
  <c r="V145" i="75"/>
  <c r="O103" i="3"/>
  <c r="O100" i="3"/>
  <c r="AM118" i="4"/>
  <c r="P112" i="3"/>
  <c r="R20" i="75"/>
  <c r="N128" i="3"/>
  <c r="V121" i="75"/>
  <c r="V141" i="75"/>
  <c r="AA141" i="75" s="1"/>
  <c r="AB141" i="75" s="1"/>
  <c r="O12" i="103"/>
  <c r="AA12" i="74"/>
  <c r="AC15" i="4" s="1"/>
  <c r="AE12" i="104"/>
  <c r="O33" i="85"/>
  <c r="K26" i="75" s="1"/>
  <c r="L26" i="75" s="1"/>
  <c r="M26" i="75" s="1"/>
  <c r="AC32" i="104"/>
  <c r="M32" i="103"/>
  <c r="Y32" i="74"/>
  <c r="AA35" i="4" s="1"/>
  <c r="B36" i="103"/>
  <c r="E36" i="104"/>
  <c r="F36" i="74"/>
  <c r="W41" i="104"/>
  <c r="X41" i="104" s="1"/>
  <c r="T41" i="104" s="1"/>
  <c r="J42" i="85"/>
  <c r="Q45" i="4" s="1"/>
  <c r="R45" i="4" s="1"/>
  <c r="X45" i="4" s="1"/>
  <c r="S49" i="103"/>
  <c r="AK49" i="104"/>
  <c r="AN49" i="104" s="1"/>
  <c r="AE49" i="74"/>
  <c r="AI52" i="4" s="1"/>
  <c r="AL52" i="4" s="1"/>
  <c r="R68" i="103"/>
  <c r="AI68" i="104"/>
  <c r="AJ68" i="104" s="1"/>
  <c r="AD68" i="74"/>
  <c r="AG71" i="4" s="1"/>
  <c r="AH71" i="4" s="1"/>
  <c r="AE80" i="104"/>
  <c r="O80" i="103"/>
  <c r="AA80" i="74"/>
  <c r="AC83" i="4" s="1"/>
  <c r="T97" i="103"/>
  <c r="AL97" i="104"/>
  <c r="T112" i="103"/>
  <c r="AL112" i="104"/>
  <c r="AN112" i="104" s="1"/>
  <c r="AF132" i="74"/>
  <c r="AJ135" i="4" s="1"/>
  <c r="AL135" i="4" s="1"/>
  <c r="T132" i="103"/>
  <c r="AL132" i="104"/>
  <c r="AN132" i="104" s="1"/>
  <c r="W18" i="104"/>
  <c r="X18" i="104" s="1"/>
  <c r="T18" i="104" s="1"/>
  <c r="J29" i="85"/>
  <c r="S33" i="103"/>
  <c r="AK33" i="104"/>
  <c r="AE33" i="74"/>
  <c r="AI36" i="4" s="1"/>
  <c r="B98" i="103"/>
  <c r="E98" i="104"/>
  <c r="Y128" i="74"/>
  <c r="AA131" i="4" s="1"/>
  <c r="AE131" i="4" s="1"/>
  <c r="M128" i="103"/>
  <c r="AC128" i="104"/>
  <c r="AG128" i="104" s="1"/>
  <c r="N12" i="104"/>
  <c r="G12" i="103"/>
  <c r="Q12" i="74"/>
  <c r="F15" i="3" s="1"/>
  <c r="L15" i="3" s="1"/>
  <c r="N18" i="104"/>
  <c r="M18" i="104" s="1"/>
  <c r="G18" i="103"/>
  <c r="Q18" i="74"/>
  <c r="F21" i="3" s="1"/>
  <c r="O22" i="104"/>
  <c r="H22" i="103"/>
  <c r="R22" i="74"/>
  <c r="G25" i="3" s="1"/>
  <c r="AK24" i="104"/>
  <c r="S24" i="103"/>
  <c r="AE24" i="74"/>
  <c r="AI27" i="4" s="1"/>
  <c r="AA30" i="104"/>
  <c r="L30" i="103"/>
  <c r="R33" i="104"/>
  <c r="K33" i="103"/>
  <c r="U33" i="74"/>
  <c r="J36" i="3" s="1"/>
  <c r="AI35" i="104"/>
  <c r="AJ35" i="104" s="1"/>
  <c r="R35" i="103"/>
  <c r="AD35" i="74"/>
  <c r="AG38" i="4" s="1"/>
  <c r="AH38" i="4" s="1"/>
  <c r="G40" i="103"/>
  <c r="N40" i="104"/>
  <c r="Q40" i="74"/>
  <c r="F43" i="3" s="1"/>
  <c r="C45" i="97"/>
  <c r="C46" i="75"/>
  <c r="C46" i="4"/>
  <c r="C46" i="3"/>
  <c r="T48" i="103"/>
  <c r="AL48" i="104"/>
  <c r="AN48" i="104" s="1"/>
  <c r="AF48" i="74"/>
  <c r="AJ51" i="4" s="1"/>
  <c r="AL51" i="4" s="1"/>
  <c r="AK62" i="104"/>
  <c r="S62" i="103"/>
  <c r="AE62" i="74"/>
  <c r="AI65" i="4" s="1"/>
  <c r="K68" i="103"/>
  <c r="R68" i="104"/>
  <c r="B76" i="103"/>
  <c r="E76" i="104"/>
  <c r="F76" i="74"/>
  <c r="J81" i="104"/>
  <c r="K81" i="104" s="1"/>
  <c r="L81" i="104" s="1"/>
  <c r="F81" i="103"/>
  <c r="L81" i="74"/>
  <c r="O89" i="103"/>
  <c r="AE89" i="104"/>
  <c r="AA89" i="74"/>
  <c r="AC92" i="4" s="1"/>
  <c r="AE92" i="4" s="1"/>
  <c r="F97" i="104"/>
  <c r="C97" i="103"/>
  <c r="F106" i="4"/>
  <c r="S106" i="4"/>
  <c r="G106" i="4"/>
  <c r="V106" i="4"/>
  <c r="T106" i="4"/>
  <c r="I106" i="4"/>
  <c r="U106" i="4"/>
  <c r="J106" i="4"/>
  <c r="P106" i="4"/>
  <c r="L106" i="4"/>
  <c r="Q106" i="4"/>
  <c r="M106" i="4"/>
  <c r="M111" i="103"/>
  <c r="AC111" i="104"/>
  <c r="AG111" i="104" s="1"/>
  <c r="D117" i="103"/>
  <c r="H117" i="104"/>
  <c r="L117" i="104" s="1"/>
  <c r="J194" i="85"/>
  <c r="Q151" i="4" s="1"/>
  <c r="R151" i="4" s="1"/>
  <c r="W147" i="104"/>
  <c r="X147" i="104" s="1"/>
  <c r="T147" i="104" s="1"/>
  <c r="C20" i="97"/>
  <c r="C21" i="75"/>
  <c r="C21" i="3"/>
  <c r="C21" i="4"/>
  <c r="Q22" i="104"/>
  <c r="J22" i="103"/>
  <c r="T24" i="103"/>
  <c r="AL24" i="104"/>
  <c r="AF24" i="74"/>
  <c r="AJ27" i="4" s="1"/>
  <c r="C31" i="103"/>
  <c r="F31" i="104"/>
  <c r="G31" i="74"/>
  <c r="M34" i="103"/>
  <c r="AC34" i="104"/>
  <c r="Y34" i="74"/>
  <c r="AA37" i="4" s="1"/>
  <c r="M37" i="103"/>
  <c r="V37" i="103" s="1"/>
  <c r="G37" i="99" s="1"/>
  <c r="D37" i="99" s="1"/>
  <c r="AC37" i="104"/>
  <c r="AG37" i="104" s="1"/>
  <c r="Y37" i="74"/>
  <c r="AA40" i="4" s="1"/>
  <c r="AE40" i="4" s="1"/>
  <c r="AM40" i="4" s="1"/>
  <c r="AN40" i="4" s="1"/>
  <c r="T39" i="97" s="1"/>
  <c r="Q44" i="104"/>
  <c r="M44" i="104" s="1"/>
  <c r="J44" i="103"/>
  <c r="AC57" i="74"/>
  <c r="AF60" i="4" s="1"/>
  <c r="AH60" i="4" s="1"/>
  <c r="Q57" i="103"/>
  <c r="AH57" i="104"/>
  <c r="AJ57" i="104" s="1"/>
  <c r="AE65" i="104"/>
  <c r="AA65" i="74"/>
  <c r="AC68" i="4" s="1"/>
  <c r="O65" i="103"/>
  <c r="H73" i="103"/>
  <c r="O73" i="104"/>
  <c r="R73" i="74"/>
  <c r="G76" i="3" s="1"/>
  <c r="M76" i="3" s="1"/>
  <c r="AL76" i="104"/>
  <c r="T76" i="103"/>
  <c r="AF76" i="74"/>
  <c r="AJ79" i="4" s="1"/>
  <c r="AK81" i="104"/>
  <c r="S81" i="103"/>
  <c r="AE81" i="74"/>
  <c r="AI84" i="4" s="1"/>
  <c r="AL84" i="4" s="1"/>
  <c r="P89" i="103"/>
  <c r="AF89" i="104"/>
  <c r="C98" i="103"/>
  <c r="F98" i="104"/>
  <c r="N109" i="103"/>
  <c r="AD109" i="104"/>
  <c r="C116" i="4"/>
  <c r="C116" i="75"/>
  <c r="C115" i="97"/>
  <c r="C116" i="3"/>
  <c r="L116" i="3" s="1"/>
  <c r="AH118" i="104"/>
  <c r="AJ118" i="104" s="1"/>
  <c r="Q118" i="103"/>
  <c r="L128" i="74"/>
  <c r="F128" i="103"/>
  <c r="J128" i="104"/>
  <c r="K128" i="104" s="1"/>
  <c r="L128" i="104" s="1"/>
  <c r="D128" i="104" s="1"/>
  <c r="AE147" i="74"/>
  <c r="AI150" i="4" s="1"/>
  <c r="S147" i="103"/>
  <c r="AK147" i="104"/>
  <c r="E19" i="103"/>
  <c r="I19" i="104"/>
  <c r="I19" i="74"/>
  <c r="S22" i="75" s="1"/>
  <c r="N31" i="104"/>
  <c r="G31" i="103"/>
  <c r="Q31" i="74"/>
  <c r="F34" i="3" s="1"/>
  <c r="O35" i="104"/>
  <c r="H35" i="103"/>
  <c r="R35" i="74"/>
  <c r="G38" i="3" s="1"/>
  <c r="M38" i="3" s="1"/>
  <c r="E41" i="104"/>
  <c r="G41" i="104" s="1"/>
  <c r="B41" i="103"/>
  <c r="F41" i="74"/>
  <c r="N45" i="104"/>
  <c r="G45" i="103"/>
  <c r="Q45" i="74"/>
  <c r="F48" i="3" s="1"/>
  <c r="K55" i="103"/>
  <c r="R55" i="104"/>
  <c r="U55" i="74"/>
  <c r="J58" i="3" s="1"/>
  <c r="P58" i="3" s="1"/>
  <c r="G67" i="103"/>
  <c r="N67" i="104"/>
  <c r="Q67" i="74"/>
  <c r="F70" i="3" s="1"/>
  <c r="L70" i="3" s="1"/>
  <c r="O76" i="104"/>
  <c r="H76" i="103"/>
  <c r="R76" i="74"/>
  <c r="G79" i="3" s="1"/>
  <c r="B83" i="103"/>
  <c r="E83" i="104"/>
  <c r="F83" i="74"/>
  <c r="P98" i="103"/>
  <c r="AF98" i="104"/>
  <c r="B113" i="103"/>
  <c r="E113" i="104"/>
  <c r="S124" i="103"/>
  <c r="AK124" i="104"/>
  <c r="AN124" i="104" s="1"/>
  <c r="F141" i="74"/>
  <c r="E141" i="104"/>
  <c r="G141" i="104" s="1"/>
  <c r="B141" i="103"/>
  <c r="L16" i="103"/>
  <c r="AA16" i="104"/>
  <c r="B32" i="103"/>
  <c r="E32" i="104"/>
  <c r="F32" i="74"/>
  <c r="AH38" i="104"/>
  <c r="Q38" i="103"/>
  <c r="AC38" i="74"/>
  <c r="AF41" i="4" s="1"/>
  <c r="AH41" i="4" s="1"/>
  <c r="H45" i="103"/>
  <c r="O45" i="104"/>
  <c r="R45" i="74"/>
  <c r="G48" i="3" s="1"/>
  <c r="E55" i="103"/>
  <c r="I55" i="104"/>
  <c r="I55" i="74"/>
  <c r="AF67" i="104"/>
  <c r="P67" i="103"/>
  <c r="AB67" i="74"/>
  <c r="AD70" i="4" s="1"/>
  <c r="AH88" i="104"/>
  <c r="AJ88" i="104" s="1"/>
  <c r="Q88" i="103"/>
  <c r="AC88" i="74"/>
  <c r="AF91" i="4" s="1"/>
  <c r="U99" i="103"/>
  <c r="AM99" i="104"/>
  <c r="F124" i="74"/>
  <c r="E124" i="104"/>
  <c r="G124" i="104" s="1"/>
  <c r="D124" i="104" s="1"/>
  <c r="B124" i="103"/>
  <c r="L134" i="74"/>
  <c r="J134" i="104"/>
  <c r="F134" i="103"/>
  <c r="G144" i="74"/>
  <c r="F144" i="104"/>
  <c r="C144" i="103"/>
  <c r="AF147" i="74"/>
  <c r="AJ150" i="4" s="1"/>
  <c r="T147" i="103"/>
  <c r="AL147" i="104"/>
  <c r="J13" i="103"/>
  <c r="Q13" i="104"/>
  <c r="B19" i="103"/>
  <c r="F19" i="74"/>
  <c r="E19" i="104"/>
  <c r="O26" i="3"/>
  <c r="AK26" i="104"/>
  <c r="AN26" i="104" s="1"/>
  <c r="S26" i="103"/>
  <c r="AE26" i="74"/>
  <c r="AI29" i="4" s="1"/>
  <c r="AL29" i="4" s="1"/>
  <c r="AF30" i="104"/>
  <c r="P30" i="103"/>
  <c r="AB30" i="74"/>
  <c r="AD33" i="4" s="1"/>
  <c r="C33" i="103"/>
  <c r="F33" i="104"/>
  <c r="G33" i="74"/>
  <c r="V38" i="4"/>
  <c r="L38" i="4"/>
  <c r="U38" i="4"/>
  <c r="M38" i="4"/>
  <c r="G38" i="4"/>
  <c r="F38" i="4"/>
  <c r="J38" i="4"/>
  <c r="T38" i="4"/>
  <c r="I38" i="4"/>
  <c r="P38" i="4"/>
  <c r="S38" i="4"/>
  <c r="D40" i="103"/>
  <c r="H40" i="104"/>
  <c r="L40" i="104" s="1"/>
  <c r="H40" i="74"/>
  <c r="Q43" i="104"/>
  <c r="J43" i="103"/>
  <c r="J48" i="104"/>
  <c r="K48" i="104" s="1"/>
  <c r="L48" i="104" s="1"/>
  <c r="D48" i="104" s="1"/>
  <c r="F48" i="103"/>
  <c r="L48" i="74"/>
  <c r="K54" i="103"/>
  <c r="U54" i="74"/>
  <c r="J57" i="3" s="1"/>
  <c r="R54" i="104"/>
  <c r="E62" i="103"/>
  <c r="I62" i="104"/>
  <c r="K62" i="104" s="1"/>
  <c r="L62" i="104" s="1"/>
  <c r="D62" i="104" s="1"/>
  <c r="I62" i="74"/>
  <c r="N66" i="103"/>
  <c r="AD66" i="104"/>
  <c r="AG66" i="104" s="1"/>
  <c r="Z66" i="74"/>
  <c r="AB69" i="4" s="1"/>
  <c r="AE69" i="4" s="1"/>
  <c r="F74" i="104"/>
  <c r="C74" i="103"/>
  <c r="G74" i="74"/>
  <c r="N77" i="3" s="1"/>
  <c r="W81" i="104"/>
  <c r="X81" i="104" s="1"/>
  <c r="T81" i="104" s="1"/>
  <c r="J108" i="85"/>
  <c r="Q84" i="4" s="1"/>
  <c r="S89" i="103"/>
  <c r="AK89" i="104"/>
  <c r="AN89" i="104" s="1"/>
  <c r="AE89" i="74"/>
  <c r="AI92" i="4" s="1"/>
  <c r="AL92" i="4" s="1"/>
  <c r="S97" i="103"/>
  <c r="AK97" i="104"/>
  <c r="AI110" i="104"/>
  <c r="AJ110" i="104" s="1"/>
  <c r="R110" i="103"/>
  <c r="J114" i="103"/>
  <c r="V114" i="103" s="1"/>
  <c r="G114" i="99" s="1"/>
  <c r="D114" i="99" s="1"/>
  <c r="Q114" i="104"/>
  <c r="M114" i="104" s="1"/>
  <c r="G131" i="103"/>
  <c r="N131" i="104"/>
  <c r="L143" i="3"/>
  <c r="AE147" i="4"/>
  <c r="W136" i="75"/>
  <c r="X136" i="75"/>
  <c r="Y136" i="75" s="1"/>
  <c r="C155" i="97"/>
  <c r="B211" i="104"/>
  <c r="C211" i="104"/>
  <c r="G67" i="75"/>
  <c r="H67" i="75" s="1"/>
  <c r="I67" i="75" s="1"/>
  <c r="K67" i="75"/>
  <c r="L67" i="75" s="1"/>
  <c r="M67" i="75" s="1"/>
  <c r="C212" i="104"/>
  <c r="V91" i="4"/>
  <c r="L91" i="4"/>
  <c r="F91" i="4"/>
  <c r="M91" i="4"/>
  <c r="G91" i="4"/>
  <c r="Q91" i="4"/>
  <c r="T91" i="4"/>
  <c r="U91" i="4"/>
  <c r="I91" i="4"/>
  <c r="P91" i="4"/>
  <c r="S91" i="4"/>
  <c r="J91" i="4"/>
  <c r="C221" i="104"/>
  <c r="B221" i="104"/>
  <c r="G119" i="4"/>
  <c r="I119" i="4"/>
  <c r="L119" i="4"/>
  <c r="J119" i="4"/>
  <c r="S119" i="4"/>
  <c r="T119" i="4"/>
  <c r="M119" i="4"/>
  <c r="V119" i="4"/>
  <c r="F119" i="4"/>
  <c r="H119" i="4" s="1"/>
  <c r="Q119" i="4"/>
  <c r="P119" i="4"/>
  <c r="U119" i="4"/>
  <c r="H9" i="4"/>
  <c r="O9" i="4" s="1"/>
  <c r="S194" i="104"/>
  <c r="B194" i="104" s="1"/>
  <c r="C194" i="104"/>
  <c r="M81" i="3"/>
  <c r="I83" i="103"/>
  <c r="S83" i="74"/>
  <c r="H86" i="3" s="1"/>
  <c r="M66" i="3"/>
  <c r="P23" i="3"/>
  <c r="Q132" i="4"/>
  <c r="P149" i="3"/>
  <c r="C87" i="104"/>
  <c r="H87" i="99" s="1"/>
  <c r="E87" i="99" s="1"/>
  <c r="B87" i="99" s="1"/>
  <c r="G26" i="75"/>
  <c r="H26" i="75" s="1"/>
  <c r="I26" i="75" s="1"/>
  <c r="P117" i="3"/>
  <c r="M61" i="3"/>
  <c r="L85" i="3"/>
  <c r="L120" i="3"/>
  <c r="L122" i="3"/>
  <c r="V139" i="75"/>
  <c r="V149" i="75"/>
  <c r="M40" i="3"/>
  <c r="L145" i="3"/>
  <c r="Q117" i="4"/>
  <c r="P116" i="3"/>
  <c r="N67" i="3"/>
  <c r="N142" i="3"/>
  <c r="W12" i="104"/>
  <c r="X12" i="104" s="1"/>
  <c r="T12" i="104" s="1"/>
  <c r="J16" i="85"/>
  <c r="Q16" i="4" s="1"/>
  <c r="AK22" i="104"/>
  <c r="S22" i="103"/>
  <c r="AE22" i="74"/>
  <c r="AI25" i="4" s="1"/>
  <c r="AL25" i="4" s="1"/>
  <c r="AM32" i="104"/>
  <c r="U32" i="103"/>
  <c r="AG32" i="74"/>
  <c r="AK35" i="4" s="1"/>
  <c r="S36" i="103"/>
  <c r="AK36" i="104"/>
  <c r="AN36" i="104" s="1"/>
  <c r="AE36" i="74"/>
  <c r="AI39" i="4" s="1"/>
  <c r="AL39" i="4" s="1"/>
  <c r="AC42" i="104"/>
  <c r="AG42" i="104" s="1"/>
  <c r="M42" i="103"/>
  <c r="Y42" i="74"/>
  <c r="AA45" i="4" s="1"/>
  <c r="AI61" i="104"/>
  <c r="R61" i="103"/>
  <c r="AD61" i="74"/>
  <c r="AG64" i="4" s="1"/>
  <c r="F73" i="103"/>
  <c r="J73" i="104"/>
  <c r="K73" i="104" s="1"/>
  <c r="L73" i="74"/>
  <c r="W80" i="104"/>
  <c r="X80" i="104" s="1"/>
  <c r="T80" i="104" s="1"/>
  <c r="J105" i="85"/>
  <c r="Q83" i="4" s="1"/>
  <c r="R83" i="4" s="1"/>
  <c r="X83" i="4" s="1"/>
  <c r="T98" i="103"/>
  <c r="AL98" i="104"/>
  <c r="N113" i="103"/>
  <c r="AD113" i="104"/>
  <c r="AC137" i="74"/>
  <c r="AF140" i="4" s="1"/>
  <c r="AH140" i="4" s="1"/>
  <c r="AH137" i="104"/>
  <c r="AJ137" i="104" s="1"/>
  <c r="Q137" i="103"/>
  <c r="H19" i="103"/>
  <c r="O19" i="104"/>
  <c r="R19" i="74"/>
  <c r="G22" i="3" s="1"/>
  <c r="E50" i="104"/>
  <c r="B50" i="103"/>
  <c r="F50" i="74"/>
  <c r="U98" i="103"/>
  <c r="AM98" i="104"/>
  <c r="H131" i="104"/>
  <c r="L131" i="104" s="1"/>
  <c r="D131" i="103"/>
  <c r="O16" i="85"/>
  <c r="K16" i="75" s="1"/>
  <c r="L16" i="75" s="1"/>
  <c r="M16" i="75" s="1"/>
  <c r="N16" i="75" s="1"/>
  <c r="O29" i="85"/>
  <c r="AD22" i="104"/>
  <c r="N22" i="103"/>
  <c r="Z22" i="74"/>
  <c r="AB25" i="4" s="1"/>
  <c r="AE26" i="104"/>
  <c r="AG26" i="104" s="1"/>
  <c r="O26" i="103"/>
  <c r="AA26" i="74"/>
  <c r="AC29" i="4" s="1"/>
  <c r="T30" i="103"/>
  <c r="AL30" i="104"/>
  <c r="AF30" i="74"/>
  <c r="AJ33" i="4" s="1"/>
  <c r="AC33" i="104"/>
  <c r="M33" i="103"/>
  <c r="Y33" i="74"/>
  <c r="AA36" i="4" s="1"/>
  <c r="C38" i="97"/>
  <c r="C39" i="75"/>
  <c r="C39" i="3"/>
  <c r="C39" i="4"/>
  <c r="E40" i="104"/>
  <c r="B40" i="103"/>
  <c r="F40" i="74"/>
  <c r="F43" i="103"/>
  <c r="J43" i="104"/>
  <c r="K43" i="104" s="1"/>
  <c r="L43" i="104" s="1"/>
  <c r="L43" i="74"/>
  <c r="E49" i="103"/>
  <c r="I49" i="104"/>
  <c r="K49" i="104" s="1"/>
  <c r="I49" i="74"/>
  <c r="AI55" i="104"/>
  <c r="AJ55" i="104" s="1"/>
  <c r="R55" i="103"/>
  <c r="AD55" i="74"/>
  <c r="AG58" i="4" s="1"/>
  <c r="AH58" i="4" s="1"/>
  <c r="H65" i="104"/>
  <c r="D65" i="103"/>
  <c r="H65" i="74"/>
  <c r="AK76" i="104"/>
  <c r="S76" i="103"/>
  <c r="AE76" i="74"/>
  <c r="AI79" i="4" s="1"/>
  <c r="R81" i="103"/>
  <c r="AI81" i="104"/>
  <c r="AJ81" i="104" s="1"/>
  <c r="AD81" i="74"/>
  <c r="AG84" i="4" s="1"/>
  <c r="AH84" i="4" s="1"/>
  <c r="AD97" i="104"/>
  <c r="AG97" i="104" s="1"/>
  <c r="N97" i="103"/>
  <c r="AM111" i="104"/>
  <c r="AN111" i="104" s="1"/>
  <c r="U111" i="103"/>
  <c r="AL117" i="104"/>
  <c r="T117" i="103"/>
  <c r="O12" i="104"/>
  <c r="H12" i="103"/>
  <c r="R12" i="74"/>
  <c r="G15" i="3" s="1"/>
  <c r="B18" i="103"/>
  <c r="E18" i="104"/>
  <c r="G18" i="104" s="1"/>
  <c r="F18" i="74"/>
  <c r="AE22" i="104"/>
  <c r="O22" i="103"/>
  <c r="AA22" i="74"/>
  <c r="AC25" i="4" s="1"/>
  <c r="V31" i="4"/>
  <c r="J31" i="4"/>
  <c r="M31" i="4"/>
  <c r="I31" i="4"/>
  <c r="L31" i="4"/>
  <c r="S31" i="4"/>
  <c r="T31" i="4"/>
  <c r="U31" i="4"/>
  <c r="F31" i="4"/>
  <c r="P31" i="4"/>
  <c r="G31" i="4"/>
  <c r="Q31" i="4"/>
  <c r="R31" i="103"/>
  <c r="AI31" i="104"/>
  <c r="AD31" i="74"/>
  <c r="AG34" i="4" s="1"/>
  <c r="AM34" i="104"/>
  <c r="U34" i="103"/>
  <c r="AG34" i="74"/>
  <c r="AK37" i="4" s="1"/>
  <c r="O42" i="85"/>
  <c r="K44" i="75" s="1"/>
  <c r="L44" i="75" s="1"/>
  <c r="M44" i="75" s="1"/>
  <c r="C45" i="103"/>
  <c r="F45" i="104"/>
  <c r="G45" i="74"/>
  <c r="Q50" i="103"/>
  <c r="AH50" i="104"/>
  <c r="AJ50" i="104" s="1"/>
  <c r="AC50" i="74"/>
  <c r="AF53" i="4" s="1"/>
  <c r="AH53" i="4" s="1"/>
  <c r="E61" i="104"/>
  <c r="B61" i="103"/>
  <c r="F61" i="74"/>
  <c r="W65" i="104"/>
  <c r="X65" i="104" s="1"/>
  <c r="T65" i="104" s="1"/>
  <c r="J87" i="85"/>
  <c r="Q68" i="4" s="1"/>
  <c r="L73" i="103"/>
  <c r="AA73" i="104"/>
  <c r="O77" i="104"/>
  <c r="H77" i="103"/>
  <c r="R77" i="74"/>
  <c r="G80" i="3" s="1"/>
  <c r="M80" i="3" s="1"/>
  <c r="C85" i="97"/>
  <c r="C86" i="3"/>
  <c r="C86" i="75"/>
  <c r="C86" i="4"/>
  <c r="C94" i="3"/>
  <c r="P94" i="3" s="1"/>
  <c r="C94" i="4"/>
  <c r="C94" i="75"/>
  <c r="C93" i="97"/>
  <c r="O98" i="103"/>
  <c r="AE98" i="104"/>
  <c r="C110" i="103"/>
  <c r="F110" i="104"/>
  <c r="F120" i="104"/>
  <c r="C120" i="103"/>
  <c r="C131" i="103"/>
  <c r="F131" i="104"/>
  <c r="G131" i="104" s="1"/>
  <c r="AD142" i="74"/>
  <c r="AG145" i="4" s="1"/>
  <c r="AH145" i="4" s="1"/>
  <c r="AI142" i="104"/>
  <c r="AJ142" i="104" s="1"/>
  <c r="R142" i="103"/>
  <c r="AD148" i="74"/>
  <c r="AG151" i="4" s="1"/>
  <c r="AH151" i="4" s="1"/>
  <c r="AM151" i="4" s="1"/>
  <c r="AN151" i="4" s="1"/>
  <c r="AI148" i="104"/>
  <c r="AJ148" i="104" s="1"/>
  <c r="AB148" i="104" s="1"/>
  <c r="Z148" i="104" s="1"/>
  <c r="S148" i="104" s="1"/>
  <c r="R148" i="103"/>
  <c r="AC19" i="74"/>
  <c r="AF22" i="4" s="1"/>
  <c r="AH19" i="104"/>
  <c r="Q19" i="103"/>
  <c r="E31" i="104"/>
  <c r="B31" i="103"/>
  <c r="F31" i="74"/>
  <c r="L35" i="103"/>
  <c r="AA35" i="104"/>
  <c r="J44" i="4"/>
  <c r="L44" i="4"/>
  <c r="S44" i="4"/>
  <c r="M44" i="4"/>
  <c r="G44" i="4"/>
  <c r="F44" i="4"/>
  <c r="U44" i="4"/>
  <c r="T44" i="4"/>
  <c r="I44" i="4"/>
  <c r="V44" i="4"/>
  <c r="P44" i="4"/>
  <c r="E45" i="104"/>
  <c r="B45" i="103"/>
  <c r="F45" i="74"/>
  <c r="O57" i="104"/>
  <c r="R57" i="74"/>
  <c r="G60" i="3" s="1"/>
  <c r="H57" i="103"/>
  <c r="AD67" i="104"/>
  <c r="N67" i="103"/>
  <c r="Z67" i="74"/>
  <c r="AB70" i="4" s="1"/>
  <c r="M76" i="103"/>
  <c r="AC76" i="104"/>
  <c r="Y76" i="74"/>
  <c r="AA79" i="4" s="1"/>
  <c r="K99" i="103"/>
  <c r="R99" i="104"/>
  <c r="AM113" i="104"/>
  <c r="U113" i="103"/>
  <c r="AD128" i="74"/>
  <c r="AG131" i="4" s="1"/>
  <c r="AI128" i="104"/>
  <c r="R128" i="103"/>
  <c r="AC141" i="74"/>
  <c r="AF144" i="4" s="1"/>
  <c r="AH144" i="4" s="1"/>
  <c r="AH141" i="104"/>
  <c r="AJ141" i="104" s="1"/>
  <c r="Q141" i="103"/>
  <c r="W16" i="104"/>
  <c r="X16" i="104" s="1"/>
  <c r="T16" i="104" s="1"/>
  <c r="N6" i="98"/>
  <c r="AK32" i="104"/>
  <c r="S32" i="103"/>
  <c r="AE32" i="74"/>
  <c r="AI35" i="4" s="1"/>
  <c r="C42" i="103"/>
  <c r="F42" i="104"/>
  <c r="G42" i="74"/>
  <c r="L45" i="103"/>
  <c r="AA45" i="104"/>
  <c r="R57" i="104"/>
  <c r="K57" i="103"/>
  <c r="G68" i="103"/>
  <c r="N68" i="104"/>
  <c r="Q68" i="74"/>
  <c r="F71" i="3" s="1"/>
  <c r="L71" i="3" s="1"/>
  <c r="F91" i="104"/>
  <c r="C91" i="103"/>
  <c r="Q107" i="104"/>
  <c r="J107" i="103"/>
  <c r="O126" i="104"/>
  <c r="M126" i="104" s="1"/>
  <c r="H126" i="103"/>
  <c r="I137" i="74"/>
  <c r="I137" i="104"/>
  <c r="E137" i="103"/>
  <c r="L144" i="74"/>
  <c r="J144" i="104"/>
  <c r="F144" i="103"/>
  <c r="Q148" i="104"/>
  <c r="M148" i="104" s="1"/>
  <c r="J148" i="103"/>
  <c r="V148" i="103" s="1"/>
  <c r="G148" i="99" s="1"/>
  <c r="D148" i="99" s="1"/>
  <c r="C16" i="97"/>
  <c r="C17" i="3"/>
  <c r="C17" i="75"/>
  <c r="C17" i="4"/>
  <c r="S19" i="103"/>
  <c r="AK19" i="104"/>
  <c r="AE19" i="74"/>
  <c r="AI22" i="4" s="1"/>
  <c r="D23" i="103"/>
  <c r="H23" i="104"/>
  <c r="H23" i="74"/>
  <c r="C33" i="97"/>
  <c r="C34" i="3"/>
  <c r="C34" i="75"/>
  <c r="C34" i="4"/>
  <c r="AH33" i="104"/>
  <c r="Q33" i="103"/>
  <c r="AC33" i="74"/>
  <c r="AF36" i="4" s="1"/>
  <c r="C36" i="103"/>
  <c r="F36" i="104"/>
  <c r="G36" i="74"/>
  <c r="P40" i="103"/>
  <c r="AF40" i="104"/>
  <c r="AG40" i="104" s="1"/>
  <c r="AB40" i="74"/>
  <c r="AD43" i="4" s="1"/>
  <c r="AE43" i="4" s="1"/>
  <c r="AC43" i="104"/>
  <c r="M43" i="103"/>
  <c r="Y43" i="74"/>
  <c r="AA46" i="4" s="1"/>
  <c r="T54" i="103"/>
  <c r="AF54" i="74"/>
  <c r="AJ57" i="4" s="1"/>
  <c r="AL57" i="4" s="1"/>
  <c r="AL54" i="104"/>
  <c r="AN54" i="104" s="1"/>
  <c r="O62" i="103"/>
  <c r="AE62" i="104"/>
  <c r="AA62" i="74"/>
  <c r="AC65" i="4" s="1"/>
  <c r="J67" i="103"/>
  <c r="Q67" i="104"/>
  <c r="D74" i="103"/>
  <c r="H74" i="104"/>
  <c r="H74" i="74"/>
  <c r="F77" i="103"/>
  <c r="J77" i="104"/>
  <c r="K77" i="104" s="1"/>
  <c r="L77" i="104" s="1"/>
  <c r="L77" i="74"/>
  <c r="G83" i="103"/>
  <c r="N83" i="104"/>
  <c r="M83" i="104" s="1"/>
  <c r="Q83" i="74"/>
  <c r="F86" i="3" s="1"/>
  <c r="G91" i="103"/>
  <c r="N91" i="104"/>
  <c r="Q91" i="74"/>
  <c r="F94" i="3" s="1"/>
  <c r="L94" i="3" s="1"/>
  <c r="I98" i="104"/>
  <c r="K98" i="104" s="1"/>
  <c r="E98" i="103"/>
  <c r="C114" i="4"/>
  <c r="C114" i="75"/>
  <c r="C113" i="97"/>
  <c r="C114" i="3"/>
  <c r="L114" i="3" s="1"/>
  <c r="Q116" i="104"/>
  <c r="J116" i="103"/>
  <c r="Q121" i="103"/>
  <c r="AH121" i="104"/>
  <c r="AJ121" i="104" s="1"/>
  <c r="AB121" i="104" s="1"/>
  <c r="Z121" i="104" s="1"/>
  <c r="S121" i="104" s="1"/>
  <c r="I140" i="4"/>
  <c r="S140" i="4"/>
  <c r="U140" i="4"/>
  <c r="Q140" i="4"/>
  <c r="M140" i="4"/>
  <c r="G140" i="4"/>
  <c r="J140" i="4"/>
  <c r="L140" i="4"/>
  <c r="P140" i="4"/>
  <c r="T140" i="4"/>
  <c r="G148" i="75"/>
  <c r="H148" i="75" s="1"/>
  <c r="I148" i="75" s="1"/>
  <c r="F137" i="75"/>
  <c r="G137" i="75"/>
  <c r="H137" i="75" s="1"/>
  <c r="T137" i="75"/>
  <c r="U137" i="75" s="1"/>
  <c r="V137" i="75" s="1"/>
  <c r="O137" i="75"/>
  <c r="P137" i="75"/>
  <c r="Q137" i="75" s="1"/>
  <c r="C152" i="97"/>
  <c r="U81" i="4"/>
  <c r="J81" i="4"/>
  <c r="K81" i="4" s="1"/>
  <c r="G81" i="4"/>
  <c r="L81" i="4"/>
  <c r="V81" i="4"/>
  <c r="Q81" i="4"/>
  <c r="K117" i="75"/>
  <c r="L117" i="75" s="1"/>
  <c r="M117" i="75" s="1"/>
  <c r="G117" i="75"/>
  <c r="H117" i="75" s="1"/>
  <c r="I117" i="75" s="1"/>
  <c r="B222" i="104"/>
  <c r="C222" i="104"/>
  <c r="U135" i="4"/>
  <c r="G135" i="4"/>
  <c r="S135" i="4"/>
  <c r="T135" i="4"/>
  <c r="F135" i="4"/>
  <c r="I135" i="4"/>
  <c r="J135" i="4"/>
  <c r="P135" i="4"/>
  <c r="R135" i="4" s="1"/>
  <c r="L135" i="4"/>
  <c r="M135" i="4"/>
  <c r="V135" i="4"/>
  <c r="L73" i="4"/>
  <c r="I73" i="4"/>
  <c r="K73" i="4" s="1"/>
  <c r="S73" i="4"/>
  <c r="P73" i="4"/>
  <c r="G73" i="4"/>
  <c r="V73" i="4"/>
  <c r="Q73" i="4"/>
  <c r="G152" i="74"/>
  <c r="F152" i="104"/>
  <c r="J26" i="4"/>
  <c r="P26" i="4"/>
  <c r="V26" i="4"/>
  <c r="S26" i="4"/>
  <c r="F26" i="4"/>
  <c r="L26" i="4"/>
  <c r="G26" i="4"/>
  <c r="I26" i="4"/>
  <c r="M26" i="4"/>
  <c r="T26" i="4"/>
  <c r="U26" i="4"/>
  <c r="T87" i="4"/>
  <c r="I87" i="4"/>
  <c r="J87" i="4"/>
  <c r="M87" i="4"/>
  <c r="Q87" i="4"/>
  <c r="V87" i="4"/>
  <c r="P87" i="4"/>
  <c r="L87" i="4"/>
  <c r="S87" i="4"/>
  <c r="G87" i="4"/>
  <c r="U87" i="4"/>
  <c r="S213" i="104"/>
  <c r="B213" i="104" s="1"/>
  <c r="C213" i="104"/>
  <c r="S190" i="104"/>
  <c r="B190" i="104" s="1"/>
  <c r="S196" i="104"/>
  <c r="B196" i="104" s="1"/>
  <c r="C196" i="104"/>
  <c r="L72" i="3"/>
  <c r="X126" i="4"/>
  <c r="S102" i="104"/>
  <c r="C102" i="104"/>
  <c r="H102" i="99" s="1"/>
  <c r="E102" i="99" s="1"/>
  <c r="B102" i="99" s="1"/>
  <c r="M85" i="3"/>
  <c r="I115" i="103"/>
  <c r="V61" i="74"/>
  <c r="Y64" i="4"/>
  <c r="Z64" i="4" s="1"/>
  <c r="S93" i="75"/>
  <c r="T93" i="75"/>
  <c r="U93" i="75" s="1"/>
  <c r="J122" i="75"/>
  <c r="M122" i="75" s="1"/>
  <c r="N122" i="75" s="1"/>
  <c r="P122" i="75"/>
  <c r="Q122" i="75" s="1"/>
  <c r="R122" i="75" s="1"/>
  <c r="M74" i="3"/>
  <c r="N129" i="3"/>
  <c r="N12" i="3"/>
  <c r="Q12" i="3" s="1"/>
  <c r="K12" i="3"/>
  <c r="P128" i="3"/>
  <c r="AB118" i="75"/>
  <c r="M42" i="3"/>
  <c r="L58" i="3"/>
  <c r="L124" i="3"/>
  <c r="M16" i="3"/>
  <c r="P151" i="3"/>
  <c r="O146" i="3"/>
  <c r="AE96" i="4"/>
  <c r="Q16" i="103"/>
  <c r="AH16" i="104"/>
  <c r="AC16" i="74"/>
  <c r="AF19" i="4" s="1"/>
  <c r="AH19" i="4" s="1"/>
  <c r="Q23" i="103"/>
  <c r="AH23" i="104"/>
  <c r="AJ23" i="104" s="1"/>
  <c r="AC23" i="74"/>
  <c r="AF26" i="4" s="1"/>
  <c r="AH26" i="4" s="1"/>
  <c r="O39" i="85"/>
  <c r="K37" i="75" s="1"/>
  <c r="L37" i="75" s="1"/>
  <c r="M37" i="75" s="1"/>
  <c r="W37" i="104"/>
  <c r="X37" i="104" s="1"/>
  <c r="T37" i="104" s="1"/>
  <c r="J50" i="85"/>
  <c r="U42" i="103"/>
  <c r="AM42" i="104"/>
  <c r="AG42" i="74"/>
  <c r="AK45" i="4" s="1"/>
  <c r="P62" i="103"/>
  <c r="AF62" i="104"/>
  <c r="AB62" i="74"/>
  <c r="AD65" i="4" s="1"/>
  <c r="Q73" i="103"/>
  <c r="AH73" i="104"/>
  <c r="AJ73" i="104" s="1"/>
  <c r="AC73" i="74"/>
  <c r="AF76" i="4" s="1"/>
  <c r="AD81" i="104"/>
  <c r="N81" i="103"/>
  <c r="Z81" i="74"/>
  <c r="AB84" i="4" s="1"/>
  <c r="P117" i="103"/>
  <c r="AF117" i="104"/>
  <c r="O194" i="85"/>
  <c r="K151" i="75" s="1"/>
  <c r="L151" i="75" s="1"/>
  <c r="Y19" i="74"/>
  <c r="AA22" i="4" s="1"/>
  <c r="M19" i="103"/>
  <c r="AC19" i="104"/>
  <c r="M99" i="103"/>
  <c r="AC99" i="104"/>
  <c r="AG99" i="104" s="1"/>
  <c r="AA131" i="74"/>
  <c r="AC134" i="4" s="1"/>
  <c r="AE134" i="4" s="1"/>
  <c r="O131" i="103"/>
  <c r="AE131" i="104"/>
  <c r="R12" i="103"/>
  <c r="AI12" i="104"/>
  <c r="AD12" i="74"/>
  <c r="AG15" i="4" s="1"/>
  <c r="AH15" i="4" s="1"/>
  <c r="J25" i="4"/>
  <c r="P25" i="4"/>
  <c r="M25" i="4"/>
  <c r="L25" i="4"/>
  <c r="S25" i="4"/>
  <c r="F25" i="4"/>
  <c r="V25" i="4"/>
  <c r="G25" i="4"/>
  <c r="U25" i="4"/>
  <c r="T25" i="4"/>
  <c r="I25" i="4"/>
  <c r="M28" i="103"/>
  <c r="AC28" i="104"/>
  <c r="AG28" i="104" s="1"/>
  <c r="Y28" i="74"/>
  <c r="AA31" i="4" s="1"/>
  <c r="J31" i="104"/>
  <c r="F31" i="103"/>
  <c r="L31" i="74"/>
  <c r="U33" i="103"/>
  <c r="AM33" i="104"/>
  <c r="AG33" i="74"/>
  <c r="AK36" i="4" s="1"/>
  <c r="K36" i="103"/>
  <c r="R36" i="104"/>
  <c r="T40" i="103"/>
  <c r="AL40" i="104"/>
  <c r="AN40" i="104" s="1"/>
  <c r="AF40" i="74"/>
  <c r="AJ43" i="4" s="1"/>
  <c r="Q43" i="103"/>
  <c r="AH43" i="104"/>
  <c r="AJ43" i="104" s="1"/>
  <c r="AC43" i="74"/>
  <c r="AF46" i="4" s="1"/>
  <c r="AH46" i="4" s="1"/>
  <c r="H50" i="104"/>
  <c r="L50" i="104" s="1"/>
  <c r="D50" i="103"/>
  <c r="H50" i="74"/>
  <c r="O57" i="103"/>
  <c r="AE57" i="104"/>
  <c r="AG57" i="104" s="1"/>
  <c r="AA57" i="74"/>
  <c r="AC60" i="4" s="1"/>
  <c r="AE60" i="4" s="1"/>
  <c r="N65" i="103"/>
  <c r="AD65" i="104"/>
  <c r="Z65" i="74"/>
  <c r="AB68" i="4" s="1"/>
  <c r="G73" i="103"/>
  <c r="N73" i="104"/>
  <c r="Q73" i="74"/>
  <c r="F76" i="3" s="1"/>
  <c r="L76" i="3" s="1"/>
  <c r="G77" i="103"/>
  <c r="N77" i="104"/>
  <c r="Q77" i="74"/>
  <c r="F80" i="3" s="1"/>
  <c r="C83" i="103"/>
  <c r="F83" i="104"/>
  <c r="G83" i="104" s="1"/>
  <c r="G83" i="74"/>
  <c r="H98" i="103"/>
  <c r="O98" i="104"/>
  <c r="L107" i="103"/>
  <c r="AA107" i="104"/>
  <c r="I112" i="104"/>
  <c r="E112" i="103"/>
  <c r="AA141" i="74"/>
  <c r="AC144" i="4" s="1"/>
  <c r="AE144" i="4" s="1"/>
  <c r="O141" i="103"/>
  <c r="AE141" i="104"/>
  <c r="B12" i="103"/>
  <c r="E12" i="104"/>
  <c r="F12" i="74"/>
  <c r="C21" i="97"/>
  <c r="C22" i="3"/>
  <c r="C22" i="75"/>
  <c r="C22" i="4"/>
  <c r="W22" i="104"/>
  <c r="X22" i="104" s="1"/>
  <c r="T22" i="104" s="1"/>
  <c r="J33" i="85"/>
  <c r="O29" i="104"/>
  <c r="H29" i="103"/>
  <c r="R29" i="74"/>
  <c r="G32" i="3" s="1"/>
  <c r="M32" i="3" s="1"/>
  <c r="F32" i="103"/>
  <c r="J32" i="104"/>
  <c r="K32" i="104" s="1"/>
  <c r="L32" i="104" s="1"/>
  <c r="L32" i="74"/>
  <c r="N35" i="104"/>
  <c r="G35" i="103"/>
  <c r="Q35" i="74"/>
  <c r="F38" i="3" s="1"/>
  <c r="L38" i="3" s="1"/>
  <c r="H38" i="104"/>
  <c r="D38" i="103"/>
  <c r="H38" i="74"/>
  <c r="U41" i="103"/>
  <c r="AM41" i="104"/>
  <c r="AG41" i="74"/>
  <c r="AK44" i="4" s="1"/>
  <c r="O55" i="85"/>
  <c r="H53" i="103"/>
  <c r="V53" i="103" s="1"/>
  <c r="G53" i="99" s="1"/>
  <c r="D53" i="99" s="1"/>
  <c r="O53" i="104"/>
  <c r="M53" i="104" s="1"/>
  <c r="R53" i="74"/>
  <c r="G56" i="3" s="1"/>
  <c r="W61" i="104"/>
  <c r="X61" i="104" s="1"/>
  <c r="T61" i="104" s="1"/>
  <c r="J80" i="85"/>
  <c r="Q64" i="4" s="1"/>
  <c r="H66" i="103"/>
  <c r="O66" i="104"/>
  <c r="R66" i="74"/>
  <c r="G69" i="3" s="1"/>
  <c r="M69" i="3" s="1"/>
  <c r="U73" i="103"/>
  <c r="AM73" i="104"/>
  <c r="AG73" i="74"/>
  <c r="AK76" i="4" s="1"/>
  <c r="AE77" i="104"/>
  <c r="O77" i="103"/>
  <c r="AA77" i="74"/>
  <c r="AC80" i="4" s="1"/>
  <c r="N91" i="103"/>
  <c r="AD91" i="104"/>
  <c r="Z91" i="74"/>
  <c r="AB94" i="4" s="1"/>
  <c r="AE94" i="4" s="1"/>
  <c r="C99" i="103"/>
  <c r="F99" i="104"/>
  <c r="G99" i="104" s="1"/>
  <c r="M110" i="103"/>
  <c r="AC110" i="104"/>
  <c r="AK113" i="104"/>
  <c r="S113" i="103"/>
  <c r="C140" i="3"/>
  <c r="C139" i="97"/>
  <c r="C140" i="4"/>
  <c r="C140" i="75"/>
  <c r="F144" i="74"/>
  <c r="E144" i="104"/>
  <c r="B144" i="103"/>
  <c r="M151" i="74"/>
  <c r="D22" i="103"/>
  <c r="H22" i="104"/>
  <c r="H22" i="74"/>
  <c r="AK31" i="104"/>
  <c r="S31" i="103"/>
  <c r="AE31" i="74"/>
  <c r="AI34" i="4" s="1"/>
  <c r="T35" i="103"/>
  <c r="AL35" i="104"/>
  <c r="AF35" i="74"/>
  <c r="AJ38" i="4" s="1"/>
  <c r="F42" i="103"/>
  <c r="J42" i="104"/>
  <c r="L42" i="74"/>
  <c r="S45" i="103"/>
  <c r="AK45" i="104"/>
  <c r="AE45" i="74"/>
  <c r="AI48" i="4" s="1"/>
  <c r="S57" i="103"/>
  <c r="AK57" i="104"/>
  <c r="AE57" i="74"/>
  <c r="AI60" i="4" s="1"/>
  <c r="L68" i="103"/>
  <c r="AA68" i="104"/>
  <c r="AM76" i="104"/>
  <c r="U76" i="103"/>
  <c r="AG76" i="74"/>
  <c r="AK79" i="4" s="1"/>
  <c r="J88" i="104"/>
  <c r="F88" i="103"/>
  <c r="L88" i="74"/>
  <c r="AL99" i="104"/>
  <c r="T99" i="103"/>
  <c r="T114" i="103"/>
  <c r="AL114" i="104"/>
  <c r="C134" i="3"/>
  <c r="M134" i="3" s="1"/>
  <c r="C134" i="75"/>
  <c r="C134" i="4"/>
  <c r="C133" i="97"/>
  <c r="L146" i="74"/>
  <c r="J146" i="104"/>
  <c r="F146" i="103"/>
  <c r="AH18" i="104"/>
  <c r="Q18" i="103"/>
  <c r="AC18" i="74"/>
  <c r="AF21" i="4" s="1"/>
  <c r="F33" i="103"/>
  <c r="J33" i="104"/>
  <c r="L33" i="74"/>
  <c r="E42" i="104"/>
  <c r="B42" i="103"/>
  <c r="F42" i="74"/>
  <c r="AL45" i="104"/>
  <c r="T45" i="103"/>
  <c r="AF45" i="74"/>
  <c r="AJ48" i="4" s="1"/>
  <c r="AG57" i="74"/>
  <c r="AK60" i="4" s="1"/>
  <c r="U57" i="103"/>
  <c r="AM57" i="104"/>
  <c r="N68" i="103"/>
  <c r="AD68" i="104"/>
  <c r="Z68" i="74"/>
  <c r="AB71" i="4" s="1"/>
  <c r="AK91" i="104"/>
  <c r="S91" i="103"/>
  <c r="AE91" i="74"/>
  <c r="AI94" i="4" s="1"/>
  <c r="AL94" i="4" s="1"/>
  <c r="Q107" i="103"/>
  <c r="AH107" i="104"/>
  <c r="AJ107" i="104" s="1"/>
  <c r="L126" i="103"/>
  <c r="AA126" i="104"/>
  <c r="Z137" i="74"/>
  <c r="AB140" i="4" s="1"/>
  <c r="AD137" i="104"/>
  <c r="N137" i="103"/>
  <c r="AA144" i="104"/>
  <c r="L144" i="103"/>
  <c r="R151" i="74"/>
  <c r="O151" i="104"/>
  <c r="H14" i="104"/>
  <c r="D14" i="103"/>
  <c r="H14" i="74"/>
  <c r="U23" i="97"/>
  <c r="P23" i="103"/>
  <c r="AF23" i="104"/>
  <c r="AB23" i="74"/>
  <c r="AD26" i="4" s="1"/>
  <c r="F28" i="103"/>
  <c r="J28" i="104"/>
  <c r="L28" i="74"/>
  <c r="Q31" i="104"/>
  <c r="J31" i="103"/>
  <c r="C36" i="97"/>
  <c r="C37" i="75"/>
  <c r="C37" i="4"/>
  <c r="C37" i="3"/>
  <c r="O43" i="85"/>
  <c r="K41" i="103"/>
  <c r="R41" i="104"/>
  <c r="U41" i="74"/>
  <c r="J44" i="3" s="1"/>
  <c r="P44" i="3" s="1"/>
  <c r="AM43" i="104"/>
  <c r="U43" i="103"/>
  <c r="AG43" i="74"/>
  <c r="AK46" i="4" s="1"/>
  <c r="L48" i="103"/>
  <c r="AA48" i="104"/>
  <c r="O78" i="85"/>
  <c r="K61" i="75" s="1"/>
  <c r="L61" i="75" s="1"/>
  <c r="AI67" i="104"/>
  <c r="AJ67" i="104" s="1"/>
  <c r="R67" i="103"/>
  <c r="AD67" i="74"/>
  <c r="AG70" i="4" s="1"/>
  <c r="AH70" i="4" s="1"/>
  <c r="M74" i="103"/>
  <c r="AC74" i="104"/>
  <c r="Y74" i="74"/>
  <c r="AA77" i="4" s="1"/>
  <c r="AK77" i="104"/>
  <c r="AN77" i="104" s="1"/>
  <c r="S77" i="103"/>
  <c r="AE77" i="74"/>
  <c r="AI80" i="4" s="1"/>
  <c r="N83" i="103"/>
  <c r="AD83" i="104"/>
  <c r="Z83" i="74"/>
  <c r="AB86" i="4" s="1"/>
  <c r="T91" i="103"/>
  <c r="AL91" i="104"/>
  <c r="S98" i="103"/>
  <c r="AK98" i="104"/>
  <c r="J111" i="104"/>
  <c r="F111" i="103"/>
  <c r="C122" i="103"/>
  <c r="F122" i="104"/>
  <c r="Y146" i="74"/>
  <c r="AA149" i="4" s="1"/>
  <c r="AE149" i="4" s="1"/>
  <c r="AC146" i="104"/>
  <c r="AG146" i="104" s="1"/>
  <c r="M146" i="103"/>
  <c r="Q148" i="4"/>
  <c r="T148" i="4"/>
  <c r="L148" i="4"/>
  <c r="U148" i="4"/>
  <c r="I148" i="4"/>
  <c r="F148" i="4"/>
  <c r="P148" i="4"/>
  <c r="G148" i="4"/>
  <c r="J148" i="4"/>
  <c r="M148" i="4"/>
  <c r="S148" i="4"/>
  <c r="V148" i="4"/>
  <c r="M143" i="3"/>
  <c r="S143" i="74"/>
  <c r="H146" i="3" s="1"/>
  <c r="K128" i="75"/>
  <c r="L128" i="75" s="1"/>
  <c r="M128" i="75" s="1"/>
  <c r="G128" i="75"/>
  <c r="H128" i="75" s="1"/>
  <c r="I128" i="75" s="1"/>
  <c r="Y140" i="4"/>
  <c r="Z140" i="4" s="1"/>
  <c r="V137" i="74"/>
  <c r="H150" i="74"/>
  <c r="H150" i="104"/>
  <c r="L150" i="104" s="1"/>
  <c r="Q24" i="4"/>
  <c r="S24" i="4"/>
  <c r="P24" i="4"/>
  <c r="I24" i="4"/>
  <c r="L24" i="4"/>
  <c r="J24" i="4"/>
  <c r="M24" i="4"/>
  <c r="V24" i="4"/>
  <c r="T24" i="4"/>
  <c r="U24" i="4"/>
  <c r="F24" i="4"/>
  <c r="G24" i="4"/>
  <c r="K81" i="75"/>
  <c r="L81" i="75" s="1"/>
  <c r="M81" i="75" s="1"/>
  <c r="G81" i="75"/>
  <c r="H81" i="75" s="1"/>
  <c r="I81" i="75" s="1"/>
  <c r="K133" i="4"/>
  <c r="K73" i="75"/>
  <c r="L73" i="75" s="1"/>
  <c r="M73" i="75" s="1"/>
  <c r="P118" i="4"/>
  <c r="R118" i="4" s="1"/>
  <c r="G118" i="4"/>
  <c r="M118" i="4"/>
  <c r="T118" i="4"/>
  <c r="U118" i="4"/>
  <c r="I118" i="4"/>
  <c r="F118" i="4"/>
  <c r="L118" i="4"/>
  <c r="S118" i="4"/>
  <c r="J118" i="4"/>
  <c r="V118" i="4"/>
  <c r="T124" i="4"/>
  <c r="P124" i="4"/>
  <c r="R124" i="4" s="1"/>
  <c r="U124" i="4"/>
  <c r="F124" i="4"/>
  <c r="S124" i="4"/>
  <c r="I124" i="4"/>
  <c r="J124" i="4"/>
  <c r="M124" i="4"/>
  <c r="N124" i="4" s="1"/>
  <c r="I143" i="4"/>
  <c r="J143" i="4"/>
  <c r="L143" i="4"/>
  <c r="S143" i="4"/>
  <c r="M143" i="4"/>
  <c r="G143" i="4"/>
  <c r="V143" i="4"/>
  <c r="U143" i="4"/>
  <c r="T143" i="4"/>
  <c r="Q143" i="4"/>
  <c r="P143" i="4"/>
  <c r="F143" i="4"/>
  <c r="G77" i="4"/>
  <c r="T77" i="4"/>
  <c r="I77" i="4"/>
  <c r="U77" i="4"/>
  <c r="J77" i="4"/>
  <c r="P77" i="4"/>
  <c r="L77" i="4"/>
  <c r="M77" i="4"/>
  <c r="S77" i="4"/>
  <c r="F77" i="4"/>
  <c r="V77" i="4"/>
  <c r="G130" i="75"/>
  <c r="H130" i="75" s="1"/>
  <c r="I130" i="75" s="1"/>
  <c r="K130" i="75"/>
  <c r="L130" i="75" s="1"/>
  <c r="M130" i="75" s="1"/>
  <c r="H152" i="74"/>
  <c r="H152" i="104"/>
  <c r="L152" i="104" s="1"/>
  <c r="S216" i="104"/>
  <c r="B216" i="104" s="1"/>
  <c r="C216" i="104"/>
  <c r="F87" i="4"/>
  <c r="S219" i="104"/>
  <c r="B219" i="104" s="1"/>
  <c r="C219" i="104"/>
  <c r="F89" i="75"/>
  <c r="G89" i="75"/>
  <c r="H89" i="75" s="1"/>
  <c r="AE50" i="4"/>
  <c r="L18" i="3"/>
  <c r="C86" i="104"/>
  <c r="H86" i="99" s="1"/>
  <c r="E86" i="99" s="1"/>
  <c r="N85" i="3"/>
  <c r="P33" i="3"/>
  <c r="T81" i="4"/>
  <c r="M139" i="3"/>
  <c r="O124" i="3"/>
  <c r="P136" i="3"/>
  <c r="O55" i="3"/>
  <c r="O78" i="3"/>
  <c r="N120" i="3"/>
  <c r="O129" i="3"/>
  <c r="O61" i="3"/>
  <c r="P132" i="3"/>
  <c r="L51" i="3"/>
  <c r="O97" i="3"/>
  <c r="L128" i="3"/>
  <c r="N30" i="3"/>
  <c r="L113" i="3"/>
  <c r="M115" i="3"/>
  <c r="P110" i="3"/>
  <c r="M118" i="3"/>
  <c r="L111" i="74"/>
  <c r="W114" i="75" s="1"/>
  <c r="V49" i="75"/>
  <c r="AA49" i="75" s="1"/>
  <c r="AB49" i="75" s="1"/>
  <c r="V56" i="75"/>
  <c r="AA56" i="75" s="1"/>
  <c r="X99" i="4"/>
  <c r="O58" i="3"/>
  <c r="B127" i="99"/>
  <c r="K129" i="97" s="1"/>
  <c r="X146" i="4"/>
  <c r="U18" i="103"/>
  <c r="AM18" i="104"/>
  <c r="AN18" i="104" s="1"/>
  <c r="AG18" i="74"/>
  <c r="AK21" i="4" s="1"/>
  <c r="AL21" i="4" s="1"/>
  <c r="P24" i="103"/>
  <c r="AF24" i="104"/>
  <c r="AB24" i="74"/>
  <c r="AD27" i="4" s="1"/>
  <c r="AI33" i="104"/>
  <c r="R33" i="103"/>
  <c r="AD33" i="74"/>
  <c r="AG36" i="4" s="1"/>
  <c r="E38" i="104"/>
  <c r="B38" i="103"/>
  <c r="F38" i="74"/>
  <c r="AD43" i="104"/>
  <c r="N43" i="103"/>
  <c r="Z43" i="74"/>
  <c r="AB46" i="4" s="1"/>
  <c r="E65" i="104"/>
  <c r="B65" i="103"/>
  <c r="F65" i="74"/>
  <c r="I74" i="104"/>
  <c r="K74" i="104" s="1"/>
  <c r="E74" i="103"/>
  <c r="I74" i="74"/>
  <c r="S77" i="75" s="1"/>
  <c r="AF83" i="104"/>
  <c r="P83" i="103"/>
  <c r="AB83" i="74"/>
  <c r="AD86" i="4" s="1"/>
  <c r="T107" i="103"/>
  <c r="AL107" i="104"/>
  <c r="Y147" i="74"/>
  <c r="AA150" i="4" s="1"/>
  <c r="M147" i="103"/>
  <c r="AC147" i="104"/>
  <c r="AM19" i="104"/>
  <c r="AG19" i="74"/>
  <c r="AK22" i="4" s="1"/>
  <c r="U19" i="103"/>
  <c r="D68" i="103"/>
  <c r="H68" i="74"/>
  <c r="H68" i="104"/>
  <c r="L68" i="104" s="1"/>
  <c r="AD13" i="104"/>
  <c r="AG13" i="104" s="1"/>
  <c r="N13" i="103"/>
  <c r="Z13" i="74"/>
  <c r="AB16" i="4" s="1"/>
  <c r="AE16" i="4" s="1"/>
  <c r="R19" i="104"/>
  <c r="K19" i="103"/>
  <c r="U19" i="74"/>
  <c r="J22" i="3" s="1"/>
  <c r="P22" i="3" s="1"/>
  <c r="N23" i="104"/>
  <c r="G23" i="103"/>
  <c r="Q23" i="74"/>
  <c r="F26" i="3" s="1"/>
  <c r="L26" i="3" s="1"/>
  <c r="AM28" i="104"/>
  <c r="AN28" i="104" s="1"/>
  <c r="U28" i="103"/>
  <c r="AG28" i="74"/>
  <c r="AK31" i="4" s="1"/>
  <c r="AL31" i="4" s="1"/>
  <c r="AH31" i="104"/>
  <c r="Q31" i="103"/>
  <c r="AC31" i="74"/>
  <c r="AF34" i="4" s="1"/>
  <c r="G34" i="103"/>
  <c r="N34" i="104"/>
  <c r="Q34" i="74"/>
  <c r="F37" i="3" s="1"/>
  <c r="N36" i="103"/>
  <c r="AD36" i="104"/>
  <c r="Z36" i="74"/>
  <c r="AB39" i="4" s="1"/>
  <c r="J41" i="104"/>
  <c r="K41" i="104" s="1"/>
  <c r="L41" i="104" s="1"/>
  <c r="F41" i="103"/>
  <c r="L41" i="74"/>
  <c r="C47" i="97"/>
  <c r="C48" i="4"/>
  <c r="C48" i="75"/>
  <c r="C48" i="3"/>
  <c r="O50" i="103"/>
  <c r="AE50" i="104"/>
  <c r="AG50" i="104" s="1"/>
  <c r="AA50" i="74"/>
  <c r="AC53" i="4" s="1"/>
  <c r="AE53" i="4" s="1"/>
  <c r="E59" i="104"/>
  <c r="B59" i="103"/>
  <c r="F59" i="74"/>
  <c r="N66" i="104"/>
  <c r="G66" i="103"/>
  <c r="Q66" i="74"/>
  <c r="F69" i="3" s="1"/>
  <c r="B73" i="103"/>
  <c r="E73" i="104"/>
  <c r="F73" i="74"/>
  <c r="AC77" i="104"/>
  <c r="M77" i="103"/>
  <c r="Y77" i="74"/>
  <c r="AA80" i="4" s="1"/>
  <c r="J83" i="104"/>
  <c r="K83" i="104" s="1"/>
  <c r="L83" i="104" s="1"/>
  <c r="D83" i="104" s="1"/>
  <c r="F83" i="103"/>
  <c r="L83" i="74"/>
  <c r="M91" i="103"/>
  <c r="AC91" i="104"/>
  <c r="AG91" i="104" s="1"/>
  <c r="H108" i="104"/>
  <c r="C108" i="104" s="1"/>
  <c r="H108" i="99" s="1"/>
  <c r="E108" i="99" s="1"/>
  <c r="D108" i="103"/>
  <c r="V108" i="103" s="1"/>
  <c r="G108" i="99" s="1"/>
  <c r="D108" i="99" s="1"/>
  <c r="J113" i="103"/>
  <c r="Q113" i="104"/>
  <c r="AF118" i="104"/>
  <c r="AG118" i="104" s="1"/>
  <c r="P118" i="103"/>
  <c r="AK12" i="104"/>
  <c r="AE12" i="74"/>
  <c r="AI15" i="4" s="1"/>
  <c r="AL15" i="4" s="1"/>
  <c r="S12" i="103"/>
  <c r="H19" i="74"/>
  <c r="D19" i="103"/>
  <c r="H19" i="104"/>
  <c r="H23" i="103"/>
  <c r="O23" i="104"/>
  <c r="R23" i="74"/>
  <c r="G26" i="3" s="1"/>
  <c r="M26" i="3" s="1"/>
  <c r="AC29" i="104"/>
  <c r="AG29" i="104" s="1"/>
  <c r="M29" i="103"/>
  <c r="Y29" i="74"/>
  <c r="AA32" i="4" s="1"/>
  <c r="Q32" i="103"/>
  <c r="AH32" i="104"/>
  <c r="AC32" i="74"/>
  <c r="AF35" i="4" s="1"/>
  <c r="E35" i="104"/>
  <c r="B35" i="103"/>
  <c r="F35" i="74"/>
  <c r="O38" i="103"/>
  <c r="AE38" i="104"/>
  <c r="AA38" i="74"/>
  <c r="AC41" i="4" s="1"/>
  <c r="E42" i="103"/>
  <c r="I42" i="104"/>
  <c r="I42" i="74"/>
  <c r="S45" i="75" s="1"/>
  <c r="R45" i="103"/>
  <c r="AI45" i="104"/>
  <c r="AD45" i="74"/>
  <c r="AG48" i="4" s="1"/>
  <c r="J62" i="103"/>
  <c r="Q62" i="104"/>
  <c r="E66" i="104"/>
  <c r="B66" i="103"/>
  <c r="F66" i="74"/>
  <c r="G74" i="103"/>
  <c r="N74" i="104"/>
  <c r="Q74" i="74"/>
  <c r="F77" i="3" s="1"/>
  <c r="L77" i="3" s="1"/>
  <c r="S92" i="74"/>
  <c r="H95" i="3" s="1"/>
  <c r="AK99" i="104"/>
  <c r="S99" i="103"/>
  <c r="W110" i="104"/>
  <c r="X110" i="104" s="1"/>
  <c r="T110" i="104" s="1"/>
  <c r="AK114" i="104"/>
  <c r="S114" i="103"/>
  <c r="H122" i="74"/>
  <c r="T125" i="75" s="1"/>
  <c r="U125" i="75" s="1"/>
  <c r="H122" i="104"/>
  <c r="L122" i="104" s="1"/>
  <c r="D122" i="103"/>
  <c r="J137" i="103"/>
  <c r="Q137" i="104"/>
  <c r="M137" i="104" s="1"/>
  <c r="AF144" i="74"/>
  <c r="AJ147" i="4" s="1"/>
  <c r="AL147" i="4" s="1"/>
  <c r="AL144" i="104"/>
  <c r="AN144" i="104" s="1"/>
  <c r="T144" i="103"/>
  <c r="O151" i="74"/>
  <c r="P22" i="103"/>
  <c r="AF22" i="104"/>
  <c r="AB22" i="74"/>
  <c r="AD25" i="4" s="1"/>
  <c r="F32" i="104"/>
  <c r="G32" i="104" s="1"/>
  <c r="C32" i="103"/>
  <c r="G32" i="74"/>
  <c r="E36" i="103"/>
  <c r="I36" i="104"/>
  <c r="I36" i="74"/>
  <c r="S39" i="75" s="1"/>
  <c r="R42" i="103"/>
  <c r="AI42" i="104"/>
  <c r="AD42" i="74"/>
  <c r="AG45" i="4" s="1"/>
  <c r="K51" i="75"/>
  <c r="L51" i="75" s="1"/>
  <c r="M51" i="75" s="1"/>
  <c r="G51" i="75"/>
  <c r="H51" i="75" s="1"/>
  <c r="I51" i="75" s="1"/>
  <c r="G61" i="103"/>
  <c r="N61" i="104"/>
  <c r="Q61" i="74"/>
  <c r="F64" i="3" s="1"/>
  <c r="J73" i="103"/>
  <c r="Q73" i="104"/>
  <c r="T73" i="74"/>
  <c r="I76" i="3" s="1"/>
  <c r="O76" i="3" s="1"/>
  <c r="Q77" i="104"/>
  <c r="J77" i="103"/>
  <c r="P88" i="103"/>
  <c r="AF88" i="104"/>
  <c r="AB88" i="74"/>
  <c r="AD91" i="4" s="1"/>
  <c r="O107" i="104"/>
  <c r="H107" i="103"/>
  <c r="O110" i="75"/>
  <c r="T110" i="75"/>
  <c r="U110" i="75" s="1"/>
  <c r="V110" i="75" s="1"/>
  <c r="P110" i="75"/>
  <c r="Q110" i="75" s="1"/>
  <c r="J19" i="104"/>
  <c r="F19" i="103"/>
  <c r="L19" i="74"/>
  <c r="P33" i="103"/>
  <c r="AF33" i="104"/>
  <c r="AB33" i="74"/>
  <c r="AD36" i="4" s="1"/>
  <c r="AK42" i="104"/>
  <c r="S42" i="103"/>
  <c r="AE42" i="74"/>
  <c r="AI45" i="4" s="1"/>
  <c r="AL45" i="4" s="1"/>
  <c r="O50" i="104"/>
  <c r="H50" i="103"/>
  <c r="R50" i="74"/>
  <c r="G53" i="3" s="1"/>
  <c r="O61" i="104"/>
  <c r="H61" i="103"/>
  <c r="R61" i="74"/>
  <c r="G64" i="3" s="1"/>
  <c r="G81" i="103"/>
  <c r="N81" i="104"/>
  <c r="Q81" i="74"/>
  <c r="F84" i="3" s="1"/>
  <c r="L84" i="3" s="1"/>
  <c r="H92" i="103"/>
  <c r="O92" i="104"/>
  <c r="R92" i="74"/>
  <c r="G95" i="3" s="1"/>
  <c r="R110" i="104"/>
  <c r="K110" i="103"/>
  <c r="AA128" i="104"/>
  <c r="L128" i="103"/>
  <c r="AL139" i="104"/>
  <c r="AN139" i="104" s="1"/>
  <c r="AB139" i="104" s="1"/>
  <c r="Z139" i="104" s="1"/>
  <c r="T139" i="103"/>
  <c r="L145" i="74"/>
  <c r="J145" i="104"/>
  <c r="F145" i="103"/>
  <c r="C6" i="75"/>
  <c r="C6" i="4"/>
  <c r="O20" i="3"/>
  <c r="C6" i="3"/>
  <c r="C5" i="97"/>
  <c r="L59" i="3"/>
  <c r="L31" i="3"/>
  <c r="P74" i="3"/>
  <c r="L20" i="3"/>
  <c r="P32" i="3"/>
  <c r="M24" i="3"/>
  <c r="P54" i="3"/>
  <c r="O93" i="3"/>
  <c r="L139" i="3"/>
  <c r="P142" i="3"/>
  <c r="L144" i="3"/>
  <c r="M149" i="3"/>
  <c r="M151" i="3"/>
  <c r="M20" i="3"/>
  <c r="P47" i="3"/>
  <c r="P52" i="3"/>
  <c r="N73" i="3"/>
  <c r="L82" i="3"/>
  <c r="P93" i="3"/>
  <c r="N118" i="3"/>
  <c r="M128" i="3"/>
  <c r="M144" i="3"/>
  <c r="L42" i="3"/>
  <c r="M8" i="3"/>
  <c r="L73" i="3"/>
  <c r="M82" i="3"/>
  <c r="L97" i="3"/>
  <c r="L118" i="3"/>
  <c r="M136" i="3"/>
  <c r="M23" i="3"/>
  <c r="P76" i="3"/>
  <c r="O49" i="3"/>
  <c r="N60" i="3"/>
  <c r="M73" i="3"/>
  <c r="M97" i="3"/>
  <c r="L132" i="3"/>
  <c r="O136" i="3"/>
  <c r="P144" i="3"/>
  <c r="M55" i="3"/>
  <c r="L54" i="3"/>
  <c r="L67" i="3"/>
  <c r="P73" i="3"/>
  <c r="P82" i="3"/>
  <c r="N122" i="3"/>
  <c r="P59" i="3"/>
  <c r="P42" i="3"/>
  <c r="M49" i="3"/>
  <c r="N8" i="3"/>
  <c r="N16" i="3"/>
  <c r="M54" i="3"/>
  <c r="P55" i="3"/>
  <c r="M67" i="3"/>
  <c r="L96" i="3"/>
  <c r="M112" i="3"/>
  <c r="N148" i="3"/>
  <c r="P31" i="3"/>
  <c r="P20" i="3"/>
  <c r="O23" i="3"/>
  <c r="O30" i="3"/>
  <c r="L40" i="3"/>
  <c r="N42" i="3"/>
  <c r="L47" i="3"/>
  <c r="M96" i="3"/>
  <c r="M142" i="3"/>
  <c r="M28" i="3"/>
  <c r="M51" i="3"/>
  <c r="M52" i="3"/>
  <c r="O54" i="3"/>
  <c r="P67" i="3"/>
  <c r="N72" i="3"/>
  <c r="L75" i="3"/>
  <c r="L93" i="3"/>
  <c r="P97" i="3"/>
  <c r="L117" i="3"/>
  <c r="L135" i="3"/>
  <c r="O142" i="3"/>
  <c r="M145" i="3"/>
  <c r="L151" i="3"/>
  <c r="Q21" i="104"/>
  <c r="M21" i="104" s="1"/>
  <c r="J21" i="103"/>
  <c r="C26" i="97"/>
  <c r="C27" i="3"/>
  <c r="O27" i="3" s="1"/>
  <c r="C27" i="75"/>
  <c r="C27" i="4"/>
  <c r="AH28" i="104"/>
  <c r="AJ28" i="104" s="1"/>
  <c r="Q28" i="103"/>
  <c r="AC28" i="74"/>
  <c r="AF31" i="4" s="1"/>
  <c r="AH31" i="4" s="1"/>
  <c r="M31" i="103"/>
  <c r="AC31" i="104"/>
  <c r="Y31" i="74"/>
  <c r="AA34" i="4" s="1"/>
  <c r="I34" i="104"/>
  <c r="E34" i="103"/>
  <c r="I34" i="74"/>
  <c r="AI36" i="104"/>
  <c r="R36" i="103"/>
  <c r="AD36" i="74"/>
  <c r="AG39" i="4" s="1"/>
  <c r="H41" i="103"/>
  <c r="O41" i="104"/>
  <c r="R41" i="74"/>
  <c r="G44" i="3" s="1"/>
  <c r="M44" i="3" s="1"/>
  <c r="AH44" i="104"/>
  <c r="AJ44" i="104" s="1"/>
  <c r="Q44" i="103"/>
  <c r="AC44" i="74"/>
  <c r="AF47" i="4" s="1"/>
  <c r="AH47" i="4" s="1"/>
  <c r="E57" i="103"/>
  <c r="I57" i="104"/>
  <c r="K57" i="104" s="1"/>
  <c r="L57" i="104" s="1"/>
  <c r="D57" i="104" s="1"/>
  <c r="I57" i="74"/>
  <c r="G65" i="103"/>
  <c r="N65" i="104"/>
  <c r="Q65" i="74"/>
  <c r="F68" i="3" s="1"/>
  <c r="L68" i="3" s="1"/>
  <c r="H68" i="103"/>
  <c r="O68" i="104"/>
  <c r="R68" i="74"/>
  <c r="G71" i="3" s="1"/>
  <c r="AM74" i="104"/>
  <c r="U74" i="103"/>
  <c r="AG74" i="74"/>
  <c r="AK77" i="4" s="1"/>
  <c r="C82" i="97"/>
  <c r="C83" i="3"/>
  <c r="C83" i="4"/>
  <c r="C83" i="75"/>
  <c r="G88" i="103"/>
  <c r="N88" i="104"/>
  <c r="Q88" i="74"/>
  <c r="F91" i="3" s="1"/>
  <c r="Q92" i="104"/>
  <c r="J92" i="103"/>
  <c r="F99" i="103"/>
  <c r="J99" i="104"/>
  <c r="K99" i="104" s="1"/>
  <c r="L99" i="104" s="1"/>
  <c r="AH111" i="104"/>
  <c r="Q111" i="103"/>
  <c r="N117" i="103"/>
  <c r="AD117" i="104"/>
  <c r="E122" i="104"/>
  <c r="B122" i="103"/>
  <c r="K43" i="75"/>
  <c r="L43" i="75" s="1"/>
  <c r="M43" i="75" s="1"/>
  <c r="P129" i="4"/>
  <c r="V129" i="4"/>
  <c r="L129" i="4"/>
  <c r="F129" i="4"/>
  <c r="M129" i="4"/>
  <c r="T129" i="4"/>
  <c r="S129" i="4"/>
  <c r="G129" i="4"/>
  <c r="U129" i="4"/>
  <c r="I129" i="4"/>
  <c r="J129" i="4"/>
  <c r="Q129" i="4"/>
  <c r="J153" i="74"/>
  <c r="C168" i="104"/>
  <c r="S168" i="104"/>
  <c r="B168" i="104" s="1"/>
  <c r="T82" i="4"/>
  <c r="M82" i="4"/>
  <c r="G82" i="4"/>
  <c r="U82" i="4"/>
  <c r="S82" i="4"/>
  <c r="I82" i="4"/>
  <c r="Q82" i="4"/>
  <c r="J82" i="4"/>
  <c r="V82" i="4"/>
  <c r="P82" i="4"/>
  <c r="F82" i="4"/>
  <c r="H82" i="4" s="1"/>
  <c r="L82" i="4"/>
  <c r="M154" i="74"/>
  <c r="K143" i="75"/>
  <c r="L143" i="75" s="1"/>
  <c r="M143" i="75" s="1"/>
  <c r="L33" i="4"/>
  <c r="S33" i="4"/>
  <c r="V33" i="4"/>
  <c r="G33" i="4"/>
  <c r="P33" i="4"/>
  <c r="Q33" i="4"/>
  <c r="I33" i="4"/>
  <c r="J33" i="4"/>
  <c r="M33" i="4"/>
  <c r="T33" i="4"/>
  <c r="F33" i="4"/>
  <c r="U33" i="4"/>
  <c r="V140" i="4"/>
  <c r="T59" i="107"/>
  <c r="J27" i="4"/>
  <c r="G27" i="4"/>
  <c r="S27" i="4"/>
  <c r="U27" i="4"/>
  <c r="F27" i="4"/>
  <c r="M27" i="4"/>
  <c r="I27" i="4"/>
  <c r="T27" i="4"/>
  <c r="V27" i="4"/>
  <c r="L27" i="4"/>
  <c r="P27" i="4"/>
  <c r="S98" i="4"/>
  <c r="G98" i="4"/>
  <c r="T98" i="4"/>
  <c r="Q98" i="4"/>
  <c r="L98" i="4"/>
  <c r="U98" i="4"/>
  <c r="I98" i="4"/>
  <c r="K98" i="4" s="1"/>
  <c r="V98" i="4"/>
  <c r="F98" i="4"/>
  <c r="M98" i="4"/>
  <c r="P98" i="4"/>
  <c r="S138" i="104"/>
  <c r="C138" i="104"/>
  <c r="H138" i="99" s="1"/>
  <c r="E138" i="99" s="1"/>
  <c r="B138" i="99" s="1"/>
  <c r="M18" i="3"/>
  <c r="Q6" i="4"/>
  <c r="L74" i="3"/>
  <c r="F73" i="4"/>
  <c r="M30" i="3"/>
  <c r="U73" i="4"/>
  <c r="O66" i="3"/>
  <c r="L55" i="3"/>
  <c r="L28" i="3"/>
  <c r="M146" i="3"/>
  <c r="M122" i="3"/>
  <c r="L148" i="3"/>
  <c r="M117" i="3"/>
  <c r="Z47" i="75"/>
  <c r="O139" i="3"/>
  <c r="P148" i="3"/>
  <c r="X110" i="75"/>
  <c r="Y110" i="75" s="1"/>
  <c r="Z110" i="75" s="1"/>
  <c r="L129" i="3"/>
  <c r="L8" i="3"/>
  <c r="M100" i="3"/>
  <c r="X136" i="4"/>
  <c r="N144" i="3"/>
  <c r="N132" i="3"/>
  <c r="AA19" i="104"/>
  <c r="L19" i="103"/>
  <c r="E29" i="103"/>
  <c r="I29" i="104"/>
  <c r="K29" i="104" s="1"/>
  <c r="I29" i="74"/>
  <c r="S32" i="75" s="1"/>
  <c r="AH34" i="104"/>
  <c r="AJ34" i="104" s="1"/>
  <c r="Q34" i="103"/>
  <c r="AC34" i="74"/>
  <c r="AF37" i="4" s="1"/>
  <c r="AH37" i="4" s="1"/>
  <c r="S38" i="103"/>
  <c r="AK38" i="104"/>
  <c r="AN38" i="104" s="1"/>
  <c r="AE38" i="74"/>
  <c r="AI41" i="4" s="1"/>
  <c r="AL41" i="4" s="1"/>
  <c r="W43" i="104"/>
  <c r="X43" i="104" s="1"/>
  <c r="T43" i="104" s="1"/>
  <c r="J53" i="85"/>
  <c r="Q46" i="4" s="1"/>
  <c r="R46" i="4" s="1"/>
  <c r="X46" i="4" s="1"/>
  <c r="AK65" i="104"/>
  <c r="AN65" i="104" s="1"/>
  <c r="AE65" i="74"/>
  <c r="AI68" i="4" s="1"/>
  <c r="AL68" i="4" s="1"/>
  <c r="S65" i="103"/>
  <c r="N74" i="103"/>
  <c r="AD74" i="104"/>
  <c r="Z74" i="74"/>
  <c r="AB77" i="4" s="1"/>
  <c r="E88" i="104"/>
  <c r="B88" i="103"/>
  <c r="F88" i="74"/>
  <c r="T109" i="103"/>
  <c r="AL109" i="104"/>
  <c r="L122" i="103"/>
  <c r="AA122" i="104"/>
  <c r="AG147" i="74"/>
  <c r="AK150" i="4" s="1"/>
  <c r="U147" i="103"/>
  <c r="AM147" i="104"/>
  <c r="B22" i="103"/>
  <c r="E22" i="104"/>
  <c r="F22" i="74"/>
  <c r="AK68" i="104"/>
  <c r="AN68" i="104" s="1"/>
  <c r="AE68" i="74"/>
  <c r="AI71" i="4" s="1"/>
  <c r="AL71" i="4" s="1"/>
  <c r="S68" i="103"/>
  <c r="W107" i="104"/>
  <c r="X107" i="104" s="1"/>
  <c r="T107" i="104" s="1"/>
  <c r="I141" i="74"/>
  <c r="E141" i="103"/>
  <c r="I141" i="104"/>
  <c r="K141" i="104" s="1"/>
  <c r="L141" i="104" s="1"/>
  <c r="D141" i="104" s="1"/>
  <c r="AI14" i="104"/>
  <c r="AJ14" i="104" s="1"/>
  <c r="R14" i="103"/>
  <c r="AD14" i="74"/>
  <c r="AG17" i="4" s="1"/>
  <c r="AH17" i="4" s="1"/>
  <c r="AA19" i="74"/>
  <c r="AC22" i="4" s="1"/>
  <c r="O19" i="103"/>
  <c r="AE19" i="104"/>
  <c r="AA23" i="104"/>
  <c r="L23" i="103"/>
  <c r="G29" i="103"/>
  <c r="N29" i="104"/>
  <c r="Q29" i="74"/>
  <c r="F32" i="3" s="1"/>
  <c r="C34" i="97"/>
  <c r="C35" i="4"/>
  <c r="C35" i="75"/>
  <c r="C35" i="3"/>
  <c r="L34" i="103"/>
  <c r="AA34" i="104"/>
  <c r="O50" i="85"/>
  <c r="K42" i="75" s="1"/>
  <c r="L42" i="75" s="1"/>
  <c r="M42" i="75" s="1"/>
  <c r="N42" i="75" s="1"/>
  <c r="AK41" i="104"/>
  <c r="S41" i="103"/>
  <c r="AE41" i="74"/>
  <c r="AI44" i="4" s="1"/>
  <c r="AL44" i="4" s="1"/>
  <c r="J45" i="104"/>
  <c r="K45" i="104" s="1"/>
  <c r="L45" i="104" s="1"/>
  <c r="F45" i="103"/>
  <c r="L45" i="74"/>
  <c r="F53" i="104"/>
  <c r="G53" i="104" s="1"/>
  <c r="D53" i="104" s="1"/>
  <c r="C53" i="103"/>
  <c r="G53" i="74"/>
  <c r="L56" i="3" s="1"/>
  <c r="C63" i="97"/>
  <c r="C64" i="4"/>
  <c r="C64" i="75"/>
  <c r="C64" i="3"/>
  <c r="O89" i="85"/>
  <c r="K72" i="75" s="1"/>
  <c r="L72" i="75" s="1"/>
  <c r="M72" i="75" s="1"/>
  <c r="AL73" i="104"/>
  <c r="T73" i="103"/>
  <c r="AF73" i="74"/>
  <c r="AJ76" i="4" s="1"/>
  <c r="N80" i="104"/>
  <c r="G80" i="103"/>
  <c r="Q80" i="74"/>
  <c r="F83" i="3" s="1"/>
  <c r="L83" i="3" s="1"/>
  <c r="AL83" i="104"/>
  <c r="AN83" i="104" s="1"/>
  <c r="T83" i="103"/>
  <c r="AF83" i="74"/>
  <c r="AJ86" i="4" s="1"/>
  <c r="AL86" i="4" s="1"/>
  <c r="C94" i="97"/>
  <c r="C95" i="4"/>
  <c r="C95" i="75"/>
  <c r="C95" i="3"/>
  <c r="M98" i="103"/>
  <c r="AC98" i="104"/>
  <c r="M109" i="103"/>
  <c r="AC109" i="104"/>
  <c r="AG109" i="104" s="1"/>
  <c r="F113" i="103"/>
  <c r="J113" i="104"/>
  <c r="K113" i="104" s="1"/>
  <c r="H121" i="104"/>
  <c r="D121" i="103"/>
  <c r="AG146" i="74"/>
  <c r="AK149" i="4" s="1"/>
  <c r="AL149" i="4" s="1"/>
  <c r="U146" i="103"/>
  <c r="AM146" i="104"/>
  <c r="AN146" i="104" s="1"/>
  <c r="R13" i="103"/>
  <c r="AI13" i="104"/>
  <c r="AJ13" i="104" s="1"/>
  <c r="AD13" i="74"/>
  <c r="AG16" i="4" s="1"/>
  <c r="AH16" i="4" s="1"/>
  <c r="P19" i="103"/>
  <c r="AB19" i="74"/>
  <c r="AD22" i="4" s="1"/>
  <c r="AF19" i="104"/>
  <c r="M23" i="103"/>
  <c r="AC23" i="104"/>
  <c r="AG23" i="104" s="1"/>
  <c r="Y23" i="74"/>
  <c r="AA26" i="4" s="1"/>
  <c r="U29" i="103"/>
  <c r="AM29" i="104"/>
  <c r="AG29" i="74"/>
  <c r="AK32" i="4" s="1"/>
  <c r="D33" i="103"/>
  <c r="H33" i="104"/>
  <c r="H33" i="74"/>
  <c r="S35" i="103"/>
  <c r="AK35" i="104"/>
  <c r="AN35" i="104" s="1"/>
  <c r="AE35" i="74"/>
  <c r="AI38" i="4" s="1"/>
  <c r="S42" i="4"/>
  <c r="U42" i="4"/>
  <c r="V42" i="4"/>
  <c r="T42" i="4"/>
  <c r="J42" i="4"/>
  <c r="L42" i="4"/>
  <c r="G42" i="4"/>
  <c r="M42" i="4"/>
  <c r="I42" i="4"/>
  <c r="P42" i="4"/>
  <c r="F42" i="4"/>
  <c r="AH42" i="104"/>
  <c r="Q42" i="103"/>
  <c r="AC42" i="74"/>
  <c r="AF45" i="4" s="1"/>
  <c r="O57" i="85"/>
  <c r="K49" i="75" s="1"/>
  <c r="L49" i="75" s="1"/>
  <c r="M49" i="75" s="1"/>
  <c r="N49" i="75" s="1"/>
  <c r="AD54" i="104"/>
  <c r="N54" i="103"/>
  <c r="Z54" i="74"/>
  <c r="AB57" i="4" s="1"/>
  <c r="L62" i="103"/>
  <c r="AA62" i="104"/>
  <c r="S66" i="103"/>
  <c r="AK66" i="104"/>
  <c r="AN66" i="104" s="1"/>
  <c r="AE66" i="74"/>
  <c r="AI69" i="4" s="1"/>
  <c r="AL69" i="4" s="1"/>
  <c r="E74" i="104"/>
  <c r="B74" i="103"/>
  <c r="F74" i="74"/>
  <c r="R78" i="104"/>
  <c r="K78" i="103"/>
  <c r="U78" i="74"/>
  <c r="J81" i="3" s="1"/>
  <c r="P81" i="3" s="1"/>
  <c r="I88" i="104"/>
  <c r="E88" i="103"/>
  <c r="I88" i="74"/>
  <c r="S91" i="75" s="1"/>
  <c r="AC92" i="104"/>
  <c r="M92" i="103"/>
  <c r="Y92" i="74"/>
  <c r="AA95" i="4" s="1"/>
  <c r="AE95" i="4" s="1"/>
  <c r="K111" i="103"/>
  <c r="R111" i="104"/>
  <c r="U116" i="103"/>
  <c r="AM116" i="104"/>
  <c r="AN116" i="104" s="1"/>
  <c r="AH122" i="104"/>
  <c r="AJ122" i="104" s="1"/>
  <c r="AB122" i="104" s="1"/>
  <c r="Q122" i="103"/>
  <c r="Y137" i="74"/>
  <c r="AA140" i="4" s="1"/>
  <c r="M137" i="103"/>
  <c r="AC137" i="104"/>
  <c r="AG137" i="104" s="1"/>
  <c r="R145" i="74"/>
  <c r="G148" i="3" s="1"/>
  <c r="M148" i="3" s="1"/>
  <c r="H145" i="103"/>
  <c r="O145" i="104"/>
  <c r="M145" i="104" s="1"/>
  <c r="AC3" i="104"/>
  <c r="AG3" i="104" s="1"/>
  <c r="AB3" i="104" s="1"/>
  <c r="Z3" i="104" s="1"/>
  <c r="S3" i="104" s="1"/>
  <c r="B3" i="104" s="1"/>
  <c r="F3" i="99" s="1"/>
  <c r="C3" i="99" s="1"/>
  <c r="M3" i="103"/>
  <c r="V3" i="103" s="1"/>
  <c r="G3" i="99" s="1"/>
  <c r="D3" i="99" s="1"/>
  <c r="Y3" i="74"/>
  <c r="AA6" i="4" s="1"/>
  <c r="H24" i="103"/>
  <c r="O24" i="104"/>
  <c r="R24" i="74"/>
  <c r="G27" i="3" s="1"/>
  <c r="AI32" i="104"/>
  <c r="R32" i="103"/>
  <c r="AD32" i="74"/>
  <c r="AG35" i="4" s="1"/>
  <c r="AF36" i="104"/>
  <c r="P36" i="103"/>
  <c r="AB36" i="74"/>
  <c r="AD39" i="4" s="1"/>
  <c r="G43" i="103"/>
  <c r="N43" i="104"/>
  <c r="Q43" i="74"/>
  <c r="F46" i="3" s="1"/>
  <c r="C50" i="103"/>
  <c r="F50" i="104"/>
  <c r="G50" i="74"/>
  <c r="AC61" i="104"/>
  <c r="M61" i="103"/>
  <c r="Y61" i="74"/>
  <c r="AA64" i="4" s="1"/>
  <c r="M73" i="103"/>
  <c r="AC73" i="104"/>
  <c r="AG73" i="104" s="1"/>
  <c r="Y73" i="74"/>
  <c r="AA76" i="4" s="1"/>
  <c r="AE76" i="4" s="1"/>
  <c r="AH77" i="104"/>
  <c r="Q77" i="103"/>
  <c r="AC77" i="74"/>
  <c r="AF80" i="4" s="1"/>
  <c r="AH80" i="4" s="1"/>
  <c r="R91" i="103"/>
  <c r="AI91" i="104"/>
  <c r="AJ91" i="104" s="1"/>
  <c r="AD91" i="74"/>
  <c r="AG94" i="4" s="1"/>
  <c r="AH94" i="4" s="1"/>
  <c r="P107" i="103"/>
  <c r="AF107" i="104"/>
  <c r="H118" i="103"/>
  <c r="O118" i="104"/>
  <c r="AE131" i="74"/>
  <c r="AI134" i="4" s="1"/>
  <c r="AL134" i="4" s="1"/>
  <c r="AK131" i="104"/>
  <c r="AN131" i="104" s="1"/>
  <c r="S131" i="103"/>
  <c r="G13" i="103"/>
  <c r="V13" i="103" s="1"/>
  <c r="G13" i="99" s="1"/>
  <c r="D13" i="99" s="1"/>
  <c r="N13" i="104"/>
  <c r="Q13" i="74"/>
  <c r="F16" i="3" s="1"/>
  <c r="L16" i="3" s="1"/>
  <c r="AI19" i="104"/>
  <c r="AD19" i="74"/>
  <c r="AG22" i="4" s="1"/>
  <c r="R19" i="103"/>
  <c r="J36" i="104"/>
  <c r="F36" i="103"/>
  <c r="L36" i="74"/>
  <c r="O43" i="104"/>
  <c r="H43" i="103"/>
  <c r="R43" i="74"/>
  <c r="G46" i="3" s="1"/>
  <c r="AM50" i="104"/>
  <c r="U50" i="103"/>
  <c r="AG50" i="74"/>
  <c r="AK53" i="4" s="1"/>
  <c r="AE61" i="104"/>
  <c r="O61" i="103"/>
  <c r="AA61" i="74"/>
  <c r="AC64" i="4" s="1"/>
  <c r="E81" i="104"/>
  <c r="B81" i="103"/>
  <c r="F81" i="74"/>
  <c r="AE92" i="104"/>
  <c r="O92" i="103"/>
  <c r="AF110" i="104"/>
  <c r="P110" i="103"/>
  <c r="I130" i="74"/>
  <c r="S133" i="75" s="1"/>
  <c r="V133" i="75" s="1"/>
  <c r="AA133" i="75" s="1"/>
  <c r="AB133" i="75" s="1"/>
  <c r="E130" i="103"/>
  <c r="V130" i="103" s="1"/>
  <c r="G130" i="99" s="1"/>
  <c r="D130" i="99" s="1"/>
  <c r="I130" i="104"/>
  <c r="K130" i="104" s="1"/>
  <c r="L130" i="104" s="1"/>
  <c r="D130" i="104" s="1"/>
  <c r="B130" i="104" s="1"/>
  <c r="F130" i="99" s="1"/>
  <c r="C130" i="99" s="1"/>
  <c r="T142" i="74"/>
  <c r="I145" i="3" s="1"/>
  <c r="O145" i="3" s="1"/>
  <c r="J142" i="103"/>
  <c r="Q142" i="104"/>
  <c r="AE145" i="74"/>
  <c r="AI148" i="4" s="1"/>
  <c r="AL148" i="4" s="1"/>
  <c r="S145" i="103"/>
  <c r="AK145" i="104"/>
  <c r="AN145" i="104" s="1"/>
  <c r="AB145" i="104" s="1"/>
  <c r="Z145" i="104" s="1"/>
  <c r="S145" i="104" s="1"/>
  <c r="O6" i="85"/>
  <c r="O16" i="104"/>
  <c r="H16" i="103"/>
  <c r="R16" i="74"/>
  <c r="G19" i="3" s="1"/>
  <c r="L21" i="103"/>
  <c r="AA21" i="104"/>
  <c r="K24" i="103"/>
  <c r="R24" i="104"/>
  <c r="D29" i="103"/>
  <c r="H29" i="104"/>
  <c r="H29" i="74"/>
  <c r="U31" i="103"/>
  <c r="AM31" i="104"/>
  <c r="AG31" i="74"/>
  <c r="AK34" i="4" s="1"/>
  <c r="P34" i="103"/>
  <c r="AF34" i="104"/>
  <c r="AB34" i="74"/>
  <c r="AD37" i="4" s="1"/>
  <c r="C38" i="103"/>
  <c r="F38" i="104"/>
  <c r="G38" i="74"/>
  <c r="AD41" i="104"/>
  <c r="AG41" i="104" s="1"/>
  <c r="N41" i="103"/>
  <c r="Z41" i="74"/>
  <c r="AB44" i="4" s="1"/>
  <c r="AE44" i="4" s="1"/>
  <c r="Q45" i="104"/>
  <c r="J45" i="103"/>
  <c r="Q49" i="103"/>
  <c r="AH49" i="104"/>
  <c r="AJ49" i="104" s="1"/>
  <c r="AC49" i="74"/>
  <c r="AF52" i="4" s="1"/>
  <c r="AH52" i="4" s="1"/>
  <c r="C60" i="103"/>
  <c r="F60" i="104"/>
  <c r="G60" i="74"/>
  <c r="O87" i="85"/>
  <c r="P68" i="103"/>
  <c r="AF68" i="104"/>
  <c r="AB68" i="74"/>
  <c r="AD71" i="4" s="1"/>
  <c r="F76" i="104"/>
  <c r="C76" i="103"/>
  <c r="G76" i="74"/>
  <c r="D80" i="103"/>
  <c r="H80" i="104"/>
  <c r="L80" i="104" s="1"/>
  <c r="H80" i="74"/>
  <c r="O119" i="85"/>
  <c r="K92" i="75" s="1"/>
  <c r="L92" i="75" s="1"/>
  <c r="M92" i="75" s="1"/>
  <c r="N92" i="75" s="1"/>
  <c r="M91" i="97" s="1"/>
  <c r="AF92" i="104"/>
  <c r="P92" i="103"/>
  <c r="R107" i="104"/>
  <c r="K107" i="103"/>
  <c r="K118" i="103"/>
  <c r="R118" i="104"/>
  <c r="H123" i="103"/>
  <c r="O123" i="104"/>
  <c r="M43" i="4"/>
  <c r="S43" i="4"/>
  <c r="T43" i="4"/>
  <c r="I43" i="4"/>
  <c r="P43" i="4"/>
  <c r="L43" i="4"/>
  <c r="F43" i="4"/>
  <c r="G43" i="4"/>
  <c r="J43" i="4"/>
  <c r="V43" i="4"/>
  <c r="U43" i="4"/>
  <c r="Q43" i="4"/>
  <c r="K129" i="75"/>
  <c r="L129" i="75" s="1"/>
  <c r="M129" i="75" s="1"/>
  <c r="G129" i="75"/>
  <c r="H129" i="75" s="1"/>
  <c r="I129" i="75" s="1"/>
  <c r="S136" i="75"/>
  <c r="T136" i="75"/>
  <c r="U136" i="75" s="1"/>
  <c r="K88" i="75"/>
  <c r="L88" i="75" s="1"/>
  <c r="M88" i="75" s="1"/>
  <c r="N88" i="75" s="1"/>
  <c r="M87" i="97" s="1"/>
  <c r="K87" i="75"/>
  <c r="L87" i="75" s="1"/>
  <c r="M87" i="75" s="1"/>
  <c r="N87" i="75" s="1"/>
  <c r="K89" i="75"/>
  <c r="L89" i="75" s="1"/>
  <c r="M89" i="75" s="1"/>
  <c r="W143" i="75"/>
  <c r="X143" i="75"/>
  <c r="Y143" i="75" s="1"/>
  <c r="K30" i="75"/>
  <c r="L30" i="75" s="1"/>
  <c r="M30" i="75" s="1"/>
  <c r="N30" i="75" s="1"/>
  <c r="M29" i="97" s="1"/>
  <c r="L29" i="97" s="1"/>
  <c r="K33" i="75"/>
  <c r="L33" i="75" s="1"/>
  <c r="M33" i="75" s="1"/>
  <c r="N33" i="75" s="1"/>
  <c r="S128" i="4"/>
  <c r="J128" i="4"/>
  <c r="U128" i="4"/>
  <c r="F128" i="4"/>
  <c r="P128" i="4"/>
  <c r="L128" i="4"/>
  <c r="G128" i="4"/>
  <c r="I128" i="4"/>
  <c r="V128" i="4"/>
  <c r="T128" i="4"/>
  <c r="M128" i="4"/>
  <c r="R153" i="74"/>
  <c r="O153" i="104"/>
  <c r="M153" i="104" s="1"/>
  <c r="I105" i="4"/>
  <c r="M105" i="4"/>
  <c r="S105" i="4"/>
  <c r="L105" i="4"/>
  <c r="T105" i="4"/>
  <c r="F105" i="4"/>
  <c r="U105" i="4"/>
  <c r="Q105" i="4"/>
  <c r="C169" i="104"/>
  <c r="S169" i="104"/>
  <c r="B169" i="104" s="1"/>
  <c r="G74" i="75"/>
  <c r="H74" i="75" s="1"/>
  <c r="I74" i="75" s="1"/>
  <c r="K74" i="75"/>
  <c r="L74" i="75" s="1"/>
  <c r="M74" i="75" s="1"/>
  <c r="G82" i="75"/>
  <c r="H82" i="75" s="1"/>
  <c r="I82" i="75" s="1"/>
  <c r="K82" i="75"/>
  <c r="L82" i="75" s="1"/>
  <c r="M82" i="75" s="1"/>
  <c r="S162" i="104"/>
  <c r="B162" i="104" s="1"/>
  <c r="C162" i="104"/>
  <c r="L35" i="4"/>
  <c r="M35" i="4"/>
  <c r="T35" i="4"/>
  <c r="J35" i="4"/>
  <c r="G35" i="4"/>
  <c r="S35" i="4"/>
  <c r="V35" i="4"/>
  <c r="U35" i="4"/>
  <c r="P35" i="4"/>
  <c r="I35" i="4"/>
  <c r="Q35" i="4"/>
  <c r="F35" i="4"/>
  <c r="G124" i="4"/>
  <c r="F150" i="74"/>
  <c r="E150" i="104"/>
  <c r="U120" i="97"/>
  <c r="L131" i="4"/>
  <c r="J131" i="4"/>
  <c r="T131" i="4"/>
  <c r="S131" i="4"/>
  <c r="G131" i="4"/>
  <c r="F131" i="4"/>
  <c r="U131" i="4"/>
  <c r="V131" i="4"/>
  <c r="P131" i="4"/>
  <c r="R131" i="4" s="1"/>
  <c r="I131" i="4"/>
  <c r="K131" i="4" s="1"/>
  <c r="M131" i="4"/>
  <c r="I68" i="4"/>
  <c r="J68" i="4"/>
  <c r="P68" i="4"/>
  <c r="R68" i="4" s="1"/>
  <c r="T68" i="4"/>
  <c r="M68" i="4"/>
  <c r="G68" i="4"/>
  <c r="S68" i="4"/>
  <c r="U68" i="4"/>
  <c r="V68" i="4"/>
  <c r="F68" i="4"/>
  <c r="L68" i="4"/>
  <c r="U78" i="97"/>
  <c r="F140" i="4"/>
  <c r="S197" i="104"/>
  <c r="B197" i="104" s="1"/>
  <c r="C197" i="104"/>
  <c r="G133" i="75"/>
  <c r="H133" i="75" s="1"/>
  <c r="I133" i="75" s="1"/>
  <c r="K133" i="75"/>
  <c r="L133" i="75" s="1"/>
  <c r="M133" i="75" s="1"/>
  <c r="C220" i="104"/>
  <c r="S220" i="104"/>
  <c r="B220" i="104" s="1"/>
  <c r="R14" i="4"/>
  <c r="X14" i="4" s="1"/>
  <c r="R12" i="107" s="1"/>
  <c r="J105" i="4"/>
  <c r="C203" i="104"/>
  <c r="G117" i="104"/>
  <c r="F81" i="4"/>
  <c r="H81" i="4" s="1"/>
  <c r="L52" i="3"/>
  <c r="P16" i="3"/>
  <c r="P135" i="3"/>
  <c r="N32" i="3"/>
  <c r="R14" i="3"/>
  <c r="Q13" i="97"/>
  <c r="N37" i="3"/>
  <c r="O126" i="3"/>
  <c r="Q127" i="4"/>
  <c r="P18" i="3"/>
  <c r="P30" i="3"/>
  <c r="O57" i="3"/>
  <c r="O132" i="3"/>
  <c r="O128" i="3"/>
  <c r="N138" i="3"/>
  <c r="Q138" i="3" s="1"/>
  <c r="K138" i="3"/>
  <c r="O112" i="3"/>
  <c r="AM121" i="4"/>
  <c r="T131" i="97"/>
  <c r="S19" i="97"/>
  <c r="T105" i="97"/>
  <c r="T55" i="97"/>
  <c r="AM125" i="4"/>
  <c r="N54" i="97"/>
  <c r="T123" i="97"/>
  <c r="I127" i="99"/>
  <c r="J114" i="107" s="1"/>
  <c r="AM127" i="4"/>
  <c r="AN127" i="4" s="1"/>
  <c r="T135" i="97"/>
  <c r="T121" i="97"/>
  <c r="C129" i="104"/>
  <c r="H129" i="99" s="1"/>
  <c r="E129" i="99" s="1"/>
  <c r="J98" i="75"/>
  <c r="O98" i="3"/>
  <c r="K98" i="75"/>
  <c r="L98" i="75" s="1"/>
  <c r="P98" i="75"/>
  <c r="Q98" i="75" s="1"/>
  <c r="R98" i="75" s="1"/>
  <c r="J104" i="75"/>
  <c r="M104" i="3"/>
  <c r="K104" i="75"/>
  <c r="L104" i="75" s="1"/>
  <c r="P104" i="75"/>
  <c r="Q104" i="75" s="1"/>
  <c r="R104" i="75" s="1"/>
  <c r="AB104" i="75" s="1"/>
  <c r="F97" i="75"/>
  <c r="G97" i="75"/>
  <c r="H97" i="75" s="1"/>
  <c r="W98" i="75"/>
  <c r="X98" i="75"/>
  <c r="Y98" i="75" s="1"/>
  <c r="T53" i="102"/>
  <c r="T13" i="97"/>
  <c r="F110" i="75"/>
  <c r="G110" i="75"/>
  <c r="H110" i="75" s="1"/>
  <c r="Y121" i="4"/>
  <c r="Z121" i="4" s="1"/>
  <c r="V118" i="74"/>
  <c r="X113" i="75"/>
  <c r="Y113" i="75" s="1"/>
  <c r="W113" i="75"/>
  <c r="W123" i="75"/>
  <c r="X123" i="75"/>
  <c r="Y123" i="75" s="1"/>
  <c r="Y115" i="4"/>
  <c r="Z115" i="4" s="1"/>
  <c r="V112" i="74"/>
  <c r="AE112" i="4"/>
  <c r="AM112" i="4" s="1"/>
  <c r="AN112" i="4" s="1"/>
  <c r="Y118" i="4"/>
  <c r="Z118" i="4" s="1"/>
  <c r="V115" i="74"/>
  <c r="S118" i="74"/>
  <c r="H121" i="3" s="1"/>
  <c r="Q110" i="4"/>
  <c r="R110" i="4" s="1"/>
  <c r="X110" i="4" s="1"/>
  <c r="Q111" i="4"/>
  <c r="R111" i="4" s="1"/>
  <c r="X111" i="4" s="1"/>
  <c r="W127" i="75"/>
  <c r="X127" i="75"/>
  <c r="Y127" i="75" s="1"/>
  <c r="P114" i="75"/>
  <c r="Q114" i="75" s="1"/>
  <c r="O114" i="75"/>
  <c r="T114" i="75"/>
  <c r="U114" i="75" s="1"/>
  <c r="V114" i="75" s="1"/>
  <c r="O108" i="75"/>
  <c r="P108" i="75"/>
  <c r="Q108" i="75" s="1"/>
  <c r="T108" i="75"/>
  <c r="U108" i="75" s="1"/>
  <c r="V108" i="75" s="1"/>
  <c r="P134" i="75"/>
  <c r="Q134" i="75" s="1"/>
  <c r="R134" i="75" s="1"/>
  <c r="J134" i="75"/>
  <c r="K134" i="75"/>
  <c r="L134" i="75" s="1"/>
  <c r="M116" i="3"/>
  <c r="S110" i="74"/>
  <c r="H113" i="3" s="1"/>
  <c r="AL107" i="4"/>
  <c r="P48" i="97"/>
  <c r="S93" i="74"/>
  <c r="H96" i="3" s="1"/>
  <c r="AL101" i="4"/>
  <c r="AL102" i="4"/>
  <c r="O101" i="75"/>
  <c r="T101" i="75"/>
  <c r="U101" i="75" s="1"/>
  <c r="V101" i="75" s="1"/>
  <c r="P101" i="75"/>
  <c r="Q101" i="75" s="1"/>
  <c r="T92" i="74"/>
  <c r="I95" i="3" s="1"/>
  <c r="P99" i="3"/>
  <c r="F101" i="75"/>
  <c r="G101" i="75"/>
  <c r="H101" i="75" s="1"/>
  <c r="Y103" i="4"/>
  <c r="Z103" i="4" s="1"/>
  <c r="V100" i="74"/>
  <c r="X97" i="75"/>
  <c r="Y97" i="75" s="1"/>
  <c r="W97" i="75"/>
  <c r="S103" i="75"/>
  <c r="T103" i="75"/>
  <c r="U103" i="75" s="1"/>
  <c r="T97" i="75"/>
  <c r="U97" i="75" s="1"/>
  <c r="V97" i="75" s="1"/>
  <c r="O97" i="75"/>
  <c r="P97" i="75"/>
  <c r="Q97" i="75" s="1"/>
  <c r="T23" i="102"/>
  <c r="T114" i="74"/>
  <c r="I117" i="3" s="1"/>
  <c r="W107" i="75"/>
  <c r="X107" i="75"/>
  <c r="Y107" i="75" s="1"/>
  <c r="J123" i="75"/>
  <c r="K123" i="75"/>
  <c r="L123" i="75" s="1"/>
  <c r="Y117" i="4"/>
  <c r="Z117" i="4" s="1"/>
  <c r="V114" i="74"/>
  <c r="S109" i="74"/>
  <c r="H112" i="3" s="1"/>
  <c r="Y110" i="4"/>
  <c r="Z110" i="4" s="1"/>
  <c r="V107" i="74"/>
  <c r="AL123" i="4"/>
  <c r="AL117" i="4"/>
  <c r="AM117" i="4" s="1"/>
  <c r="AE107" i="4"/>
  <c r="S125" i="75"/>
  <c r="Y119" i="4"/>
  <c r="Z119" i="4" s="1"/>
  <c r="V116" i="74"/>
  <c r="Y125" i="4"/>
  <c r="Z125" i="4" s="1"/>
  <c r="V122" i="74"/>
  <c r="S113" i="74"/>
  <c r="H116" i="3" s="1"/>
  <c r="F107" i="75"/>
  <c r="G107" i="75"/>
  <c r="H107" i="75" s="1"/>
  <c r="S95" i="104"/>
  <c r="C95" i="104"/>
  <c r="H95" i="99" s="1"/>
  <c r="E95" i="99" s="1"/>
  <c r="P15" i="3"/>
  <c r="S31" i="97"/>
  <c r="X125" i="4"/>
  <c r="S124" i="97" s="1"/>
  <c r="N124" i="3"/>
  <c r="K124" i="3"/>
  <c r="Z121" i="75"/>
  <c r="AA121" i="75" s="1"/>
  <c r="AB121" i="75" s="1"/>
  <c r="S136" i="104"/>
  <c r="C136" i="104"/>
  <c r="H136" i="99" s="1"/>
  <c r="E136" i="99" s="1"/>
  <c r="AE104" i="4"/>
  <c r="T109" i="75"/>
  <c r="U109" i="75" s="1"/>
  <c r="V109" i="75" s="1"/>
  <c r="P109" i="75"/>
  <c r="Q109" i="75" s="1"/>
  <c r="O109" i="75"/>
  <c r="W102" i="75"/>
  <c r="X102" i="75"/>
  <c r="Y102" i="75" s="1"/>
  <c r="T103" i="74"/>
  <c r="I106" i="3" s="1"/>
  <c r="F100" i="75"/>
  <c r="G100" i="75"/>
  <c r="H100" i="75" s="1"/>
  <c r="W93" i="75"/>
  <c r="X93" i="75"/>
  <c r="Y93" i="75" s="1"/>
  <c r="P103" i="3"/>
  <c r="S98" i="75"/>
  <c r="T98" i="75"/>
  <c r="U98" i="75" s="1"/>
  <c r="M101" i="3"/>
  <c r="AE109" i="4"/>
  <c r="S96" i="75"/>
  <c r="T96" i="75"/>
  <c r="U96" i="75" s="1"/>
  <c r="T88" i="107"/>
  <c r="T55" i="102"/>
  <c r="AE126" i="4"/>
  <c r="AM126" i="4" s="1"/>
  <c r="Y109" i="4"/>
  <c r="Z109" i="4" s="1"/>
  <c r="V106" i="74"/>
  <c r="F116" i="75"/>
  <c r="G116" i="75"/>
  <c r="H116" i="75" s="1"/>
  <c r="P111" i="75"/>
  <c r="Q111" i="75" s="1"/>
  <c r="O111" i="75"/>
  <c r="T111" i="75"/>
  <c r="U111" i="75" s="1"/>
  <c r="V111" i="75" s="1"/>
  <c r="X111" i="75"/>
  <c r="Y111" i="75" s="1"/>
  <c r="Z111" i="75" s="1"/>
  <c r="F125" i="75"/>
  <c r="G125" i="75"/>
  <c r="H125" i="75" s="1"/>
  <c r="O116" i="75"/>
  <c r="T116" i="75"/>
  <c r="U116" i="75" s="1"/>
  <c r="V116" i="75" s="1"/>
  <c r="P116" i="75"/>
  <c r="Q116" i="75" s="1"/>
  <c r="AE114" i="4"/>
  <c r="O113" i="75"/>
  <c r="T113" i="75"/>
  <c r="U113" i="75" s="1"/>
  <c r="V113" i="75" s="1"/>
  <c r="P113" i="75"/>
  <c r="Q113" i="75" s="1"/>
  <c r="O107" i="3"/>
  <c r="M125" i="3"/>
  <c r="S112" i="74"/>
  <c r="H115" i="3" s="1"/>
  <c r="S153" i="104"/>
  <c r="S99" i="97"/>
  <c r="L101" i="3"/>
  <c r="S95" i="97"/>
  <c r="W95" i="75"/>
  <c r="X95" i="75"/>
  <c r="Y95" i="75" s="1"/>
  <c r="O100" i="75"/>
  <c r="P100" i="75"/>
  <c r="Q100" i="75" s="1"/>
  <c r="T100" i="75"/>
  <c r="U100" i="75" s="1"/>
  <c r="V100" i="75" s="1"/>
  <c r="J102" i="75"/>
  <c r="P102" i="75"/>
  <c r="Q102" i="75" s="1"/>
  <c r="R102" i="75" s="1"/>
  <c r="K102" i="75"/>
  <c r="L102" i="75" s="1"/>
  <c r="L102" i="3"/>
  <c r="T68" i="107"/>
  <c r="T40" i="102"/>
  <c r="J125" i="75"/>
  <c r="K125" i="75"/>
  <c r="L125" i="75" s="1"/>
  <c r="AE120" i="4"/>
  <c r="P115" i="75"/>
  <c r="Q115" i="75" s="1"/>
  <c r="T115" i="75"/>
  <c r="U115" i="75" s="1"/>
  <c r="V115" i="75" s="1"/>
  <c r="O115" i="75"/>
  <c r="X115" i="75"/>
  <c r="Y115" i="75" s="1"/>
  <c r="Z115" i="75" s="1"/>
  <c r="W109" i="75"/>
  <c r="X109" i="75"/>
  <c r="Y109" i="75" s="1"/>
  <c r="O120" i="75"/>
  <c r="P120" i="75"/>
  <c r="Q120" i="75" s="1"/>
  <c r="T120" i="75"/>
  <c r="U120" i="75" s="1"/>
  <c r="V120" i="75" s="1"/>
  <c r="AE110" i="4"/>
  <c r="AM110" i="4" s="1"/>
  <c r="S131" i="74"/>
  <c r="H134" i="3" s="1"/>
  <c r="Q114" i="4"/>
  <c r="R114" i="4" s="1"/>
  <c r="X114" i="4" s="1"/>
  <c r="R56" i="102" s="1"/>
  <c r="Q116" i="4"/>
  <c r="R116" i="4" s="1"/>
  <c r="X116" i="4" s="1"/>
  <c r="S115" i="97" s="1"/>
  <c r="Q115" i="4"/>
  <c r="R115" i="4" s="1"/>
  <c r="T115" i="74"/>
  <c r="I118" i="3" s="1"/>
  <c r="F109" i="75"/>
  <c r="G109" i="75"/>
  <c r="H109" i="75" s="1"/>
  <c r="AE115" i="4"/>
  <c r="AM115" i="4" s="1"/>
  <c r="S107" i="74"/>
  <c r="H110" i="3" s="1"/>
  <c r="T84" i="107"/>
  <c r="N39" i="97"/>
  <c r="S103" i="97"/>
  <c r="P55" i="97"/>
  <c r="X107" i="4"/>
  <c r="M86" i="97"/>
  <c r="S133" i="97"/>
  <c r="M102" i="3"/>
  <c r="P131" i="97"/>
  <c r="P141" i="97"/>
  <c r="P125" i="97"/>
  <c r="O123" i="3"/>
  <c r="P121" i="97"/>
  <c r="P134" i="97"/>
  <c r="S107" i="75"/>
  <c r="T107" i="75"/>
  <c r="U107" i="75" s="1"/>
  <c r="S97" i="74"/>
  <c r="H100" i="3" s="1"/>
  <c r="S105" i="74"/>
  <c r="H108" i="3" s="1"/>
  <c r="X101" i="75"/>
  <c r="Y101" i="75" s="1"/>
  <c r="W101" i="75"/>
  <c r="AL104" i="4"/>
  <c r="J94" i="75"/>
  <c r="K94" i="75"/>
  <c r="L94" i="75" s="1"/>
  <c r="P94" i="75"/>
  <c r="Q94" i="75" s="1"/>
  <c r="R94" i="75" s="1"/>
  <c r="S99" i="74"/>
  <c r="H102" i="3" s="1"/>
  <c r="G95" i="75"/>
  <c r="H95" i="75" s="1"/>
  <c r="F95" i="75"/>
  <c r="F104" i="75"/>
  <c r="G104" i="75"/>
  <c r="H104" i="75" s="1"/>
  <c r="J100" i="75"/>
  <c r="K100" i="75"/>
  <c r="L100" i="75" s="1"/>
  <c r="AM108" i="4"/>
  <c r="AE108" i="4"/>
  <c r="T50" i="107"/>
  <c r="T117" i="74"/>
  <c r="I120" i="3" s="1"/>
  <c r="S111" i="74"/>
  <c r="H114" i="3" s="1"/>
  <c r="J109" i="75"/>
  <c r="O109" i="3"/>
  <c r="K109" i="75"/>
  <c r="L109" i="75" s="1"/>
  <c r="Y126" i="4"/>
  <c r="Z126" i="4" s="1"/>
  <c r="V123" i="74"/>
  <c r="AL114" i="4"/>
  <c r="S122" i="74"/>
  <c r="H125" i="3" s="1"/>
  <c r="AH116" i="4"/>
  <c r="AE113" i="4"/>
  <c r="J108" i="75"/>
  <c r="K108" i="75"/>
  <c r="L108" i="75" s="1"/>
  <c r="AL120" i="4"/>
  <c r="K136" i="75"/>
  <c r="L136" i="75" s="1"/>
  <c r="M136" i="75" s="1"/>
  <c r="K137" i="75"/>
  <c r="L137" i="75" s="1"/>
  <c r="M137" i="75" s="1"/>
  <c r="K135" i="75"/>
  <c r="L135" i="75" s="1"/>
  <c r="M135" i="75" s="1"/>
  <c r="N135" i="75" s="1"/>
  <c r="F123" i="75"/>
  <c r="G123" i="75"/>
  <c r="H123" i="75" s="1"/>
  <c r="T51" i="107"/>
  <c r="T54" i="102"/>
  <c r="M94" i="3"/>
  <c r="T127" i="97"/>
  <c r="P135" i="97"/>
  <c r="M139" i="97"/>
  <c r="S106" i="74"/>
  <c r="H109" i="3" s="1"/>
  <c r="AL100" i="4"/>
  <c r="J99" i="75"/>
  <c r="K99" i="75"/>
  <c r="L99" i="75" s="1"/>
  <c r="P99" i="75"/>
  <c r="Q99" i="75" s="1"/>
  <c r="R99" i="75" s="1"/>
  <c r="AB99" i="75" s="1"/>
  <c r="S98" i="74"/>
  <c r="H101" i="3" s="1"/>
  <c r="P104" i="3"/>
  <c r="S101" i="74"/>
  <c r="H104" i="3" s="1"/>
  <c r="W138" i="75"/>
  <c r="X138" i="75"/>
  <c r="Y138" i="75" s="1"/>
  <c r="AE101" i="4"/>
  <c r="AL99" i="4"/>
  <c r="F105" i="75"/>
  <c r="G105" i="75"/>
  <c r="H105" i="75" s="1"/>
  <c r="AH100" i="4"/>
  <c r="O124" i="75"/>
  <c r="T124" i="75"/>
  <c r="U124" i="75" s="1"/>
  <c r="V124" i="75" s="1"/>
  <c r="X124" i="75"/>
  <c r="Y124" i="75" s="1"/>
  <c r="Z124" i="75" s="1"/>
  <c r="P124" i="75"/>
  <c r="Q124" i="75" s="1"/>
  <c r="G118" i="75"/>
  <c r="H118" i="75" s="1"/>
  <c r="F118" i="75"/>
  <c r="J114" i="75"/>
  <c r="K114" i="75"/>
  <c r="L114" i="75" s="1"/>
  <c r="J107" i="75"/>
  <c r="K107" i="75"/>
  <c r="L107" i="75" s="1"/>
  <c r="P107" i="75"/>
  <c r="Q107" i="75" s="1"/>
  <c r="R107" i="75" s="1"/>
  <c r="W119" i="75"/>
  <c r="X119" i="75"/>
  <c r="Y119" i="75" s="1"/>
  <c r="F114" i="75"/>
  <c r="G114" i="75"/>
  <c r="H114" i="75" s="1"/>
  <c r="X129" i="75"/>
  <c r="Y129" i="75" s="1"/>
  <c r="W129" i="75"/>
  <c r="X108" i="75"/>
  <c r="Y108" i="75" s="1"/>
  <c r="W108" i="75"/>
  <c r="Y120" i="4"/>
  <c r="Z120" i="4" s="1"/>
  <c r="V117" i="74"/>
  <c r="AE116" i="4"/>
  <c r="J113" i="75"/>
  <c r="K113" i="75"/>
  <c r="L113" i="75" s="1"/>
  <c r="K115" i="75"/>
  <c r="L115" i="75" s="1"/>
  <c r="J115" i="75"/>
  <c r="O123" i="75"/>
  <c r="T123" i="75"/>
  <c r="U123" i="75" s="1"/>
  <c r="V123" i="75" s="1"/>
  <c r="P123" i="75"/>
  <c r="Q123" i="75" s="1"/>
  <c r="Y114" i="4"/>
  <c r="Z114" i="4" s="1"/>
  <c r="V111" i="74"/>
  <c r="AL139" i="4"/>
  <c r="AM139" i="4" s="1"/>
  <c r="AN139" i="4" s="1"/>
  <c r="O94" i="3"/>
  <c r="P49" i="97"/>
  <c r="L99" i="3"/>
  <c r="L115" i="3"/>
  <c r="T48" i="97"/>
  <c r="P127" i="97"/>
  <c r="I85" i="99"/>
  <c r="J76" i="107" s="1"/>
  <c r="C139" i="104"/>
  <c r="H139" i="99" s="1"/>
  <c r="E139" i="99" s="1"/>
  <c r="S139" i="104"/>
  <c r="P123" i="3"/>
  <c r="Y101" i="4"/>
  <c r="Z101" i="4" s="1"/>
  <c r="V98" i="74"/>
  <c r="S102" i="75"/>
  <c r="T102" i="75"/>
  <c r="U102" i="75" s="1"/>
  <c r="J103" i="75"/>
  <c r="P103" i="75"/>
  <c r="Q103" i="75" s="1"/>
  <c r="R103" i="75" s="1"/>
  <c r="M103" i="3"/>
  <c r="K103" i="75"/>
  <c r="L103" i="75" s="1"/>
  <c r="Y104" i="4"/>
  <c r="Z104" i="4" s="1"/>
  <c r="V101" i="74"/>
  <c r="Y107" i="4"/>
  <c r="Z107" i="4" s="1"/>
  <c r="V104" i="74"/>
  <c r="J101" i="75"/>
  <c r="K101" i="75"/>
  <c r="L101" i="75" s="1"/>
  <c r="S100" i="74"/>
  <c r="H103" i="3" s="1"/>
  <c r="T96" i="74"/>
  <c r="I99" i="3" s="1"/>
  <c r="AE100" i="4"/>
  <c r="P100" i="3"/>
  <c r="AE123" i="4"/>
  <c r="L125" i="3"/>
  <c r="S116" i="74"/>
  <c r="H119" i="3" s="1"/>
  <c r="G124" i="75"/>
  <c r="H124" i="75" s="1"/>
  <c r="F124" i="75"/>
  <c r="X116" i="75"/>
  <c r="Y116" i="75" s="1"/>
  <c r="W116" i="75"/>
  <c r="F120" i="75"/>
  <c r="G120" i="75"/>
  <c r="H120" i="75" s="1"/>
  <c r="AL109" i="4"/>
  <c r="O126" i="75"/>
  <c r="T126" i="75"/>
  <c r="U126" i="75" s="1"/>
  <c r="V126" i="75" s="1"/>
  <c r="AA126" i="75" s="1"/>
  <c r="P126" i="75"/>
  <c r="Q126" i="75" s="1"/>
  <c r="S120" i="74"/>
  <c r="H123" i="3" s="1"/>
  <c r="S134" i="74"/>
  <c r="H137" i="3" s="1"/>
  <c r="W117" i="75"/>
  <c r="X117" i="75"/>
  <c r="Y117" i="75" s="1"/>
  <c r="O10" i="97"/>
  <c r="S10" i="97"/>
  <c r="R10" i="97" s="1"/>
  <c r="S94" i="97"/>
  <c r="M46" i="97"/>
  <c r="M99" i="3"/>
  <c r="P54" i="97"/>
  <c r="S119" i="97"/>
  <c r="X120" i="75"/>
  <c r="Y120" i="75" s="1"/>
  <c r="Z120" i="75" s="1"/>
  <c r="S46" i="104"/>
  <c r="B46" i="104" s="1"/>
  <c r="F46" i="99" s="1"/>
  <c r="C46" i="99" s="1"/>
  <c r="C46" i="104"/>
  <c r="H46" i="99" s="1"/>
  <c r="E46" i="99" s="1"/>
  <c r="L104" i="3"/>
  <c r="Z135" i="75"/>
  <c r="W106" i="75"/>
  <c r="X106" i="75"/>
  <c r="Y106" i="75" s="1"/>
  <c r="AE102" i="4"/>
  <c r="AE103" i="4"/>
  <c r="AM103" i="4" s="1"/>
  <c r="W103" i="75"/>
  <c r="X103" i="75"/>
  <c r="Y103" i="75" s="1"/>
  <c r="S94" i="74"/>
  <c r="H97" i="3" s="1"/>
  <c r="P102" i="3"/>
  <c r="W96" i="75"/>
  <c r="X96" i="75"/>
  <c r="Y96" i="75" s="1"/>
  <c r="J105" i="75"/>
  <c r="K105" i="75"/>
  <c r="L105" i="75" s="1"/>
  <c r="P105" i="75"/>
  <c r="Q105" i="75" s="1"/>
  <c r="R105" i="75" s="1"/>
  <c r="AB105" i="75" s="1"/>
  <c r="M91" i="107" s="1"/>
  <c r="M105" i="3"/>
  <c r="P105" i="3"/>
  <c r="O105" i="3"/>
  <c r="W92" i="75"/>
  <c r="X92" i="75"/>
  <c r="Y92" i="75" s="1"/>
  <c r="Y102" i="4"/>
  <c r="Z102" i="4" s="1"/>
  <c r="V99" i="74"/>
  <c r="J106" i="75"/>
  <c r="K106" i="75"/>
  <c r="L106" i="75" s="1"/>
  <c r="L106" i="3"/>
  <c r="M106" i="3"/>
  <c r="P106" i="75"/>
  <c r="Q106" i="75" s="1"/>
  <c r="R106" i="75" s="1"/>
  <c r="X100" i="75"/>
  <c r="Y100" i="75" s="1"/>
  <c r="W100" i="75"/>
  <c r="O104" i="3"/>
  <c r="AE99" i="4"/>
  <c r="T73" i="102"/>
  <c r="T80" i="107"/>
  <c r="K111" i="75"/>
  <c r="L111" i="75" s="1"/>
  <c r="M111" i="75" s="1"/>
  <c r="N111" i="75" s="1"/>
  <c r="K110" i="75"/>
  <c r="L110" i="75" s="1"/>
  <c r="M110" i="75" s="1"/>
  <c r="Y113" i="4"/>
  <c r="Z113" i="4" s="1"/>
  <c r="V110" i="74"/>
  <c r="F113" i="75"/>
  <c r="G113" i="75"/>
  <c r="H113" i="75" s="1"/>
  <c r="S142" i="75"/>
  <c r="T142" i="75"/>
  <c r="U142" i="75" s="1"/>
  <c r="Y123" i="4"/>
  <c r="Z123" i="4" s="1"/>
  <c r="V120" i="74"/>
  <c r="J116" i="75"/>
  <c r="K116" i="75"/>
  <c r="L116" i="75" s="1"/>
  <c r="M111" i="97"/>
  <c r="Y108" i="4"/>
  <c r="Z108" i="4" s="1"/>
  <c r="V105" i="74"/>
  <c r="Y116" i="4"/>
  <c r="Z116" i="4" s="1"/>
  <c r="V113" i="74"/>
  <c r="P113" i="3"/>
  <c r="F108" i="75"/>
  <c r="G108" i="75"/>
  <c r="H108" i="75" s="1"/>
  <c r="N9" i="97"/>
  <c r="L103" i="3"/>
  <c r="N10" i="97"/>
  <c r="O21" i="4"/>
  <c r="M113" i="3"/>
  <c r="V50" i="75"/>
  <c r="AA50" i="75" s="1"/>
  <c r="X94" i="4"/>
  <c r="M5" i="97"/>
  <c r="O125" i="3"/>
  <c r="M144" i="97"/>
  <c r="Z132" i="75"/>
  <c r="AA132" i="75" s="1"/>
  <c r="AB132" i="75" s="1"/>
  <c r="P130" i="97"/>
  <c r="AM119" i="4"/>
  <c r="V128" i="75"/>
  <c r="AA128" i="75" s="1"/>
  <c r="AB128" i="75" s="1"/>
  <c r="C53" i="104"/>
  <c r="H53" i="99" s="1"/>
  <c r="E53" i="99" s="1"/>
  <c r="T53" i="107"/>
  <c r="T101" i="107"/>
  <c r="T48" i="107"/>
  <c r="T24" i="107"/>
  <c r="T43" i="107"/>
  <c r="T87" i="107"/>
  <c r="T128" i="107"/>
  <c r="T16" i="102"/>
  <c r="S104" i="74"/>
  <c r="H107" i="3" s="1"/>
  <c r="T76" i="107"/>
  <c r="T110" i="107"/>
  <c r="T69" i="107"/>
  <c r="T108" i="107"/>
  <c r="P91" i="107" l="1"/>
  <c r="P97" i="107"/>
  <c r="O55" i="107"/>
  <c r="O91" i="107"/>
  <c r="O114" i="107"/>
  <c r="N114" i="107"/>
  <c r="H114" i="107" s="1"/>
  <c r="P114" i="107"/>
  <c r="O97" i="107"/>
  <c r="P55" i="107"/>
  <c r="N97" i="107"/>
  <c r="H97" i="107" s="1"/>
  <c r="N55" i="107"/>
  <c r="H55" i="107" s="1"/>
  <c r="O63" i="102"/>
  <c r="O27" i="102"/>
  <c r="O78" i="107"/>
  <c r="O130" i="107"/>
  <c r="N91" i="107"/>
  <c r="H91" i="107" s="1"/>
  <c r="O12" i="107"/>
  <c r="O48" i="107"/>
  <c r="O42" i="107"/>
  <c r="O116" i="107"/>
  <c r="O64" i="102"/>
  <c r="O59" i="102"/>
  <c r="P9" i="107"/>
  <c r="P12" i="107"/>
  <c r="O43" i="107"/>
  <c r="N9" i="107"/>
  <c r="H9" i="107" s="1"/>
  <c r="O45" i="102"/>
  <c r="O8" i="102"/>
  <c r="O61" i="102"/>
  <c r="O49" i="107"/>
  <c r="P8" i="102"/>
  <c r="O113" i="107"/>
  <c r="O31" i="102"/>
  <c r="O26" i="102"/>
  <c r="O35" i="107"/>
  <c r="N51" i="107"/>
  <c r="P45" i="102"/>
  <c r="O62" i="102"/>
  <c r="O46" i="102"/>
  <c r="O111" i="107"/>
  <c r="O51" i="107"/>
  <c r="P46" i="102"/>
  <c r="O30" i="102"/>
  <c r="P78" i="107"/>
  <c r="O9" i="107"/>
  <c r="O81" i="107"/>
  <c r="P51" i="107"/>
  <c r="N46" i="102"/>
  <c r="H46" i="102" s="1"/>
  <c r="O107" i="107"/>
  <c r="L74" i="104"/>
  <c r="L60" i="3"/>
  <c r="O60" i="3"/>
  <c r="R28" i="102"/>
  <c r="R48" i="102"/>
  <c r="M114" i="3"/>
  <c r="L97" i="107"/>
  <c r="L118" i="107"/>
  <c r="L121" i="107"/>
  <c r="P50" i="3"/>
  <c r="O50" i="3"/>
  <c r="M50" i="3"/>
  <c r="N50" i="3"/>
  <c r="R93" i="107"/>
  <c r="S98" i="107"/>
  <c r="B153" i="104"/>
  <c r="R39" i="107"/>
  <c r="S55" i="107"/>
  <c r="S91" i="107"/>
  <c r="S65" i="102"/>
  <c r="S117" i="107"/>
  <c r="S114" i="107"/>
  <c r="S30" i="102"/>
  <c r="S54" i="107"/>
  <c r="S70" i="102"/>
  <c r="S45" i="102"/>
  <c r="S11" i="107"/>
  <c r="S9" i="107"/>
  <c r="S128" i="107"/>
  <c r="S16" i="102"/>
  <c r="R82" i="107"/>
  <c r="S50" i="102"/>
  <c r="S116" i="107"/>
  <c r="S78" i="107"/>
  <c r="S6" i="107"/>
  <c r="S26" i="102"/>
  <c r="S97" i="107"/>
  <c r="S51" i="107"/>
  <c r="S8" i="102"/>
  <c r="S77" i="107"/>
  <c r="S64" i="102"/>
  <c r="S42" i="107"/>
  <c r="S85" i="107"/>
  <c r="S6" i="102"/>
  <c r="S120" i="107"/>
  <c r="S121" i="107"/>
  <c r="S76" i="107"/>
  <c r="Q76" i="107" s="1"/>
  <c r="S8" i="107"/>
  <c r="S123" i="107"/>
  <c r="S12" i="107"/>
  <c r="S48" i="107"/>
  <c r="S46" i="102"/>
  <c r="AN98" i="104"/>
  <c r="Q28" i="4"/>
  <c r="R28" i="4" s="1"/>
  <c r="X28" i="4" s="1"/>
  <c r="Q27" i="4"/>
  <c r="S20" i="102"/>
  <c r="M123" i="107"/>
  <c r="M51" i="102"/>
  <c r="M106" i="107"/>
  <c r="C84" i="107"/>
  <c r="Q41" i="4"/>
  <c r="Q42" i="4"/>
  <c r="R48" i="107"/>
  <c r="Q48" i="107" s="1"/>
  <c r="P114" i="3"/>
  <c r="S67" i="102"/>
  <c r="O114" i="3"/>
  <c r="AL33" i="4"/>
  <c r="O82" i="3"/>
  <c r="S81" i="107"/>
  <c r="M20" i="102"/>
  <c r="L50" i="3"/>
  <c r="L147" i="3"/>
  <c r="N147" i="3"/>
  <c r="R38" i="107"/>
  <c r="N47" i="3"/>
  <c r="M30" i="102"/>
  <c r="O118" i="107"/>
  <c r="L123" i="107"/>
  <c r="L127" i="107"/>
  <c r="R26" i="107"/>
  <c r="C153" i="104"/>
  <c r="O109" i="107"/>
  <c r="L45" i="102"/>
  <c r="G76" i="104"/>
  <c r="O41" i="3"/>
  <c r="M19" i="3"/>
  <c r="AE57" i="4"/>
  <c r="AM57" i="4" s="1"/>
  <c r="V121" i="103"/>
  <c r="G121" i="99" s="1"/>
  <c r="D121" i="99" s="1"/>
  <c r="L95" i="3"/>
  <c r="N61" i="3"/>
  <c r="G143" i="75"/>
  <c r="H143" i="75" s="1"/>
  <c r="I143" i="75" s="1"/>
  <c r="AG117" i="104"/>
  <c r="L91" i="3"/>
  <c r="AG31" i="104"/>
  <c r="M75" i="3"/>
  <c r="V83" i="103"/>
  <c r="G83" i="99" s="1"/>
  <c r="D83" i="99" s="1"/>
  <c r="L69" i="3"/>
  <c r="AJ31" i="104"/>
  <c r="R128" i="107"/>
  <c r="V14" i="103"/>
  <c r="G14" i="99" s="1"/>
  <c r="D14" i="99" s="1"/>
  <c r="AH21" i="4"/>
  <c r="AG141" i="104"/>
  <c r="K31" i="104"/>
  <c r="L31" i="104" s="1"/>
  <c r="AJ12" i="104"/>
  <c r="AH76" i="4"/>
  <c r="AJ16" i="104"/>
  <c r="AB16" i="104" s="1"/>
  <c r="Z16" i="104" s="1"/>
  <c r="S16" i="104" s="1"/>
  <c r="V115" i="103"/>
  <c r="G115" i="99" s="1"/>
  <c r="D115" i="99" s="1"/>
  <c r="K144" i="104"/>
  <c r="L144" i="104" s="1"/>
  <c r="AM145" i="4"/>
  <c r="AN145" i="4" s="1"/>
  <c r="D18" i="104"/>
  <c r="L49" i="104"/>
  <c r="AH64" i="4"/>
  <c r="P57" i="3"/>
  <c r="AG32" i="104"/>
  <c r="N49" i="3"/>
  <c r="K89" i="104"/>
  <c r="L89" i="104" s="1"/>
  <c r="D89" i="104" s="1"/>
  <c r="L19" i="3"/>
  <c r="M29" i="3"/>
  <c r="V132" i="103"/>
  <c r="G132" i="99" s="1"/>
  <c r="D132" i="99" s="1"/>
  <c r="G75" i="75"/>
  <c r="H75" i="75" s="1"/>
  <c r="I75" i="75" s="1"/>
  <c r="P8" i="107"/>
  <c r="R46" i="102"/>
  <c r="P76" i="107"/>
  <c r="AE143" i="4"/>
  <c r="AM143" i="4" s="1"/>
  <c r="AN143" i="4" s="1"/>
  <c r="K29" i="75"/>
  <c r="L29" i="75" s="1"/>
  <c r="P54" i="107"/>
  <c r="O119" i="107"/>
  <c r="M9" i="107"/>
  <c r="K82" i="104"/>
  <c r="L82" i="104" s="1"/>
  <c r="D82" i="104" s="1"/>
  <c r="D136" i="104"/>
  <c r="B136" i="104" s="1"/>
  <c r="F136" i="99" s="1"/>
  <c r="C136" i="99" s="1"/>
  <c r="B136" i="99" s="1"/>
  <c r="G11" i="104"/>
  <c r="K8" i="4"/>
  <c r="L29" i="3"/>
  <c r="AH33" i="4"/>
  <c r="G94" i="104"/>
  <c r="W18" i="4"/>
  <c r="P78" i="3"/>
  <c r="R86" i="107"/>
  <c r="R66" i="102"/>
  <c r="AM113" i="4"/>
  <c r="R97" i="107"/>
  <c r="Q97" i="107" s="1"/>
  <c r="M46" i="3"/>
  <c r="AJ77" i="104"/>
  <c r="AG54" i="104"/>
  <c r="L113" i="104"/>
  <c r="AL76" i="4"/>
  <c r="AN41" i="104"/>
  <c r="L32" i="3"/>
  <c r="AM17" i="4"/>
  <c r="M78" i="3"/>
  <c r="M71" i="3"/>
  <c r="N24" i="3"/>
  <c r="L49" i="3"/>
  <c r="P75" i="3"/>
  <c r="AN99" i="104"/>
  <c r="G73" i="75"/>
  <c r="H73" i="75" s="1"/>
  <c r="I73" i="75" s="1"/>
  <c r="AJ18" i="104"/>
  <c r="AM144" i="4"/>
  <c r="AN144" i="4" s="1"/>
  <c r="M151" i="75"/>
  <c r="N151" i="75" s="1"/>
  <c r="N73" i="4"/>
  <c r="M15" i="3"/>
  <c r="AE29" i="4"/>
  <c r="AM29" i="4" s="1"/>
  <c r="AH91" i="4"/>
  <c r="V117" i="103"/>
  <c r="G117" i="99" s="1"/>
  <c r="D117" i="99" s="1"/>
  <c r="L119" i="3"/>
  <c r="AN96" i="104"/>
  <c r="AB96" i="104" s="1"/>
  <c r="Z96" i="104" s="1"/>
  <c r="U127" i="4"/>
  <c r="AJ30" i="104"/>
  <c r="K54" i="104"/>
  <c r="L54" i="104" s="1"/>
  <c r="L46" i="102"/>
  <c r="AB126" i="104"/>
  <c r="M76" i="107"/>
  <c r="AH75" i="4"/>
  <c r="AJ82" i="104"/>
  <c r="K6" i="104"/>
  <c r="L6" i="104" s="1"/>
  <c r="D6" i="104" s="1"/>
  <c r="B6" i="104" s="1"/>
  <c r="F6" i="99" s="1"/>
  <c r="C6" i="99" s="1"/>
  <c r="AH74" i="4"/>
  <c r="L71" i="104"/>
  <c r="D71" i="104" s="1"/>
  <c r="G151" i="104"/>
  <c r="AN133" i="104"/>
  <c r="D84" i="104"/>
  <c r="B84" i="104" s="1"/>
  <c r="F84" i="99" s="1"/>
  <c r="C84" i="99" s="1"/>
  <c r="R96" i="107"/>
  <c r="AB13" i="104"/>
  <c r="Z13" i="104" s="1"/>
  <c r="S13" i="104" s="1"/>
  <c r="AJ111" i="104"/>
  <c r="L37" i="3"/>
  <c r="AM50" i="4"/>
  <c r="AN50" i="4" s="1"/>
  <c r="AG65" i="104"/>
  <c r="S109" i="107"/>
  <c r="R15" i="102"/>
  <c r="R76" i="107"/>
  <c r="R83" i="107"/>
  <c r="R50" i="4"/>
  <c r="L17" i="107"/>
  <c r="L80" i="3"/>
  <c r="M51" i="107"/>
  <c r="R32" i="102"/>
  <c r="S92" i="107"/>
  <c r="S15" i="107"/>
  <c r="O115" i="107"/>
  <c r="L122" i="107"/>
  <c r="L40" i="107"/>
  <c r="L98" i="107"/>
  <c r="M13" i="107"/>
  <c r="R105" i="107"/>
  <c r="P11" i="107"/>
  <c r="R9" i="107"/>
  <c r="Q9" i="107" s="1"/>
  <c r="K139" i="104"/>
  <c r="L139" i="104" s="1"/>
  <c r="L10" i="102"/>
  <c r="AN118" i="4"/>
  <c r="S103" i="107" s="1"/>
  <c r="S112" i="107"/>
  <c r="P121" i="107"/>
  <c r="R105" i="4"/>
  <c r="R128" i="4"/>
  <c r="AM148" i="4"/>
  <c r="AN148" i="4" s="1"/>
  <c r="AB137" i="104"/>
  <c r="Z137" i="104" s="1"/>
  <c r="S137" i="104" s="1"/>
  <c r="P64" i="3"/>
  <c r="V141" i="103"/>
  <c r="G141" i="99" s="1"/>
  <c r="D141" i="99" s="1"/>
  <c r="O15" i="3"/>
  <c r="O135" i="3"/>
  <c r="AN12" i="104"/>
  <c r="AH34" i="4"/>
  <c r="AL80" i="4"/>
  <c r="K33" i="104"/>
  <c r="AL43" i="4"/>
  <c r="AN117" i="104"/>
  <c r="AB55" i="104"/>
  <c r="Z55" i="104" s="1"/>
  <c r="S55" i="104" s="1"/>
  <c r="AN22" i="104"/>
  <c r="G33" i="104"/>
  <c r="AN81" i="104"/>
  <c r="AB37" i="104"/>
  <c r="Z37" i="104" s="1"/>
  <c r="S37" i="104" s="1"/>
  <c r="B37" i="104" s="1"/>
  <c r="F37" i="99" s="1"/>
  <c r="C37" i="99" s="1"/>
  <c r="AE35" i="4"/>
  <c r="B84" i="99"/>
  <c r="S119" i="107"/>
  <c r="R60" i="102"/>
  <c r="M46" i="102"/>
  <c r="K46" i="102" s="1"/>
  <c r="R8" i="107"/>
  <c r="Q8" i="107" s="1"/>
  <c r="T151" i="97"/>
  <c r="R151" i="97" s="1"/>
  <c r="L67" i="102"/>
  <c r="AB133" i="104"/>
  <c r="Z133" i="104" s="1"/>
  <c r="S133" i="104" s="1"/>
  <c r="M48" i="97"/>
  <c r="L42" i="107"/>
  <c r="L26" i="102"/>
  <c r="S82" i="97"/>
  <c r="R72" i="107"/>
  <c r="R42" i="102"/>
  <c r="M130" i="97"/>
  <c r="L115" i="107"/>
  <c r="P117" i="107"/>
  <c r="P65" i="102"/>
  <c r="P12" i="97"/>
  <c r="O11" i="107"/>
  <c r="M125" i="97"/>
  <c r="L111" i="107"/>
  <c r="L61" i="102"/>
  <c r="R88" i="107"/>
  <c r="M90" i="107"/>
  <c r="M52" i="102"/>
  <c r="N48" i="97"/>
  <c r="M42" i="107"/>
  <c r="K42" i="107" s="1"/>
  <c r="M26" i="102"/>
  <c r="S138" i="97"/>
  <c r="R67" i="102"/>
  <c r="Q67" i="102" s="1"/>
  <c r="N89" i="97"/>
  <c r="M78" i="107"/>
  <c r="M120" i="97"/>
  <c r="L106" i="107"/>
  <c r="P61" i="97"/>
  <c r="O54" i="107"/>
  <c r="S113" i="107"/>
  <c r="S62" i="102"/>
  <c r="N150" i="97"/>
  <c r="M133" i="107"/>
  <c r="R90" i="107"/>
  <c r="R52" i="102"/>
  <c r="R30" i="4"/>
  <c r="L24" i="102"/>
  <c r="R50" i="107"/>
  <c r="O13" i="97"/>
  <c r="I13" i="97" s="1"/>
  <c r="N8" i="102"/>
  <c r="N117" i="97"/>
  <c r="M103" i="107"/>
  <c r="L107" i="107"/>
  <c r="L59" i="102"/>
  <c r="M15" i="97"/>
  <c r="L13" i="107"/>
  <c r="K13" i="107" s="1"/>
  <c r="L5" i="102"/>
  <c r="L5" i="107"/>
  <c r="S140" i="97"/>
  <c r="R140" i="97" s="1"/>
  <c r="R123" i="107"/>
  <c r="Q123" i="107" s="1"/>
  <c r="S47" i="97"/>
  <c r="R41" i="107"/>
  <c r="R25" i="102"/>
  <c r="S102" i="97"/>
  <c r="R89" i="107"/>
  <c r="S137" i="97"/>
  <c r="R137" i="97" s="1"/>
  <c r="R121" i="107"/>
  <c r="Q121" i="107" s="1"/>
  <c r="S11" i="97"/>
  <c r="R7" i="102"/>
  <c r="R10" i="107"/>
  <c r="S107" i="107"/>
  <c r="S59" i="102"/>
  <c r="O86" i="97"/>
  <c r="I86" i="97" s="1"/>
  <c r="N45" i="102"/>
  <c r="H45" i="102" s="1"/>
  <c r="H50" i="4"/>
  <c r="O16" i="102"/>
  <c r="R23" i="102"/>
  <c r="R101" i="107"/>
  <c r="M113" i="107"/>
  <c r="M62" i="102"/>
  <c r="S145" i="97"/>
  <c r="R145" i="97" s="1"/>
  <c r="R70" i="102"/>
  <c r="Q70" i="102" s="1"/>
  <c r="T142" i="97"/>
  <c r="S125" i="107"/>
  <c r="S129" i="97"/>
  <c r="R129" i="97" s="1"/>
  <c r="R114" i="107"/>
  <c r="Q114" i="107" s="1"/>
  <c r="N41" i="97"/>
  <c r="M35" i="107"/>
  <c r="S46" i="97"/>
  <c r="R40" i="107"/>
  <c r="R17" i="107"/>
  <c r="R10" i="102"/>
  <c r="R24" i="102"/>
  <c r="R53" i="102"/>
  <c r="R87" i="107"/>
  <c r="S53" i="107"/>
  <c r="S13" i="97"/>
  <c r="R8" i="102"/>
  <c r="Q8" i="102" s="1"/>
  <c r="M32" i="97"/>
  <c r="L27" i="107"/>
  <c r="M117" i="107"/>
  <c r="M65" i="102"/>
  <c r="M41" i="97"/>
  <c r="L35" i="107"/>
  <c r="S135" i="97"/>
  <c r="R119" i="107"/>
  <c r="Q119" i="107" s="1"/>
  <c r="S27" i="97"/>
  <c r="R23" i="107"/>
  <c r="T143" i="97"/>
  <c r="S126" i="107"/>
  <c r="S69" i="102"/>
  <c r="M150" i="97"/>
  <c r="L133" i="107"/>
  <c r="P11" i="97"/>
  <c r="O7" i="102"/>
  <c r="O10" i="107"/>
  <c r="S125" i="97"/>
  <c r="R111" i="107"/>
  <c r="R61" i="102"/>
  <c r="M141" i="97"/>
  <c r="L124" i="107"/>
  <c r="L68" i="102"/>
  <c r="S49" i="107"/>
  <c r="S31" i="102"/>
  <c r="M54" i="97"/>
  <c r="L54" i="97" s="1"/>
  <c r="L30" i="102"/>
  <c r="K30" i="102" s="1"/>
  <c r="AH77" i="4"/>
  <c r="S107" i="97"/>
  <c r="R94" i="107"/>
  <c r="P149" i="97"/>
  <c r="O132" i="107"/>
  <c r="V122" i="75"/>
  <c r="AA122" i="75" s="1"/>
  <c r="AB122" i="75" s="1"/>
  <c r="S54" i="102"/>
  <c r="S43" i="107"/>
  <c r="R24" i="107"/>
  <c r="O76" i="107"/>
  <c r="O89" i="97"/>
  <c r="I89" i="97" s="1"/>
  <c r="N78" i="107"/>
  <c r="P7" i="102"/>
  <c r="P10" i="107"/>
  <c r="S50" i="97"/>
  <c r="R44" i="107"/>
  <c r="P9" i="97"/>
  <c r="O8" i="107"/>
  <c r="M89" i="97"/>
  <c r="L78" i="107"/>
  <c r="O124" i="107"/>
  <c r="O68" i="102"/>
  <c r="M48" i="107"/>
  <c r="K48" i="107" s="1"/>
  <c r="L80" i="107"/>
  <c r="N12" i="107"/>
  <c r="H12" i="107" s="1"/>
  <c r="P137" i="97"/>
  <c r="O121" i="107"/>
  <c r="M116" i="107"/>
  <c r="M64" i="102"/>
  <c r="T147" i="97"/>
  <c r="S130" i="107"/>
  <c r="S98" i="97"/>
  <c r="R51" i="102"/>
  <c r="T144" i="97"/>
  <c r="S127" i="107"/>
  <c r="S144" i="97"/>
  <c r="R127" i="107"/>
  <c r="R66" i="107"/>
  <c r="R39" i="102"/>
  <c r="S53" i="97"/>
  <c r="R47" i="107"/>
  <c r="R29" i="102"/>
  <c r="S62" i="97"/>
  <c r="R62" i="97" s="1"/>
  <c r="R55" i="107"/>
  <c r="Q55" i="107" s="1"/>
  <c r="S52" i="97"/>
  <c r="R46" i="107"/>
  <c r="S57" i="97"/>
  <c r="R33" i="102"/>
  <c r="S148" i="97"/>
  <c r="R131" i="107"/>
  <c r="R72" i="102"/>
  <c r="T11" i="97"/>
  <c r="S7" i="102"/>
  <c r="Q7" i="102" s="1"/>
  <c r="S10" i="107"/>
  <c r="Q10" i="107" s="1"/>
  <c r="M16" i="102"/>
  <c r="O73" i="102"/>
  <c r="L48" i="107"/>
  <c r="R51" i="107"/>
  <c r="Q51" i="107" s="1"/>
  <c r="L76" i="107"/>
  <c r="K76" i="107" s="1"/>
  <c r="K106" i="107"/>
  <c r="T150" i="97"/>
  <c r="S133" i="107"/>
  <c r="S89" i="97"/>
  <c r="R89" i="97" s="1"/>
  <c r="R78" i="107"/>
  <c r="Q78" i="107" s="1"/>
  <c r="S48" i="97"/>
  <c r="R48" i="97" s="1"/>
  <c r="R42" i="107"/>
  <c r="Q42" i="107" s="1"/>
  <c r="R26" i="102"/>
  <c r="Q26" i="102" s="1"/>
  <c r="S61" i="97"/>
  <c r="R61" i="97" s="1"/>
  <c r="R54" i="107"/>
  <c r="Q54" i="107" s="1"/>
  <c r="P132" i="97"/>
  <c r="O117" i="107"/>
  <c r="O65" i="102"/>
  <c r="T41" i="97"/>
  <c r="S35" i="107"/>
  <c r="S54" i="97"/>
  <c r="R54" i="97" s="1"/>
  <c r="R30" i="102"/>
  <c r="L54" i="102"/>
  <c r="L16" i="102"/>
  <c r="R110" i="107"/>
  <c r="R53" i="107"/>
  <c r="Q53" i="107" s="1"/>
  <c r="R108" i="107"/>
  <c r="Q128" i="107"/>
  <c r="Q12" i="107"/>
  <c r="H51" i="107"/>
  <c r="Q46" i="102"/>
  <c r="K16" i="102"/>
  <c r="V6" i="75"/>
  <c r="AA6" i="75" s="1"/>
  <c r="AB6" i="75" s="1"/>
  <c r="H8" i="4"/>
  <c r="AJ65" i="104"/>
  <c r="V90" i="103"/>
  <c r="G90" i="99" s="1"/>
  <c r="D90" i="99" s="1"/>
  <c r="AG77" i="104"/>
  <c r="AB77" i="104" s="1"/>
  <c r="Z77" i="104" s="1"/>
  <c r="S77" i="104" s="1"/>
  <c r="X52" i="4"/>
  <c r="AG67" i="104"/>
  <c r="K144" i="4"/>
  <c r="C68" i="107"/>
  <c r="W144" i="4"/>
  <c r="Y83" i="4"/>
  <c r="Z83" i="4" s="1"/>
  <c r="V80" i="74"/>
  <c r="P87" i="75"/>
  <c r="Q87" i="75" s="1"/>
  <c r="O87" i="75"/>
  <c r="T87" i="75"/>
  <c r="U87" i="75" s="1"/>
  <c r="V87" i="75" s="1"/>
  <c r="U54" i="97"/>
  <c r="I4" i="103"/>
  <c r="V4" i="103" s="1"/>
  <c r="G4" i="99" s="1"/>
  <c r="D4" i="99" s="1"/>
  <c r="Q135" i="3"/>
  <c r="P118" i="107" s="1"/>
  <c r="P80" i="104"/>
  <c r="G24" i="75"/>
  <c r="H24" i="75" s="1"/>
  <c r="I24" i="75" s="1"/>
  <c r="S4" i="74"/>
  <c r="H7" i="3" s="1"/>
  <c r="M80" i="104"/>
  <c r="L43" i="3"/>
  <c r="AE15" i="4"/>
  <c r="T127" i="4"/>
  <c r="C104" i="104"/>
  <c r="H104" i="99" s="1"/>
  <c r="E104" i="99" s="1"/>
  <c r="Y36" i="4"/>
  <c r="Z36" i="4" s="1"/>
  <c r="V33" i="74"/>
  <c r="P84" i="75"/>
  <c r="Q84" i="75" s="1"/>
  <c r="O84" i="75"/>
  <c r="T84" i="75"/>
  <c r="U84" i="75" s="1"/>
  <c r="V84" i="75" s="1"/>
  <c r="N39" i="3"/>
  <c r="P127" i="4"/>
  <c r="F127" i="4"/>
  <c r="K24" i="104"/>
  <c r="L24" i="104" s="1"/>
  <c r="J66" i="75"/>
  <c r="M66" i="75" s="1"/>
  <c r="N66" i="75" s="1"/>
  <c r="L57" i="107" s="1"/>
  <c r="P66" i="75"/>
  <c r="Q66" i="75" s="1"/>
  <c r="R66" i="75" s="1"/>
  <c r="W8" i="4"/>
  <c r="P34" i="104"/>
  <c r="M34" i="104" s="1"/>
  <c r="Q93" i="3"/>
  <c r="P81" i="107" s="1"/>
  <c r="S80" i="74"/>
  <c r="H83" i="3" s="1"/>
  <c r="K83" i="3" s="1"/>
  <c r="O74" i="75"/>
  <c r="T74" i="75"/>
  <c r="U74" i="75" s="1"/>
  <c r="V74" i="75" s="1"/>
  <c r="P74" i="75"/>
  <c r="Q74" i="75" s="1"/>
  <c r="Y97" i="4"/>
  <c r="Z97" i="4" s="1"/>
  <c r="V94" i="74"/>
  <c r="I74" i="103"/>
  <c r="U6" i="97"/>
  <c r="I134" i="103"/>
  <c r="V134" i="103" s="1"/>
  <c r="G134" i="99" s="1"/>
  <c r="D134" i="99" s="1"/>
  <c r="C53" i="102"/>
  <c r="S127" i="4"/>
  <c r="L120" i="104"/>
  <c r="F32" i="75"/>
  <c r="G32" i="75"/>
  <c r="H32" i="75" s="1"/>
  <c r="I80" i="103"/>
  <c r="V80" i="103" s="1"/>
  <c r="G80" i="99" s="1"/>
  <c r="D80" i="99" s="1"/>
  <c r="P74" i="104"/>
  <c r="M74" i="104" s="1"/>
  <c r="T72" i="74"/>
  <c r="I75" i="3" s="1"/>
  <c r="N8" i="4"/>
  <c r="O8" i="4" s="1"/>
  <c r="F37" i="75"/>
  <c r="G37" i="75"/>
  <c r="H37" i="75" s="1"/>
  <c r="I34" i="103"/>
  <c r="P134" i="104"/>
  <c r="M134" i="104" s="1"/>
  <c r="I127" i="4"/>
  <c r="AH23" i="4"/>
  <c r="K37" i="4"/>
  <c r="V63" i="74"/>
  <c r="Y66" i="4"/>
  <c r="Z66" i="4" s="1"/>
  <c r="Y77" i="4"/>
  <c r="Z77" i="4" s="1"/>
  <c r="V74" i="74"/>
  <c r="P4" i="104"/>
  <c r="C96" i="104"/>
  <c r="H96" i="99" s="1"/>
  <c r="E96" i="99" s="1"/>
  <c r="S96" i="104"/>
  <c r="B96" i="104" s="1"/>
  <c r="F96" i="99" s="1"/>
  <c r="C96" i="99" s="1"/>
  <c r="N5" i="97"/>
  <c r="R13" i="3"/>
  <c r="Q12" i="97"/>
  <c r="H144" i="4"/>
  <c r="F60" i="75"/>
  <c r="G60" i="75"/>
  <c r="H60" i="75" s="1"/>
  <c r="I89" i="103"/>
  <c r="V89" i="103" s="1"/>
  <c r="G89" i="99" s="1"/>
  <c r="D89" i="99" s="1"/>
  <c r="S61" i="75"/>
  <c r="T61" i="75"/>
  <c r="U61" i="75" s="1"/>
  <c r="P58" i="104"/>
  <c r="K151" i="104"/>
  <c r="L151" i="104" s="1"/>
  <c r="D151" i="104" s="1"/>
  <c r="K93" i="104"/>
  <c r="L93" i="104" s="1"/>
  <c r="D93" i="104" s="1"/>
  <c r="I71" i="103"/>
  <c r="V71" i="103" s="1"/>
  <c r="G71" i="99" s="1"/>
  <c r="D71" i="99" s="1"/>
  <c r="L33" i="3"/>
  <c r="W74" i="75"/>
  <c r="X74" i="75"/>
  <c r="Y74" i="75" s="1"/>
  <c r="G80" i="75"/>
  <c r="H80" i="75" s="1"/>
  <c r="I80" i="75" s="1"/>
  <c r="F80" i="75"/>
  <c r="O86" i="75"/>
  <c r="T86" i="75"/>
  <c r="U86" i="75" s="1"/>
  <c r="V86" i="75" s="1"/>
  <c r="W60" i="75"/>
  <c r="X60" i="75"/>
  <c r="Y60" i="75" s="1"/>
  <c r="AA130" i="75"/>
  <c r="AB130" i="75" s="1"/>
  <c r="M114" i="107" s="1"/>
  <c r="V139" i="103"/>
  <c r="G139" i="99" s="1"/>
  <c r="D139" i="99" s="1"/>
  <c r="U73" i="97"/>
  <c r="F7" i="75"/>
  <c r="G7" i="75"/>
  <c r="H7" i="75" s="1"/>
  <c r="V51" i="74"/>
  <c r="Y54" i="4"/>
  <c r="Z54" i="4" s="1"/>
  <c r="P86" i="104"/>
  <c r="K14" i="75"/>
  <c r="L14" i="75" s="1"/>
  <c r="M14" i="75" s="1"/>
  <c r="X114" i="75"/>
  <c r="Y114" i="75" s="1"/>
  <c r="Q126" i="3"/>
  <c r="M13" i="104"/>
  <c r="AJ42" i="104"/>
  <c r="AL38" i="4"/>
  <c r="AN73" i="104"/>
  <c r="AB73" i="104" s="1"/>
  <c r="Z73" i="104" s="1"/>
  <c r="S73" i="104" s="1"/>
  <c r="P146" i="3"/>
  <c r="V22" i="103"/>
  <c r="G22" i="99" s="1"/>
  <c r="D22" i="99" s="1"/>
  <c r="G36" i="104"/>
  <c r="AG76" i="104"/>
  <c r="AN97" i="104"/>
  <c r="AG35" i="104"/>
  <c r="Q36" i="4"/>
  <c r="AL91" i="4"/>
  <c r="G134" i="104"/>
  <c r="AB17" i="104"/>
  <c r="Z17" i="104" s="1"/>
  <c r="S17" i="104" s="1"/>
  <c r="AE58" i="4"/>
  <c r="AM58" i="4" s="1"/>
  <c r="P97" i="104"/>
  <c r="M97" i="104" s="1"/>
  <c r="AN151" i="104"/>
  <c r="AB151" i="104" s="1"/>
  <c r="Z151" i="104" s="1"/>
  <c r="F14" i="75"/>
  <c r="G14" i="75"/>
  <c r="H14" i="75" s="1"/>
  <c r="P151" i="104"/>
  <c r="M151" i="104" s="1"/>
  <c r="I93" i="103"/>
  <c r="V93" i="103" s="1"/>
  <c r="G93" i="99" s="1"/>
  <c r="D93" i="99" s="1"/>
  <c r="X87" i="75"/>
  <c r="Y87" i="75" s="1"/>
  <c r="Z87" i="75" s="1"/>
  <c r="W87" i="75"/>
  <c r="W7" i="75"/>
  <c r="X7" i="75"/>
  <c r="Y7" i="75" s="1"/>
  <c r="T153" i="97"/>
  <c r="V151" i="74"/>
  <c r="T16" i="74"/>
  <c r="I19" i="3" s="1"/>
  <c r="K19" i="3" s="1"/>
  <c r="U8" i="97"/>
  <c r="I147" i="103"/>
  <c r="V10" i="103"/>
  <c r="G10" i="99" s="1"/>
  <c r="D10" i="99" s="1"/>
  <c r="B10" i="99" s="1"/>
  <c r="I86" i="103"/>
  <c r="V86" i="103" s="1"/>
  <c r="G86" i="99" s="1"/>
  <c r="D86" i="99" s="1"/>
  <c r="B86" i="99" s="1"/>
  <c r="P71" i="104"/>
  <c r="M71" i="104" s="1"/>
  <c r="C50" i="107"/>
  <c r="V57" i="103"/>
  <c r="G57" i="99" s="1"/>
  <c r="D57" i="99" s="1"/>
  <c r="K19" i="104"/>
  <c r="L134" i="3"/>
  <c r="O116" i="3"/>
  <c r="N81" i="4"/>
  <c r="L73" i="104"/>
  <c r="M25" i="3"/>
  <c r="AN92" i="104"/>
  <c r="AG123" i="104"/>
  <c r="AB123" i="104" s="1"/>
  <c r="Z123" i="104" s="1"/>
  <c r="S123" i="104" s="1"/>
  <c r="AG94" i="104"/>
  <c r="AB94" i="104" s="1"/>
  <c r="Z94" i="104" s="1"/>
  <c r="AG106" i="104"/>
  <c r="W37" i="4"/>
  <c r="V5" i="103"/>
  <c r="G5" i="99" s="1"/>
  <c r="D5" i="99" s="1"/>
  <c r="H147" i="4"/>
  <c r="M58" i="104"/>
  <c r="V71" i="74"/>
  <c r="Y74" i="4"/>
  <c r="Z74" i="4" s="1"/>
  <c r="T29" i="74"/>
  <c r="I32" i="3" s="1"/>
  <c r="D139" i="104"/>
  <c r="B139" i="104" s="1"/>
  <c r="F139" i="99" s="1"/>
  <c r="C139" i="99" s="1"/>
  <c r="U13" i="97"/>
  <c r="I58" i="103"/>
  <c r="V58" i="103" s="1"/>
  <c r="G58" i="99" s="1"/>
  <c r="D58" i="99" s="1"/>
  <c r="AG71" i="104"/>
  <c r="AB71" i="104" s="1"/>
  <c r="Z71" i="104" s="1"/>
  <c r="S71" i="104" s="1"/>
  <c r="J54" i="75"/>
  <c r="M54" i="75" s="1"/>
  <c r="N54" i="75" s="1"/>
  <c r="P54" i="75"/>
  <c r="Q54" i="75" s="1"/>
  <c r="R54" i="75" s="1"/>
  <c r="O13" i="75"/>
  <c r="T13" i="75"/>
  <c r="U13" i="75" s="1"/>
  <c r="V13" i="75" s="1"/>
  <c r="P13" i="75"/>
  <c r="Q13" i="75" s="1"/>
  <c r="Q7" i="4"/>
  <c r="R7" i="4" s="1"/>
  <c r="X7" i="4" s="1"/>
  <c r="R6" i="107" s="1"/>
  <c r="Q6" i="107" s="1"/>
  <c r="Q8" i="4"/>
  <c r="R8" i="4" s="1"/>
  <c r="Q9" i="4"/>
  <c r="R9" i="4" s="1"/>
  <c r="AM96" i="4"/>
  <c r="AN96" i="4" s="1"/>
  <c r="U67" i="97"/>
  <c r="P93" i="104"/>
  <c r="M93" i="104" s="1"/>
  <c r="I76" i="103"/>
  <c r="P96" i="75"/>
  <c r="Q96" i="75" s="1"/>
  <c r="R96" i="75" s="1"/>
  <c r="J96" i="75"/>
  <c r="M96" i="75" s="1"/>
  <c r="N96" i="75" s="1"/>
  <c r="L83" i="107" s="1"/>
  <c r="M133" i="104"/>
  <c r="C133" i="104" s="1"/>
  <c r="H133" i="99" s="1"/>
  <c r="E133" i="99" s="1"/>
  <c r="P125" i="75"/>
  <c r="Q125" i="75" s="1"/>
  <c r="I94" i="103"/>
  <c r="V94" i="103" s="1"/>
  <c r="G94" i="99" s="1"/>
  <c r="D94" i="99" s="1"/>
  <c r="P109" i="104"/>
  <c r="M109" i="104" s="1"/>
  <c r="P40" i="104"/>
  <c r="M40" i="104" s="1"/>
  <c r="P37" i="75"/>
  <c r="Q37" i="75" s="1"/>
  <c r="O37" i="75"/>
  <c r="X37" i="75"/>
  <c r="Y37" i="75" s="1"/>
  <c r="Z37" i="75" s="1"/>
  <c r="G4" i="104"/>
  <c r="D4" i="104" s="1"/>
  <c r="B4" i="104" s="1"/>
  <c r="F4" i="99" s="1"/>
  <c r="C4" i="99" s="1"/>
  <c r="B4" i="99" s="1"/>
  <c r="C4" i="104"/>
  <c r="H4" i="99" s="1"/>
  <c r="E4" i="99" s="1"/>
  <c r="V153" i="97" a="1"/>
  <c r="V153" i="97" s="1"/>
  <c r="U153" i="97"/>
  <c r="J153" i="97"/>
  <c r="O50" i="4"/>
  <c r="S71" i="74"/>
  <c r="H74" i="3" s="1"/>
  <c r="C45" i="107"/>
  <c r="C40" i="102"/>
  <c r="C76" i="107"/>
  <c r="L46" i="3"/>
  <c r="AE140" i="4"/>
  <c r="AG98" i="104"/>
  <c r="AB44" i="104"/>
  <c r="Z44" i="104" s="1"/>
  <c r="P147" i="3"/>
  <c r="M147" i="3"/>
  <c r="R77" i="4"/>
  <c r="AB142" i="104"/>
  <c r="Z142" i="104" s="1"/>
  <c r="S142" i="104" s="1"/>
  <c r="AG48" i="104"/>
  <c r="AB48" i="104" s="1"/>
  <c r="Z48" i="104" s="1"/>
  <c r="S48" i="104" s="1"/>
  <c r="B48" i="104" s="1"/>
  <c r="F48" i="99" s="1"/>
  <c r="C48" i="99" s="1"/>
  <c r="AB115" i="104"/>
  <c r="Z115" i="104" s="1"/>
  <c r="S115" i="104" s="1"/>
  <c r="M69" i="104"/>
  <c r="O44" i="75"/>
  <c r="P44" i="75"/>
  <c r="Q44" i="75" s="1"/>
  <c r="T44" i="75"/>
  <c r="U44" i="75" s="1"/>
  <c r="V44" i="75" s="1"/>
  <c r="N144" i="4"/>
  <c r="P94" i="104"/>
  <c r="AE20" i="4"/>
  <c r="AM20" i="4" s="1"/>
  <c r="I109" i="103"/>
  <c r="V109" i="103" s="1"/>
  <c r="G109" i="99" s="1"/>
  <c r="D109" i="99" s="1"/>
  <c r="I40" i="103"/>
  <c r="V40" i="103" s="1"/>
  <c r="G40" i="99" s="1"/>
  <c r="D40" i="99" s="1"/>
  <c r="P89" i="104"/>
  <c r="AE74" i="4"/>
  <c r="AM74" i="4" s="1"/>
  <c r="W50" i="4"/>
  <c r="P147" i="104"/>
  <c r="M147" i="104" s="1"/>
  <c r="S86" i="74"/>
  <c r="H89" i="3" s="1"/>
  <c r="AB97" i="104"/>
  <c r="Z97" i="104" s="1"/>
  <c r="S97" i="104" s="1"/>
  <c r="P134" i="3"/>
  <c r="C108" i="107"/>
  <c r="AM92" i="4"/>
  <c r="AN92" i="4" s="1"/>
  <c r="AH45" i="4"/>
  <c r="AE26" i="4"/>
  <c r="AE34" i="4"/>
  <c r="AN42" i="104"/>
  <c r="AL35" i="4"/>
  <c r="AE70" i="4"/>
  <c r="AE45" i="4"/>
  <c r="X9" i="4"/>
  <c r="R6" i="102" s="1"/>
  <c r="Q6" i="102" s="1"/>
  <c r="AJ38" i="104"/>
  <c r="AL65" i="4"/>
  <c r="I136" i="75"/>
  <c r="N136" i="75" s="1"/>
  <c r="L119" i="107" s="1"/>
  <c r="K16" i="4"/>
  <c r="AM97" i="4"/>
  <c r="AN97" i="4" s="1"/>
  <c r="AG140" i="104"/>
  <c r="AL78" i="4"/>
  <c r="AB112" i="75"/>
  <c r="AE75" i="4"/>
  <c r="AM75" i="4" s="1"/>
  <c r="AN75" i="4" s="1"/>
  <c r="S65" i="107" s="1"/>
  <c r="S154" i="97"/>
  <c r="R154" i="97" s="1"/>
  <c r="T3" i="74"/>
  <c r="I6" i="3" s="1"/>
  <c r="K6" i="3" s="1"/>
  <c r="I97" i="103"/>
  <c r="V97" i="103" s="1"/>
  <c r="G97" i="99" s="1"/>
  <c r="D97" i="99" s="1"/>
  <c r="W20" i="75"/>
  <c r="X20" i="75"/>
  <c r="Y20" i="75" s="1"/>
  <c r="AB93" i="104"/>
  <c r="Z93" i="104" s="1"/>
  <c r="S93" i="104" s="1"/>
  <c r="W13" i="75"/>
  <c r="X13" i="75"/>
  <c r="Y13" i="75" s="1"/>
  <c r="V13" i="4"/>
  <c r="G13" i="4"/>
  <c r="P13" i="4"/>
  <c r="Q13" i="4"/>
  <c r="U13" i="4"/>
  <c r="S13" i="4"/>
  <c r="L13" i="4"/>
  <c r="I13" i="4"/>
  <c r="J13" i="4"/>
  <c r="F13" i="4"/>
  <c r="M13" i="4"/>
  <c r="T13" i="4"/>
  <c r="P76" i="104"/>
  <c r="S56" i="97"/>
  <c r="X151" i="4"/>
  <c r="R127" i="4"/>
  <c r="H105" i="4"/>
  <c r="N72" i="75"/>
  <c r="L62" i="107" s="1"/>
  <c r="W113" i="4"/>
  <c r="H30" i="4"/>
  <c r="K80" i="4"/>
  <c r="N37" i="4"/>
  <c r="K147" i="4"/>
  <c r="H112" i="4"/>
  <c r="N18" i="4"/>
  <c r="K30" i="4"/>
  <c r="N30" i="4"/>
  <c r="X115" i="4"/>
  <c r="R100" i="107" s="1"/>
  <c r="O133" i="4"/>
  <c r="X133" i="4" s="1"/>
  <c r="R64" i="4"/>
  <c r="R16" i="4"/>
  <c r="N6" i="4"/>
  <c r="N147" i="4"/>
  <c r="S125" i="104"/>
  <c r="B125" i="104" s="1"/>
  <c r="F125" i="99" s="1"/>
  <c r="C125" i="99" s="1"/>
  <c r="C125" i="104"/>
  <c r="H125" i="99" s="1"/>
  <c r="E125" i="99" s="1"/>
  <c r="S90" i="104"/>
  <c r="B90" i="104" s="1"/>
  <c r="F90" i="99" s="1"/>
  <c r="C90" i="99" s="1"/>
  <c r="C90" i="104"/>
  <c r="H90" i="99" s="1"/>
  <c r="E90" i="99" s="1"/>
  <c r="S153" i="97"/>
  <c r="U84" i="97"/>
  <c r="U104" i="97"/>
  <c r="C9" i="104"/>
  <c r="H9" i="99" s="1"/>
  <c r="E9" i="99" s="1"/>
  <c r="G9" i="104"/>
  <c r="D9" i="104" s="1"/>
  <c r="B9" i="104" s="1"/>
  <c r="F9" i="99" s="1"/>
  <c r="C9" i="99" s="1"/>
  <c r="O67" i="75"/>
  <c r="P67" i="75"/>
  <c r="Q67" i="75" s="1"/>
  <c r="T67" i="75"/>
  <c r="U67" i="75" s="1"/>
  <c r="V67" i="75" s="1"/>
  <c r="S200" i="104"/>
  <c r="B200" i="104" s="1"/>
  <c r="C200" i="104"/>
  <c r="M82" i="104"/>
  <c r="V36" i="74"/>
  <c r="Y39" i="4"/>
  <c r="Z39" i="4" s="1"/>
  <c r="I6" i="103"/>
  <c r="T82" i="74"/>
  <c r="I85" i="3" s="1"/>
  <c r="K140" i="104"/>
  <c r="L140" i="104" s="1"/>
  <c r="AE85" i="4"/>
  <c r="AM85" i="4" s="1"/>
  <c r="G28" i="104"/>
  <c r="U19" i="97"/>
  <c r="C64" i="107"/>
  <c r="W85" i="75"/>
  <c r="X85" i="75"/>
  <c r="Y85" i="75" s="1"/>
  <c r="W19" i="75"/>
  <c r="X19" i="75"/>
  <c r="Y19" i="75" s="1"/>
  <c r="Y17" i="4"/>
  <c r="Z17" i="4" s="1"/>
  <c r="AN17" i="4" s="1"/>
  <c r="S14" i="107" s="1"/>
  <c r="V14" i="74"/>
  <c r="D5" i="104"/>
  <c r="I111" i="103"/>
  <c r="P65" i="75"/>
  <c r="Q65" i="75" s="1"/>
  <c r="O65" i="75"/>
  <c r="S66" i="74"/>
  <c r="H69" i="3" s="1"/>
  <c r="K69" i="3" s="1"/>
  <c r="T89" i="75"/>
  <c r="U89" i="75" s="1"/>
  <c r="V89" i="75" s="1"/>
  <c r="P89" i="75"/>
  <c r="Q89" i="75" s="1"/>
  <c r="O89" i="75"/>
  <c r="X89" i="75"/>
  <c r="Y89" i="75" s="1"/>
  <c r="Z89" i="75" s="1"/>
  <c r="AG82" i="104"/>
  <c r="AB82" i="104" s="1"/>
  <c r="Z82" i="104" s="1"/>
  <c r="S82" i="104" s="1"/>
  <c r="O27" i="75"/>
  <c r="T27" i="75"/>
  <c r="U27" i="75" s="1"/>
  <c r="V27" i="75" s="1"/>
  <c r="AN5" i="104"/>
  <c r="AB5" i="104" s="1"/>
  <c r="Z5" i="104" s="1"/>
  <c r="K65" i="75"/>
  <c r="L65" i="75" s="1"/>
  <c r="M65" i="75" s="1"/>
  <c r="U125" i="97"/>
  <c r="X70" i="75"/>
  <c r="Y70" i="75" s="1"/>
  <c r="W70" i="75"/>
  <c r="P24" i="104"/>
  <c r="V29" i="103"/>
  <c r="G29" i="99" s="1"/>
  <c r="D29" i="99" s="1"/>
  <c r="R35" i="4"/>
  <c r="G38" i="104"/>
  <c r="AN114" i="104"/>
  <c r="AB114" i="104" s="1"/>
  <c r="Z114" i="104" s="1"/>
  <c r="S114" i="104" s="1"/>
  <c r="B114" i="104" s="1"/>
  <c r="F114" i="99" s="1"/>
  <c r="C114" i="99" s="1"/>
  <c r="AN113" i="104"/>
  <c r="W29" i="75"/>
  <c r="X29" i="75"/>
  <c r="Y29" i="75" s="1"/>
  <c r="S39" i="104"/>
  <c r="B39" i="104" s="1"/>
  <c r="F39" i="99" s="1"/>
  <c r="C39" i="99" s="1"/>
  <c r="C39" i="104"/>
  <c r="H39" i="99" s="1"/>
  <c r="E39" i="99" s="1"/>
  <c r="AL67" i="4"/>
  <c r="AM67" i="4" s="1"/>
  <c r="Q85" i="4"/>
  <c r="R85" i="4" s="1"/>
  <c r="Q86" i="4"/>
  <c r="R86" i="4" s="1"/>
  <c r="X86" i="4" s="1"/>
  <c r="I66" i="103"/>
  <c r="V66" i="74"/>
  <c r="Y69" i="4"/>
  <c r="Z69" i="4" s="1"/>
  <c r="V6" i="103"/>
  <c r="G6" i="99" s="1"/>
  <c r="D6" i="99" s="1"/>
  <c r="B6" i="99" s="1"/>
  <c r="U58" i="74"/>
  <c r="J61" i="3" s="1"/>
  <c r="B52" i="104"/>
  <c r="F52" i="99" s="1"/>
  <c r="C52" i="99" s="1"/>
  <c r="C52" i="104"/>
  <c r="H52" i="99" s="1"/>
  <c r="E52" i="99" s="1"/>
  <c r="K76" i="75"/>
  <c r="L76" i="75" s="1"/>
  <c r="M76" i="75" s="1"/>
  <c r="K105" i="104"/>
  <c r="L105" i="104" s="1"/>
  <c r="P17" i="104"/>
  <c r="M17" i="104" s="1"/>
  <c r="Y85" i="4"/>
  <c r="Z85" i="4" s="1"/>
  <c r="V82" i="74"/>
  <c r="W65" i="75"/>
  <c r="X65" i="75"/>
  <c r="Y65" i="75" s="1"/>
  <c r="I32" i="103"/>
  <c r="C69" i="107"/>
  <c r="Q124" i="3"/>
  <c r="P109" i="107" s="1"/>
  <c r="C24" i="107"/>
  <c r="AM44" i="4"/>
  <c r="AN44" i="4" s="1"/>
  <c r="C48" i="107"/>
  <c r="C53" i="107"/>
  <c r="C55" i="102"/>
  <c r="C87" i="107"/>
  <c r="K36" i="104"/>
  <c r="L36" i="104" s="1"/>
  <c r="D36" i="104" s="1"/>
  <c r="G50" i="104"/>
  <c r="AB146" i="104"/>
  <c r="Z146" i="104" s="1"/>
  <c r="S146" i="104" s="1"/>
  <c r="M29" i="104"/>
  <c r="Q129" i="3"/>
  <c r="R129" i="3" s="1"/>
  <c r="AB28" i="104"/>
  <c r="Z28" i="104" s="1"/>
  <c r="S28" i="104" s="1"/>
  <c r="AB67" i="104"/>
  <c r="Z67" i="104" s="1"/>
  <c r="S67" i="104" s="1"/>
  <c r="AE68" i="4"/>
  <c r="AN32" i="104"/>
  <c r="Q44" i="4"/>
  <c r="V18" i="103"/>
  <c r="G18" i="99" s="1"/>
  <c r="D18" i="99" s="1"/>
  <c r="L127" i="4"/>
  <c r="M127" i="3"/>
  <c r="AL140" i="4"/>
  <c r="D94" i="104"/>
  <c r="AL81" i="4"/>
  <c r="M70" i="104"/>
  <c r="B27" i="104"/>
  <c r="F27" i="99" s="1"/>
  <c r="C27" i="99" s="1"/>
  <c r="B27" i="99" s="1"/>
  <c r="T14" i="74"/>
  <c r="I17" i="3" s="1"/>
  <c r="K17" i="3" s="1"/>
  <c r="Q66" i="4"/>
  <c r="R66" i="4" s="1"/>
  <c r="X66" i="4" s="1"/>
  <c r="Q65" i="4"/>
  <c r="R65" i="4" s="1"/>
  <c r="X65" i="4" s="1"/>
  <c r="Q67" i="4"/>
  <c r="R67" i="4" s="1"/>
  <c r="X67" i="4" s="1"/>
  <c r="Y68" i="4"/>
  <c r="Z68" i="4" s="1"/>
  <c r="V65" i="74"/>
  <c r="U86" i="97"/>
  <c r="H37" i="4"/>
  <c r="I140" i="103"/>
  <c r="V140" i="103" s="1"/>
  <c r="G140" i="99" s="1"/>
  <c r="D140" i="99" s="1"/>
  <c r="O70" i="75"/>
  <c r="T70" i="75"/>
  <c r="U70" i="75" s="1"/>
  <c r="V70" i="75" s="1"/>
  <c r="P70" i="75"/>
  <c r="Q70" i="75" s="1"/>
  <c r="P6" i="104"/>
  <c r="V28" i="74"/>
  <c r="Y31" i="4"/>
  <c r="Z31" i="4" s="1"/>
  <c r="I24" i="103"/>
  <c r="U75" i="97"/>
  <c r="X27" i="75"/>
  <c r="Y27" i="75" s="1"/>
  <c r="W27" i="75"/>
  <c r="W12" i="75"/>
  <c r="X12" i="75"/>
  <c r="Y12" i="75" s="1"/>
  <c r="P66" i="104"/>
  <c r="M66" i="104" s="1"/>
  <c r="P140" i="104"/>
  <c r="M140" i="104" s="1"/>
  <c r="I105" i="103"/>
  <c r="V105" i="103" s="1"/>
  <c r="G105" i="99" s="1"/>
  <c r="D105" i="99" s="1"/>
  <c r="P23" i="104"/>
  <c r="O48" i="75"/>
  <c r="T48" i="75"/>
  <c r="U48" i="75" s="1"/>
  <c r="V48" i="75" s="1"/>
  <c r="M117" i="104"/>
  <c r="L67" i="104"/>
  <c r="D67" i="104" s="1"/>
  <c r="U5" i="74"/>
  <c r="J8" i="3" s="1"/>
  <c r="P122" i="104"/>
  <c r="M122" i="104" s="1"/>
  <c r="U122" i="97"/>
  <c r="C130" i="104"/>
  <c r="H130" i="99" s="1"/>
  <c r="E130" i="99" s="1"/>
  <c r="C23" i="102"/>
  <c r="T14" i="75"/>
  <c r="U14" i="75" s="1"/>
  <c r="V14" i="75" s="1"/>
  <c r="X14" i="75"/>
  <c r="Y14" i="75" s="1"/>
  <c r="Z14" i="75" s="1"/>
  <c r="P14" i="75"/>
  <c r="Q14" i="75" s="1"/>
  <c r="O14" i="75"/>
  <c r="F12" i="75"/>
  <c r="G12" i="75"/>
  <c r="H12" i="75" s="1"/>
  <c r="T85" i="75"/>
  <c r="U85" i="75" s="1"/>
  <c r="V85" i="75" s="1"/>
  <c r="P85" i="75"/>
  <c r="Q85" i="75" s="1"/>
  <c r="O85" i="75"/>
  <c r="P105" i="104"/>
  <c r="M105" i="104" s="1"/>
  <c r="C105" i="104" s="1"/>
  <c r="H105" i="99" s="1"/>
  <c r="E105" i="99" s="1"/>
  <c r="AL8" i="4"/>
  <c r="AM8" i="4" s="1"/>
  <c r="AN8" i="4" s="1"/>
  <c r="S7" i="107" s="1"/>
  <c r="W9" i="75"/>
  <c r="X9" i="75"/>
  <c r="Y9" i="75" s="1"/>
  <c r="K11" i="75"/>
  <c r="L11" i="75" s="1"/>
  <c r="J11" i="75"/>
  <c r="S17" i="74"/>
  <c r="H20" i="3" s="1"/>
  <c r="I122" i="103"/>
  <c r="P31" i="75"/>
  <c r="Q31" i="75" s="1"/>
  <c r="R31" i="75" s="1"/>
  <c r="J31" i="75"/>
  <c r="M31" i="75" s="1"/>
  <c r="G105" i="104"/>
  <c r="P32" i="104"/>
  <c r="M32" i="104" s="1"/>
  <c r="C80" i="107"/>
  <c r="C43" i="107"/>
  <c r="C54" i="102"/>
  <c r="C51" i="107"/>
  <c r="C73" i="102"/>
  <c r="C110" i="107"/>
  <c r="C101" i="107"/>
  <c r="M27" i="3"/>
  <c r="N87" i="4"/>
  <c r="M60" i="3"/>
  <c r="AN30" i="104"/>
  <c r="M92" i="3"/>
  <c r="M57" i="3"/>
  <c r="AA134" i="75"/>
  <c r="AB134" i="75" s="1"/>
  <c r="M66" i="102" s="1"/>
  <c r="C103" i="104"/>
  <c r="H103" i="99" s="1"/>
  <c r="E103" i="99" s="1"/>
  <c r="B103" i="99" s="1"/>
  <c r="V11" i="103"/>
  <c r="G11" i="99" s="1"/>
  <c r="D11" i="99" s="1"/>
  <c r="P8" i="75"/>
  <c r="Q8" i="75" s="1"/>
  <c r="R8" i="75" s="1"/>
  <c r="J8" i="75"/>
  <c r="U149" i="97"/>
  <c r="U46" i="97"/>
  <c r="S8" i="75"/>
  <c r="T8" i="75"/>
  <c r="U8" i="75" s="1"/>
  <c r="F13" i="75"/>
  <c r="G13" i="75"/>
  <c r="H13" i="75" s="1"/>
  <c r="AN64" i="104"/>
  <c r="AB64" i="104" s="1"/>
  <c r="Z64" i="104" s="1"/>
  <c r="S24" i="75"/>
  <c r="T24" i="75"/>
  <c r="U24" i="75" s="1"/>
  <c r="V82" i="103"/>
  <c r="G82" i="99" s="1"/>
  <c r="D82" i="99" s="1"/>
  <c r="G31" i="75"/>
  <c r="H31" i="75" s="1"/>
  <c r="F31" i="75"/>
  <c r="S23" i="74"/>
  <c r="H26" i="3" s="1"/>
  <c r="U87" i="97"/>
  <c r="Y20" i="4"/>
  <c r="Z20" i="4" s="1"/>
  <c r="V17" i="74"/>
  <c r="T40" i="74"/>
  <c r="I43" i="3" s="1"/>
  <c r="AN120" i="104"/>
  <c r="AB120" i="104" s="1"/>
  <c r="Z120" i="104" s="1"/>
  <c r="S120" i="104" s="1"/>
  <c r="I17" i="103"/>
  <c r="V17" i="103" s="1"/>
  <c r="G17" i="99" s="1"/>
  <c r="D17" i="99" s="1"/>
  <c r="X85" i="4"/>
  <c r="J10" i="75"/>
  <c r="K10" i="75"/>
  <c r="L10" i="75" s="1"/>
  <c r="C128" i="107"/>
  <c r="C88" i="107"/>
  <c r="O134" i="3"/>
  <c r="C16" i="102"/>
  <c r="N27" i="3"/>
  <c r="AB111" i="104"/>
  <c r="Z111" i="104" s="1"/>
  <c r="S111" i="104" s="1"/>
  <c r="D77" i="104"/>
  <c r="M70" i="3"/>
  <c r="AH68" i="4"/>
  <c r="I135" i="99"/>
  <c r="J121" i="107" s="1"/>
  <c r="AG149" i="104"/>
  <c r="AB149" i="104" s="1"/>
  <c r="Z149" i="104" s="1"/>
  <c r="S149" i="104" s="1"/>
  <c r="L11" i="104"/>
  <c r="D11" i="104" s="1"/>
  <c r="B11" i="104" s="1"/>
  <c r="F11" i="99" s="1"/>
  <c r="C11" i="99" s="1"/>
  <c r="C11" i="104"/>
  <c r="H11" i="99" s="1"/>
  <c r="E11" i="99" s="1"/>
  <c r="V64" i="74"/>
  <c r="Y67" i="4"/>
  <c r="Z67" i="4" s="1"/>
  <c r="P111" i="104"/>
  <c r="W147" i="4"/>
  <c r="S57" i="75"/>
  <c r="T57" i="75"/>
  <c r="U57" i="75" s="1"/>
  <c r="T37" i="74"/>
  <c r="I40" i="3" s="1"/>
  <c r="S31" i="75"/>
  <c r="T31" i="75"/>
  <c r="U31" i="75" s="1"/>
  <c r="W30" i="4"/>
  <c r="Y58" i="4"/>
  <c r="Z58" i="4" s="1"/>
  <c r="V55" i="74"/>
  <c r="S6" i="74"/>
  <c r="H9" i="3" s="1"/>
  <c r="I23" i="103"/>
  <c r="U124" i="97"/>
  <c r="F17" i="75"/>
  <c r="G17" i="75"/>
  <c r="H17" i="75" s="1"/>
  <c r="Z122" i="104"/>
  <c r="S122" i="104" s="1"/>
  <c r="K63" i="104"/>
  <c r="L63" i="104" s="1"/>
  <c r="D63" i="104" s="1"/>
  <c r="K33" i="4"/>
  <c r="N143" i="75"/>
  <c r="R129" i="4"/>
  <c r="X89" i="4"/>
  <c r="L78" i="104"/>
  <c r="D78" i="104" s="1"/>
  <c r="R98" i="4"/>
  <c r="L19" i="104"/>
  <c r="W17" i="4"/>
  <c r="W142" i="4"/>
  <c r="M138" i="97"/>
  <c r="M140" i="97"/>
  <c r="B129" i="99"/>
  <c r="I109" i="75"/>
  <c r="M125" i="75"/>
  <c r="K97" i="4"/>
  <c r="H39" i="4"/>
  <c r="I149" i="75"/>
  <c r="N149" i="75" s="1"/>
  <c r="V127" i="75"/>
  <c r="Z145" i="75"/>
  <c r="AA145" i="75" s="1"/>
  <c r="AB145" i="75" s="1"/>
  <c r="M127" i="107" s="1"/>
  <c r="Z139" i="75"/>
  <c r="AA139" i="75" s="1"/>
  <c r="AB139" i="75" s="1"/>
  <c r="M67" i="102" s="1"/>
  <c r="K67" i="102" s="1"/>
  <c r="I105" i="75"/>
  <c r="K68" i="4"/>
  <c r="K35" i="4"/>
  <c r="K82" i="4"/>
  <c r="K15" i="4"/>
  <c r="O15" i="4" s="1"/>
  <c r="R80" i="4"/>
  <c r="H80" i="4"/>
  <c r="X137" i="4"/>
  <c r="B56" i="99"/>
  <c r="I56" i="99" s="1"/>
  <c r="J51" i="107" s="1"/>
  <c r="N15" i="97"/>
  <c r="L15" i="97" s="1"/>
  <c r="M113" i="75"/>
  <c r="M114" i="75"/>
  <c r="I125" i="75"/>
  <c r="K24" i="4"/>
  <c r="H148" i="4"/>
  <c r="K140" i="4"/>
  <c r="H31" i="4"/>
  <c r="N106" i="4"/>
  <c r="W106" i="4"/>
  <c r="K41" i="4"/>
  <c r="K23" i="4"/>
  <c r="K17" i="4"/>
  <c r="V70" i="103"/>
  <c r="G70" i="99" s="1"/>
  <c r="D70" i="99" s="1"/>
  <c r="O113" i="4"/>
  <c r="M153" i="97"/>
  <c r="N141" i="3"/>
  <c r="Q141" i="3" s="1"/>
  <c r="P123" i="107" s="1"/>
  <c r="K141" i="3"/>
  <c r="Z142" i="75"/>
  <c r="V131" i="75"/>
  <c r="H128" i="4"/>
  <c r="H42" i="4"/>
  <c r="N148" i="4"/>
  <c r="L150" i="97"/>
  <c r="V93" i="75"/>
  <c r="N97" i="4"/>
  <c r="K39" i="4"/>
  <c r="P153" i="97"/>
  <c r="P155" i="97"/>
  <c r="B104" i="99"/>
  <c r="Z113" i="75"/>
  <c r="AA113" i="75" s="1"/>
  <c r="M98" i="75"/>
  <c r="N98" i="75" s="1"/>
  <c r="W92" i="4"/>
  <c r="N142" i="4"/>
  <c r="AN142" i="4"/>
  <c r="M94" i="75"/>
  <c r="N94" i="75" s="1"/>
  <c r="L48" i="102" s="1"/>
  <c r="V98" i="75"/>
  <c r="I107" i="75"/>
  <c r="V103" i="75"/>
  <c r="K42" i="4"/>
  <c r="K143" i="4"/>
  <c r="H24" i="4"/>
  <c r="R106" i="4"/>
  <c r="H132" i="4"/>
  <c r="L89" i="97"/>
  <c r="G89" i="97" s="1"/>
  <c r="H97" i="4"/>
  <c r="K64" i="4"/>
  <c r="O64" i="4" s="1"/>
  <c r="W112" i="4"/>
  <c r="N17" i="4"/>
  <c r="H17" i="4"/>
  <c r="H56" i="4"/>
  <c r="R56" i="4"/>
  <c r="S28" i="97"/>
  <c r="S87" i="97"/>
  <c r="R87" i="97" s="1"/>
  <c r="N87" i="97"/>
  <c r="L87" i="97" s="1"/>
  <c r="Q92" i="97"/>
  <c r="R93" i="3"/>
  <c r="N81" i="107" s="1"/>
  <c r="T17" i="97"/>
  <c r="O18" i="4"/>
  <c r="AM95" i="4"/>
  <c r="AN95" i="4" s="1"/>
  <c r="S82" i="107" s="1"/>
  <c r="Z126" i="104"/>
  <c r="S126" i="104" s="1"/>
  <c r="B126" i="104" s="1"/>
  <c r="F126" i="99" s="1"/>
  <c r="C126" i="99" s="1"/>
  <c r="H23" i="4"/>
  <c r="W39" i="4"/>
  <c r="U90" i="97"/>
  <c r="P78" i="75"/>
  <c r="Q78" i="75" s="1"/>
  <c r="O78" i="75"/>
  <c r="T78" i="75"/>
  <c r="U78" i="75" s="1"/>
  <c r="V78" i="75" s="1"/>
  <c r="AE52" i="4"/>
  <c r="AM52" i="4" s="1"/>
  <c r="AN52" i="4" s="1"/>
  <c r="S45" i="107" s="1"/>
  <c r="I45" i="103"/>
  <c r="S26" i="74"/>
  <c r="H29" i="3" s="1"/>
  <c r="I26" i="103"/>
  <c r="K97" i="75"/>
  <c r="L97" i="75" s="1"/>
  <c r="M97" i="75" s="1"/>
  <c r="N56" i="4"/>
  <c r="J151" i="97"/>
  <c r="V151" i="97" a="1"/>
  <c r="V151" i="97" s="1"/>
  <c r="U151" i="97"/>
  <c r="U89" i="97"/>
  <c r="U48" i="97"/>
  <c r="S146" i="75"/>
  <c r="T146" i="75"/>
  <c r="U146" i="75" s="1"/>
  <c r="P143" i="104"/>
  <c r="M143" i="104" s="1"/>
  <c r="P92" i="75"/>
  <c r="Q92" i="75" s="1"/>
  <c r="O92" i="75"/>
  <c r="T92" i="75"/>
  <c r="U92" i="75" s="1"/>
  <c r="V92" i="75" s="1"/>
  <c r="U31" i="97"/>
  <c r="T76" i="74"/>
  <c r="I79" i="3" s="1"/>
  <c r="K79" i="3" s="1"/>
  <c r="O68" i="107" s="1"/>
  <c r="Y72" i="4"/>
  <c r="Z72" i="4" s="1"/>
  <c r="V69" i="74"/>
  <c r="T34" i="74"/>
  <c r="I37" i="3" s="1"/>
  <c r="K37" i="3" s="1"/>
  <c r="T82" i="75"/>
  <c r="U82" i="75" s="1"/>
  <c r="V82" i="75" s="1"/>
  <c r="P82" i="75"/>
  <c r="Q82" i="75" s="1"/>
  <c r="O82" i="75"/>
  <c r="AG78" i="104"/>
  <c r="AB78" i="104" s="1"/>
  <c r="Z78" i="104" s="1"/>
  <c r="S78" i="104" s="1"/>
  <c r="Q74" i="4"/>
  <c r="R74" i="4" s="1"/>
  <c r="X74" i="4" s="1"/>
  <c r="Q75" i="4"/>
  <c r="R75" i="4" s="1"/>
  <c r="X75" i="4" s="1"/>
  <c r="O95" i="75"/>
  <c r="T95" i="75"/>
  <c r="U95" i="75" s="1"/>
  <c r="V95" i="75" s="1"/>
  <c r="U74" i="97"/>
  <c r="I31" i="103"/>
  <c r="I28" i="103"/>
  <c r="V28" i="103" s="1"/>
  <c r="G28" i="99" s="1"/>
  <c r="D28" i="99" s="1"/>
  <c r="Y28" i="4"/>
  <c r="Z28" i="4" s="1"/>
  <c r="V25" i="74"/>
  <c r="U14" i="97"/>
  <c r="Q79" i="4"/>
  <c r="R79" i="4" s="1"/>
  <c r="X79" i="4" s="1"/>
  <c r="R68" i="107" s="1"/>
  <c r="Q78" i="4"/>
  <c r="R78" i="4" s="1"/>
  <c r="X78" i="4" s="1"/>
  <c r="R40" i="102" s="1"/>
  <c r="T69" i="74"/>
  <c r="I72" i="3" s="1"/>
  <c r="R133" i="3"/>
  <c r="Q132" i="97"/>
  <c r="D149" i="104"/>
  <c r="AL82" i="4"/>
  <c r="I43" i="103"/>
  <c r="V43" i="103" s="1"/>
  <c r="G43" i="99" s="1"/>
  <c r="D43" i="99" s="1"/>
  <c r="AG25" i="104"/>
  <c r="U27" i="97"/>
  <c r="G20" i="104"/>
  <c r="D20" i="104" s="1"/>
  <c r="AB106" i="104"/>
  <c r="Z106" i="104" s="1"/>
  <c r="S106" i="104" s="1"/>
  <c r="I106" i="103"/>
  <c r="V106" i="103" s="1"/>
  <c r="G106" i="99" s="1"/>
  <c r="D106" i="99" s="1"/>
  <c r="AG100" i="104"/>
  <c r="AB100" i="104" s="1"/>
  <c r="Z100" i="104" s="1"/>
  <c r="S100" i="104" s="1"/>
  <c r="I95" i="103"/>
  <c r="X94" i="75"/>
  <c r="Y94" i="75" s="1"/>
  <c r="W94" i="75"/>
  <c r="G75" i="104"/>
  <c r="AM72" i="4"/>
  <c r="S51" i="74"/>
  <c r="H54" i="3" s="1"/>
  <c r="S12" i="74"/>
  <c r="H15" i="3" s="1"/>
  <c r="AB140" i="104"/>
  <c r="Z140" i="104" s="1"/>
  <c r="S140" i="104" s="1"/>
  <c r="AH82" i="4"/>
  <c r="U71" i="97"/>
  <c r="AH66" i="4"/>
  <c r="AJ63" i="104"/>
  <c r="F28" i="75"/>
  <c r="G28" i="75"/>
  <c r="H28" i="75" s="1"/>
  <c r="K62" i="75"/>
  <c r="L62" i="75" s="1"/>
  <c r="M62" i="75" s="1"/>
  <c r="L48" i="97"/>
  <c r="AN121" i="4"/>
  <c r="S106" i="107" s="1"/>
  <c r="H98" i="4"/>
  <c r="H27" i="4"/>
  <c r="W148" i="4"/>
  <c r="N117" i="75"/>
  <c r="R88" i="3"/>
  <c r="N76" i="107" s="1"/>
  <c r="H76" i="107" s="1"/>
  <c r="Q87" i="97"/>
  <c r="W97" i="4"/>
  <c r="U97" i="97"/>
  <c r="P75" i="104"/>
  <c r="M75" i="104" s="1"/>
  <c r="W28" i="75"/>
  <c r="X28" i="75"/>
  <c r="Y28" i="75" s="1"/>
  <c r="G140" i="104"/>
  <c r="T72" i="75"/>
  <c r="U72" i="75" s="1"/>
  <c r="V72" i="75" s="1"/>
  <c r="X72" i="75"/>
  <c r="Y72" i="75" s="1"/>
  <c r="Z72" i="75" s="1"/>
  <c r="P72" i="75"/>
  <c r="Q72" i="75" s="1"/>
  <c r="O72" i="75"/>
  <c r="Y81" i="4"/>
  <c r="Z81" i="4" s="1"/>
  <c r="V78" i="74"/>
  <c r="AE66" i="4"/>
  <c r="O58" i="75"/>
  <c r="P58" i="75"/>
  <c r="Q58" i="75" s="1"/>
  <c r="X58" i="75"/>
  <c r="Y58" i="75" s="1"/>
  <c r="Z58" i="75" s="1"/>
  <c r="AG49" i="104"/>
  <c r="AB49" i="104" s="1"/>
  <c r="Z49" i="104" s="1"/>
  <c r="S49" i="104" s="1"/>
  <c r="P45" i="104"/>
  <c r="M45" i="104" s="1"/>
  <c r="P26" i="104"/>
  <c r="M26" i="104" s="1"/>
  <c r="N85" i="75"/>
  <c r="Y82" i="4"/>
  <c r="Z82" i="4" s="1"/>
  <c r="V79" i="74"/>
  <c r="U80" i="97"/>
  <c r="AG75" i="104"/>
  <c r="AB75" i="104" s="1"/>
  <c r="Z75" i="104" s="1"/>
  <c r="S75" i="104" s="1"/>
  <c r="U77" i="97"/>
  <c r="X64" i="75"/>
  <c r="Y64" i="75" s="1"/>
  <c r="W64" i="75"/>
  <c r="W18" i="75"/>
  <c r="X18" i="75"/>
  <c r="Y18" i="75" s="1"/>
  <c r="K106" i="104"/>
  <c r="L106" i="104" s="1"/>
  <c r="P79" i="104"/>
  <c r="M79" i="104" s="1"/>
  <c r="T73" i="75"/>
  <c r="U73" i="75" s="1"/>
  <c r="V73" i="75" s="1"/>
  <c r="X73" i="75"/>
  <c r="Y73" i="75" s="1"/>
  <c r="Z73" i="75" s="1"/>
  <c r="P73" i="75"/>
  <c r="Q73" i="75" s="1"/>
  <c r="O73" i="75"/>
  <c r="S29" i="75"/>
  <c r="T29" i="75"/>
  <c r="U29" i="75" s="1"/>
  <c r="U25" i="97"/>
  <c r="M144" i="104"/>
  <c r="T81" i="75"/>
  <c r="U81" i="75" s="1"/>
  <c r="V81" i="75" s="1"/>
  <c r="P81" i="75"/>
  <c r="Q81" i="75" s="1"/>
  <c r="X81" i="75"/>
  <c r="Y81" i="75" s="1"/>
  <c r="Z81" i="75" s="1"/>
  <c r="O81" i="75"/>
  <c r="T66" i="75"/>
  <c r="U66" i="75" s="1"/>
  <c r="S66" i="75"/>
  <c r="X52" i="75"/>
  <c r="Y52" i="75" s="1"/>
  <c r="Z52" i="75" s="1"/>
  <c r="P52" i="75"/>
  <c r="Q52" i="75" s="1"/>
  <c r="O52" i="75"/>
  <c r="AL28" i="4"/>
  <c r="AJ20" i="104"/>
  <c r="AB15" i="104"/>
  <c r="Z15" i="104" s="1"/>
  <c r="S15" i="104" s="1"/>
  <c r="B15" i="104" s="1"/>
  <c r="F15" i="99" s="1"/>
  <c r="C15" i="99" s="1"/>
  <c r="P149" i="104"/>
  <c r="M149" i="104" s="1"/>
  <c r="K92" i="4"/>
  <c r="O92" i="4" s="1"/>
  <c r="S109" i="4"/>
  <c r="L109" i="4"/>
  <c r="U109" i="4"/>
  <c r="P109" i="4"/>
  <c r="R109" i="4" s="1"/>
  <c r="M109" i="4"/>
  <c r="I109" i="4"/>
  <c r="V109" i="4"/>
  <c r="T109" i="4"/>
  <c r="J109" i="4"/>
  <c r="F109" i="4"/>
  <c r="G109" i="4"/>
  <c r="W78" i="75"/>
  <c r="X78" i="75"/>
  <c r="Y78" i="75" s="1"/>
  <c r="U17" i="97"/>
  <c r="P20" i="104"/>
  <c r="M20" i="104" s="1"/>
  <c r="J29" i="75"/>
  <c r="M29" i="75" s="1"/>
  <c r="P29" i="75"/>
  <c r="Q29" i="75" s="1"/>
  <c r="R29" i="75" s="1"/>
  <c r="AG101" i="104"/>
  <c r="AB101" i="104" s="1"/>
  <c r="Z101" i="104" s="1"/>
  <c r="S101" i="104" s="1"/>
  <c r="V96" i="103"/>
  <c r="G96" i="99" s="1"/>
  <c r="D96" i="99" s="1"/>
  <c r="B96" i="99" s="1"/>
  <c r="W80" i="4"/>
  <c r="AB72" i="104"/>
  <c r="Z72" i="104" s="1"/>
  <c r="S72" i="104" s="1"/>
  <c r="B72" i="104" s="1"/>
  <c r="F72" i="99" s="1"/>
  <c r="C72" i="99" s="1"/>
  <c r="I62" i="103"/>
  <c r="Y29" i="4"/>
  <c r="Z29" i="4" s="1"/>
  <c r="AN29" i="4" s="1"/>
  <c r="V26" i="74"/>
  <c r="G115" i="104"/>
  <c r="D115" i="104" s="1"/>
  <c r="C115" i="104"/>
  <c r="H115" i="99" s="1"/>
  <c r="E115" i="99" s="1"/>
  <c r="Y91" i="4"/>
  <c r="Z91" i="4" s="1"/>
  <c r="V88" i="74"/>
  <c r="T15" i="74"/>
  <c r="I18" i="3" s="1"/>
  <c r="AG144" i="104"/>
  <c r="AB144" i="104" s="1"/>
  <c r="Z144" i="104" s="1"/>
  <c r="P95" i="104"/>
  <c r="K79" i="104"/>
  <c r="L79" i="104" s="1"/>
  <c r="D79" i="104" s="1"/>
  <c r="I63" i="103"/>
  <c r="V63" i="103" s="1"/>
  <c r="G63" i="99" s="1"/>
  <c r="D63" i="99" s="1"/>
  <c r="P51" i="104"/>
  <c r="M51" i="104" s="1"/>
  <c r="U28" i="97"/>
  <c r="AL23" i="4"/>
  <c r="AM23" i="4" s="1"/>
  <c r="I12" i="103"/>
  <c r="V12" i="103" s="1"/>
  <c r="AJ79" i="104"/>
  <c r="V72" i="103"/>
  <c r="G72" i="99" s="1"/>
  <c r="D72" i="99" s="1"/>
  <c r="J61" i="75"/>
  <c r="M61" i="75" s="1"/>
  <c r="N61" i="75" s="1"/>
  <c r="L53" i="107" s="1"/>
  <c r="P61" i="75"/>
  <c r="Q61" i="75" s="1"/>
  <c r="R61" i="75" s="1"/>
  <c r="U39" i="97"/>
  <c r="I30" i="103"/>
  <c r="V30" i="103" s="1"/>
  <c r="G30" i="99" s="1"/>
  <c r="D30" i="99" s="1"/>
  <c r="M109" i="3"/>
  <c r="AM116" i="4"/>
  <c r="AN116" i="4" s="1"/>
  <c r="S101" i="107" s="1"/>
  <c r="Q101" i="107" s="1"/>
  <c r="Z108" i="75"/>
  <c r="AA124" i="75"/>
  <c r="W119" i="4"/>
  <c r="N132" i="4"/>
  <c r="V26" i="103"/>
  <c r="G26" i="99" s="1"/>
  <c r="D26" i="99" s="1"/>
  <c r="N23" i="4"/>
  <c r="K112" i="4"/>
  <c r="O112" i="4" s="1"/>
  <c r="U81" i="97"/>
  <c r="S75" i="74"/>
  <c r="H78" i="3" s="1"/>
  <c r="I75" i="103"/>
  <c r="V75" i="103" s="1"/>
  <c r="G75" i="99" s="1"/>
  <c r="D75" i="99" s="1"/>
  <c r="U146" i="97"/>
  <c r="X62" i="75"/>
  <c r="Y62" i="75" s="1"/>
  <c r="W62" i="75"/>
  <c r="S147" i="75"/>
  <c r="T147" i="75"/>
  <c r="U147" i="75" s="1"/>
  <c r="AE82" i="4"/>
  <c r="T74" i="74"/>
  <c r="I77" i="3" s="1"/>
  <c r="K77" i="3" s="1"/>
  <c r="W67" i="75"/>
  <c r="X67" i="75"/>
  <c r="Y67" i="75" s="1"/>
  <c r="AG63" i="104"/>
  <c r="S34" i="75"/>
  <c r="T34" i="75"/>
  <c r="U34" i="75" s="1"/>
  <c r="K56" i="4"/>
  <c r="S79" i="74"/>
  <c r="H82" i="3" s="1"/>
  <c r="I79" i="103"/>
  <c r="V79" i="103" s="1"/>
  <c r="G79" i="99" s="1"/>
  <c r="D79" i="99" s="1"/>
  <c r="V31" i="74"/>
  <c r="Y34" i="4"/>
  <c r="Z34" i="4" s="1"/>
  <c r="O23" i="75"/>
  <c r="T23" i="75"/>
  <c r="U23" i="75" s="1"/>
  <c r="V23" i="75" s="1"/>
  <c r="P23" i="75"/>
  <c r="Q23" i="75" s="1"/>
  <c r="Z69" i="104"/>
  <c r="S69" i="104" s="1"/>
  <c r="B69" i="104" s="1"/>
  <c r="F69" i="99" s="1"/>
  <c r="C69" i="99" s="1"/>
  <c r="T64" i="74"/>
  <c r="I67" i="3" s="1"/>
  <c r="V38" i="74"/>
  <c r="Y41" i="4"/>
  <c r="Z41" i="4" s="1"/>
  <c r="O21" i="75"/>
  <c r="P21" i="75"/>
  <c r="Q21" i="75" s="1"/>
  <c r="X21" i="75"/>
  <c r="Y21" i="75" s="1"/>
  <c r="Z21" i="75" s="1"/>
  <c r="T21" i="75"/>
  <c r="U21" i="75" s="1"/>
  <c r="V21" i="75" s="1"/>
  <c r="AA21" i="75" s="1"/>
  <c r="S149" i="74"/>
  <c r="U118" i="97"/>
  <c r="U108" i="97"/>
  <c r="S25" i="74"/>
  <c r="H28" i="3" s="1"/>
  <c r="I25" i="103"/>
  <c r="V25" i="103" s="1"/>
  <c r="G25" i="99" s="1"/>
  <c r="D25" i="99" s="1"/>
  <c r="S54" i="75"/>
  <c r="T54" i="75"/>
  <c r="U54" i="75" s="1"/>
  <c r="P31" i="104"/>
  <c r="M31" i="104" s="1"/>
  <c r="S28" i="74"/>
  <c r="H31" i="3" s="1"/>
  <c r="G70" i="104"/>
  <c r="D70" i="104" s="1"/>
  <c r="P62" i="104"/>
  <c r="AE54" i="4"/>
  <c r="AM54" i="4" s="1"/>
  <c r="AN54" i="4" s="1"/>
  <c r="L109" i="3"/>
  <c r="R62" i="3"/>
  <c r="Q61" i="97"/>
  <c r="AN79" i="104"/>
  <c r="T62" i="75"/>
  <c r="U62" i="75" s="1"/>
  <c r="V62" i="75" s="1"/>
  <c r="P62" i="75"/>
  <c r="Q62" i="75" s="1"/>
  <c r="O62" i="75"/>
  <c r="V59" i="103"/>
  <c r="G59" i="99" s="1"/>
  <c r="D59" i="99" s="1"/>
  <c r="U40" i="97"/>
  <c r="F23" i="75"/>
  <c r="G23" i="75"/>
  <c r="H23" i="75" s="1"/>
  <c r="P106" i="104"/>
  <c r="M106" i="104" s="1"/>
  <c r="X82" i="75"/>
  <c r="Y82" i="75" s="1"/>
  <c r="W82" i="75"/>
  <c r="S63" i="74"/>
  <c r="H66" i="3" s="1"/>
  <c r="I51" i="103"/>
  <c r="V51" i="103" s="1"/>
  <c r="G51" i="99" s="1"/>
  <c r="D51" i="99" s="1"/>
  <c r="O28" i="75"/>
  <c r="T28" i="75"/>
  <c r="U28" i="75" s="1"/>
  <c r="V28" i="75" s="1"/>
  <c r="P28" i="75"/>
  <c r="Q28" i="75" s="1"/>
  <c r="M94" i="104"/>
  <c r="T80" i="75"/>
  <c r="U80" i="75" s="1"/>
  <c r="V80" i="75" s="1"/>
  <c r="O80" i="75"/>
  <c r="T70" i="74"/>
  <c r="I73" i="3" s="1"/>
  <c r="S63" i="75"/>
  <c r="T63" i="75"/>
  <c r="U63" i="75" s="1"/>
  <c r="G58" i="104"/>
  <c r="D58" i="104" s="1"/>
  <c r="B58" i="104" s="1"/>
  <c r="F58" i="99" s="1"/>
  <c r="C58" i="99" s="1"/>
  <c r="S42" i="74"/>
  <c r="H45" i="3" s="1"/>
  <c r="K45" i="3" s="1"/>
  <c r="O38" i="107" s="1"/>
  <c r="P42" i="104"/>
  <c r="M42" i="104" s="1"/>
  <c r="S30" i="74"/>
  <c r="H33" i="3" s="1"/>
  <c r="K33" i="3" s="1"/>
  <c r="G25" i="104"/>
  <c r="U15" i="97"/>
  <c r="R82" i="4"/>
  <c r="M57" i="104"/>
  <c r="G92" i="104"/>
  <c r="D92" i="104" s="1"/>
  <c r="W23" i="4"/>
  <c r="R97" i="4"/>
  <c r="W64" i="4"/>
  <c r="W23" i="75"/>
  <c r="X23" i="75"/>
  <c r="Y23" i="75" s="1"/>
  <c r="AE81" i="4"/>
  <c r="AM81" i="4" s="1"/>
  <c r="X75" i="75"/>
  <c r="Y75" i="75" s="1"/>
  <c r="W75" i="75"/>
  <c r="AG79" i="104"/>
  <c r="W56" i="4"/>
  <c r="AE78" i="4"/>
  <c r="AM78" i="4" s="1"/>
  <c r="AN78" i="4" s="1"/>
  <c r="S40" i="102" s="1"/>
  <c r="U22" i="97"/>
  <c r="I143" i="103"/>
  <c r="V143" i="103" s="1"/>
  <c r="G143" i="99" s="1"/>
  <c r="D143" i="99" s="1"/>
  <c r="X66" i="75"/>
  <c r="Y66" i="75" s="1"/>
  <c r="W66" i="75"/>
  <c r="W15" i="4"/>
  <c r="I36" i="103"/>
  <c r="V36" i="103" s="1"/>
  <c r="G36" i="99" s="1"/>
  <c r="D36" i="99" s="1"/>
  <c r="P36" i="104"/>
  <c r="M36" i="104" s="1"/>
  <c r="AN25" i="104"/>
  <c r="L75" i="104"/>
  <c r="D75" i="104" s="1"/>
  <c r="P25" i="104"/>
  <c r="M25" i="104" s="1"/>
  <c r="S20" i="74"/>
  <c r="H23" i="3" s="1"/>
  <c r="I20" i="103"/>
  <c r="V20" i="103" s="1"/>
  <c r="G20" i="99" s="1"/>
  <c r="D20" i="99" s="1"/>
  <c r="K51" i="104"/>
  <c r="L51" i="104" s="1"/>
  <c r="D51" i="104" s="1"/>
  <c r="P28" i="104"/>
  <c r="M28" i="104" s="1"/>
  <c r="C28" i="104" s="1"/>
  <c r="H28" i="99" s="1"/>
  <c r="E28" i="99" s="1"/>
  <c r="N80" i="4"/>
  <c r="C58" i="104"/>
  <c r="H58" i="99" s="1"/>
  <c r="E58" i="99" s="1"/>
  <c r="AG51" i="104"/>
  <c r="AB51" i="104" s="1"/>
  <c r="Z51" i="104" s="1"/>
  <c r="S51" i="104" s="1"/>
  <c r="U32" i="74"/>
  <c r="J35" i="3" s="1"/>
  <c r="K35" i="3" s="1"/>
  <c r="Y23" i="4"/>
  <c r="Z23" i="4" s="1"/>
  <c r="V20" i="74"/>
  <c r="G106" i="104"/>
  <c r="V95" i="103"/>
  <c r="G95" i="99" s="1"/>
  <c r="D95" i="99" s="1"/>
  <c r="AH73" i="4"/>
  <c r="AM73" i="4" s="1"/>
  <c r="AN73" i="4" s="1"/>
  <c r="S63" i="107" s="1"/>
  <c r="AJ70" i="104"/>
  <c r="AB70" i="104" s="1"/>
  <c r="Z70" i="104" s="1"/>
  <c r="P43" i="104"/>
  <c r="M43" i="104" s="1"/>
  <c r="AE28" i="4"/>
  <c r="T144" i="74"/>
  <c r="I147" i="3" s="1"/>
  <c r="K142" i="4"/>
  <c r="S95" i="74"/>
  <c r="H98" i="3" s="1"/>
  <c r="P63" i="104"/>
  <c r="M63" i="104" s="1"/>
  <c r="O46" i="75"/>
  <c r="T46" i="75"/>
  <c r="U46" i="75" s="1"/>
  <c r="V46" i="75" s="1"/>
  <c r="L25" i="104"/>
  <c r="AN20" i="104"/>
  <c r="P12" i="104"/>
  <c r="K95" i="104"/>
  <c r="L95" i="104" s="1"/>
  <c r="D95" i="104" s="1"/>
  <c r="B95" i="104" s="1"/>
  <c r="F95" i="99" s="1"/>
  <c r="C95" i="99" s="1"/>
  <c r="T75" i="75"/>
  <c r="U75" i="75" s="1"/>
  <c r="V75" i="75" s="1"/>
  <c r="P75" i="75"/>
  <c r="Q75" i="75" s="1"/>
  <c r="O75" i="75"/>
  <c r="I42" i="103"/>
  <c r="V42" i="103" s="1"/>
  <c r="G42" i="99" s="1"/>
  <c r="D42" i="99" s="1"/>
  <c r="P30" i="104"/>
  <c r="M30" i="104" s="1"/>
  <c r="Z92" i="75"/>
  <c r="Z96" i="75"/>
  <c r="R144" i="97"/>
  <c r="V102" i="75"/>
  <c r="AM114" i="4"/>
  <c r="R120" i="75"/>
  <c r="R108" i="75"/>
  <c r="R114" i="75"/>
  <c r="Z123" i="75"/>
  <c r="AA123" i="75" s="1"/>
  <c r="I97" i="75"/>
  <c r="N97" i="75" s="1"/>
  <c r="R135" i="97"/>
  <c r="N35" i="4"/>
  <c r="W43" i="4"/>
  <c r="N98" i="4"/>
  <c r="K129" i="4"/>
  <c r="W118" i="4"/>
  <c r="N128" i="75"/>
  <c r="W87" i="4"/>
  <c r="N26" i="4"/>
  <c r="K135" i="4"/>
  <c r="R137" i="75"/>
  <c r="R140" i="4"/>
  <c r="R91" i="4"/>
  <c r="AM147" i="4"/>
  <c r="N26" i="75"/>
  <c r="K122" i="4"/>
  <c r="H122" i="4"/>
  <c r="N132" i="75"/>
  <c r="K6" i="4"/>
  <c r="AM99" i="4"/>
  <c r="AN99" i="4" s="1"/>
  <c r="S51" i="102" s="1"/>
  <c r="Q51" i="102" s="1"/>
  <c r="AM109" i="4"/>
  <c r="W68" i="4"/>
  <c r="W82" i="4"/>
  <c r="K77" i="4"/>
  <c r="N143" i="4"/>
  <c r="R148" i="4"/>
  <c r="V146" i="103"/>
  <c r="G146" i="99" s="1"/>
  <c r="D146" i="99" s="1"/>
  <c r="AM134" i="4"/>
  <c r="AN134" i="4" s="1"/>
  <c r="K132" i="4"/>
  <c r="N72" i="4"/>
  <c r="M105" i="75"/>
  <c r="N105" i="75" s="1"/>
  <c r="L91" i="107" s="1"/>
  <c r="K91" i="107" s="1"/>
  <c r="AM100" i="4"/>
  <c r="AN100" i="4" s="1"/>
  <c r="S86" i="107" s="1"/>
  <c r="Q86" i="107" s="1"/>
  <c r="M115" i="75"/>
  <c r="N115" i="75" s="1"/>
  <c r="Z109" i="75"/>
  <c r="R100" i="75"/>
  <c r="N131" i="4"/>
  <c r="W128" i="4"/>
  <c r="V136" i="75"/>
  <c r="R43" i="4"/>
  <c r="W42" i="4"/>
  <c r="R27" i="4"/>
  <c r="K27" i="4"/>
  <c r="H33" i="4"/>
  <c r="N82" i="4"/>
  <c r="H129" i="4"/>
  <c r="Q136" i="3"/>
  <c r="H77" i="4"/>
  <c r="N81" i="75"/>
  <c r="L70" i="107" s="1"/>
  <c r="AL48" i="4"/>
  <c r="N148" i="75"/>
  <c r="AE65" i="4"/>
  <c r="AM65" i="4" s="1"/>
  <c r="R119" i="4"/>
  <c r="H117" i="4"/>
  <c r="R143" i="75"/>
  <c r="H6" i="4"/>
  <c r="O6" i="4" s="1"/>
  <c r="N127" i="4"/>
  <c r="H16" i="4"/>
  <c r="R36" i="4"/>
  <c r="H72" i="4"/>
  <c r="N150" i="4"/>
  <c r="W150" i="4"/>
  <c r="N40" i="4"/>
  <c r="N129" i="4"/>
  <c r="K148" i="4"/>
  <c r="H25" i="4"/>
  <c r="R87" i="4"/>
  <c r="W135" i="4"/>
  <c r="R31" i="4"/>
  <c r="K38" i="4"/>
  <c r="N34" i="4"/>
  <c r="W127" i="4"/>
  <c r="R129" i="75"/>
  <c r="K72" i="4"/>
  <c r="K150" i="4"/>
  <c r="K40" i="4"/>
  <c r="N84" i="4"/>
  <c r="X60" i="4"/>
  <c r="N132" i="97"/>
  <c r="M71" i="97"/>
  <c r="M121" i="97"/>
  <c r="K104" i="97"/>
  <c r="I102" i="99"/>
  <c r="J91" i="107" s="1"/>
  <c r="I87" i="99"/>
  <c r="K89" i="97"/>
  <c r="K140" i="97"/>
  <c r="I138" i="99"/>
  <c r="J123" i="107" s="1"/>
  <c r="S44" i="97"/>
  <c r="S75" i="97"/>
  <c r="S45" i="97"/>
  <c r="N58" i="97"/>
  <c r="T43" i="97"/>
  <c r="M103" i="75"/>
  <c r="N103" i="75" s="1"/>
  <c r="L89" i="107" s="1"/>
  <c r="AM104" i="4"/>
  <c r="Z95" i="75"/>
  <c r="B130" i="99"/>
  <c r="K132" i="97" s="1"/>
  <c r="R101" i="75"/>
  <c r="R138" i="3"/>
  <c r="Q137" i="97"/>
  <c r="N133" i="75"/>
  <c r="H68" i="4"/>
  <c r="W105" i="4"/>
  <c r="K43" i="4"/>
  <c r="K9" i="75"/>
  <c r="L9" i="75" s="1"/>
  <c r="M9" i="75" s="1"/>
  <c r="N9" i="75" s="1"/>
  <c r="L6" i="102" s="1"/>
  <c r="K7" i="75"/>
  <c r="L7" i="75" s="1"/>
  <c r="M7" i="75" s="1"/>
  <c r="K8" i="75"/>
  <c r="L8" i="75" s="1"/>
  <c r="M8" i="75" s="1"/>
  <c r="N8" i="75" s="1"/>
  <c r="L7" i="107" s="1"/>
  <c r="AG61" i="104"/>
  <c r="P101" i="104"/>
  <c r="M101" i="104" s="1"/>
  <c r="U34" i="97"/>
  <c r="Y26" i="4"/>
  <c r="Z26" i="4" s="1"/>
  <c r="V23" i="74"/>
  <c r="P49" i="104"/>
  <c r="M49" i="104" s="1"/>
  <c r="T21" i="74"/>
  <c r="I24" i="3" s="1"/>
  <c r="C145" i="104"/>
  <c r="H145" i="99" s="1"/>
  <c r="E145" i="99" s="1"/>
  <c r="K145" i="104"/>
  <c r="L145" i="104" s="1"/>
  <c r="D145" i="104" s="1"/>
  <c r="I92" i="103"/>
  <c r="P88" i="104"/>
  <c r="M88" i="104" s="1"/>
  <c r="G41" i="75"/>
  <c r="H41" i="75" s="1"/>
  <c r="F41" i="75"/>
  <c r="P95" i="3"/>
  <c r="N146" i="3"/>
  <c r="K146" i="3"/>
  <c r="K111" i="104"/>
  <c r="L111" i="104" s="1"/>
  <c r="D111" i="104" s="1"/>
  <c r="Y51" i="4"/>
  <c r="Z51" i="4" s="1"/>
  <c r="V48" i="74"/>
  <c r="T31" i="74"/>
  <c r="I34" i="3" s="1"/>
  <c r="K28" i="104"/>
  <c r="L28" i="104" s="1"/>
  <c r="D28" i="104" s="1"/>
  <c r="AG68" i="104"/>
  <c r="AB68" i="104" s="1"/>
  <c r="Z68" i="104" s="1"/>
  <c r="S68" i="104" s="1"/>
  <c r="AB18" i="104"/>
  <c r="Z18" i="104" s="1"/>
  <c r="S18" i="104" s="1"/>
  <c r="B18" i="104" s="1"/>
  <c r="F18" i="99" s="1"/>
  <c r="C18" i="99" s="1"/>
  <c r="U133" i="97"/>
  <c r="W91" i="75"/>
  <c r="X91" i="75"/>
  <c r="Y91" i="75" s="1"/>
  <c r="T25" i="75"/>
  <c r="U25" i="75" s="1"/>
  <c r="V25" i="75" s="1"/>
  <c r="O25" i="75"/>
  <c r="P25" i="75"/>
  <c r="Q25" i="75" s="1"/>
  <c r="L140" i="3"/>
  <c r="P140" i="3"/>
  <c r="N140" i="3"/>
  <c r="V31" i="103"/>
  <c r="G31" i="99" s="1"/>
  <c r="D31" i="99" s="1"/>
  <c r="AM15" i="4"/>
  <c r="AN15" i="4" s="1"/>
  <c r="H26" i="4"/>
  <c r="W73" i="4"/>
  <c r="X77" i="75"/>
  <c r="Y77" i="75" s="1"/>
  <c r="Z77" i="75" s="1"/>
  <c r="P77" i="75"/>
  <c r="Q77" i="75" s="1"/>
  <c r="O77" i="75"/>
  <c r="T77" i="75"/>
  <c r="U77" i="75" s="1"/>
  <c r="V77" i="75" s="1"/>
  <c r="V23" i="103"/>
  <c r="G23" i="99" s="1"/>
  <c r="D23" i="99" s="1"/>
  <c r="G91" i="104"/>
  <c r="D91" i="104" s="1"/>
  <c r="G34" i="75"/>
  <c r="H34" i="75" s="1"/>
  <c r="F34" i="75"/>
  <c r="M86" i="3"/>
  <c r="P86" i="3"/>
  <c r="G45" i="104"/>
  <c r="D45" i="104" s="1"/>
  <c r="N31" i="4"/>
  <c r="AL79" i="4"/>
  <c r="P68" i="75"/>
  <c r="Q68" i="75" s="1"/>
  <c r="O68" i="75"/>
  <c r="T68" i="75"/>
  <c r="U68" i="75" s="1"/>
  <c r="V68" i="75" s="1"/>
  <c r="K18" i="75"/>
  <c r="L18" i="75" s="1"/>
  <c r="M18" i="75" s="1"/>
  <c r="N18" i="75" s="1"/>
  <c r="K17" i="75"/>
  <c r="L17" i="75" s="1"/>
  <c r="M17" i="75" s="1"/>
  <c r="K15" i="75"/>
  <c r="L15" i="75" s="1"/>
  <c r="M15" i="75" s="1"/>
  <c r="P77" i="3"/>
  <c r="W137" i="75"/>
  <c r="X137" i="75"/>
  <c r="Y137" i="75" s="1"/>
  <c r="K55" i="104"/>
  <c r="L55" i="104" s="1"/>
  <c r="D55" i="104" s="1"/>
  <c r="Y19" i="4"/>
  <c r="Z19" i="4" s="1"/>
  <c r="V16" i="74"/>
  <c r="G86" i="75"/>
  <c r="H86" i="75" s="1"/>
  <c r="F86" i="75"/>
  <c r="M67" i="104"/>
  <c r="C67" i="104" s="1"/>
  <c r="H67" i="99" s="1"/>
  <c r="E67" i="99" s="1"/>
  <c r="D41" i="104"/>
  <c r="K106" i="4"/>
  <c r="G97" i="104"/>
  <c r="I55" i="103"/>
  <c r="V55" i="103" s="1"/>
  <c r="G55" i="99" s="1"/>
  <c r="D55" i="99" s="1"/>
  <c r="U45" i="97"/>
  <c r="AN24" i="104"/>
  <c r="P152" i="104"/>
  <c r="M152" i="104" s="1"/>
  <c r="N122" i="4"/>
  <c r="W122" i="4"/>
  <c r="R34" i="4"/>
  <c r="K40" i="75"/>
  <c r="L40" i="75" s="1"/>
  <c r="M40" i="75" s="1"/>
  <c r="N40" i="75" s="1"/>
  <c r="AG113" i="104"/>
  <c r="AB113" i="104" s="1"/>
  <c r="Z113" i="104" s="1"/>
  <c r="S113" i="104" s="1"/>
  <c r="AG81" i="104"/>
  <c r="AB81" i="104" s="1"/>
  <c r="Z81" i="104" s="1"/>
  <c r="S81" i="104" s="1"/>
  <c r="P65" i="3"/>
  <c r="L65" i="3"/>
  <c r="N65" i="3"/>
  <c r="J22" i="75"/>
  <c r="K22" i="75"/>
  <c r="L22" i="75" s="1"/>
  <c r="K91" i="75"/>
  <c r="L91" i="75" s="1"/>
  <c r="J91" i="75"/>
  <c r="AB54" i="104"/>
  <c r="Z54" i="104" s="1"/>
  <c r="S54" i="104" s="1"/>
  <c r="V44" i="103"/>
  <c r="G44" i="99" s="1"/>
  <c r="D44" i="99" s="1"/>
  <c r="Y27" i="4"/>
  <c r="Z27" i="4" s="1"/>
  <c r="V24" i="74"/>
  <c r="G150" i="75"/>
  <c r="H150" i="75" s="1"/>
  <c r="F150" i="75"/>
  <c r="AB116" i="104"/>
  <c r="Z116" i="104" s="1"/>
  <c r="S116" i="104" s="1"/>
  <c r="H41" i="4"/>
  <c r="S135" i="75"/>
  <c r="T135" i="75"/>
  <c r="U135" i="75" s="1"/>
  <c r="N75" i="75"/>
  <c r="L65" i="107" s="1"/>
  <c r="H36" i="4"/>
  <c r="U91" i="97"/>
  <c r="P69" i="3"/>
  <c r="O69" i="3"/>
  <c r="N69" i="3"/>
  <c r="F134" i="75"/>
  <c r="G134" i="75"/>
  <c r="H134" i="75" s="1"/>
  <c r="G147" i="104"/>
  <c r="AG107" i="104"/>
  <c r="G83" i="75"/>
  <c r="H83" i="75" s="1"/>
  <c r="F83" i="75"/>
  <c r="S51" i="75"/>
  <c r="T51" i="75"/>
  <c r="U51" i="75" s="1"/>
  <c r="AG38" i="104"/>
  <c r="AB38" i="104" s="1"/>
  <c r="Z38" i="104" s="1"/>
  <c r="S38" i="104" s="1"/>
  <c r="AN29" i="104"/>
  <c r="R10" i="3"/>
  <c r="Q9" i="97"/>
  <c r="Q40" i="4"/>
  <c r="R40" i="4" s="1"/>
  <c r="V76" i="103"/>
  <c r="G76" i="99" s="1"/>
  <c r="D76" i="99" s="1"/>
  <c r="P73" i="104"/>
  <c r="M73" i="104" s="1"/>
  <c r="T61" i="74"/>
  <c r="I64" i="3" s="1"/>
  <c r="K68" i="75"/>
  <c r="L68" i="75" s="1"/>
  <c r="J68" i="75"/>
  <c r="I81" i="103"/>
  <c r="V81" i="103" s="1"/>
  <c r="G81" i="99" s="1"/>
  <c r="D81" i="99" s="1"/>
  <c r="AG24" i="104"/>
  <c r="M83" i="3"/>
  <c r="G43" i="104"/>
  <c r="O39" i="75"/>
  <c r="P39" i="75"/>
  <c r="Q39" i="75" s="1"/>
  <c r="T39" i="75"/>
  <c r="U39" i="75" s="1"/>
  <c r="V39" i="75" s="1"/>
  <c r="AB14" i="104"/>
  <c r="Z14" i="104" s="1"/>
  <c r="S14" i="104" s="1"/>
  <c r="AL37" i="4"/>
  <c r="AN23" i="104"/>
  <c r="AB23" i="104" s="1"/>
  <c r="Z23" i="104" s="1"/>
  <c r="S23" i="104" s="1"/>
  <c r="O86" i="3"/>
  <c r="V123" i="103"/>
  <c r="G123" i="99" s="1"/>
  <c r="D123" i="99" s="1"/>
  <c r="P91" i="3"/>
  <c r="M116" i="75"/>
  <c r="M106" i="75"/>
  <c r="N106" i="75" s="1"/>
  <c r="L92" i="107" s="1"/>
  <c r="AM101" i="4"/>
  <c r="AN101" i="4" s="1"/>
  <c r="S87" i="107" s="1"/>
  <c r="Q87" i="107" s="1"/>
  <c r="AM120" i="4"/>
  <c r="AN120" i="4" s="1"/>
  <c r="S105" i="107" s="1"/>
  <c r="Q105" i="107" s="1"/>
  <c r="Z93" i="75"/>
  <c r="AA93" i="75" s="1"/>
  <c r="AB93" i="75" s="1"/>
  <c r="M81" i="107" s="1"/>
  <c r="R97" i="75"/>
  <c r="M134" i="75"/>
  <c r="M104" i="75"/>
  <c r="W131" i="4"/>
  <c r="C150" i="104"/>
  <c r="G150" i="104"/>
  <c r="P83" i="75"/>
  <c r="Q83" i="75" s="1"/>
  <c r="O83" i="75"/>
  <c r="T83" i="75"/>
  <c r="U83" i="75" s="1"/>
  <c r="V83" i="75" s="1"/>
  <c r="X83" i="75"/>
  <c r="Y83" i="75" s="1"/>
  <c r="Z83" i="75" s="1"/>
  <c r="K79" i="75"/>
  <c r="L79" i="75" s="1"/>
  <c r="J79" i="75"/>
  <c r="G60" i="104"/>
  <c r="D60" i="104" s="1"/>
  <c r="B60" i="104" s="1"/>
  <c r="F60" i="99" s="1"/>
  <c r="C60" i="99" s="1"/>
  <c r="C60" i="104"/>
  <c r="H60" i="99" s="1"/>
  <c r="E60" i="99" s="1"/>
  <c r="J41" i="75"/>
  <c r="K41" i="75"/>
  <c r="L41" i="75" s="1"/>
  <c r="U94" i="97"/>
  <c r="U63" i="97"/>
  <c r="W48" i="75"/>
  <c r="X48" i="75"/>
  <c r="Y48" i="75" s="1"/>
  <c r="F25" i="75"/>
  <c r="G25" i="75"/>
  <c r="H25" i="75" s="1"/>
  <c r="V34" i="103"/>
  <c r="G34" i="99" s="1"/>
  <c r="D34" i="99" s="1"/>
  <c r="M95" i="3"/>
  <c r="V61" i="103"/>
  <c r="G61" i="99" s="1"/>
  <c r="D61" i="99" s="1"/>
  <c r="I88" i="103"/>
  <c r="V88" i="103" s="1"/>
  <c r="G88" i="99" s="1"/>
  <c r="D88" i="99" s="1"/>
  <c r="P78" i="104"/>
  <c r="M78" i="104" s="1"/>
  <c r="S54" i="74"/>
  <c r="H57" i="3" s="1"/>
  <c r="I98" i="103"/>
  <c r="G62" i="75"/>
  <c r="H62" i="75" s="1"/>
  <c r="F62" i="75"/>
  <c r="N130" i="75"/>
  <c r="P150" i="104"/>
  <c r="M150" i="104" s="1"/>
  <c r="R24" i="4"/>
  <c r="Y129" i="4"/>
  <c r="Z129" i="4" s="1"/>
  <c r="AN129" i="4" s="1"/>
  <c r="S63" i="102" s="1"/>
  <c r="V126" i="74"/>
  <c r="AL34" i="4"/>
  <c r="AM34" i="4" s="1"/>
  <c r="AG110" i="104"/>
  <c r="AB110" i="104" s="1"/>
  <c r="Z110" i="104" s="1"/>
  <c r="S110" i="104" s="1"/>
  <c r="O22" i="3"/>
  <c r="L22" i="3"/>
  <c r="J86" i="75"/>
  <c r="P86" i="75"/>
  <c r="Q86" i="75" s="1"/>
  <c r="R86" i="75" s="1"/>
  <c r="K86" i="75"/>
  <c r="L86" i="75" s="1"/>
  <c r="M77" i="104"/>
  <c r="U36" i="74"/>
  <c r="J39" i="3" s="1"/>
  <c r="S19" i="74"/>
  <c r="H22" i="3" s="1"/>
  <c r="Q26" i="4"/>
  <c r="R26" i="4" s="1"/>
  <c r="H135" i="4"/>
  <c r="X80" i="75"/>
  <c r="Y80" i="75" s="1"/>
  <c r="W80" i="75"/>
  <c r="AH36" i="4"/>
  <c r="AE79" i="4"/>
  <c r="AM70" i="4"/>
  <c r="Y38" i="4"/>
  <c r="Z38" i="4" s="1"/>
  <c r="V35" i="74"/>
  <c r="U85" i="97"/>
  <c r="Y76" i="4"/>
  <c r="Z76" i="4" s="1"/>
  <c r="V73" i="74"/>
  <c r="K31" i="4"/>
  <c r="K23" i="75"/>
  <c r="L23" i="75" s="1"/>
  <c r="M23" i="75" s="1"/>
  <c r="K21" i="75"/>
  <c r="L21" i="75" s="1"/>
  <c r="M21" i="75" s="1"/>
  <c r="Z136" i="75"/>
  <c r="T65" i="75"/>
  <c r="U65" i="75" s="1"/>
  <c r="S65" i="75"/>
  <c r="H38" i="4"/>
  <c r="G19" i="104"/>
  <c r="J147" i="75"/>
  <c r="P147" i="75"/>
  <c r="Q147" i="75" s="1"/>
  <c r="R147" i="75" s="1"/>
  <c r="K147" i="75"/>
  <c r="L147" i="75" s="1"/>
  <c r="F35" i="75"/>
  <c r="G35" i="75"/>
  <c r="H35" i="75" s="1"/>
  <c r="L34" i="3"/>
  <c r="V128" i="103"/>
  <c r="G128" i="99" s="1"/>
  <c r="D128" i="99" s="1"/>
  <c r="AB118" i="104"/>
  <c r="Z118" i="104" s="1"/>
  <c r="S118" i="104" s="1"/>
  <c r="S41" i="74"/>
  <c r="H44" i="3" s="1"/>
  <c r="G31" i="104"/>
  <c r="D31" i="104" s="1"/>
  <c r="D117" i="104"/>
  <c r="U68" i="74"/>
  <c r="J71" i="3" s="1"/>
  <c r="K34" i="4"/>
  <c r="X69" i="75"/>
  <c r="Y69" i="75" s="1"/>
  <c r="Z69" i="75" s="1"/>
  <c r="P69" i="75"/>
  <c r="Q69" i="75" s="1"/>
  <c r="O69" i="75"/>
  <c r="T69" i="75"/>
  <c r="U69" i="75" s="1"/>
  <c r="V69" i="75" s="1"/>
  <c r="G88" i="104"/>
  <c r="AL77" i="4"/>
  <c r="G71" i="75"/>
  <c r="H71" i="75" s="1"/>
  <c r="F71" i="75"/>
  <c r="G49" i="104"/>
  <c r="U24" i="97"/>
  <c r="AJ128" i="104"/>
  <c r="AB128" i="104" s="1"/>
  <c r="Z128" i="104" s="1"/>
  <c r="AB99" i="104"/>
  <c r="Z99" i="104" s="1"/>
  <c r="S99" i="104" s="1"/>
  <c r="M89" i="104"/>
  <c r="G65" i="75"/>
  <c r="H65" i="75" s="1"/>
  <c r="F65" i="75"/>
  <c r="Y57" i="4"/>
  <c r="Z57" i="4" s="1"/>
  <c r="AN57" i="4" s="1"/>
  <c r="V54" i="74"/>
  <c r="R41" i="4"/>
  <c r="G11" i="75"/>
  <c r="H11" i="75" s="1"/>
  <c r="F11" i="75"/>
  <c r="H127" i="4"/>
  <c r="K36" i="4"/>
  <c r="W132" i="4"/>
  <c r="R121" i="4"/>
  <c r="M84" i="3"/>
  <c r="U68" i="97"/>
  <c r="L12" i="104"/>
  <c r="AB65" i="104"/>
  <c r="Z65" i="104" s="1"/>
  <c r="S65" i="104" s="1"/>
  <c r="L41" i="3"/>
  <c r="G54" i="104"/>
  <c r="D54" i="104" s="1"/>
  <c r="Q92" i="4"/>
  <c r="R92" i="4" s="1"/>
  <c r="Q93" i="4"/>
  <c r="R93" i="4" s="1"/>
  <c r="X93" i="4" s="1"/>
  <c r="R81" i="107" s="1"/>
  <c r="Q81" i="107" s="1"/>
  <c r="L79" i="3"/>
  <c r="U70" i="97"/>
  <c r="P70" i="3"/>
  <c r="N70" i="3"/>
  <c r="M62" i="104"/>
  <c r="S35" i="74"/>
  <c r="H38" i="3" s="1"/>
  <c r="M36" i="3"/>
  <c r="K93" i="75"/>
  <c r="L93" i="75" s="1"/>
  <c r="M93" i="75" s="1"/>
  <c r="N93" i="75" s="1"/>
  <c r="L81" i="107" s="1"/>
  <c r="AG80" i="104"/>
  <c r="AB80" i="104" s="1"/>
  <c r="Z80" i="104" s="1"/>
  <c r="S80" i="104" s="1"/>
  <c r="L98" i="104"/>
  <c r="AB47" i="104"/>
  <c r="Z47" i="104" s="1"/>
  <c r="M43" i="3"/>
  <c r="P41" i="3"/>
  <c r="AN34" i="104"/>
  <c r="T146" i="74"/>
  <c r="I149" i="3" s="1"/>
  <c r="B119" i="99"/>
  <c r="Z138" i="75"/>
  <c r="AA138" i="75" s="1"/>
  <c r="AB138" i="75" s="1"/>
  <c r="M99" i="75"/>
  <c r="N99" i="75" s="1"/>
  <c r="M108" i="75"/>
  <c r="R115" i="75"/>
  <c r="M102" i="75"/>
  <c r="N102" i="75" s="1"/>
  <c r="L88" i="107" s="1"/>
  <c r="V96" i="75"/>
  <c r="AN125" i="4"/>
  <c r="S110" i="107" s="1"/>
  <c r="Q110" i="107" s="1"/>
  <c r="AM123" i="4"/>
  <c r="AN123" i="4" s="1"/>
  <c r="K105" i="4"/>
  <c r="G84" i="75"/>
  <c r="H84" i="75" s="1"/>
  <c r="F84" i="75"/>
  <c r="J53" i="75"/>
  <c r="K53" i="75"/>
  <c r="L53" i="75" s="1"/>
  <c r="R42" i="4"/>
  <c r="C121" i="104"/>
  <c r="H121" i="99" s="1"/>
  <c r="E121" i="99" s="1"/>
  <c r="L121" i="104"/>
  <c r="D121" i="104" s="1"/>
  <c r="B121" i="104" s="1"/>
  <c r="F121" i="99" s="1"/>
  <c r="C121" i="99" s="1"/>
  <c r="J56" i="75"/>
  <c r="K56" i="75"/>
  <c r="L56" i="75" s="1"/>
  <c r="P56" i="75"/>
  <c r="Q56" i="75" s="1"/>
  <c r="R56" i="75" s="1"/>
  <c r="AB56" i="75" s="1"/>
  <c r="V45" i="103"/>
  <c r="G45" i="99" s="1"/>
  <c r="D45" i="99" s="1"/>
  <c r="C59" i="107"/>
  <c r="W33" i="4"/>
  <c r="C32" i="107"/>
  <c r="C25" i="102"/>
  <c r="C112" i="107"/>
  <c r="C12" i="107"/>
  <c r="C77" i="107"/>
  <c r="Z227" i="108"/>
  <c r="D227" i="108" s="1"/>
  <c r="Z232" i="108"/>
  <c r="D232" i="108" s="1"/>
  <c r="Z239" i="108"/>
  <c r="D239" i="108" s="1"/>
  <c r="C71" i="102"/>
  <c r="Z245" i="108"/>
  <c r="D245" i="108" s="1"/>
  <c r="Z237" i="108"/>
  <c r="D237" i="108" s="1"/>
  <c r="Z143" i="108"/>
  <c r="D143" i="108" s="1"/>
  <c r="C20" i="107"/>
  <c r="C75" i="107"/>
  <c r="Z13" i="108"/>
  <c r="D13" i="108" s="1"/>
  <c r="Z283" i="108"/>
  <c r="D283" i="108" s="1"/>
  <c r="Z146" i="108"/>
  <c r="D146" i="108" s="1"/>
  <c r="C69" i="102"/>
  <c r="C58" i="107"/>
  <c r="Z121" i="108"/>
  <c r="D121" i="108" s="1"/>
  <c r="Z100" i="108"/>
  <c r="D100" i="108" s="1"/>
  <c r="C105" i="107"/>
  <c r="C45" i="102"/>
  <c r="Z103" i="108"/>
  <c r="D103" i="108" s="1"/>
  <c r="Z61" i="108"/>
  <c r="D61" i="108" s="1"/>
  <c r="Z296" i="108"/>
  <c r="D296" i="108" s="1"/>
  <c r="Z104" i="108"/>
  <c r="D104" i="108" s="1"/>
  <c r="C49" i="107"/>
  <c r="Z154" i="108"/>
  <c r="D154" i="108" s="1"/>
  <c r="Z278" i="108"/>
  <c r="D278" i="108" s="1"/>
  <c r="Z97" i="108"/>
  <c r="D97" i="108" s="1"/>
  <c r="C11" i="102"/>
  <c r="C26" i="102"/>
  <c r="C41" i="107"/>
  <c r="C56" i="102"/>
  <c r="C28" i="107"/>
  <c r="C72" i="107"/>
  <c r="C17" i="107"/>
  <c r="C25" i="107"/>
  <c r="C26" i="107"/>
  <c r="C70" i="107"/>
  <c r="C106" i="107"/>
  <c r="C37" i="107"/>
  <c r="Z159" i="108"/>
  <c r="D159" i="108" s="1"/>
  <c r="Z151" i="108"/>
  <c r="D151" i="108" s="1"/>
  <c r="Z79" i="108"/>
  <c r="D79" i="108" s="1"/>
  <c r="C8" i="107"/>
  <c r="C21" i="102"/>
  <c r="C10" i="107"/>
  <c r="C22" i="102"/>
  <c r="C56" i="107"/>
  <c r="C66" i="107"/>
  <c r="C11" i="107"/>
  <c r="C125" i="107"/>
  <c r="Z115" i="108"/>
  <c r="D115" i="108" s="1"/>
  <c r="Z20" i="108"/>
  <c r="D20" i="108" s="1"/>
  <c r="Z99" i="108"/>
  <c r="D99" i="108" s="1"/>
  <c r="C117" i="107"/>
  <c r="Z106" i="108"/>
  <c r="D106" i="108" s="1"/>
  <c r="Z77" i="108"/>
  <c r="D77" i="108" s="1"/>
  <c r="Z7" i="108"/>
  <c r="D7" i="108" s="1"/>
  <c r="C58" i="102"/>
  <c r="C22" i="107"/>
  <c r="Z67" i="108"/>
  <c r="D67" i="108" s="1"/>
  <c r="Z130" i="108"/>
  <c r="D130" i="108" s="1"/>
  <c r="Z18" i="108"/>
  <c r="D18" i="108" s="1"/>
  <c r="C57" i="107"/>
  <c r="C60" i="102"/>
  <c r="C74" i="107"/>
  <c r="Z4" i="108"/>
  <c r="D4" i="108" s="1"/>
  <c r="Z267" i="108"/>
  <c r="D267" i="108" s="1"/>
  <c r="C89" i="107"/>
  <c r="C91" i="107"/>
  <c r="C19" i="102"/>
  <c r="C31" i="107"/>
  <c r="Z333" i="108"/>
  <c r="D333" i="108" s="1"/>
  <c r="Z234" i="108"/>
  <c r="D234" i="108" s="1"/>
  <c r="Z295" i="108"/>
  <c r="D295" i="108" s="1"/>
  <c r="Z298" i="108"/>
  <c r="D298" i="108" s="1"/>
  <c r="U5" i="97"/>
  <c r="C29" i="107"/>
  <c r="C27" i="102"/>
  <c r="C55" i="107"/>
  <c r="C54" i="107"/>
  <c r="C129" i="107"/>
  <c r="C8" i="102"/>
  <c r="Z48" i="108"/>
  <c r="D48" i="108" s="1"/>
  <c r="Z10" i="108"/>
  <c r="D10" i="108" s="1"/>
  <c r="Z311" i="108"/>
  <c r="D311" i="108" s="1"/>
  <c r="C28" i="102"/>
  <c r="Z216" i="108"/>
  <c r="D216" i="108" s="1"/>
  <c r="Z182" i="108"/>
  <c r="D182" i="108" s="1"/>
  <c r="Z157" i="108"/>
  <c r="D157" i="108" s="1"/>
  <c r="C36" i="102"/>
  <c r="C114" i="107"/>
  <c r="C47" i="107"/>
  <c r="Z37" i="108"/>
  <c r="D37" i="108" s="1"/>
  <c r="Z212" i="108"/>
  <c r="D212" i="108" s="1"/>
  <c r="C13" i="102"/>
  <c r="C12" i="102"/>
  <c r="C6" i="102"/>
  <c r="C33" i="102"/>
  <c r="C78" i="107"/>
  <c r="C61" i="107"/>
  <c r="C109" i="107"/>
  <c r="Z260" i="108"/>
  <c r="D260" i="108" s="1"/>
  <c r="Z258" i="108"/>
  <c r="D258" i="108" s="1"/>
  <c r="Z202" i="108"/>
  <c r="D202" i="108" s="1"/>
  <c r="Z9" i="108"/>
  <c r="D9" i="108" s="1"/>
  <c r="C6" i="107"/>
  <c r="C18" i="107"/>
  <c r="C30" i="107"/>
  <c r="C73" i="107"/>
  <c r="C96" i="107"/>
  <c r="C85" i="107"/>
  <c r="C15" i="102"/>
  <c r="C37" i="102"/>
  <c r="Z123" i="108"/>
  <c r="D123" i="108" s="1"/>
  <c r="Z166" i="108"/>
  <c r="D166" i="108" s="1"/>
  <c r="Z181" i="108"/>
  <c r="D181" i="108" s="1"/>
  <c r="C50" i="102"/>
  <c r="Z145" i="108"/>
  <c r="D145" i="108" s="1"/>
  <c r="Z34" i="108"/>
  <c r="D34" i="108" s="1"/>
  <c r="Z231" i="108"/>
  <c r="D231" i="108" s="1"/>
  <c r="C48" i="102"/>
  <c r="C14" i="107"/>
  <c r="C19" i="107"/>
  <c r="C97" i="107"/>
  <c r="C57" i="102"/>
  <c r="C118" i="107"/>
  <c r="C40" i="107"/>
  <c r="C93" i="107"/>
  <c r="C33" i="107"/>
  <c r="Z91" i="108"/>
  <c r="D91" i="108" s="1"/>
  <c r="Z51" i="108"/>
  <c r="D51" i="108" s="1"/>
  <c r="C39" i="102"/>
  <c r="C44" i="107"/>
  <c r="Z39" i="108"/>
  <c r="D39" i="108" s="1"/>
  <c r="Z316" i="108"/>
  <c r="D316" i="108" s="1"/>
  <c r="Z220" i="108"/>
  <c r="D220" i="108" s="1"/>
  <c r="C17" i="102"/>
  <c r="C122" i="107"/>
  <c r="Z133" i="108"/>
  <c r="D133" i="108" s="1"/>
  <c r="Z112" i="108"/>
  <c r="D112" i="108" s="1"/>
  <c r="Z288" i="108"/>
  <c r="D288" i="108" s="1"/>
  <c r="C32" i="102"/>
  <c r="Z280" i="108"/>
  <c r="D280" i="108" s="1"/>
  <c r="Z194" i="108"/>
  <c r="D194" i="108" s="1"/>
  <c r="Z169" i="108"/>
  <c r="D169" i="108" s="1"/>
  <c r="C67" i="102"/>
  <c r="C51" i="102"/>
  <c r="Z31" i="108"/>
  <c r="D31" i="108" s="1"/>
  <c r="Z173" i="108"/>
  <c r="D173" i="108" s="1"/>
  <c r="Z83" i="108"/>
  <c r="D83" i="108" s="1"/>
  <c r="C132" i="107"/>
  <c r="Z322" i="108"/>
  <c r="D322" i="108" s="1"/>
  <c r="Z158" i="108"/>
  <c r="D158" i="108" s="1"/>
  <c r="Z72" i="108"/>
  <c r="D72" i="108" s="1"/>
  <c r="Z17" i="108"/>
  <c r="D17" i="108" s="1"/>
  <c r="C107" i="107"/>
  <c r="C82" i="107"/>
  <c r="Z308" i="108"/>
  <c r="D308" i="108" s="1"/>
  <c r="Z116" i="108"/>
  <c r="D116" i="108" s="1"/>
  <c r="Z44" i="108"/>
  <c r="D44" i="108" s="1"/>
  <c r="Z108" i="108"/>
  <c r="D108" i="108" s="1"/>
  <c r="C35" i="107"/>
  <c r="C46" i="107"/>
  <c r="Z27" i="108"/>
  <c r="D27" i="108" s="1"/>
  <c r="Z221" i="108"/>
  <c r="D221" i="108" s="1"/>
  <c r="C42" i="107"/>
  <c r="C7" i="107"/>
  <c r="C5" i="102"/>
  <c r="C20" i="102"/>
  <c r="Z57" i="108"/>
  <c r="D57" i="108" s="1"/>
  <c r="C81" i="107"/>
  <c r="C35" i="102"/>
  <c r="C39" i="107"/>
  <c r="Z307" i="108"/>
  <c r="D307" i="108" s="1"/>
  <c r="Z8" i="108"/>
  <c r="D8" i="108" s="1"/>
  <c r="Z43" i="108"/>
  <c r="D43" i="108" s="1"/>
  <c r="C99" i="107"/>
  <c r="C116" i="107"/>
  <c r="Z206" i="108"/>
  <c r="D206" i="108" s="1"/>
  <c r="Z50" i="108"/>
  <c r="D50" i="108" s="1"/>
  <c r="C133" i="107"/>
  <c r="Z189" i="108"/>
  <c r="D189" i="108" s="1"/>
  <c r="Z324" i="108"/>
  <c r="D324" i="108" s="1"/>
  <c r="C24" i="102"/>
  <c r="C127" i="107"/>
  <c r="Z142" i="108"/>
  <c r="D142" i="108" s="1"/>
  <c r="Z69" i="108"/>
  <c r="D69" i="108" s="1"/>
  <c r="C30" i="102"/>
  <c r="Z90" i="108"/>
  <c r="D90" i="108" s="1"/>
  <c r="C47" i="102"/>
  <c r="Z219" i="108"/>
  <c r="D219" i="108" s="1"/>
  <c r="Z76" i="108"/>
  <c r="D76" i="108" s="1"/>
  <c r="C14" i="102"/>
  <c r="Z193" i="108"/>
  <c r="D193" i="108" s="1"/>
  <c r="Z33" i="108"/>
  <c r="D33" i="108" s="1"/>
  <c r="C49" i="102"/>
  <c r="C29" i="102"/>
  <c r="Z318" i="108"/>
  <c r="D318" i="108" s="1"/>
  <c r="C123" i="107"/>
  <c r="Z161" i="108"/>
  <c r="D161" i="108" s="1"/>
  <c r="Z299" i="108"/>
  <c r="D299" i="108" s="1"/>
  <c r="Z233" i="108"/>
  <c r="D233" i="108" s="1"/>
  <c r="C130" i="107"/>
  <c r="Z132" i="108"/>
  <c r="D132" i="108" s="1"/>
  <c r="C7" i="102"/>
  <c r="C120" i="107"/>
  <c r="Z5" i="108"/>
  <c r="D5" i="108" s="1"/>
  <c r="Z85" i="108"/>
  <c r="D85" i="108" s="1"/>
  <c r="C13" i="107"/>
  <c r="C113" i="107"/>
  <c r="Z190" i="108"/>
  <c r="D190" i="108" s="1"/>
  <c r="Z186" i="108"/>
  <c r="D186" i="108" s="1"/>
  <c r="Z71" i="108"/>
  <c r="D71" i="108" s="1"/>
  <c r="Z66" i="108"/>
  <c r="D66" i="108" s="1"/>
  <c r="C21" i="107"/>
  <c r="C71" i="107"/>
  <c r="Z35" i="108"/>
  <c r="D35" i="108" s="1"/>
  <c r="Z249" i="108"/>
  <c r="D249" i="108" s="1"/>
  <c r="Z255" i="108"/>
  <c r="D255" i="108" s="1"/>
  <c r="Z294" i="108"/>
  <c r="D294" i="108" s="1"/>
  <c r="Z297" i="108"/>
  <c r="D297" i="108" s="1"/>
  <c r="Z230" i="108"/>
  <c r="D230" i="108" s="1"/>
  <c r="C31" i="102"/>
  <c r="C62" i="107"/>
  <c r="Z330" i="108"/>
  <c r="D330" i="108" s="1"/>
  <c r="Z109" i="108"/>
  <c r="D109" i="108" s="1"/>
  <c r="Z38" i="108"/>
  <c r="D38" i="108" s="1"/>
  <c r="C98" i="107"/>
  <c r="C38" i="107"/>
  <c r="C66" i="102"/>
  <c r="Z144" i="108"/>
  <c r="D144" i="108" s="1"/>
  <c r="Z98" i="108"/>
  <c r="D98" i="108" s="1"/>
  <c r="Z265" i="108"/>
  <c r="D265" i="108" s="1"/>
  <c r="C61" i="102"/>
  <c r="C79" i="107"/>
  <c r="Z63" i="108"/>
  <c r="D63" i="108" s="1"/>
  <c r="C43" i="102"/>
  <c r="Z250" i="108"/>
  <c r="D250" i="108" s="1"/>
  <c r="Z147" i="108"/>
  <c r="D147" i="108" s="1"/>
  <c r="C102" i="107"/>
  <c r="C86" i="107"/>
  <c r="Z47" i="108"/>
  <c r="D47" i="108" s="1"/>
  <c r="Z277" i="108"/>
  <c r="D277" i="108" s="1"/>
  <c r="C119" i="107"/>
  <c r="C124" i="107"/>
  <c r="Z30" i="108"/>
  <c r="D30" i="108" s="1"/>
  <c r="C52" i="107"/>
  <c r="Z272" i="108"/>
  <c r="D272" i="108" s="1"/>
  <c r="Z329" i="108"/>
  <c r="D329" i="108" s="1"/>
  <c r="Z184" i="108"/>
  <c r="D184" i="108" s="1"/>
  <c r="C103" i="107"/>
  <c r="C90" i="107"/>
  <c r="Z240" i="108"/>
  <c r="D240" i="108" s="1"/>
  <c r="Z113" i="108"/>
  <c r="D113" i="108" s="1"/>
  <c r="Z274" i="108"/>
  <c r="D274" i="108" s="1"/>
  <c r="C10" i="102"/>
  <c r="Z229" i="108"/>
  <c r="D229" i="108" s="1"/>
  <c r="Z88" i="108"/>
  <c r="D88" i="108" s="1"/>
  <c r="Z89" i="108"/>
  <c r="D89" i="108" s="1"/>
  <c r="C23" i="107"/>
  <c r="Z68" i="108"/>
  <c r="D68" i="108" s="1"/>
  <c r="C94" i="107"/>
  <c r="Z136" i="108"/>
  <c r="D136" i="108" s="1"/>
  <c r="C126" i="107"/>
  <c r="C92" i="107"/>
  <c r="Z101" i="108"/>
  <c r="D101" i="108" s="1"/>
  <c r="C64" i="102"/>
  <c r="Z326" i="108"/>
  <c r="D326" i="108" s="1"/>
  <c r="C44" i="102"/>
  <c r="Z210" i="108"/>
  <c r="D210" i="108" s="1"/>
  <c r="C16" i="107"/>
  <c r="Z178" i="108"/>
  <c r="D178" i="108" s="1"/>
  <c r="C65" i="102"/>
  <c r="Z179" i="108"/>
  <c r="D179" i="108" s="1"/>
  <c r="Z148" i="108"/>
  <c r="D148" i="108" s="1"/>
  <c r="C9" i="102"/>
  <c r="Z205" i="108"/>
  <c r="D205" i="108" s="1"/>
  <c r="Z261" i="108"/>
  <c r="D261" i="108" s="1"/>
  <c r="Z32" i="108"/>
  <c r="D32" i="108" s="1"/>
  <c r="C34" i="107"/>
  <c r="Z276" i="108"/>
  <c r="D276" i="108" s="1"/>
  <c r="Z268" i="108"/>
  <c r="D268" i="108" s="1"/>
  <c r="Z117" i="108"/>
  <c r="D117" i="108" s="1"/>
  <c r="C121" i="107"/>
  <c r="C34" i="102"/>
  <c r="Z228" i="108"/>
  <c r="D228" i="108" s="1"/>
  <c r="Z149" i="108"/>
  <c r="D149" i="108" s="1"/>
  <c r="C46" i="102"/>
  <c r="Z312" i="108"/>
  <c r="D312" i="108" s="1"/>
  <c r="Z313" i="108"/>
  <c r="D313" i="108" s="1"/>
  <c r="C83" i="107"/>
  <c r="Z124" i="108"/>
  <c r="D124" i="108" s="1"/>
  <c r="Z45" i="108"/>
  <c r="D45" i="108" s="1"/>
  <c r="C111" i="107"/>
  <c r="Z14" i="108"/>
  <c r="D14" i="108" s="1"/>
  <c r="Z214" i="108"/>
  <c r="D214" i="108" s="1"/>
  <c r="C42" i="102"/>
  <c r="C65" i="107"/>
  <c r="Z78" i="108"/>
  <c r="D78" i="108" s="1"/>
  <c r="Z6" i="108"/>
  <c r="D6" i="108" s="1"/>
  <c r="C62" i="102"/>
  <c r="C52" i="102"/>
  <c r="Z102" i="108"/>
  <c r="D102" i="108" s="1"/>
  <c r="Z164" i="108"/>
  <c r="D164" i="108" s="1"/>
  <c r="Z96" i="108"/>
  <c r="D96" i="108" s="1"/>
  <c r="Z19" i="108"/>
  <c r="D19" i="108" s="1"/>
  <c r="C60" i="107"/>
  <c r="Z125" i="108"/>
  <c r="D125" i="108" s="1"/>
  <c r="C27" i="107"/>
  <c r="C63" i="107"/>
  <c r="Z28" i="108"/>
  <c r="D28" i="108" s="1"/>
  <c r="Z140" i="108"/>
  <c r="D140" i="108" s="1"/>
  <c r="C68" i="102"/>
  <c r="C41" i="102"/>
  <c r="Z11" i="108"/>
  <c r="D11" i="108" s="1"/>
  <c r="Z163" i="108"/>
  <c r="D163" i="108" s="1"/>
  <c r="C100" i="107"/>
  <c r="Z217" i="108"/>
  <c r="D217" i="108" s="1"/>
  <c r="Z60" i="108"/>
  <c r="D60" i="108" s="1"/>
  <c r="Z254" i="108"/>
  <c r="D254" i="108" s="1"/>
  <c r="C18" i="102"/>
  <c r="C115" i="107"/>
  <c r="Z301" i="108"/>
  <c r="D301" i="108" s="1"/>
  <c r="Z213" i="108"/>
  <c r="D213" i="108" s="1"/>
  <c r="C72" i="102"/>
  <c r="C67" i="107"/>
  <c r="Z135" i="108"/>
  <c r="D135" i="108" s="1"/>
  <c r="Z256" i="108"/>
  <c r="D256" i="108" s="1"/>
  <c r="Z320" i="108"/>
  <c r="D320" i="108" s="1"/>
  <c r="C104" i="107"/>
  <c r="Z95" i="108"/>
  <c r="D95" i="108" s="1"/>
  <c r="Z224" i="108"/>
  <c r="D224" i="108" s="1"/>
  <c r="Z290" i="108"/>
  <c r="D290" i="108" s="1"/>
  <c r="C63" i="102"/>
  <c r="C15" i="107"/>
  <c r="Z59" i="108"/>
  <c r="D59" i="108" s="1"/>
  <c r="Z236" i="108"/>
  <c r="D236" i="108" s="1"/>
  <c r="C59" i="102"/>
  <c r="Z319" i="108"/>
  <c r="D319" i="108" s="1"/>
  <c r="Z42" i="108"/>
  <c r="D42" i="108" s="1"/>
  <c r="Z192" i="108"/>
  <c r="D192" i="108" s="1"/>
  <c r="C70" i="102"/>
  <c r="C131" i="107"/>
  <c r="C95" i="107"/>
  <c r="Z49" i="108"/>
  <c r="D49" i="108" s="1"/>
  <c r="Z40" i="108"/>
  <c r="D40" i="108" s="1"/>
  <c r="C9" i="107"/>
  <c r="Z262" i="108"/>
  <c r="D262" i="108" s="1"/>
  <c r="C38" i="102"/>
  <c r="C36" i="107"/>
  <c r="Z211" i="108"/>
  <c r="D211" i="108" s="1"/>
  <c r="Z36" i="108"/>
  <c r="D36" i="108" s="1"/>
  <c r="Z131" i="108"/>
  <c r="D131" i="108" s="1"/>
  <c r="Y131" i="4"/>
  <c r="Z131" i="4" s="1"/>
  <c r="V128" i="74"/>
  <c r="R110" i="75"/>
  <c r="T62" i="74"/>
  <c r="I65" i="3" s="1"/>
  <c r="G35" i="104"/>
  <c r="U47" i="97"/>
  <c r="AE39" i="4"/>
  <c r="F68" i="75"/>
  <c r="G68" i="75"/>
  <c r="H68" i="75" s="1"/>
  <c r="I89" i="75"/>
  <c r="N89" i="75" s="1"/>
  <c r="L77" i="107" s="1"/>
  <c r="W35" i="75"/>
  <c r="X35" i="75"/>
  <c r="Y35" i="75" s="1"/>
  <c r="U21" i="97"/>
  <c r="P118" i="104"/>
  <c r="M118" i="104" s="1"/>
  <c r="P19" i="104"/>
  <c r="M19" i="104" s="1"/>
  <c r="AE22" i="4"/>
  <c r="I100" i="103"/>
  <c r="V100" i="103" s="1"/>
  <c r="G100" i="99" s="1"/>
  <c r="D100" i="99" s="1"/>
  <c r="W26" i="4"/>
  <c r="V152" i="97" a="1"/>
  <c r="V152" i="97" s="1"/>
  <c r="J152" i="97"/>
  <c r="U152" i="97"/>
  <c r="U113" i="97"/>
  <c r="L86" i="3"/>
  <c r="AG43" i="104"/>
  <c r="J39" i="75"/>
  <c r="K39" i="75"/>
  <c r="L39" i="75" s="1"/>
  <c r="M34" i="3"/>
  <c r="P34" i="3"/>
  <c r="N34" i="3"/>
  <c r="S140" i="75"/>
  <c r="T140" i="75"/>
  <c r="U140" i="75" s="1"/>
  <c r="J45" i="75"/>
  <c r="K45" i="75"/>
  <c r="L45" i="75" s="1"/>
  <c r="H44" i="4"/>
  <c r="U93" i="97"/>
  <c r="S91" i="74"/>
  <c r="H94" i="3" s="1"/>
  <c r="AG33" i="104"/>
  <c r="K86" i="3"/>
  <c r="N86" i="3"/>
  <c r="N67" i="75"/>
  <c r="AM69" i="4"/>
  <c r="AN69" i="4" s="1"/>
  <c r="AB26" i="104"/>
  <c r="Z26" i="104" s="1"/>
  <c r="S26" i="104" s="1"/>
  <c r="G22" i="75"/>
  <c r="H22" i="75" s="1"/>
  <c r="F22" i="75"/>
  <c r="AN147" i="104"/>
  <c r="I142" i="103"/>
  <c r="V142" i="103" s="1"/>
  <c r="G142" i="99" s="1"/>
  <c r="D142" i="99" s="1"/>
  <c r="T44" i="74"/>
  <c r="I47" i="3" s="1"/>
  <c r="AG34" i="104"/>
  <c r="G79" i="75"/>
  <c r="H79" i="75" s="1"/>
  <c r="F79" i="75"/>
  <c r="M22" i="104"/>
  <c r="Q128" i="3"/>
  <c r="W34" i="4"/>
  <c r="G29" i="75"/>
  <c r="H29" i="75" s="1"/>
  <c r="F29" i="75"/>
  <c r="J60" i="75"/>
  <c r="K60" i="75"/>
  <c r="L60" i="75" s="1"/>
  <c r="P60" i="75"/>
  <c r="Q60" i="75" s="1"/>
  <c r="R60" i="75" s="1"/>
  <c r="M37" i="3"/>
  <c r="N25" i="3"/>
  <c r="L25" i="3"/>
  <c r="U83" i="97"/>
  <c r="F70" i="75"/>
  <c r="G70" i="75"/>
  <c r="H70" i="75" s="1"/>
  <c r="L36" i="3"/>
  <c r="O36" i="3"/>
  <c r="P25" i="3"/>
  <c r="N143" i="3"/>
  <c r="Q143" i="3" s="1"/>
  <c r="P125" i="107" s="1"/>
  <c r="K143" i="3"/>
  <c r="N121" i="4"/>
  <c r="L22" i="104"/>
  <c r="M41" i="3"/>
  <c r="AL46" i="4"/>
  <c r="S65" i="74"/>
  <c r="H68" i="3" s="1"/>
  <c r="V48" i="103"/>
  <c r="G48" i="99" s="1"/>
  <c r="D48" i="99" s="1"/>
  <c r="L27" i="3"/>
  <c r="O131" i="3"/>
  <c r="P131" i="3"/>
  <c r="L131" i="3"/>
  <c r="N131" i="3"/>
  <c r="I99" i="103"/>
  <c r="V99" i="103" s="1"/>
  <c r="G99" i="99" s="1"/>
  <c r="D99" i="99" s="1"/>
  <c r="AE41" i="4"/>
  <c r="AM41" i="4" s="1"/>
  <c r="AN41" i="4" s="1"/>
  <c r="I35" i="103"/>
  <c r="V35" i="103" s="1"/>
  <c r="G35" i="99" s="1"/>
  <c r="D35" i="99" s="1"/>
  <c r="AG131" i="104"/>
  <c r="AB131" i="104" s="1"/>
  <c r="Z131" i="104" s="1"/>
  <c r="S131" i="104" s="1"/>
  <c r="Q69" i="4"/>
  <c r="R69" i="4" s="1"/>
  <c r="X69" i="4" s="1"/>
  <c r="R37" i="102" s="1"/>
  <c r="Q70" i="4"/>
  <c r="R70" i="4" s="1"/>
  <c r="X70" i="4" s="1"/>
  <c r="Q71" i="4"/>
  <c r="R71" i="4" s="1"/>
  <c r="X71" i="4" s="1"/>
  <c r="R61" i="107" s="1"/>
  <c r="M140" i="3"/>
  <c r="R81" i="4"/>
  <c r="O127" i="3"/>
  <c r="K127" i="3"/>
  <c r="O112" i="107" s="1"/>
  <c r="S73" i="74"/>
  <c r="H76" i="3" s="1"/>
  <c r="M35" i="3"/>
  <c r="K84" i="4"/>
  <c r="AJ36" i="104"/>
  <c r="U136" i="74"/>
  <c r="J139" i="3" s="1"/>
  <c r="AN62" i="104"/>
  <c r="J46" i="75"/>
  <c r="K46" i="75"/>
  <c r="L46" i="75" s="1"/>
  <c r="P46" i="75"/>
  <c r="Q46" i="75" s="1"/>
  <c r="M150" i="3"/>
  <c r="I110" i="103"/>
  <c r="V110" i="103" s="1"/>
  <c r="G110" i="99" s="1"/>
  <c r="D110" i="99" s="1"/>
  <c r="D21" i="104"/>
  <c r="I100" i="75"/>
  <c r="Z107" i="75"/>
  <c r="I101" i="75"/>
  <c r="I110" i="75"/>
  <c r="N110" i="75" s="1"/>
  <c r="P112" i="104"/>
  <c r="M112" i="104" s="1"/>
  <c r="T45" i="74"/>
  <c r="I48" i="3" s="1"/>
  <c r="AE64" i="4"/>
  <c r="AM64" i="4" s="1"/>
  <c r="AN64" i="4" s="1"/>
  <c r="S144" i="75"/>
  <c r="T144" i="75"/>
  <c r="U144" i="75" s="1"/>
  <c r="G22" i="104"/>
  <c r="Q132" i="3"/>
  <c r="W98" i="4"/>
  <c r="N33" i="4"/>
  <c r="G122" i="104"/>
  <c r="D122" i="104" s="1"/>
  <c r="S49" i="74"/>
  <c r="H52" i="3" s="1"/>
  <c r="K34" i="104"/>
  <c r="L34" i="104" s="1"/>
  <c r="D34" i="104" s="1"/>
  <c r="Q148" i="3"/>
  <c r="P130" i="107" s="1"/>
  <c r="M6" i="3"/>
  <c r="N6" i="3"/>
  <c r="O6" i="3"/>
  <c r="L6" i="3"/>
  <c r="P6" i="3"/>
  <c r="W22" i="75"/>
  <c r="X22" i="75"/>
  <c r="Y22" i="75" s="1"/>
  <c r="AA110" i="75"/>
  <c r="P35" i="75"/>
  <c r="Q35" i="75" s="1"/>
  <c r="R35" i="75" s="1"/>
  <c r="K35" i="75"/>
  <c r="L35" i="75" s="1"/>
  <c r="J35" i="75"/>
  <c r="P92" i="104"/>
  <c r="M92" i="104" s="1"/>
  <c r="F69" i="75"/>
  <c r="G69" i="75"/>
  <c r="H69" i="75" s="1"/>
  <c r="AE32" i="4"/>
  <c r="G76" i="75"/>
  <c r="H76" i="75" s="1"/>
  <c r="F76" i="75"/>
  <c r="W44" i="75"/>
  <c r="X44" i="75"/>
  <c r="Y44" i="75" s="1"/>
  <c r="AG36" i="104"/>
  <c r="O71" i="75"/>
  <c r="T71" i="75"/>
  <c r="U71" i="75" s="1"/>
  <c r="V71" i="75" s="1"/>
  <c r="X71" i="75"/>
  <c r="Y71" i="75" s="1"/>
  <c r="Z71" i="75" s="1"/>
  <c r="P71" i="75"/>
  <c r="Q71" i="75" s="1"/>
  <c r="Q30" i="3"/>
  <c r="P16" i="102" s="1"/>
  <c r="V111" i="103"/>
  <c r="G111" i="99" s="1"/>
  <c r="D111" i="99" s="1"/>
  <c r="AE77" i="4"/>
  <c r="Y147" i="4"/>
  <c r="Z147" i="4" s="1"/>
  <c r="V144" i="74"/>
  <c r="X36" i="75"/>
  <c r="Y36" i="75" s="1"/>
  <c r="W36" i="75"/>
  <c r="W45" i="75"/>
  <c r="X45" i="75"/>
  <c r="Y45" i="75" s="1"/>
  <c r="K112" i="104"/>
  <c r="L112" i="104" s="1"/>
  <c r="D112" i="104" s="1"/>
  <c r="W140" i="4"/>
  <c r="AM43" i="4"/>
  <c r="U33" i="97"/>
  <c r="AL22" i="4"/>
  <c r="C148" i="104"/>
  <c r="H148" i="99" s="1"/>
  <c r="E148" i="99" s="1"/>
  <c r="B148" i="104"/>
  <c r="F148" i="99" s="1"/>
  <c r="C148" i="99" s="1"/>
  <c r="W147" i="75"/>
  <c r="X147" i="75"/>
  <c r="Y147" i="75" s="1"/>
  <c r="Y48" i="4"/>
  <c r="Z48" i="4" s="1"/>
  <c r="V45" i="74"/>
  <c r="AB141" i="104"/>
  <c r="Z141" i="104" s="1"/>
  <c r="AJ19" i="104"/>
  <c r="G61" i="104"/>
  <c r="D61" i="104" s="1"/>
  <c r="P91" i="104"/>
  <c r="M91" i="104" s="1"/>
  <c r="AN76" i="104"/>
  <c r="AB76" i="104" s="1"/>
  <c r="Z76" i="104" s="1"/>
  <c r="S76" i="104" s="1"/>
  <c r="Q50" i="3"/>
  <c r="K77" i="75"/>
  <c r="L77" i="75" s="1"/>
  <c r="J77" i="75"/>
  <c r="M48" i="3"/>
  <c r="V67" i="103"/>
  <c r="G67" i="99" s="1"/>
  <c r="D67" i="99" s="1"/>
  <c r="G44" i="75"/>
  <c r="H44" i="75" s="1"/>
  <c r="F44" i="75"/>
  <c r="W131" i="75"/>
  <c r="X131" i="75"/>
  <c r="Y131" i="75" s="1"/>
  <c r="U115" i="97"/>
  <c r="S50" i="74"/>
  <c r="H53" i="3" s="1"/>
  <c r="X84" i="75"/>
  <c r="Y84" i="75" s="1"/>
  <c r="W84" i="75"/>
  <c r="L21" i="3"/>
  <c r="AN33" i="104"/>
  <c r="G39" i="75"/>
  <c r="H39" i="75" s="1"/>
  <c r="F39" i="75"/>
  <c r="I7" i="99"/>
  <c r="J8" i="107" s="1"/>
  <c r="K9" i="97"/>
  <c r="R6" i="4"/>
  <c r="K80" i="75"/>
  <c r="L80" i="75" s="1"/>
  <c r="P80" i="75"/>
  <c r="Q80" i="75" s="1"/>
  <c r="J80" i="75"/>
  <c r="U64" i="97"/>
  <c r="J50" i="75"/>
  <c r="K50" i="75"/>
  <c r="L50" i="75" s="1"/>
  <c r="P50" i="75"/>
  <c r="Q50" i="75" s="1"/>
  <c r="R50" i="75" s="1"/>
  <c r="AB50" i="75" s="1"/>
  <c r="N43" i="3"/>
  <c r="P43" i="3"/>
  <c r="T33" i="75"/>
  <c r="U33" i="75" s="1"/>
  <c r="V33" i="75" s="1"/>
  <c r="P33" i="75"/>
  <c r="Q33" i="75" s="1"/>
  <c r="O33" i="75"/>
  <c r="X33" i="75"/>
  <c r="Y33" i="75" s="1"/>
  <c r="Z33" i="75" s="1"/>
  <c r="G143" i="104"/>
  <c r="D143" i="104" s="1"/>
  <c r="B143" i="104" s="1"/>
  <c r="F143" i="99" s="1"/>
  <c r="C143" i="99" s="1"/>
  <c r="C143" i="104"/>
  <c r="H143" i="99" s="1"/>
  <c r="E143" i="99" s="1"/>
  <c r="AM135" i="4"/>
  <c r="AN135" i="4" s="1"/>
  <c r="S118" i="107" s="1"/>
  <c r="L35" i="3"/>
  <c r="Y79" i="4"/>
  <c r="Z79" i="4" s="1"/>
  <c r="V76" i="74"/>
  <c r="G19" i="75"/>
  <c r="H19" i="75" s="1"/>
  <c r="F19" i="75"/>
  <c r="U35" i="97"/>
  <c r="F27" i="75"/>
  <c r="G27" i="75"/>
  <c r="H27" i="75" s="1"/>
  <c r="T18" i="74"/>
  <c r="I21" i="3" s="1"/>
  <c r="AM51" i="4"/>
  <c r="W81" i="4"/>
  <c r="C5" i="107"/>
  <c r="AB98" i="104"/>
  <c r="Z98" i="104" s="1"/>
  <c r="S98" i="104" s="1"/>
  <c r="AH25" i="4"/>
  <c r="J57" i="75"/>
  <c r="K57" i="75"/>
  <c r="L57" i="75" s="1"/>
  <c r="P57" i="75"/>
  <c r="Q57" i="75" s="1"/>
  <c r="R57" i="75" s="1"/>
  <c r="P65" i="104"/>
  <c r="M65" i="104" s="1"/>
  <c r="AE33" i="4"/>
  <c r="AM33" i="4" s="1"/>
  <c r="M24" i="104"/>
  <c r="V147" i="103"/>
  <c r="G147" i="99" s="1"/>
  <c r="D147" i="99" s="1"/>
  <c r="U130" i="97"/>
  <c r="T45" i="75"/>
  <c r="U45" i="75" s="1"/>
  <c r="V45" i="75" s="1"/>
  <c r="O45" i="75"/>
  <c r="P45" i="75"/>
  <c r="Q45" i="75" s="1"/>
  <c r="AG21" i="104"/>
  <c r="P79" i="75"/>
  <c r="Q79" i="75" s="1"/>
  <c r="O79" i="75"/>
  <c r="T79" i="75"/>
  <c r="U79" i="75" s="1"/>
  <c r="V79" i="75" s="1"/>
  <c r="X79" i="75"/>
  <c r="Y79" i="75" s="1"/>
  <c r="Z79" i="75" s="1"/>
  <c r="AN21" i="104"/>
  <c r="G65" i="104"/>
  <c r="I38" i="103"/>
  <c r="V38" i="103" s="1"/>
  <c r="G38" i="99" s="1"/>
  <c r="D38" i="99" s="1"/>
  <c r="AE27" i="4"/>
  <c r="P110" i="104"/>
  <c r="M110" i="104" s="1"/>
  <c r="V32" i="103"/>
  <c r="G32" i="99" s="1"/>
  <c r="D32" i="99" s="1"/>
  <c r="Q122" i="3"/>
  <c r="V21" i="74"/>
  <c r="Y24" i="4"/>
  <c r="Z24" i="4" s="1"/>
  <c r="I101" i="103"/>
  <c r="V101" i="103" s="1"/>
  <c r="G101" i="99" s="1"/>
  <c r="D101" i="99" s="1"/>
  <c r="T36" i="75"/>
  <c r="U36" i="75" s="1"/>
  <c r="V36" i="75" s="1"/>
  <c r="P36" i="75"/>
  <c r="Q36" i="75" s="1"/>
  <c r="O36" i="75"/>
  <c r="G91" i="75"/>
  <c r="H91" i="75" s="1"/>
  <c r="F91" i="75"/>
  <c r="V19" i="74"/>
  <c r="Y22" i="4"/>
  <c r="Z22" i="4" s="1"/>
  <c r="S60" i="75"/>
  <c r="T60" i="75"/>
  <c r="U60" i="75" s="1"/>
  <c r="Q42" i="3"/>
  <c r="P35" i="107" s="1"/>
  <c r="P116" i="104"/>
  <c r="M116" i="104" s="1"/>
  <c r="L64" i="3"/>
  <c r="N51" i="75"/>
  <c r="O125" i="75"/>
  <c r="R125" i="75" s="1"/>
  <c r="X125" i="75"/>
  <c r="Y125" i="75" s="1"/>
  <c r="Z125" i="75" s="1"/>
  <c r="I54" i="103"/>
  <c r="V54" i="103" s="1"/>
  <c r="G54" i="99" s="1"/>
  <c r="D54" i="99" s="1"/>
  <c r="AH35" i="4"/>
  <c r="AM35" i="4" s="1"/>
  <c r="P98" i="104"/>
  <c r="M98" i="104" s="1"/>
  <c r="M23" i="104"/>
  <c r="W77" i="4"/>
  <c r="K124" i="4"/>
  <c r="W24" i="4"/>
  <c r="AM149" i="4"/>
  <c r="AN149" i="4" s="1"/>
  <c r="AG74" i="104"/>
  <c r="O37" i="3"/>
  <c r="P37" i="3"/>
  <c r="F45" i="75"/>
  <c r="G45" i="75"/>
  <c r="H45" i="75" s="1"/>
  <c r="K146" i="104"/>
  <c r="L146" i="104" s="1"/>
  <c r="D146" i="104" s="1"/>
  <c r="B146" i="104" s="1"/>
  <c r="F146" i="99" s="1"/>
  <c r="C146" i="99" s="1"/>
  <c r="C146" i="104"/>
  <c r="H146" i="99" s="1"/>
  <c r="E146" i="99" s="1"/>
  <c r="AN31" i="104"/>
  <c r="AB31" i="104" s="1"/>
  <c r="Z31" i="104" s="1"/>
  <c r="F147" i="75"/>
  <c r="G147" i="75"/>
  <c r="H147" i="75" s="1"/>
  <c r="P41" i="75"/>
  <c r="Q41" i="75" s="1"/>
  <c r="O41" i="75"/>
  <c r="T41" i="75"/>
  <c r="U41" i="75" s="1"/>
  <c r="V41" i="75" s="1"/>
  <c r="D32" i="104"/>
  <c r="G15" i="75"/>
  <c r="H15" i="75" s="1"/>
  <c r="F15" i="75"/>
  <c r="I118" i="103"/>
  <c r="V118" i="103" s="1"/>
  <c r="G118" i="99" s="1"/>
  <c r="D118" i="99" s="1"/>
  <c r="O53" i="75"/>
  <c r="T53" i="75"/>
  <c r="U53" i="75" s="1"/>
  <c r="V53" i="75" s="1"/>
  <c r="P53" i="75"/>
  <c r="Q53" i="75" s="1"/>
  <c r="X53" i="75"/>
  <c r="Y53" i="75" s="1"/>
  <c r="Z53" i="75" s="1"/>
  <c r="W25" i="4"/>
  <c r="C3" i="104"/>
  <c r="H3" i="99" s="1"/>
  <c r="E3" i="99" s="1"/>
  <c r="B3" i="99" s="1"/>
  <c r="AE46" i="4"/>
  <c r="P26" i="75"/>
  <c r="Q26" i="75" s="1"/>
  <c r="O26" i="75"/>
  <c r="T26" i="75"/>
  <c r="U26" i="75" s="1"/>
  <c r="V26" i="75" s="1"/>
  <c r="X26" i="75"/>
  <c r="Y26" i="75" s="1"/>
  <c r="Z26" i="75" s="1"/>
  <c r="M17" i="3"/>
  <c r="O17" i="3"/>
  <c r="P17" i="3"/>
  <c r="L17" i="3"/>
  <c r="N17" i="3"/>
  <c r="T148" i="74"/>
  <c r="I151" i="3" s="1"/>
  <c r="V137" i="103"/>
  <c r="G137" i="99" s="1"/>
  <c r="D137" i="99" s="1"/>
  <c r="V126" i="103"/>
  <c r="G126" i="99" s="1"/>
  <c r="D126" i="99" s="1"/>
  <c r="U57" i="74"/>
  <c r="J60" i="3" s="1"/>
  <c r="AH22" i="4"/>
  <c r="I113" i="103"/>
  <c r="V113" i="103" s="1"/>
  <c r="G113" i="99" s="1"/>
  <c r="D113" i="99" s="1"/>
  <c r="F21" i="75"/>
  <c r="G21" i="75"/>
  <c r="H21" i="75" s="1"/>
  <c r="AB117" i="104"/>
  <c r="Z117" i="104" s="1"/>
  <c r="S117" i="104" s="1"/>
  <c r="I91" i="103"/>
  <c r="V91" i="103" s="1"/>
  <c r="G91" i="99" s="1"/>
  <c r="D91" i="99" s="1"/>
  <c r="G43" i="75"/>
  <c r="H43" i="75" s="1"/>
  <c r="F43" i="75"/>
  <c r="L39" i="3"/>
  <c r="M39" i="3"/>
  <c r="O39" i="3"/>
  <c r="AE25" i="4"/>
  <c r="M22" i="3"/>
  <c r="K134" i="104"/>
  <c r="L134" i="104" s="1"/>
  <c r="D134" i="104" s="1"/>
  <c r="B134" i="104" s="1"/>
  <c r="F134" i="99" s="1"/>
  <c r="C134" i="99" s="1"/>
  <c r="C134" i="104"/>
  <c r="H134" i="99" s="1"/>
  <c r="E134" i="99" s="1"/>
  <c r="S58" i="75"/>
  <c r="T58" i="75"/>
  <c r="U58" i="75" s="1"/>
  <c r="L48" i="3"/>
  <c r="S142" i="74"/>
  <c r="H145" i="3" s="1"/>
  <c r="I50" i="103"/>
  <c r="V50" i="103" s="1"/>
  <c r="G50" i="99" s="1"/>
  <c r="D50" i="99" s="1"/>
  <c r="P41" i="104"/>
  <c r="M41" i="104" s="1"/>
  <c r="T22" i="74"/>
  <c r="I25" i="3" s="1"/>
  <c r="O25" i="3" s="1"/>
  <c r="P21" i="3"/>
  <c r="M21" i="3"/>
  <c r="N21" i="3"/>
  <c r="P55" i="104"/>
  <c r="M55" i="104" s="1"/>
  <c r="AB35" i="104"/>
  <c r="Z35" i="104" s="1"/>
  <c r="S35" i="104" s="1"/>
  <c r="N56" i="3"/>
  <c r="L53" i="3"/>
  <c r="M120" i="75"/>
  <c r="S152" i="74"/>
  <c r="R122" i="4"/>
  <c r="H34" i="4"/>
  <c r="AE84" i="4"/>
  <c r="AM84" i="4" s="1"/>
  <c r="AN84" i="4" s="1"/>
  <c r="U42" i="97"/>
  <c r="J146" i="75"/>
  <c r="P146" i="75"/>
  <c r="Q146" i="75" s="1"/>
  <c r="R146" i="75" s="1"/>
  <c r="K146" i="75"/>
  <c r="L146" i="75" s="1"/>
  <c r="W41" i="75"/>
  <c r="X41" i="75"/>
  <c r="Y41" i="75" s="1"/>
  <c r="T89" i="74"/>
  <c r="I92" i="3" s="1"/>
  <c r="F36" i="75"/>
  <c r="G36" i="75"/>
  <c r="H36" i="75" s="1"/>
  <c r="K132" i="104"/>
  <c r="L132" i="104" s="1"/>
  <c r="D132" i="104" s="1"/>
  <c r="K127" i="4"/>
  <c r="N80" i="3"/>
  <c r="K121" i="4"/>
  <c r="AN109" i="104"/>
  <c r="AB109" i="104" s="1"/>
  <c r="Z109" i="104" s="1"/>
  <c r="U99" i="97"/>
  <c r="AJ22" i="104"/>
  <c r="J150" i="75"/>
  <c r="K150" i="75"/>
  <c r="L150" i="75" s="1"/>
  <c r="P150" i="75"/>
  <c r="Q150" i="75" s="1"/>
  <c r="R150" i="75" s="1"/>
  <c r="I65" i="103"/>
  <c r="V65" i="103" s="1"/>
  <c r="G65" i="99" s="1"/>
  <c r="D65" i="99" s="1"/>
  <c r="AG88" i="104"/>
  <c r="AB88" i="104" s="1"/>
  <c r="Z88" i="104" s="1"/>
  <c r="S88" i="104" s="1"/>
  <c r="U69" i="97"/>
  <c r="G24" i="104"/>
  <c r="D24" i="104" s="1"/>
  <c r="U18" i="97"/>
  <c r="O91" i="3"/>
  <c r="AE83" i="4"/>
  <c r="AM83" i="4" s="1"/>
  <c r="AN83" i="4" s="1"/>
  <c r="I131" i="103"/>
  <c r="V131" i="103" s="1"/>
  <c r="G131" i="99" s="1"/>
  <c r="D131" i="99" s="1"/>
  <c r="P81" i="104"/>
  <c r="M81" i="104" s="1"/>
  <c r="P68" i="3"/>
  <c r="S33" i="74"/>
  <c r="H36" i="3" s="1"/>
  <c r="J24" i="75"/>
  <c r="P24" i="75"/>
  <c r="Q24" i="75" s="1"/>
  <c r="R24" i="75" s="1"/>
  <c r="K24" i="75"/>
  <c r="L24" i="75" s="1"/>
  <c r="N150" i="3"/>
  <c r="P91" i="75"/>
  <c r="Q91" i="75" s="1"/>
  <c r="O91" i="75"/>
  <c r="T91" i="75"/>
  <c r="U91" i="75" s="1"/>
  <c r="V91" i="75" s="1"/>
  <c r="AJ45" i="104"/>
  <c r="X24" i="75"/>
  <c r="Y24" i="75" s="1"/>
  <c r="W24" i="75"/>
  <c r="O81" i="4"/>
  <c r="I112" i="103"/>
  <c r="V112" i="103" s="1"/>
  <c r="G112" i="99" s="1"/>
  <c r="D112" i="99" s="1"/>
  <c r="Z100" i="75"/>
  <c r="AA100" i="75" s="1"/>
  <c r="AB100" i="75" s="1"/>
  <c r="M86" i="107" s="1"/>
  <c r="AM102" i="4"/>
  <c r="AN102" i="4" s="1"/>
  <c r="S88" i="107" s="1"/>
  <c r="Q88" i="107" s="1"/>
  <c r="B46" i="99"/>
  <c r="K48" i="97" s="1"/>
  <c r="W35" i="4"/>
  <c r="N82" i="75"/>
  <c r="K128" i="4"/>
  <c r="H43" i="4"/>
  <c r="J63" i="75"/>
  <c r="P63" i="75"/>
  <c r="Q63" i="75" s="1"/>
  <c r="R63" i="75" s="1"/>
  <c r="K63" i="75"/>
  <c r="L63" i="75" s="1"/>
  <c r="U24" i="74"/>
  <c r="J27" i="3" s="1"/>
  <c r="G81" i="104"/>
  <c r="D81" i="104" s="1"/>
  <c r="B13" i="104"/>
  <c r="F13" i="99" s="1"/>
  <c r="C13" i="99" s="1"/>
  <c r="C13" i="104"/>
  <c r="H13" i="99" s="1"/>
  <c r="E13" i="99" s="1"/>
  <c r="AE6" i="4"/>
  <c r="AM6" i="4" s="1"/>
  <c r="AN6" i="4" s="1"/>
  <c r="B145" i="104"/>
  <c r="F145" i="99" s="1"/>
  <c r="C145" i="99" s="1"/>
  <c r="Y65" i="4"/>
  <c r="Z65" i="4" s="1"/>
  <c r="V62" i="74"/>
  <c r="K70" i="75"/>
  <c r="L70" i="75" s="1"/>
  <c r="M70" i="75" s="1"/>
  <c r="K69" i="75"/>
  <c r="L69" i="75" s="1"/>
  <c r="M69" i="75" s="1"/>
  <c r="O35" i="3"/>
  <c r="N35" i="3"/>
  <c r="O56" i="3"/>
  <c r="N27" i="4"/>
  <c r="O27" i="4" s="1"/>
  <c r="P83" i="3"/>
  <c r="O83" i="3"/>
  <c r="N83" i="3"/>
  <c r="W148" i="75"/>
  <c r="X148" i="75"/>
  <c r="Y148" i="75" s="1"/>
  <c r="I116" i="103"/>
  <c r="V116" i="103" s="1"/>
  <c r="G116" i="99" s="1"/>
  <c r="D116" i="99" s="1"/>
  <c r="T137" i="74"/>
  <c r="I140" i="3" s="1"/>
  <c r="S78" i="74"/>
  <c r="H81" i="3" s="1"/>
  <c r="G38" i="75"/>
  <c r="H38" i="75" s="1"/>
  <c r="F38" i="75"/>
  <c r="O22" i="75"/>
  <c r="T22" i="75"/>
  <c r="U22" i="75" s="1"/>
  <c r="V22" i="75" s="1"/>
  <c r="P22" i="75"/>
  <c r="Q22" i="75" s="1"/>
  <c r="X86" i="75"/>
  <c r="Y86" i="75" s="1"/>
  <c r="W86" i="75"/>
  <c r="AE80" i="4"/>
  <c r="AM80" i="4" s="1"/>
  <c r="AN80" i="4" s="1"/>
  <c r="S69" i="107" s="1"/>
  <c r="G59" i="104"/>
  <c r="D59" i="104" s="1"/>
  <c r="B59" i="104" s="1"/>
  <c r="F59" i="99" s="1"/>
  <c r="C59" i="99" s="1"/>
  <c r="C59" i="104"/>
  <c r="H59" i="99" s="1"/>
  <c r="E59" i="99" s="1"/>
  <c r="AM16" i="4"/>
  <c r="AN16" i="4" s="1"/>
  <c r="S13" i="107" s="1"/>
  <c r="AE150" i="4"/>
  <c r="W124" i="4"/>
  <c r="N118" i="4"/>
  <c r="N73" i="75"/>
  <c r="N24" i="4"/>
  <c r="O24" i="4" s="1"/>
  <c r="AE86" i="4"/>
  <c r="AM86" i="4" s="1"/>
  <c r="L14" i="104"/>
  <c r="D14" i="104" s="1"/>
  <c r="K25" i="4"/>
  <c r="N25" i="4"/>
  <c r="P100" i="104"/>
  <c r="M100" i="104" s="1"/>
  <c r="Q11" i="97"/>
  <c r="R12" i="3"/>
  <c r="K26" i="4"/>
  <c r="N135" i="4"/>
  <c r="N140" i="4"/>
  <c r="V74" i="103"/>
  <c r="G74" i="99" s="1"/>
  <c r="D74" i="99" s="1"/>
  <c r="AB40" i="104"/>
  <c r="Z40" i="104" s="1"/>
  <c r="S40" i="104" s="1"/>
  <c r="U16" i="97"/>
  <c r="K137" i="104"/>
  <c r="L137" i="104" s="1"/>
  <c r="D137" i="104" s="1"/>
  <c r="B137" i="104" s="1"/>
  <c r="F137" i="99" s="1"/>
  <c r="C137" i="99" s="1"/>
  <c r="C137" i="104"/>
  <c r="H137" i="99" s="1"/>
  <c r="E137" i="99" s="1"/>
  <c r="R44" i="4"/>
  <c r="W44" i="4"/>
  <c r="P113" i="104"/>
  <c r="M113" i="104" s="1"/>
  <c r="K48" i="75"/>
  <c r="L48" i="75" s="1"/>
  <c r="P48" i="75"/>
  <c r="Q48" i="75" s="1"/>
  <c r="R48" i="75" s="1"/>
  <c r="J48" i="75"/>
  <c r="W46" i="75"/>
  <c r="X46" i="75"/>
  <c r="Y46" i="75" s="1"/>
  <c r="F53" i="75"/>
  <c r="G53" i="75"/>
  <c r="H53" i="75" s="1"/>
  <c r="X76" i="75"/>
  <c r="Y76" i="75" s="1"/>
  <c r="W76" i="75"/>
  <c r="N119" i="4"/>
  <c r="W91" i="4"/>
  <c r="H91" i="4"/>
  <c r="AB66" i="104"/>
  <c r="Z66" i="104" s="1"/>
  <c r="S66" i="104" s="1"/>
  <c r="X43" i="75"/>
  <c r="Y43" i="75" s="1"/>
  <c r="Z43" i="75" s="1"/>
  <c r="O43" i="75"/>
  <c r="P43" i="75"/>
  <c r="Q43" i="75" s="1"/>
  <c r="T43" i="75"/>
  <c r="U43" i="75" s="1"/>
  <c r="V43" i="75" s="1"/>
  <c r="R38" i="4"/>
  <c r="N38" i="4"/>
  <c r="F144" i="75"/>
  <c r="G144" i="75"/>
  <c r="H144" i="75" s="1"/>
  <c r="AL150" i="4"/>
  <c r="G98" i="104"/>
  <c r="H106" i="4"/>
  <c r="AG89" i="104"/>
  <c r="AB89" i="104" s="1"/>
  <c r="Z89" i="104" s="1"/>
  <c r="S89" i="104" s="1"/>
  <c r="N46" i="3"/>
  <c r="P46" i="3"/>
  <c r="AL27" i="4"/>
  <c r="Q22" i="4"/>
  <c r="R22" i="4" s="1"/>
  <c r="X22" i="4" s="1"/>
  <c r="Q21" i="4"/>
  <c r="R21" i="4" s="1"/>
  <c r="X21" i="4" s="1"/>
  <c r="Q23" i="4"/>
  <c r="R23" i="4" s="1"/>
  <c r="AB132" i="104"/>
  <c r="Z132" i="104" s="1"/>
  <c r="S132" i="104" s="1"/>
  <c r="K86" i="97"/>
  <c r="I84" i="99"/>
  <c r="J45" i="102" s="1"/>
  <c r="S215" i="104"/>
  <c r="B215" i="104" s="1"/>
  <c r="C215" i="104"/>
  <c r="W117" i="4"/>
  <c r="W6" i="4"/>
  <c r="D97" i="104"/>
  <c r="B53" i="104"/>
  <c r="F53" i="99" s="1"/>
  <c r="C53" i="99" s="1"/>
  <c r="B53" i="99" s="1"/>
  <c r="AM38" i="4"/>
  <c r="AG12" i="104"/>
  <c r="AB12" i="104" s="1"/>
  <c r="Z12" i="104" s="1"/>
  <c r="S12" i="104" s="1"/>
  <c r="AM47" i="4"/>
  <c r="AN47" i="4" s="1"/>
  <c r="M16" i="104"/>
  <c r="AN74" i="104"/>
  <c r="AB74" i="104" s="1"/>
  <c r="Z74" i="104" s="1"/>
  <c r="S74" i="104" s="1"/>
  <c r="L108" i="104"/>
  <c r="D108" i="104" s="1"/>
  <c r="B108" i="104" s="1"/>
  <c r="F108" i="99" s="1"/>
  <c r="C108" i="99" s="1"/>
  <c r="B108" i="99" s="1"/>
  <c r="N41" i="4"/>
  <c r="S94" i="75"/>
  <c r="T94" i="75"/>
  <c r="U94" i="75" s="1"/>
  <c r="W16" i="4"/>
  <c r="N119" i="75"/>
  <c r="W36" i="4"/>
  <c r="H121" i="4"/>
  <c r="N92" i="3"/>
  <c r="P92" i="3"/>
  <c r="L92" i="3"/>
  <c r="AJ61" i="104"/>
  <c r="AB61" i="104" s="1"/>
  <c r="Z61" i="104" s="1"/>
  <c r="S61" i="104" s="1"/>
  <c r="V32" i="74"/>
  <c r="Y35" i="4"/>
  <c r="Z35" i="4" s="1"/>
  <c r="X15" i="75"/>
  <c r="Y15" i="75" s="1"/>
  <c r="Z15" i="75" s="1"/>
  <c r="O15" i="75"/>
  <c r="P15" i="75"/>
  <c r="Q15" i="75" s="1"/>
  <c r="T15" i="75"/>
  <c r="U15" i="75" s="1"/>
  <c r="V15" i="75" s="1"/>
  <c r="V83" i="74"/>
  <c r="Y86" i="4"/>
  <c r="Z86" i="4" s="1"/>
  <c r="M77" i="3"/>
  <c r="X68" i="75"/>
  <c r="Y68" i="75" s="1"/>
  <c r="W68" i="75"/>
  <c r="K38" i="104"/>
  <c r="L38" i="104" s="1"/>
  <c r="D38" i="104" s="1"/>
  <c r="P127" i="3"/>
  <c r="L127" i="3"/>
  <c r="N127" i="3"/>
  <c r="G80" i="104"/>
  <c r="D80" i="104" s="1"/>
  <c r="D147" i="104"/>
  <c r="P99" i="104"/>
  <c r="M99" i="104" s="1"/>
  <c r="M65" i="3"/>
  <c r="P35" i="104"/>
  <c r="M35" i="104" s="1"/>
  <c r="Q19" i="4"/>
  <c r="U19" i="4"/>
  <c r="F19" i="4"/>
  <c r="I19" i="4"/>
  <c r="S19" i="4"/>
  <c r="J19" i="4"/>
  <c r="T19" i="4"/>
  <c r="V19" i="4"/>
  <c r="P19" i="4"/>
  <c r="R19" i="4" s="1"/>
  <c r="G19" i="4"/>
  <c r="L19" i="4"/>
  <c r="M19" i="4"/>
  <c r="AE24" i="4"/>
  <c r="N78" i="75"/>
  <c r="L40" i="102" s="1"/>
  <c r="W40" i="4"/>
  <c r="H40" i="4"/>
  <c r="L45" i="3"/>
  <c r="W84" i="4"/>
  <c r="AH39" i="4"/>
  <c r="O68" i="3"/>
  <c r="AN50" i="104"/>
  <c r="AB50" i="104" s="1"/>
  <c r="Z50" i="104" s="1"/>
  <c r="S50" i="104" s="1"/>
  <c r="S38" i="74"/>
  <c r="H41" i="3" s="1"/>
  <c r="P33" i="104"/>
  <c r="M33" i="104" s="1"/>
  <c r="O150" i="3"/>
  <c r="AL26" i="4"/>
  <c r="AM26" i="4" s="1"/>
  <c r="AN26" i="4" s="1"/>
  <c r="S21" i="107" s="1"/>
  <c r="V21" i="103"/>
  <c r="G21" i="99" s="1"/>
  <c r="D21" i="99" s="1"/>
  <c r="AN126" i="4"/>
  <c r="AM94" i="4"/>
  <c r="AN94" i="4" s="1"/>
  <c r="R123" i="75"/>
  <c r="N43" i="4"/>
  <c r="O32" i="75"/>
  <c r="P32" i="75"/>
  <c r="Q32" i="75" s="1"/>
  <c r="T32" i="75"/>
  <c r="U32" i="75" s="1"/>
  <c r="V32" i="75" s="1"/>
  <c r="X32" i="75"/>
  <c r="Y32" i="75" s="1"/>
  <c r="Z32" i="75" s="1"/>
  <c r="X39" i="75"/>
  <c r="Y39" i="75" s="1"/>
  <c r="W39" i="75"/>
  <c r="AG92" i="104"/>
  <c r="AB92" i="104" s="1"/>
  <c r="Z92" i="104" s="1"/>
  <c r="S92" i="104" s="1"/>
  <c r="AB41" i="104"/>
  <c r="Z41" i="104" s="1"/>
  <c r="S41" i="104" s="1"/>
  <c r="Y37" i="4"/>
  <c r="Z37" i="4" s="1"/>
  <c r="V34" i="74"/>
  <c r="W27" i="4"/>
  <c r="O79" i="3"/>
  <c r="O82" i="4"/>
  <c r="W129" i="4"/>
  <c r="U82" i="97"/>
  <c r="M53" i="3"/>
  <c r="T77" i="74"/>
  <c r="I80" i="3" s="1"/>
  <c r="M61" i="104"/>
  <c r="V122" i="103"/>
  <c r="G122" i="99" s="1"/>
  <c r="D122" i="99" s="1"/>
  <c r="S88" i="74"/>
  <c r="H91" i="3" s="1"/>
  <c r="I78" i="103"/>
  <c r="V78" i="103" s="1"/>
  <c r="G78" i="99" s="1"/>
  <c r="D78" i="99" s="1"/>
  <c r="P54" i="104"/>
  <c r="M54" i="104" s="1"/>
  <c r="AJ32" i="104"/>
  <c r="AB32" i="104" s="1"/>
  <c r="Z32" i="104" s="1"/>
  <c r="H143" i="4"/>
  <c r="W143" i="4"/>
  <c r="H124" i="4"/>
  <c r="H118" i="4"/>
  <c r="AG83" i="104"/>
  <c r="AB83" i="104" s="1"/>
  <c r="Z83" i="104" s="1"/>
  <c r="AN91" i="104"/>
  <c r="AB91" i="104" s="1"/>
  <c r="Z91" i="104" s="1"/>
  <c r="S91" i="104" s="1"/>
  <c r="L33" i="104"/>
  <c r="D33" i="104" s="1"/>
  <c r="K88" i="104"/>
  <c r="L88" i="104" s="1"/>
  <c r="V68" i="74"/>
  <c r="Y71" i="4"/>
  <c r="Z71" i="4" s="1"/>
  <c r="AL60" i="4"/>
  <c r="AM60" i="4" s="1"/>
  <c r="AN60" i="4" s="1"/>
  <c r="S52" i="107" s="1"/>
  <c r="K42" i="104"/>
  <c r="L42" i="104" s="1"/>
  <c r="D99" i="104"/>
  <c r="G12" i="104"/>
  <c r="AM68" i="4"/>
  <c r="AN68" i="4" s="1"/>
  <c r="AE31" i="4"/>
  <c r="AM31" i="4" s="1"/>
  <c r="AN31" i="4" s="1"/>
  <c r="Q25" i="4"/>
  <c r="R25" i="4" s="1"/>
  <c r="I19" i="103"/>
  <c r="V19" i="103" s="1"/>
  <c r="G19" i="99" s="1"/>
  <c r="D19" i="99" s="1"/>
  <c r="AG19" i="104"/>
  <c r="AM76" i="4"/>
  <c r="Q146" i="3"/>
  <c r="C152" i="104"/>
  <c r="G152" i="104"/>
  <c r="D152" i="104" s="1"/>
  <c r="B152" i="104" s="1"/>
  <c r="H73" i="4"/>
  <c r="O73" i="4" s="1"/>
  <c r="AJ33" i="104"/>
  <c r="L23" i="104"/>
  <c r="D23" i="104" s="1"/>
  <c r="AN19" i="104"/>
  <c r="V144" i="103"/>
  <c r="G144" i="99" s="1"/>
  <c r="D144" i="99" s="1"/>
  <c r="M68" i="104"/>
  <c r="G42" i="104"/>
  <c r="G48" i="75"/>
  <c r="H48" i="75" s="1"/>
  <c r="F48" i="75"/>
  <c r="N44" i="4"/>
  <c r="P107" i="104"/>
  <c r="M107" i="104" s="1"/>
  <c r="S52" i="75"/>
  <c r="T52" i="75"/>
  <c r="U52" i="75" s="1"/>
  <c r="U38" i="97"/>
  <c r="AG22" i="104"/>
  <c r="D131" i="104"/>
  <c r="K119" i="4"/>
  <c r="N91" i="4"/>
  <c r="U155" i="97"/>
  <c r="J155" i="97"/>
  <c r="V155" i="97" a="1"/>
  <c r="V155" i="97" s="1"/>
  <c r="T43" i="74"/>
  <c r="I46" i="3" s="1"/>
  <c r="W38" i="4"/>
  <c r="T13" i="74"/>
  <c r="I16" i="3" s="1"/>
  <c r="I41" i="103"/>
  <c r="V41" i="103" s="1"/>
  <c r="G41" i="99" s="1"/>
  <c r="D41" i="99" s="1"/>
  <c r="K34" i="75"/>
  <c r="L34" i="75" s="1"/>
  <c r="J34" i="75"/>
  <c r="P34" i="75"/>
  <c r="Q34" i="75" s="1"/>
  <c r="R34" i="75" s="1"/>
  <c r="U20" i="97"/>
  <c r="Y33" i="4"/>
  <c r="Z33" i="4" s="1"/>
  <c r="V30" i="74"/>
  <c r="AL36" i="4"/>
  <c r="Q49" i="3"/>
  <c r="R117" i="4"/>
  <c r="V66" i="103"/>
  <c r="G66" i="99" s="1"/>
  <c r="D66" i="99" s="1"/>
  <c r="G26" i="104"/>
  <c r="D26" i="104" s="1"/>
  <c r="V16" i="103"/>
  <c r="G16" i="99" s="1"/>
  <c r="D16" i="99" s="1"/>
  <c r="S47" i="75"/>
  <c r="T47" i="75"/>
  <c r="U47" i="75" s="1"/>
  <c r="AB124" i="104"/>
  <c r="Z124" i="104" s="1"/>
  <c r="S124" i="104" s="1"/>
  <c r="B124" i="104" s="1"/>
  <c r="F124" i="99" s="1"/>
  <c r="C124" i="99" s="1"/>
  <c r="F52" i="75"/>
  <c r="G52" i="75"/>
  <c r="H52" i="75" s="1"/>
  <c r="W41" i="4"/>
  <c r="G8" i="104"/>
  <c r="D8" i="104" s="1"/>
  <c r="B8" i="104" s="1"/>
  <c r="F8" i="99" s="1"/>
  <c r="C8" i="99" s="1"/>
  <c r="C8" i="104"/>
  <c r="H8" i="99" s="1"/>
  <c r="E8" i="99" s="1"/>
  <c r="N64" i="3"/>
  <c r="N16" i="4"/>
  <c r="R132" i="4"/>
  <c r="W72" i="4"/>
  <c r="W121" i="4"/>
  <c r="O38" i="75"/>
  <c r="X38" i="75"/>
  <c r="Y38" i="75" s="1"/>
  <c r="Z38" i="75" s="1"/>
  <c r="P38" i="75"/>
  <c r="Q38" i="75" s="1"/>
  <c r="T38" i="75"/>
  <c r="U38" i="75" s="1"/>
  <c r="V38" i="75" s="1"/>
  <c r="O33" i="3"/>
  <c r="AN43" i="104"/>
  <c r="O71" i="3"/>
  <c r="N71" i="3"/>
  <c r="V40" i="74"/>
  <c r="Y43" i="4"/>
  <c r="Z43" i="4" s="1"/>
  <c r="V24" i="103"/>
  <c r="G24" i="99" s="1"/>
  <c r="D24" i="99" s="1"/>
  <c r="P27" i="75"/>
  <c r="Q27" i="75" s="1"/>
  <c r="R27" i="75" s="1"/>
  <c r="J27" i="75"/>
  <c r="K27" i="75"/>
  <c r="L27" i="75" s="1"/>
  <c r="O19" i="3"/>
  <c r="P19" i="3"/>
  <c r="N19" i="3"/>
  <c r="H150" i="4"/>
  <c r="O150" i="4" s="1"/>
  <c r="AN107" i="104"/>
  <c r="AE48" i="4"/>
  <c r="AG147" i="104"/>
  <c r="P131" i="104"/>
  <c r="M131" i="104" s="1"/>
  <c r="H84" i="4"/>
  <c r="V43" i="74"/>
  <c r="Y46" i="4"/>
  <c r="Z46" i="4" s="1"/>
  <c r="S81" i="74"/>
  <c r="H84" i="3" s="1"/>
  <c r="M68" i="3"/>
  <c r="G46" i="75"/>
  <c r="H46" i="75" s="1"/>
  <c r="F46" i="75"/>
  <c r="Y70" i="4"/>
  <c r="Z70" i="4" s="1"/>
  <c r="AN70" i="4" s="1"/>
  <c r="S60" i="107" s="1"/>
  <c r="V67" i="74"/>
  <c r="M33" i="3"/>
  <c r="AH48" i="4"/>
  <c r="M45" i="3"/>
  <c r="O45" i="3"/>
  <c r="P45" i="3"/>
  <c r="Y32" i="4"/>
  <c r="Z32" i="4" s="1"/>
  <c r="V29" i="74"/>
  <c r="L76" i="104"/>
  <c r="D76" i="104" s="1"/>
  <c r="R126" i="75"/>
  <c r="AB126" i="75" s="1"/>
  <c r="AM107" i="4"/>
  <c r="AN107" i="4" s="1"/>
  <c r="S93" i="107" s="1"/>
  <c r="Q93" i="107" s="1"/>
  <c r="R13" i="97"/>
  <c r="N68" i="4"/>
  <c r="H131" i="4"/>
  <c r="O131" i="4" s="1"/>
  <c r="H35" i="4"/>
  <c r="N74" i="75"/>
  <c r="N105" i="4"/>
  <c r="N128" i="4"/>
  <c r="Z143" i="75"/>
  <c r="AA143" i="75" s="1"/>
  <c r="AB143" i="75" s="1"/>
  <c r="M125" i="107" s="1"/>
  <c r="N129" i="75"/>
  <c r="L63" i="102" s="1"/>
  <c r="L29" i="104"/>
  <c r="D29" i="104" s="1"/>
  <c r="G77" i="75"/>
  <c r="H77" i="75" s="1"/>
  <c r="F77" i="75"/>
  <c r="N42" i="4"/>
  <c r="O42" i="4" s="1"/>
  <c r="N79" i="3"/>
  <c r="P79" i="3"/>
  <c r="R33" i="4"/>
  <c r="I49" i="103"/>
  <c r="V49" i="103" s="1"/>
  <c r="G49" i="99" s="1"/>
  <c r="D49" i="99" s="1"/>
  <c r="S37" i="75"/>
  <c r="T37" i="75"/>
  <c r="U37" i="75" s="1"/>
  <c r="U26" i="97"/>
  <c r="V145" i="103"/>
  <c r="G145" i="99" s="1"/>
  <c r="D145" i="99" s="1"/>
  <c r="V92" i="103"/>
  <c r="G92" i="99" s="1"/>
  <c r="D92" i="99" s="1"/>
  <c r="M64" i="3"/>
  <c r="N95" i="3"/>
  <c r="G66" i="104"/>
  <c r="D66" i="104" s="1"/>
  <c r="G73" i="104"/>
  <c r="D73" i="104" s="1"/>
  <c r="P48" i="3"/>
  <c r="N48" i="3"/>
  <c r="V68" i="103"/>
  <c r="G68" i="99" s="1"/>
  <c r="D68" i="99" s="1"/>
  <c r="N77" i="4"/>
  <c r="R143" i="4"/>
  <c r="K118" i="4"/>
  <c r="S150" i="74"/>
  <c r="D150" i="104"/>
  <c r="B150" i="104" s="1"/>
  <c r="K59" i="75"/>
  <c r="L59" i="75" s="1"/>
  <c r="M59" i="75" s="1"/>
  <c r="N59" i="75" s="1"/>
  <c r="L51" i="107" s="1"/>
  <c r="K51" i="107" s="1"/>
  <c r="F51" i="107" s="1"/>
  <c r="G51" i="107" s="1"/>
  <c r="K58" i="75"/>
  <c r="L58" i="75" s="1"/>
  <c r="M58" i="75" s="1"/>
  <c r="N58" i="75" s="1"/>
  <c r="L33" i="102" s="1"/>
  <c r="U36" i="97"/>
  <c r="X31" i="75"/>
  <c r="Y31" i="75" s="1"/>
  <c r="W31" i="75"/>
  <c r="O17" i="75"/>
  <c r="P17" i="75"/>
  <c r="Q17" i="75" s="1"/>
  <c r="X17" i="75"/>
  <c r="Y17" i="75" s="1"/>
  <c r="Z17" i="75" s="1"/>
  <c r="T17" i="75"/>
  <c r="U17" i="75" s="1"/>
  <c r="V17" i="75" s="1"/>
  <c r="AE71" i="4"/>
  <c r="AM71" i="4" s="1"/>
  <c r="W149" i="75"/>
  <c r="X149" i="75"/>
  <c r="Y149" i="75" s="1"/>
  <c r="AN57" i="104"/>
  <c r="AB57" i="104" s="1"/>
  <c r="Z57" i="104" s="1"/>
  <c r="AN45" i="104"/>
  <c r="U139" i="97"/>
  <c r="M56" i="3"/>
  <c r="D50" i="104"/>
  <c r="W34" i="75"/>
  <c r="X34" i="75"/>
  <c r="Y34" i="75" s="1"/>
  <c r="H87" i="4"/>
  <c r="K87" i="4"/>
  <c r="R73" i="4"/>
  <c r="I137" i="75"/>
  <c r="N137" i="75" s="1"/>
  <c r="L120" i="107" s="1"/>
  <c r="H140" i="4"/>
  <c r="V77" i="103"/>
  <c r="G77" i="99" s="1"/>
  <c r="D77" i="99" s="1"/>
  <c r="T67" i="74"/>
  <c r="I70" i="3" s="1"/>
  <c r="AG62" i="104"/>
  <c r="K44" i="4"/>
  <c r="G120" i="104"/>
  <c r="D120" i="104" s="1"/>
  <c r="B120" i="104" s="1"/>
  <c r="F120" i="99" s="1"/>
  <c r="C120" i="99" s="1"/>
  <c r="C120" i="104"/>
  <c r="H120" i="99" s="1"/>
  <c r="E120" i="99" s="1"/>
  <c r="G110" i="104"/>
  <c r="D110" i="104" s="1"/>
  <c r="G64" i="75"/>
  <c r="H64" i="75" s="1"/>
  <c r="F64" i="75"/>
  <c r="W31" i="4"/>
  <c r="I107" i="103"/>
  <c r="V107" i="103" s="1"/>
  <c r="G107" i="99" s="1"/>
  <c r="D107" i="99" s="1"/>
  <c r="K71" i="75"/>
  <c r="L71" i="75" s="1"/>
  <c r="M71" i="75" s="1"/>
  <c r="D49" i="104"/>
  <c r="D43" i="104"/>
  <c r="G40" i="104"/>
  <c r="D40" i="104" s="1"/>
  <c r="AE36" i="4"/>
  <c r="Q18" i="4"/>
  <c r="R18" i="4" s="1"/>
  <c r="X18" i="4" s="1"/>
  <c r="R15" i="107" s="1"/>
  <c r="Q15" i="107" s="1"/>
  <c r="Q17" i="4"/>
  <c r="R17" i="4" s="1"/>
  <c r="Q15" i="4"/>
  <c r="R15" i="4" s="1"/>
  <c r="Q142" i="3"/>
  <c r="P56" i="3"/>
  <c r="K91" i="4"/>
  <c r="C114" i="104"/>
  <c r="H114" i="99" s="1"/>
  <c r="E114" i="99" s="1"/>
  <c r="G74" i="104"/>
  <c r="D74" i="104" s="1"/>
  <c r="V62" i="103"/>
  <c r="G62" i="99" s="1"/>
  <c r="D62" i="99" s="1"/>
  <c r="W51" i="75"/>
  <c r="X51" i="75"/>
  <c r="Y51" i="75" s="1"/>
  <c r="J36" i="75"/>
  <c r="K36" i="75"/>
  <c r="L36" i="75" s="1"/>
  <c r="G144" i="104"/>
  <c r="D144" i="104" s="1"/>
  <c r="F127" i="75"/>
  <c r="G127" i="75"/>
  <c r="H127" i="75" s="1"/>
  <c r="M79" i="3"/>
  <c r="P142" i="104"/>
  <c r="M142" i="104" s="1"/>
  <c r="C142" i="104" s="1"/>
  <c r="H142" i="99" s="1"/>
  <c r="E142" i="99" s="1"/>
  <c r="P50" i="104"/>
  <c r="M50" i="104" s="1"/>
  <c r="AE37" i="4"/>
  <c r="S55" i="74"/>
  <c r="H58" i="3" s="1"/>
  <c r="P36" i="3"/>
  <c r="M12" i="104"/>
  <c r="K25" i="75"/>
  <c r="L25" i="75" s="1"/>
  <c r="M25" i="75" s="1"/>
  <c r="K28" i="75"/>
  <c r="L28" i="75" s="1"/>
  <c r="M28" i="75" s="1"/>
  <c r="O53" i="3"/>
  <c r="K117" i="4"/>
  <c r="N117" i="4"/>
  <c r="L30" i="104"/>
  <c r="D30" i="104" s="1"/>
  <c r="T141" i="74"/>
  <c r="I144" i="3" s="1"/>
  <c r="G113" i="104"/>
  <c r="D113" i="104" s="1"/>
  <c r="AM21" i="4"/>
  <c r="AN21" i="4" s="1"/>
  <c r="G68" i="104"/>
  <c r="D68" i="104" s="1"/>
  <c r="AH131" i="4"/>
  <c r="AM131" i="4" s="1"/>
  <c r="M111" i="104"/>
  <c r="O84" i="3"/>
  <c r="P84" i="3"/>
  <c r="U48" i="74"/>
  <c r="J51" i="3" s="1"/>
  <c r="N36" i="4"/>
  <c r="R72" i="4"/>
  <c r="T76" i="75"/>
  <c r="U76" i="75" s="1"/>
  <c r="V76" i="75" s="1"/>
  <c r="P76" i="75"/>
  <c r="Q76" i="75" s="1"/>
  <c r="O76" i="75"/>
  <c r="Y45" i="4"/>
  <c r="Z45" i="4" s="1"/>
  <c r="V42" i="74"/>
  <c r="U32" i="97"/>
  <c r="X25" i="75"/>
  <c r="Y25" i="75" s="1"/>
  <c r="W25" i="75"/>
  <c r="K65" i="104"/>
  <c r="L65" i="104" s="1"/>
  <c r="U126" i="97"/>
  <c r="M76" i="104"/>
  <c r="AG30" i="104"/>
  <c r="AB30" i="104" s="1"/>
  <c r="Z30" i="104" s="1"/>
  <c r="W150" i="75"/>
  <c r="X150" i="75"/>
  <c r="Y150" i="75" s="1"/>
  <c r="AE91" i="4"/>
  <c r="AM91" i="4" s="1"/>
  <c r="AN91" i="4" s="1"/>
  <c r="AL32" i="4"/>
  <c r="K19" i="75"/>
  <c r="L19" i="75" s="1"/>
  <c r="M19" i="75" s="1"/>
  <c r="Q150" i="4"/>
  <c r="R150" i="4" s="1"/>
  <c r="AB112" i="104"/>
  <c r="Z112" i="104" s="1"/>
  <c r="S112" i="104" s="1"/>
  <c r="I73" i="103"/>
  <c r="V73" i="103" s="1"/>
  <c r="G73" i="99" s="1"/>
  <c r="D73" i="99" s="1"/>
  <c r="P53" i="3"/>
  <c r="AL24" i="4"/>
  <c r="AM19" i="4"/>
  <c r="AN19" i="4" s="1"/>
  <c r="V98" i="103"/>
  <c r="G98" i="99" s="1"/>
  <c r="D98" i="99" s="1"/>
  <c r="R84" i="4"/>
  <c r="K95" i="75"/>
  <c r="L95" i="75" s="1"/>
  <c r="P95" i="75"/>
  <c r="Q95" i="75" s="1"/>
  <c r="R95" i="75" s="1"/>
  <c r="J95" i="75"/>
  <c r="AL53" i="4"/>
  <c r="AM53" i="4" s="1"/>
  <c r="AN53" i="4" s="1"/>
  <c r="S46" i="107" s="1"/>
  <c r="Q46" i="107" s="1"/>
  <c r="P38" i="104"/>
  <c r="M38" i="104" s="1"/>
  <c r="I33" i="103"/>
  <c r="V33" i="103" s="1"/>
  <c r="G33" i="99" s="1"/>
  <c r="D33" i="99" s="1"/>
  <c r="W57" i="75"/>
  <c r="X57" i="75"/>
  <c r="Y57" i="75" s="1"/>
  <c r="U44" i="97"/>
  <c r="S35" i="75"/>
  <c r="T35" i="75"/>
  <c r="U35" i="75" s="1"/>
  <c r="M123" i="104"/>
  <c r="L35" i="104"/>
  <c r="AB29" i="104"/>
  <c r="Z29" i="104" s="1"/>
  <c r="S29" i="104" s="1"/>
  <c r="Q55" i="3"/>
  <c r="T98" i="97"/>
  <c r="R98" i="97" s="1"/>
  <c r="T99" i="97"/>
  <c r="R99" i="97" s="1"/>
  <c r="T92" i="97"/>
  <c r="T111" i="97"/>
  <c r="T138" i="97"/>
  <c r="R138" i="97" s="1"/>
  <c r="S110" i="97"/>
  <c r="R110" i="97" s="1"/>
  <c r="N127" i="97"/>
  <c r="AN108" i="4"/>
  <c r="S94" i="107" s="1"/>
  <c r="I108" i="75"/>
  <c r="N137" i="3"/>
  <c r="Q137" i="3" s="1"/>
  <c r="P120" i="107" s="1"/>
  <c r="K137" i="3"/>
  <c r="O120" i="107" s="1"/>
  <c r="I120" i="75"/>
  <c r="N119" i="3"/>
  <c r="Q119" i="3" s="1"/>
  <c r="K119" i="3"/>
  <c r="M107" i="75"/>
  <c r="N107" i="75" s="1"/>
  <c r="L93" i="107" s="1"/>
  <c r="K101" i="3"/>
  <c r="O87" i="107" s="1"/>
  <c r="N101" i="3"/>
  <c r="Q101" i="3" s="1"/>
  <c r="P87" i="107" s="1"/>
  <c r="S106" i="97"/>
  <c r="S114" i="97"/>
  <c r="R126" i="3"/>
  <c r="Q125" i="97"/>
  <c r="AA111" i="75"/>
  <c r="M123" i="75"/>
  <c r="Z97" i="75"/>
  <c r="AA97" i="75" s="1"/>
  <c r="AB97" i="75" s="1"/>
  <c r="N96" i="3"/>
  <c r="Q96" i="3" s="1"/>
  <c r="P83" i="107" s="1"/>
  <c r="K96" i="3"/>
  <c r="O83" i="107" s="1"/>
  <c r="Z127" i="75"/>
  <c r="AA127" i="75" s="1"/>
  <c r="AB127" i="75" s="1"/>
  <c r="M112" i="107" s="1"/>
  <c r="K110" i="3"/>
  <c r="N110" i="3"/>
  <c r="Q110" i="3" s="1"/>
  <c r="T94" i="97"/>
  <c r="R94" i="97" s="1"/>
  <c r="I130" i="99"/>
  <c r="O95" i="3"/>
  <c r="K95" i="3"/>
  <c r="O82" i="107" s="1"/>
  <c r="AN113" i="4"/>
  <c r="N97" i="3"/>
  <c r="Q97" i="3" s="1"/>
  <c r="K97" i="3"/>
  <c r="Z129" i="75"/>
  <c r="AA129" i="75" s="1"/>
  <c r="I95" i="75"/>
  <c r="Z101" i="75"/>
  <c r="AA101" i="75" s="1"/>
  <c r="S113" i="97"/>
  <c r="K115" i="3"/>
  <c r="O100" i="107" s="1"/>
  <c r="N115" i="3"/>
  <c r="Q115" i="3" s="1"/>
  <c r="P100" i="107" s="1"/>
  <c r="R116" i="75"/>
  <c r="R111" i="75"/>
  <c r="O106" i="3"/>
  <c r="Q106" i="3" s="1"/>
  <c r="P92" i="107" s="1"/>
  <c r="K106" i="3"/>
  <c r="O92" i="107" s="1"/>
  <c r="AN119" i="4"/>
  <c r="AN103" i="4"/>
  <c r="S89" i="107" s="1"/>
  <c r="Q89" i="107" s="1"/>
  <c r="AA108" i="75"/>
  <c r="T126" i="97"/>
  <c r="O92" i="97"/>
  <c r="N98" i="97"/>
  <c r="N104" i="97"/>
  <c r="Z103" i="75"/>
  <c r="AA103" i="75" s="1"/>
  <c r="AB103" i="75" s="1"/>
  <c r="M89" i="107" s="1"/>
  <c r="K89" i="107" s="1"/>
  <c r="Z106" i="75"/>
  <c r="AA106" i="75" s="1"/>
  <c r="AB106" i="75" s="1"/>
  <c r="M92" i="107" s="1"/>
  <c r="N123" i="3"/>
  <c r="Q123" i="3" s="1"/>
  <c r="K123" i="3"/>
  <c r="Z116" i="75"/>
  <c r="AA116" i="75" s="1"/>
  <c r="M96" i="97"/>
  <c r="N140" i="97"/>
  <c r="L140" i="97" s="1"/>
  <c r="AN114" i="4"/>
  <c r="S56" i="102" s="1"/>
  <c r="Q56" i="102" s="1"/>
  <c r="I114" i="75"/>
  <c r="N114" i="75" s="1"/>
  <c r="L56" i="102" s="1"/>
  <c r="I123" i="75"/>
  <c r="M109" i="75"/>
  <c r="N109" i="75" s="1"/>
  <c r="L95" i="107" s="1"/>
  <c r="O120" i="3"/>
  <c r="Q120" i="3" s="1"/>
  <c r="P105" i="107" s="1"/>
  <c r="K120" i="3"/>
  <c r="O105" i="107" s="1"/>
  <c r="I116" i="75"/>
  <c r="Z102" i="75"/>
  <c r="AA102" i="75" s="1"/>
  <c r="AB102" i="75" s="1"/>
  <c r="M88" i="107" s="1"/>
  <c r="K88" i="107" s="1"/>
  <c r="P123" i="97"/>
  <c r="V125" i="75"/>
  <c r="AN110" i="4"/>
  <c r="S109" i="97"/>
  <c r="AN115" i="4"/>
  <c r="S100" i="107" s="1"/>
  <c r="Z98" i="75"/>
  <c r="AA98" i="75" s="1"/>
  <c r="AB98" i="75" s="1"/>
  <c r="K102" i="3"/>
  <c r="O88" i="107" s="1"/>
  <c r="N102" i="3"/>
  <c r="Q102" i="3" s="1"/>
  <c r="P88" i="107" s="1"/>
  <c r="K108" i="3"/>
  <c r="O94" i="107" s="1"/>
  <c r="N108" i="3"/>
  <c r="Q108" i="3" s="1"/>
  <c r="P94" i="107" s="1"/>
  <c r="N134" i="3"/>
  <c r="Q134" i="3" s="1"/>
  <c r="P66" i="102" s="1"/>
  <c r="K134" i="3"/>
  <c r="O66" i="102" s="1"/>
  <c r="R124" i="3"/>
  <c r="N109" i="107" s="1"/>
  <c r="Q123" i="97"/>
  <c r="M97" i="97"/>
  <c r="K131" i="97"/>
  <c r="I129" i="99"/>
  <c r="V142" i="75"/>
  <c r="AA142" i="75" s="1"/>
  <c r="AB142" i="75" s="1"/>
  <c r="Z117" i="75"/>
  <c r="AA117" i="75" s="1"/>
  <c r="AB117" i="75" s="1"/>
  <c r="I124" i="75"/>
  <c r="N124" i="75" s="1"/>
  <c r="L109" i="107" s="1"/>
  <c r="AN104" i="4"/>
  <c r="Z119" i="75"/>
  <c r="AA119" i="75" s="1"/>
  <c r="AB119" i="75" s="1"/>
  <c r="I118" i="75"/>
  <c r="N118" i="75" s="1"/>
  <c r="L103" i="107" s="1"/>
  <c r="K104" i="3"/>
  <c r="N104" i="3"/>
  <c r="Q104" i="3" s="1"/>
  <c r="M134" i="97"/>
  <c r="M100" i="75"/>
  <c r="M7" i="97"/>
  <c r="R113" i="75"/>
  <c r="N92" i="97"/>
  <c r="K112" i="3"/>
  <c r="N112" i="3"/>
  <c r="Q112" i="3" s="1"/>
  <c r="O117" i="3"/>
  <c r="Q117" i="3" s="1"/>
  <c r="K117" i="3"/>
  <c r="K113" i="3"/>
  <c r="N113" i="3"/>
  <c r="Q113" i="3" s="1"/>
  <c r="K121" i="3"/>
  <c r="O106" i="107" s="1"/>
  <c r="N121" i="3"/>
  <c r="Q121" i="3" s="1"/>
  <c r="P106" i="107" s="1"/>
  <c r="L5" i="97"/>
  <c r="O99" i="3"/>
  <c r="Q99" i="3" s="1"/>
  <c r="P51" i="102" s="1"/>
  <c r="K99" i="3"/>
  <c r="O51" i="102" s="1"/>
  <c r="K107" i="3"/>
  <c r="O93" i="107" s="1"/>
  <c r="N107" i="3"/>
  <c r="Q107" i="3" s="1"/>
  <c r="P93" i="107" s="1"/>
  <c r="K103" i="3"/>
  <c r="O89" i="107" s="1"/>
  <c r="N103" i="3"/>
  <c r="Q103" i="3" s="1"/>
  <c r="P89" i="107" s="1"/>
  <c r="R124" i="75"/>
  <c r="AB124" i="75" s="1"/>
  <c r="M109" i="107" s="1"/>
  <c r="K109" i="3"/>
  <c r="O95" i="107" s="1"/>
  <c r="N109" i="3"/>
  <c r="R135" i="3"/>
  <c r="N118" i="107" s="1"/>
  <c r="Q134" i="97"/>
  <c r="M93" i="97"/>
  <c r="K100" i="3"/>
  <c r="O86" i="107" s="1"/>
  <c r="N100" i="3"/>
  <c r="Q100" i="3" s="1"/>
  <c r="P86" i="107" s="1"/>
  <c r="AA115" i="75"/>
  <c r="AB115" i="75" s="1"/>
  <c r="M100" i="107" s="1"/>
  <c r="AN109" i="4"/>
  <c r="S95" i="107" s="1"/>
  <c r="R109" i="75"/>
  <c r="K116" i="3"/>
  <c r="O101" i="107" s="1"/>
  <c r="N116" i="3"/>
  <c r="Q116" i="3" s="1"/>
  <c r="P101" i="107" s="1"/>
  <c r="S94" i="104"/>
  <c r="B94" i="104" s="1"/>
  <c r="F94" i="99" s="1"/>
  <c r="C94" i="99" s="1"/>
  <c r="C94" i="104"/>
  <c r="H94" i="99" s="1"/>
  <c r="E94" i="99" s="1"/>
  <c r="M110" i="97"/>
  <c r="M104" i="97"/>
  <c r="I10" i="97"/>
  <c r="N131" i="97"/>
  <c r="S93" i="97"/>
  <c r="I113" i="75"/>
  <c r="M101" i="75"/>
  <c r="Z114" i="75"/>
  <c r="AA114" i="75" s="1"/>
  <c r="N125" i="3"/>
  <c r="Q125" i="3" s="1"/>
  <c r="P110" i="107" s="1"/>
  <c r="K125" i="3"/>
  <c r="O110" i="107" s="1"/>
  <c r="K114" i="3"/>
  <c r="O56" i="102" s="1"/>
  <c r="N114" i="3"/>
  <c r="Q114" i="3" s="1"/>
  <c r="P56" i="102" s="1"/>
  <c r="I104" i="75"/>
  <c r="V107" i="75"/>
  <c r="O118" i="3"/>
  <c r="Q118" i="3" s="1"/>
  <c r="P103" i="107" s="1"/>
  <c r="K118" i="3"/>
  <c r="O103" i="107" s="1"/>
  <c r="AA120" i="75"/>
  <c r="AA109" i="75"/>
  <c r="N120" i="97"/>
  <c r="L120" i="97" s="1"/>
  <c r="AN117" i="4"/>
  <c r="T117" i="97"/>
  <c r="N103" i="97"/>
  <c r="Q100" i="107" l="1"/>
  <c r="F46" i="102"/>
  <c r="G46" i="102" s="1"/>
  <c r="F91" i="107"/>
  <c r="G91" i="107" s="1"/>
  <c r="Q94" i="107"/>
  <c r="K127" i="107"/>
  <c r="Q82" i="107"/>
  <c r="Q30" i="102"/>
  <c r="K109" i="107"/>
  <c r="I46" i="99"/>
  <c r="O98" i="4"/>
  <c r="Q40" i="102"/>
  <c r="V57" i="75"/>
  <c r="C17" i="104"/>
  <c r="H17" i="99" s="1"/>
  <c r="E17" i="99" s="1"/>
  <c r="R13" i="75"/>
  <c r="C97" i="104"/>
  <c r="H97" i="99" s="1"/>
  <c r="E97" i="99" s="1"/>
  <c r="S27" i="102"/>
  <c r="T49" i="97"/>
  <c r="B149" i="104"/>
  <c r="C37" i="104"/>
  <c r="H37" i="99" s="1"/>
  <c r="E37" i="99" s="1"/>
  <c r="B37" i="99" s="1"/>
  <c r="C131" i="104"/>
  <c r="H131" i="99" s="1"/>
  <c r="E131" i="99" s="1"/>
  <c r="N100" i="75"/>
  <c r="L86" i="107" s="1"/>
  <c r="O35" i="4"/>
  <c r="X35" i="4" s="1"/>
  <c r="AN34" i="4"/>
  <c r="S28" i="107" s="1"/>
  <c r="B95" i="99"/>
  <c r="B115" i="104"/>
  <c r="F115" i="99" s="1"/>
  <c r="C115" i="99" s="1"/>
  <c r="K26" i="102"/>
  <c r="O31" i="4"/>
  <c r="X31" i="4" s="1"/>
  <c r="R25" i="107" s="1"/>
  <c r="K123" i="107"/>
  <c r="K13" i="4"/>
  <c r="N125" i="75"/>
  <c r="N63" i="102"/>
  <c r="O128" i="97"/>
  <c r="M107" i="107"/>
  <c r="K107" i="107" s="1"/>
  <c r="M59" i="102"/>
  <c r="K59" i="102" s="1"/>
  <c r="N121" i="97"/>
  <c r="L121" i="97" s="1"/>
  <c r="K8" i="97"/>
  <c r="I6" i="99"/>
  <c r="J6" i="102" s="1"/>
  <c r="M124" i="97"/>
  <c r="L110" i="107"/>
  <c r="S90" i="107"/>
  <c r="Q90" i="107" s="1"/>
  <c r="S52" i="102"/>
  <c r="Q52" i="102" s="1"/>
  <c r="L96" i="107"/>
  <c r="L53" i="102"/>
  <c r="S69" i="97"/>
  <c r="R60" i="107"/>
  <c r="L85" i="107"/>
  <c r="L50" i="102"/>
  <c r="S37" i="107"/>
  <c r="S22" i="102"/>
  <c r="S150" i="97"/>
  <c r="R150" i="97" s="1"/>
  <c r="R133" i="107"/>
  <c r="Q127" i="107"/>
  <c r="K133" i="107"/>
  <c r="K78" i="107"/>
  <c r="O99" i="107"/>
  <c r="O55" i="102"/>
  <c r="M102" i="107"/>
  <c r="M57" i="102"/>
  <c r="M85" i="107"/>
  <c r="K85" i="107" s="1"/>
  <c r="M50" i="102"/>
  <c r="J117" i="107"/>
  <c r="J65" i="102"/>
  <c r="M49" i="102"/>
  <c r="M84" i="107"/>
  <c r="P30" i="102"/>
  <c r="P48" i="107"/>
  <c r="O102" i="107"/>
  <c r="O57" i="102"/>
  <c r="M124" i="107"/>
  <c r="K124" i="107" s="1"/>
  <c r="M68" i="102"/>
  <c r="K68" i="102" s="1"/>
  <c r="J42" i="107"/>
  <c r="J26" i="102"/>
  <c r="P124" i="107"/>
  <c r="P68" i="102"/>
  <c r="P102" i="107"/>
  <c r="P57" i="102"/>
  <c r="P90" i="107"/>
  <c r="P52" i="102"/>
  <c r="O49" i="102"/>
  <c r="O84" i="107"/>
  <c r="O104" i="107"/>
  <c r="O58" i="102"/>
  <c r="S34" i="97"/>
  <c r="R29" i="107"/>
  <c r="Q60" i="107"/>
  <c r="O77" i="4"/>
  <c r="P70" i="102"/>
  <c r="P128" i="107"/>
  <c r="C54" i="104"/>
  <c r="H54" i="99" s="1"/>
  <c r="E54" i="99" s="1"/>
  <c r="L104" i="107"/>
  <c r="L58" i="102"/>
  <c r="T46" i="97"/>
  <c r="R46" i="97" s="1"/>
  <c r="S40" i="107"/>
  <c r="Q40" i="107" s="1"/>
  <c r="S24" i="102"/>
  <c r="Q24" i="102" s="1"/>
  <c r="T148" i="97"/>
  <c r="R148" i="97" s="1"/>
  <c r="S131" i="107"/>
  <c r="Q131" i="107" s="1"/>
  <c r="S72" i="102"/>
  <c r="Q72" i="102" s="1"/>
  <c r="S102" i="107"/>
  <c r="S57" i="102"/>
  <c r="P99" i="107"/>
  <c r="P55" i="102"/>
  <c r="S104" i="107"/>
  <c r="S58" i="102"/>
  <c r="S18" i="107"/>
  <c r="S11" i="102"/>
  <c r="P35" i="3"/>
  <c r="Q35" i="3" s="1"/>
  <c r="P29" i="107" s="1"/>
  <c r="N7" i="102"/>
  <c r="N10" i="107"/>
  <c r="L71" i="107"/>
  <c r="L41" i="102"/>
  <c r="I15" i="75"/>
  <c r="S32" i="102"/>
  <c r="Q32" i="102" s="1"/>
  <c r="S50" i="107"/>
  <c r="Q50" i="107" s="1"/>
  <c r="D19" i="104"/>
  <c r="O9" i="97"/>
  <c r="I9" i="97" s="1"/>
  <c r="N8" i="107"/>
  <c r="O137" i="97"/>
  <c r="I137" i="97" s="1"/>
  <c r="N121" i="107"/>
  <c r="M147" i="97"/>
  <c r="L130" i="107"/>
  <c r="L116" i="107"/>
  <c r="K116" i="107" s="1"/>
  <c r="L64" i="102"/>
  <c r="K64" i="102" s="1"/>
  <c r="P32" i="97"/>
  <c r="O27" i="107"/>
  <c r="O132" i="97"/>
  <c r="I132" i="97" s="1"/>
  <c r="N117" i="107"/>
  <c r="H117" i="107" s="1"/>
  <c r="N65" i="102"/>
  <c r="M142" i="97"/>
  <c r="L125" i="107"/>
  <c r="K125" i="107" s="1"/>
  <c r="S132" i="97"/>
  <c r="R132" i="97" s="1"/>
  <c r="R117" i="107"/>
  <c r="Q117" i="107" s="1"/>
  <c r="R65" i="102"/>
  <c r="Q65" i="102" s="1"/>
  <c r="P5" i="97"/>
  <c r="O5" i="107"/>
  <c r="O5" i="102"/>
  <c r="R74" i="75"/>
  <c r="L41" i="97"/>
  <c r="N125" i="97"/>
  <c r="L125" i="97" s="1"/>
  <c r="M111" i="107"/>
  <c r="K111" i="107" s="1"/>
  <c r="M61" i="102"/>
  <c r="K61" i="102" s="1"/>
  <c r="M72" i="97"/>
  <c r="L63" i="107"/>
  <c r="M27" i="102"/>
  <c r="M43" i="107"/>
  <c r="M49" i="107"/>
  <c r="M31" i="102"/>
  <c r="M114" i="97"/>
  <c r="L100" i="107"/>
  <c r="M116" i="97"/>
  <c r="L102" i="107"/>
  <c r="L57" i="102"/>
  <c r="S74" i="97"/>
  <c r="R65" i="107"/>
  <c r="Q65" i="107" s="1"/>
  <c r="P140" i="97"/>
  <c r="O123" i="107"/>
  <c r="M148" i="97"/>
  <c r="L131" i="107"/>
  <c r="L72" i="102"/>
  <c r="P68" i="97"/>
  <c r="O37" i="102"/>
  <c r="O12" i="97"/>
  <c r="I12" i="97" s="1"/>
  <c r="N11" i="107"/>
  <c r="M5" i="102"/>
  <c r="K5" i="102" s="1"/>
  <c r="M5" i="107"/>
  <c r="K5" i="107" s="1"/>
  <c r="L38" i="102"/>
  <c r="L64" i="107"/>
  <c r="S56" i="107"/>
  <c r="S34" i="102"/>
  <c r="T68" i="97"/>
  <c r="S37" i="102"/>
  <c r="Q37" i="102" s="1"/>
  <c r="M98" i="97"/>
  <c r="L51" i="102"/>
  <c r="K51" i="102" s="1"/>
  <c r="T14" i="97"/>
  <c r="S9" i="102"/>
  <c r="L49" i="102"/>
  <c r="L84" i="107"/>
  <c r="O61" i="97"/>
  <c r="I61" i="97" s="1"/>
  <c r="N54" i="107"/>
  <c r="P76" i="97"/>
  <c r="O67" i="107"/>
  <c r="R38" i="102"/>
  <c r="R64" i="107"/>
  <c r="P36" i="97"/>
  <c r="O31" i="107"/>
  <c r="S66" i="97"/>
  <c r="R58" i="107"/>
  <c r="B125" i="99"/>
  <c r="M25" i="97"/>
  <c r="L21" i="107"/>
  <c r="L113" i="107"/>
  <c r="K113" i="107" s="1"/>
  <c r="L62" i="102"/>
  <c r="K62" i="102" s="1"/>
  <c r="P34" i="97"/>
  <c r="O29" i="107"/>
  <c r="S68" i="102"/>
  <c r="S124" i="107"/>
  <c r="S84" i="97"/>
  <c r="R74" i="107"/>
  <c r="S64" i="97"/>
  <c r="R35" i="102"/>
  <c r="M98" i="107"/>
  <c r="K98" i="107" s="1"/>
  <c r="M54" i="102"/>
  <c r="K54" i="102" s="1"/>
  <c r="T91" i="97"/>
  <c r="S80" i="107"/>
  <c r="Q133" i="107"/>
  <c r="T93" i="97"/>
  <c r="S48" i="102"/>
  <c r="Q48" i="102" s="1"/>
  <c r="S72" i="107"/>
  <c r="Q72" i="107" s="1"/>
  <c r="S42" i="102"/>
  <c r="Q42" i="102" s="1"/>
  <c r="S73" i="107"/>
  <c r="S43" i="102"/>
  <c r="L44" i="107"/>
  <c r="L28" i="102"/>
  <c r="P142" i="97"/>
  <c r="O125" i="107"/>
  <c r="M66" i="97"/>
  <c r="L58" i="107"/>
  <c r="T125" i="97"/>
  <c r="R125" i="97" s="1"/>
  <c r="S111" i="107"/>
  <c r="Q111" i="107" s="1"/>
  <c r="S61" i="102"/>
  <c r="Q61" i="102" s="1"/>
  <c r="S5" i="107"/>
  <c r="S5" i="102"/>
  <c r="T40" i="97"/>
  <c r="S34" i="107"/>
  <c r="S60" i="102"/>
  <c r="Q60" i="102" s="1"/>
  <c r="S108" i="107"/>
  <c r="Q108" i="107" s="1"/>
  <c r="K81" i="107"/>
  <c r="F81" i="107" s="1"/>
  <c r="G81" i="107" s="1"/>
  <c r="H81" i="107" s="1"/>
  <c r="S59" i="97"/>
  <c r="R52" i="107"/>
  <c r="Q52" i="107" s="1"/>
  <c r="Q135" i="97"/>
  <c r="P119" i="107"/>
  <c r="T53" i="97"/>
  <c r="R53" i="97" s="1"/>
  <c r="S47" i="107"/>
  <c r="Q47" i="107" s="1"/>
  <c r="S29" i="102"/>
  <c r="Q29" i="102" s="1"/>
  <c r="S136" i="97"/>
  <c r="R136" i="97" s="1"/>
  <c r="R120" i="107"/>
  <c r="Q120" i="107" s="1"/>
  <c r="S65" i="97"/>
  <c r="R57" i="107"/>
  <c r="P18" i="97"/>
  <c r="O16" i="107"/>
  <c r="P82" i="97"/>
  <c r="O42" i="102"/>
  <c r="O72" i="107"/>
  <c r="S51" i="97"/>
  <c r="R45" i="107"/>
  <c r="Q45" i="107" s="1"/>
  <c r="F78" i="107"/>
  <c r="G78" i="107" s="1"/>
  <c r="H78" i="107"/>
  <c r="K35" i="107"/>
  <c r="R11" i="97"/>
  <c r="K103" i="107"/>
  <c r="N137" i="97"/>
  <c r="L137" i="97" s="1"/>
  <c r="M121" i="107"/>
  <c r="K121" i="107" s="1"/>
  <c r="T30" i="97"/>
  <c r="S25" i="107"/>
  <c r="R18" i="107"/>
  <c r="R11" i="102"/>
  <c r="M39" i="97"/>
  <c r="L39" i="97" s="1"/>
  <c r="L20" i="102"/>
  <c r="K20" i="102" s="1"/>
  <c r="N13" i="4"/>
  <c r="T95" i="97"/>
  <c r="R95" i="97" s="1"/>
  <c r="S83" i="107"/>
  <c r="Q83" i="107" s="1"/>
  <c r="L47" i="107"/>
  <c r="L29" i="102"/>
  <c r="P111" i="107"/>
  <c r="P61" i="102"/>
  <c r="F76" i="107"/>
  <c r="G76" i="107" s="1"/>
  <c r="K86" i="107"/>
  <c r="P98" i="107"/>
  <c r="P54" i="102"/>
  <c r="O52" i="102"/>
  <c r="O90" i="107"/>
  <c r="J116" i="107"/>
  <c r="J64" i="102"/>
  <c r="S96" i="107"/>
  <c r="Q96" i="107" s="1"/>
  <c r="S53" i="102"/>
  <c r="Q53" i="102" s="1"/>
  <c r="O60" i="102"/>
  <c r="O108" i="107"/>
  <c r="P49" i="102"/>
  <c r="P84" i="107"/>
  <c r="P96" i="107"/>
  <c r="P53" i="102"/>
  <c r="P104" i="107"/>
  <c r="P58" i="102"/>
  <c r="K100" i="107"/>
  <c r="O98" i="107"/>
  <c r="O54" i="102"/>
  <c r="P60" i="102"/>
  <c r="P108" i="107"/>
  <c r="S99" i="107"/>
  <c r="S55" i="102"/>
  <c r="O96" i="107"/>
  <c r="O53" i="102"/>
  <c r="N111" i="107"/>
  <c r="F111" i="107" s="1"/>
  <c r="G111" i="107" s="1"/>
  <c r="H111" i="107" s="1"/>
  <c r="N61" i="102"/>
  <c r="T18" i="97"/>
  <c r="S16" i="107"/>
  <c r="P107" i="107"/>
  <c r="P59" i="102"/>
  <c r="P113" i="107"/>
  <c r="P62" i="102"/>
  <c r="P85" i="97"/>
  <c r="O75" i="107"/>
  <c r="O44" i="102"/>
  <c r="S15" i="102"/>
  <c r="Q15" i="102" s="1"/>
  <c r="S24" i="107"/>
  <c r="Q24" i="107" s="1"/>
  <c r="M84" i="97"/>
  <c r="L74" i="107"/>
  <c r="AA107" i="75"/>
  <c r="AB107" i="75" s="1"/>
  <c r="M93" i="107" s="1"/>
  <c r="K93" i="107" s="1"/>
  <c r="M104" i="107"/>
  <c r="M58" i="102"/>
  <c r="K58" i="102" s="1"/>
  <c r="K92" i="107"/>
  <c r="AB108" i="75"/>
  <c r="M94" i="107" s="1"/>
  <c r="T120" i="97"/>
  <c r="S79" i="107"/>
  <c r="S47" i="102"/>
  <c r="AN131" i="4"/>
  <c r="P42" i="107"/>
  <c r="P26" i="102"/>
  <c r="T67" i="97"/>
  <c r="S36" i="102"/>
  <c r="S59" i="107"/>
  <c r="S21" i="97"/>
  <c r="R19" i="107"/>
  <c r="P27" i="102"/>
  <c r="P43" i="107"/>
  <c r="P116" i="107"/>
  <c r="P64" i="102"/>
  <c r="M129" i="97"/>
  <c r="L114" i="107"/>
  <c r="K114" i="107" s="1"/>
  <c r="F114" i="107" s="1"/>
  <c r="G114" i="107" s="1"/>
  <c r="M17" i="97"/>
  <c r="L15" i="107"/>
  <c r="O70" i="102"/>
  <c r="O128" i="107"/>
  <c r="M132" i="97"/>
  <c r="L117" i="107"/>
  <c r="K117" i="107" s="1"/>
  <c r="F117" i="107" s="1"/>
  <c r="G117" i="107" s="1"/>
  <c r="L65" i="102"/>
  <c r="K65" i="102" s="1"/>
  <c r="J78" i="107"/>
  <c r="J46" i="102"/>
  <c r="T133" i="97"/>
  <c r="R133" i="97" s="1"/>
  <c r="S66" i="102"/>
  <c r="Q66" i="102" s="1"/>
  <c r="S88" i="97"/>
  <c r="R88" i="97" s="1"/>
  <c r="R77" i="107"/>
  <c r="Q77" i="107" s="1"/>
  <c r="P16" i="97"/>
  <c r="O14" i="107"/>
  <c r="Q128" i="97"/>
  <c r="P63" i="102"/>
  <c r="S85" i="97"/>
  <c r="R75" i="107"/>
  <c r="R44" i="102"/>
  <c r="T96" i="97"/>
  <c r="S49" i="102"/>
  <c r="S84" i="107"/>
  <c r="H8" i="102"/>
  <c r="K127" i="97"/>
  <c r="I125" i="99"/>
  <c r="Z20" i="75"/>
  <c r="AA20" i="75" s="1"/>
  <c r="AB20" i="75" s="1"/>
  <c r="C18" i="104"/>
  <c r="H18" i="99" s="1"/>
  <c r="E18" i="99" s="1"/>
  <c r="B97" i="104"/>
  <c r="F97" i="99" s="1"/>
  <c r="C97" i="99" s="1"/>
  <c r="O68" i="4"/>
  <c r="X68" i="4" s="1"/>
  <c r="G137" i="97"/>
  <c r="Z246" i="108" s="1"/>
  <c r="D246" i="108" s="1"/>
  <c r="I121" i="107" s="1"/>
  <c r="C77" i="104"/>
  <c r="H77" i="99" s="1"/>
  <c r="E77" i="99" s="1"/>
  <c r="AM140" i="4"/>
  <c r="AN140" i="4" s="1"/>
  <c r="S122" i="107" s="1"/>
  <c r="AN74" i="4"/>
  <c r="M105" i="97"/>
  <c r="R46" i="75"/>
  <c r="R87" i="75"/>
  <c r="M102" i="97"/>
  <c r="C123" i="104"/>
  <c r="H123" i="99" s="1"/>
  <c r="E123" i="99" s="1"/>
  <c r="Z9" i="75"/>
  <c r="AA9" i="75" s="1"/>
  <c r="AB9" i="75" s="1"/>
  <c r="M6" i="102" s="1"/>
  <c r="K6" i="102" s="1"/>
  <c r="O147" i="4"/>
  <c r="Z13" i="75"/>
  <c r="AA13" i="75" s="1"/>
  <c r="AB13" i="75" s="1"/>
  <c r="M11" i="107" s="1"/>
  <c r="X15" i="4"/>
  <c r="AB22" i="104"/>
  <c r="Z22" i="104" s="1"/>
  <c r="S22" i="104" s="1"/>
  <c r="X50" i="4"/>
  <c r="Q109" i="3"/>
  <c r="P95" i="107" s="1"/>
  <c r="AB129" i="75"/>
  <c r="M63" i="102" s="1"/>
  <c r="K63" i="102" s="1"/>
  <c r="B111" i="104"/>
  <c r="F111" i="99" s="1"/>
  <c r="C111" i="99" s="1"/>
  <c r="N33" i="3"/>
  <c r="AN20" i="4"/>
  <c r="B82" i="104"/>
  <c r="F82" i="99" s="1"/>
  <c r="C82" i="99" s="1"/>
  <c r="R67" i="75"/>
  <c r="V61" i="75"/>
  <c r="AA61" i="75" s="1"/>
  <c r="AB61" i="75" s="1"/>
  <c r="M53" i="107" s="1"/>
  <c r="K53" i="107" s="1"/>
  <c r="M65" i="97"/>
  <c r="I10" i="99"/>
  <c r="J11" i="107" s="1"/>
  <c r="K12" i="97"/>
  <c r="T74" i="97"/>
  <c r="R74" i="97" s="1"/>
  <c r="M53" i="97"/>
  <c r="O17" i="4"/>
  <c r="R153" i="97"/>
  <c r="S8" i="97"/>
  <c r="R8" i="97" s="1"/>
  <c r="K75" i="3"/>
  <c r="O65" i="107" s="1"/>
  <c r="O75" i="3"/>
  <c r="Q75" i="3" s="1"/>
  <c r="P65" i="107" s="1"/>
  <c r="R84" i="75"/>
  <c r="D88" i="104"/>
  <c r="O40" i="4"/>
  <c r="AM66" i="4"/>
  <c r="AN66" i="4" s="1"/>
  <c r="S57" i="107" s="1"/>
  <c r="Q57" i="107" s="1"/>
  <c r="R85" i="75"/>
  <c r="X8" i="4"/>
  <c r="R7" i="107" s="1"/>
  <c r="Q7" i="107" s="1"/>
  <c r="N120" i="75"/>
  <c r="L105" i="107" s="1"/>
  <c r="AM37" i="4"/>
  <c r="AN37" i="4" s="1"/>
  <c r="S31" i="107" s="1"/>
  <c r="Q31" i="107" s="1"/>
  <c r="AM36" i="4"/>
  <c r="AN36" i="4" s="1"/>
  <c r="I7" i="75"/>
  <c r="N7" i="75" s="1"/>
  <c r="L6" i="107" s="1"/>
  <c r="K7" i="3"/>
  <c r="O6" i="107" s="1"/>
  <c r="N7" i="3"/>
  <c r="Q7" i="3" s="1"/>
  <c r="P6" i="107" s="1"/>
  <c r="AA87" i="75"/>
  <c r="AB87" i="75" s="1"/>
  <c r="R65" i="75"/>
  <c r="I37" i="75"/>
  <c r="N37" i="75" s="1"/>
  <c r="L31" i="107" s="1"/>
  <c r="C98" i="104"/>
  <c r="H98" i="99" s="1"/>
  <c r="E98" i="99" s="1"/>
  <c r="Z85" i="75"/>
  <c r="R13" i="4"/>
  <c r="R37" i="75"/>
  <c r="B139" i="99"/>
  <c r="I139" i="99" s="1"/>
  <c r="I60" i="75"/>
  <c r="I32" i="75"/>
  <c r="N32" i="75" s="1"/>
  <c r="L26" i="107" s="1"/>
  <c r="V147" i="75"/>
  <c r="AN58" i="4"/>
  <c r="S33" i="102" s="1"/>
  <c r="Q33" i="102" s="1"/>
  <c r="AN85" i="4"/>
  <c r="AN67" i="4"/>
  <c r="S58" i="107" s="1"/>
  <c r="Q58" i="107" s="1"/>
  <c r="M135" i="97"/>
  <c r="S6" i="97"/>
  <c r="R6" i="97" s="1"/>
  <c r="N129" i="97"/>
  <c r="M95" i="97"/>
  <c r="AN147" i="4"/>
  <c r="O33" i="4"/>
  <c r="X33" i="4" s="1"/>
  <c r="R27" i="107" s="1"/>
  <c r="AA96" i="75"/>
  <c r="AB96" i="75" s="1"/>
  <c r="M83" i="107" s="1"/>
  <c r="K83" i="107" s="1"/>
  <c r="I31" i="75"/>
  <c r="C122" i="104"/>
  <c r="H122" i="99" s="1"/>
  <c r="E122" i="99" s="1"/>
  <c r="B52" i="99"/>
  <c r="D140" i="104"/>
  <c r="AM45" i="4"/>
  <c r="Z7" i="75"/>
  <c r="AA7" i="75" s="1"/>
  <c r="AB7" i="75" s="1"/>
  <c r="M6" i="107" s="1"/>
  <c r="I14" i="75"/>
  <c r="N14" i="75" s="1"/>
  <c r="AB42" i="104"/>
  <c r="Z42" i="104" s="1"/>
  <c r="S42" i="104" s="1"/>
  <c r="Z74" i="75"/>
  <c r="AA74" i="75" s="1"/>
  <c r="AB74" i="75" s="1"/>
  <c r="AB101" i="75"/>
  <c r="M87" i="107" s="1"/>
  <c r="X77" i="4"/>
  <c r="R67" i="107" s="1"/>
  <c r="B67" i="104"/>
  <c r="F67" i="99" s="1"/>
  <c r="C67" i="99" s="1"/>
  <c r="N108" i="75"/>
  <c r="L94" i="107" s="1"/>
  <c r="O77" i="3"/>
  <c r="Q77" i="3" s="1"/>
  <c r="P67" i="107" s="1"/>
  <c r="M10" i="75"/>
  <c r="N10" i="75" s="1"/>
  <c r="L8" i="107" s="1"/>
  <c r="K8" i="107" s="1"/>
  <c r="N89" i="3"/>
  <c r="Q89" i="3" s="1"/>
  <c r="P77" i="107" s="1"/>
  <c r="K89" i="3"/>
  <c r="O77" i="107" s="1"/>
  <c r="S44" i="104"/>
  <c r="B44" i="104" s="1"/>
  <c r="F44" i="99" s="1"/>
  <c r="C44" i="99" s="1"/>
  <c r="C44" i="104"/>
  <c r="H44" i="99" s="1"/>
  <c r="E44" i="99" s="1"/>
  <c r="B97" i="99"/>
  <c r="K99" i="97" s="1"/>
  <c r="O148" i="4"/>
  <c r="X148" i="4" s="1"/>
  <c r="H13" i="4"/>
  <c r="O13" i="4" s="1"/>
  <c r="S151" i="104"/>
  <c r="B151" i="104" s="1"/>
  <c r="C151" i="104"/>
  <c r="Z60" i="75"/>
  <c r="AB120" i="75"/>
  <c r="M105" i="107" s="1"/>
  <c r="N45" i="3"/>
  <c r="O106" i="4"/>
  <c r="X106" i="4" s="1"/>
  <c r="R92" i="107" s="1"/>
  <c r="Q92" i="107" s="1"/>
  <c r="C113" i="104"/>
  <c r="H113" i="99" s="1"/>
  <c r="E113" i="99" s="1"/>
  <c r="AN65" i="4"/>
  <c r="S35" i="102" s="1"/>
  <c r="C73" i="104"/>
  <c r="H73" i="99" s="1"/>
  <c r="E73" i="99" s="1"/>
  <c r="AA92" i="75"/>
  <c r="C42" i="104"/>
  <c r="H42" i="99" s="1"/>
  <c r="E42" i="99" s="1"/>
  <c r="O23" i="4"/>
  <c r="X23" i="4" s="1"/>
  <c r="R12" i="102" s="1"/>
  <c r="K58" i="97"/>
  <c r="I17" i="75"/>
  <c r="Z27" i="75"/>
  <c r="R89" i="75"/>
  <c r="O32" i="3"/>
  <c r="Q32" i="3" s="1"/>
  <c r="P26" i="107" s="1"/>
  <c r="K32" i="3"/>
  <c r="O26" i="107" s="1"/>
  <c r="X147" i="4"/>
  <c r="C71" i="104"/>
  <c r="H71" i="99" s="1"/>
  <c r="E71" i="99" s="1"/>
  <c r="B71" i="104"/>
  <c r="F71" i="99" s="1"/>
  <c r="C71" i="99" s="1"/>
  <c r="O97" i="4"/>
  <c r="X113" i="4"/>
  <c r="O39" i="4"/>
  <c r="X39" i="4" s="1"/>
  <c r="R70" i="75"/>
  <c r="Z29" i="75"/>
  <c r="B90" i="99"/>
  <c r="O37" i="4"/>
  <c r="X37" i="4" s="1"/>
  <c r="R31" i="107" s="1"/>
  <c r="R44" i="75"/>
  <c r="K74" i="3"/>
  <c r="N74" i="3"/>
  <c r="Q74" i="3" s="1"/>
  <c r="O144" i="4"/>
  <c r="X144" i="4" s="1"/>
  <c r="Z19" i="75"/>
  <c r="AA19" i="75" s="1"/>
  <c r="AB19" i="75" s="1"/>
  <c r="M16" i="107" s="1"/>
  <c r="W13" i="4"/>
  <c r="S49" i="97"/>
  <c r="R49" i="97" s="1"/>
  <c r="B93" i="104"/>
  <c r="F93" i="99" s="1"/>
  <c r="C93" i="99" s="1"/>
  <c r="C93" i="104"/>
  <c r="H93" i="99" s="1"/>
  <c r="E93" i="99" s="1"/>
  <c r="N17" i="75"/>
  <c r="L14" i="107" s="1"/>
  <c r="AB114" i="75"/>
  <c r="M56" i="102" s="1"/>
  <c r="K56" i="102" s="1"/>
  <c r="D35" i="104"/>
  <c r="AN45" i="4"/>
  <c r="S38" i="107" s="1"/>
  <c r="Q38" i="107" s="1"/>
  <c r="B14" i="104"/>
  <c r="F14" i="99" s="1"/>
  <c r="C14" i="99" s="1"/>
  <c r="R14" i="75"/>
  <c r="K6" i="97"/>
  <c r="I4" i="99"/>
  <c r="J6" i="107" s="1"/>
  <c r="N111" i="97"/>
  <c r="L111" i="97" s="1"/>
  <c r="B133" i="104"/>
  <c r="F133" i="99" s="1"/>
  <c r="C133" i="99" s="1"/>
  <c r="B133" i="99" s="1"/>
  <c r="I133" i="99" s="1"/>
  <c r="J119" i="107" s="1"/>
  <c r="O143" i="4"/>
  <c r="O142" i="4"/>
  <c r="X142" i="4" s="1"/>
  <c r="O80" i="4"/>
  <c r="X80" i="4" s="1"/>
  <c r="R69" i="107" s="1"/>
  <c r="Q69" i="107" s="1"/>
  <c r="O56" i="4"/>
  <c r="X131" i="4"/>
  <c r="R115" i="107" s="1"/>
  <c r="O16" i="4"/>
  <c r="X82" i="4"/>
  <c r="S81" i="97" s="1"/>
  <c r="O129" i="4"/>
  <c r="X129" i="4" s="1"/>
  <c r="R63" i="102" s="1"/>
  <c r="Q63" i="102" s="1"/>
  <c r="X30" i="4"/>
  <c r="N31" i="75"/>
  <c r="O30" i="4"/>
  <c r="N113" i="75"/>
  <c r="O72" i="4"/>
  <c r="T51" i="97"/>
  <c r="R51" i="97" s="1"/>
  <c r="T139" i="97"/>
  <c r="C140" i="104"/>
  <c r="H140" i="99" s="1"/>
  <c r="E140" i="99" s="1"/>
  <c r="B140" i="104"/>
  <c r="F140" i="99" s="1"/>
  <c r="C140" i="99" s="1"/>
  <c r="N8" i="97"/>
  <c r="S5" i="104"/>
  <c r="B5" i="104" s="1"/>
  <c r="F5" i="99" s="1"/>
  <c r="C5" i="99" s="1"/>
  <c r="C5" i="104"/>
  <c r="H5" i="99" s="1"/>
  <c r="E5" i="99" s="1"/>
  <c r="K105" i="97"/>
  <c r="I103" i="99"/>
  <c r="J92" i="107" s="1"/>
  <c r="S64" i="104"/>
  <c r="B64" i="104" s="1"/>
  <c r="F64" i="99" s="1"/>
  <c r="C64" i="99" s="1"/>
  <c r="C64" i="104"/>
  <c r="H64" i="99" s="1"/>
  <c r="E64" i="99" s="1"/>
  <c r="N133" i="97"/>
  <c r="S36" i="97"/>
  <c r="I96" i="99"/>
  <c r="J51" i="102" s="1"/>
  <c r="K98" i="97"/>
  <c r="D105" i="104"/>
  <c r="B105" i="104" s="1"/>
  <c r="F105" i="99" s="1"/>
  <c r="C105" i="99" s="1"/>
  <c r="B105" i="99" s="1"/>
  <c r="B9" i="99"/>
  <c r="AM82" i="4"/>
  <c r="AN82" i="4" s="1"/>
  <c r="K20" i="3"/>
  <c r="N20" i="3"/>
  <c r="Q20" i="3" s="1"/>
  <c r="K8" i="3"/>
  <c r="O7" i="107" s="1"/>
  <c r="P8" i="3"/>
  <c r="Q8" i="3" s="1"/>
  <c r="P7" i="107" s="1"/>
  <c r="X17" i="4"/>
  <c r="R80" i="75"/>
  <c r="AA136" i="75"/>
  <c r="AB136" i="75" s="1"/>
  <c r="M119" i="107" s="1"/>
  <c r="K119" i="107" s="1"/>
  <c r="AA95" i="75"/>
  <c r="AM28" i="4"/>
  <c r="AN28" i="4" s="1"/>
  <c r="AB25" i="104"/>
  <c r="Z25" i="104" s="1"/>
  <c r="S25" i="104" s="1"/>
  <c r="C106" i="104"/>
  <c r="H106" i="99" s="1"/>
  <c r="E106" i="99" s="1"/>
  <c r="C149" i="104"/>
  <c r="N9" i="3"/>
  <c r="Q9" i="3" s="1"/>
  <c r="P6" i="102" s="1"/>
  <c r="K9" i="3"/>
  <c r="O6" i="102" s="1"/>
  <c r="O40" i="3"/>
  <c r="Q40" i="3" s="1"/>
  <c r="P20" i="102" s="1"/>
  <c r="K40" i="3"/>
  <c r="O20" i="102" s="1"/>
  <c r="B11" i="99"/>
  <c r="I13" i="75"/>
  <c r="N13" i="75" s="1"/>
  <c r="L11" i="107" s="1"/>
  <c r="B17" i="104"/>
  <c r="F17" i="99" s="1"/>
  <c r="C17" i="99" s="1"/>
  <c r="Z65" i="75"/>
  <c r="C82" i="104"/>
  <c r="H82" i="99" s="1"/>
  <c r="E82" i="99" s="1"/>
  <c r="B82" i="99" s="1"/>
  <c r="K84" i="97" s="1"/>
  <c r="N151" i="97"/>
  <c r="T16" i="97"/>
  <c r="K26" i="3"/>
  <c r="O21" i="107" s="1"/>
  <c r="N26" i="3"/>
  <c r="Q26" i="3" s="1"/>
  <c r="P21" i="107" s="1"/>
  <c r="N104" i="75"/>
  <c r="X42" i="4"/>
  <c r="O84" i="4"/>
  <c r="R26" i="75"/>
  <c r="B122" i="104"/>
  <c r="F122" i="99" s="1"/>
  <c r="C122" i="99" s="1"/>
  <c r="AN81" i="4"/>
  <c r="V8" i="75"/>
  <c r="AA8" i="75" s="1"/>
  <c r="AB8" i="75" s="1"/>
  <c r="M7" i="107" s="1"/>
  <c r="K7" i="107" s="1"/>
  <c r="M11" i="75"/>
  <c r="AA14" i="75"/>
  <c r="K61" i="3"/>
  <c r="O53" i="107" s="1"/>
  <c r="P61" i="3"/>
  <c r="Q61" i="3" s="1"/>
  <c r="P53" i="107" s="1"/>
  <c r="AA27" i="75"/>
  <c r="AB27" i="75" s="1"/>
  <c r="M22" i="107" s="1"/>
  <c r="B41" i="104"/>
  <c r="F41" i="99" s="1"/>
  <c r="C41" i="99" s="1"/>
  <c r="O43" i="3"/>
  <c r="Q43" i="3" s="1"/>
  <c r="K43" i="3"/>
  <c r="O85" i="3"/>
  <c r="Q85" i="3" s="1"/>
  <c r="P74" i="107" s="1"/>
  <c r="K85" i="3"/>
  <c r="O74" i="107" s="1"/>
  <c r="C50" i="104"/>
  <c r="H50" i="99" s="1"/>
  <c r="E50" i="99" s="1"/>
  <c r="AB113" i="75"/>
  <c r="O140" i="4"/>
  <c r="K29" i="97"/>
  <c r="I27" i="99"/>
  <c r="J16" i="102" s="1"/>
  <c r="C14" i="104"/>
  <c r="H14" i="99" s="1"/>
  <c r="E14" i="99" s="1"/>
  <c r="AN51" i="4"/>
  <c r="AM77" i="4"/>
  <c r="AN77" i="4" s="1"/>
  <c r="S67" i="107" s="1"/>
  <c r="AB34" i="104"/>
  <c r="Z34" i="104" s="1"/>
  <c r="C126" i="104"/>
  <c r="H126" i="99" s="1"/>
  <c r="E126" i="99" s="1"/>
  <c r="B126" i="99" s="1"/>
  <c r="X112" i="4"/>
  <c r="Z18" i="75"/>
  <c r="AA18" i="75" s="1"/>
  <c r="AB18" i="75" s="1"/>
  <c r="M15" i="107" s="1"/>
  <c r="K15" i="107" s="1"/>
  <c r="C75" i="104"/>
  <c r="H75" i="99" s="1"/>
  <c r="E75" i="99" s="1"/>
  <c r="V31" i="75"/>
  <c r="V24" i="75"/>
  <c r="T7" i="97"/>
  <c r="I12" i="75"/>
  <c r="N12" i="75" s="1"/>
  <c r="Z12" i="75"/>
  <c r="AA12" i="75" s="1"/>
  <c r="AB12" i="75" s="1"/>
  <c r="B39" i="99"/>
  <c r="Z70" i="75"/>
  <c r="AA70" i="75" s="1"/>
  <c r="AB70" i="75" s="1"/>
  <c r="M60" i="107" s="1"/>
  <c r="AA89" i="75"/>
  <c r="AB89" i="75" s="1"/>
  <c r="M77" i="107" s="1"/>
  <c r="K77" i="107" s="1"/>
  <c r="AA85" i="75"/>
  <c r="AB85" i="75" s="1"/>
  <c r="M74" i="107" s="1"/>
  <c r="K74" i="107" s="1"/>
  <c r="B134" i="99"/>
  <c r="K136" i="97" s="1"/>
  <c r="C23" i="104"/>
  <c r="H23" i="99" s="1"/>
  <c r="E23" i="99" s="1"/>
  <c r="N144" i="97"/>
  <c r="L144" i="97" s="1"/>
  <c r="N138" i="97"/>
  <c r="L138" i="97" s="1"/>
  <c r="M91" i="75"/>
  <c r="M151" i="97"/>
  <c r="R92" i="75"/>
  <c r="O87" i="4"/>
  <c r="X87" i="4" s="1"/>
  <c r="R45" i="102" s="1"/>
  <c r="Q45" i="102" s="1"/>
  <c r="M35" i="75"/>
  <c r="AA69" i="75"/>
  <c r="B60" i="99"/>
  <c r="V135" i="75"/>
  <c r="AA135" i="75" s="1"/>
  <c r="AB135" i="75" s="1"/>
  <c r="M118" i="107" s="1"/>
  <c r="K118" i="107" s="1"/>
  <c r="B28" i="104"/>
  <c r="F28" i="99" s="1"/>
  <c r="C28" i="99" s="1"/>
  <c r="B115" i="99"/>
  <c r="I115" i="99" s="1"/>
  <c r="J103" i="107" s="1"/>
  <c r="M57" i="75"/>
  <c r="N57" i="75" s="1"/>
  <c r="M50" i="75"/>
  <c r="N50" i="75" s="1"/>
  <c r="T83" i="97"/>
  <c r="R76" i="75"/>
  <c r="C12" i="104"/>
  <c r="H12" i="99" s="1"/>
  <c r="E12" i="99" s="1"/>
  <c r="M36" i="75"/>
  <c r="O91" i="4"/>
  <c r="X91" i="4" s="1"/>
  <c r="B66" i="104"/>
  <c r="F66" i="99" s="1"/>
  <c r="C66" i="99" s="1"/>
  <c r="M27" i="75"/>
  <c r="R15" i="75"/>
  <c r="R33" i="75"/>
  <c r="V66" i="75"/>
  <c r="R81" i="75"/>
  <c r="I104" i="99"/>
  <c r="J93" i="107" s="1"/>
  <c r="K106" i="97"/>
  <c r="B146" i="99"/>
  <c r="R36" i="75"/>
  <c r="AA77" i="75"/>
  <c r="R136" i="3"/>
  <c r="N119" i="107" s="1"/>
  <c r="X98" i="4"/>
  <c r="D25" i="104"/>
  <c r="B25" i="104" s="1"/>
  <c r="F25" i="99" s="1"/>
  <c r="C25" i="99" s="1"/>
  <c r="Z75" i="75"/>
  <c r="AA75" i="75" s="1"/>
  <c r="R21" i="75"/>
  <c r="AB21" i="75" s="1"/>
  <c r="N109" i="4"/>
  <c r="V29" i="75"/>
  <c r="AA29" i="75" s="1"/>
  <c r="AN72" i="4"/>
  <c r="S62" i="107" s="1"/>
  <c r="Z162" i="108"/>
  <c r="D162" i="108" s="1"/>
  <c r="H89" i="97"/>
  <c r="N153" i="97"/>
  <c r="L153" i="97" s="1"/>
  <c r="O153" i="97"/>
  <c r="Q153" i="97"/>
  <c r="I77" i="75"/>
  <c r="O122" i="4"/>
  <c r="X122" i="4" s="1"/>
  <c r="C25" i="104"/>
  <c r="H25" i="99" s="1"/>
  <c r="E25" i="99" s="1"/>
  <c r="I23" i="75"/>
  <c r="V54" i="75"/>
  <c r="AA54" i="75" s="1"/>
  <c r="AB54" i="75" s="1"/>
  <c r="AN23" i="4"/>
  <c r="X64" i="4"/>
  <c r="T141" i="97"/>
  <c r="Z91" i="75"/>
  <c r="AA91" i="75" s="1"/>
  <c r="B51" i="104"/>
  <c r="F51" i="99" s="1"/>
  <c r="C51" i="99" s="1"/>
  <c r="R62" i="75"/>
  <c r="V34" i="75"/>
  <c r="O132" i="4"/>
  <c r="C15" i="104"/>
  <c r="H15" i="99" s="1"/>
  <c r="E15" i="99" s="1"/>
  <c r="B15" i="99" s="1"/>
  <c r="V146" i="75"/>
  <c r="AA146" i="75" s="1"/>
  <c r="AB146" i="75" s="1"/>
  <c r="O155" i="97"/>
  <c r="Q155" i="97"/>
  <c r="R141" i="3"/>
  <c r="N123" i="107" s="1"/>
  <c r="Q140" i="97"/>
  <c r="K97" i="97"/>
  <c r="I95" i="99"/>
  <c r="S141" i="97"/>
  <c r="T77" i="97"/>
  <c r="S111" i="97"/>
  <c r="R111" i="97" s="1"/>
  <c r="T28" i="97"/>
  <c r="R28" i="97" s="1"/>
  <c r="T81" i="97"/>
  <c r="S70" i="104"/>
  <c r="B70" i="104" s="1"/>
  <c r="F70" i="99" s="1"/>
  <c r="C70" i="99" s="1"/>
  <c r="C70" i="104"/>
  <c r="H70" i="99" s="1"/>
  <c r="E70" i="99" s="1"/>
  <c r="M60" i="97"/>
  <c r="S144" i="104"/>
  <c r="C144" i="104"/>
  <c r="H144" i="99" s="1"/>
  <c r="E144" i="99" s="1"/>
  <c r="T72" i="97"/>
  <c r="N116" i="75"/>
  <c r="B38" i="104"/>
  <c r="F38" i="99" s="1"/>
  <c r="C38" i="99" s="1"/>
  <c r="C110" i="104"/>
  <c r="H110" i="99" s="1"/>
  <c r="E110" i="99" s="1"/>
  <c r="Z149" i="75"/>
  <c r="AA149" i="75" s="1"/>
  <c r="AB149" i="75" s="1"/>
  <c r="V37" i="75"/>
  <c r="AA37" i="75" s="1"/>
  <c r="AB37" i="75" s="1"/>
  <c r="X73" i="4"/>
  <c r="AN76" i="4"/>
  <c r="N19" i="4"/>
  <c r="Z68" i="75"/>
  <c r="AA68" i="75" s="1"/>
  <c r="AA15" i="75"/>
  <c r="AB15" i="75" s="1"/>
  <c r="M9" i="102" s="1"/>
  <c r="Z76" i="75"/>
  <c r="M48" i="75"/>
  <c r="R22" i="75"/>
  <c r="M146" i="75"/>
  <c r="N146" i="75" s="1"/>
  <c r="Z131" i="75"/>
  <c r="AA131" i="75" s="1"/>
  <c r="AB131" i="75" s="1"/>
  <c r="M115" i="107" s="1"/>
  <c r="K115" i="107" s="1"/>
  <c r="B148" i="99"/>
  <c r="Z44" i="75"/>
  <c r="AA44" i="75" s="1"/>
  <c r="AB44" i="75" s="1"/>
  <c r="AM32" i="4"/>
  <c r="AN32" i="4" s="1"/>
  <c r="M45" i="75"/>
  <c r="I68" i="75"/>
  <c r="AB110" i="75"/>
  <c r="O105" i="4"/>
  <c r="X105" i="4" s="1"/>
  <c r="X92" i="4"/>
  <c r="R75" i="75"/>
  <c r="K147" i="3"/>
  <c r="R147" i="3" s="1"/>
  <c r="O147" i="3"/>
  <c r="Q147" i="3" s="1"/>
  <c r="K23" i="3"/>
  <c r="O12" i="102" s="1"/>
  <c r="N23" i="3"/>
  <c r="Q23" i="3" s="1"/>
  <c r="P12" i="102" s="1"/>
  <c r="Z66" i="75"/>
  <c r="AA66" i="75" s="1"/>
  <c r="AB66" i="75" s="1"/>
  <c r="M57" i="107" s="1"/>
  <c r="K57" i="107" s="1"/>
  <c r="S77" i="97"/>
  <c r="V63" i="75"/>
  <c r="AA63" i="75" s="1"/>
  <c r="AB63" i="75" s="1"/>
  <c r="M55" i="107" s="1"/>
  <c r="K66" i="3"/>
  <c r="O57" i="107" s="1"/>
  <c r="N66" i="3"/>
  <c r="Q66" i="3" s="1"/>
  <c r="P57" i="107" s="1"/>
  <c r="K31" i="3"/>
  <c r="N31" i="3"/>
  <c r="Q31" i="3" s="1"/>
  <c r="P25" i="107" s="1"/>
  <c r="K28" i="3"/>
  <c r="N28" i="3"/>
  <c r="Q28" i="3" s="1"/>
  <c r="P23" i="107" s="1"/>
  <c r="K67" i="3"/>
  <c r="O58" i="107" s="1"/>
  <c r="O67" i="3"/>
  <c r="Q67" i="3" s="1"/>
  <c r="P58" i="107" s="1"/>
  <c r="Z67" i="75"/>
  <c r="AA67" i="75" s="1"/>
  <c r="AB67" i="75" s="1"/>
  <c r="M58" i="107" s="1"/>
  <c r="C72" i="104"/>
  <c r="H72" i="99" s="1"/>
  <c r="E72" i="99" s="1"/>
  <c r="B72" i="99" s="1"/>
  <c r="Z78" i="75"/>
  <c r="AA78" i="75" s="1"/>
  <c r="K109" i="4"/>
  <c r="W109" i="4"/>
  <c r="R52" i="75"/>
  <c r="AA73" i="75"/>
  <c r="Z64" i="75"/>
  <c r="AA64" i="75" s="1"/>
  <c r="AB64" i="75" s="1"/>
  <c r="R58" i="75"/>
  <c r="R72" i="75"/>
  <c r="X97" i="4"/>
  <c r="O87" i="97"/>
  <c r="I87" i="97" s="1"/>
  <c r="I28" i="75"/>
  <c r="N28" i="75" s="1"/>
  <c r="L23" i="107" s="1"/>
  <c r="Z94" i="75"/>
  <c r="S73" i="97"/>
  <c r="R78" i="75"/>
  <c r="B144" i="104"/>
  <c r="F144" i="99" s="1"/>
  <c r="C144" i="99" s="1"/>
  <c r="Q37" i="3"/>
  <c r="P31" i="107" s="1"/>
  <c r="N98" i="3"/>
  <c r="Q98" i="3" s="1"/>
  <c r="K98" i="3"/>
  <c r="Z23" i="75"/>
  <c r="AA23" i="75" s="1"/>
  <c r="P44" i="97"/>
  <c r="P151" i="97"/>
  <c r="K18" i="3"/>
  <c r="O15" i="107" s="1"/>
  <c r="O18" i="3"/>
  <c r="Q18" i="3" s="1"/>
  <c r="P15" i="107" s="1"/>
  <c r="C69" i="104"/>
  <c r="H69" i="99" s="1"/>
  <c r="E69" i="99" s="1"/>
  <c r="B69" i="99" s="1"/>
  <c r="AB20" i="104"/>
  <c r="Z20" i="104" s="1"/>
  <c r="X56" i="4"/>
  <c r="AA72" i="75"/>
  <c r="Z28" i="75"/>
  <c r="AA28" i="75" s="1"/>
  <c r="N15" i="3"/>
  <c r="Q15" i="3" s="1"/>
  <c r="P9" i="102" s="1"/>
  <c r="K15" i="3"/>
  <c r="O9" i="102" s="1"/>
  <c r="S78" i="97"/>
  <c r="P78" i="97"/>
  <c r="C49" i="104"/>
  <c r="H49" i="99" s="1"/>
  <c r="E49" i="99" s="1"/>
  <c r="K78" i="3"/>
  <c r="N78" i="3"/>
  <c r="Q78" i="3" s="1"/>
  <c r="P40" i="102" s="1"/>
  <c r="AB79" i="104"/>
  <c r="Z79" i="104" s="1"/>
  <c r="S79" i="104" s="1"/>
  <c r="B79" i="104" s="1"/>
  <c r="F79" i="99" s="1"/>
  <c r="C79" i="99" s="1"/>
  <c r="R73" i="75"/>
  <c r="T65" i="97"/>
  <c r="R65" i="97" s="1"/>
  <c r="AB63" i="104"/>
  <c r="Z63" i="104" s="1"/>
  <c r="S63" i="104" s="1"/>
  <c r="B63" i="104" s="1"/>
  <c r="F63" i="99" s="1"/>
  <c r="C63" i="99" s="1"/>
  <c r="K29" i="3"/>
  <c r="N29" i="3"/>
  <c r="Q29" i="3" s="1"/>
  <c r="AB111" i="75"/>
  <c r="M97" i="107" s="1"/>
  <c r="K97" i="107" s="1"/>
  <c r="F97" i="107" s="1"/>
  <c r="G97" i="107" s="1"/>
  <c r="B73" i="104"/>
  <c r="F73" i="99" s="1"/>
  <c r="C73" i="99" s="1"/>
  <c r="X40" i="4"/>
  <c r="R20" i="102" s="1"/>
  <c r="Q20" i="102" s="1"/>
  <c r="O25" i="4"/>
  <c r="X25" i="4" s="1"/>
  <c r="R14" i="102" s="1"/>
  <c r="Z86" i="75"/>
  <c r="AA86" i="75" s="1"/>
  <c r="AB86" i="75" s="1"/>
  <c r="O128" i="4"/>
  <c r="X128" i="4" s="1"/>
  <c r="M152" i="97"/>
  <c r="O34" i="4"/>
  <c r="X34" i="4" s="1"/>
  <c r="AA79" i="75"/>
  <c r="I76" i="75"/>
  <c r="N76" i="75" s="1"/>
  <c r="I22" i="75"/>
  <c r="I65" i="75"/>
  <c r="N65" i="75" s="1"/>
  <c r="L35" i="102" s="1"/>
  <c r="M147" i="75"/>
  <c r="N23" i="75"/>
  <c r="L12" i="102" s="1"/>
  <c r="Z80" i="75"/>
  <c r="AA80" i="75" s="1"/>
  <c r="C51" i="104"/>
  <c r="H51" i="99" s="1"/>
  <c r="E51" i="99" s="1"/>
  <c r="B58" i="99"/>
  <c r="K73" i="3"/>
  <c r="O63" i="107" s="1"/>
  <c r="O73" i="3"/>
  <c r="Q73" i="3" s="1"/>
  <c r="R28" i="75"/>
  <c r="Z82" i="75"/>
  <c r="AA82" i="75" s="1"/>
  <c r="R23" i="75"/>
  <c r="K82" i="3"/>
  <c r="N82" i="3"/>
  <c r="Q82" i="3" s="1"/>
  <c r="Z62" i="75"/>
  <c r="AA62" i="75" s="1"/>
  <c r="T66" i="97"/>
  <c r="R66" i="97" s="1"/>
  <c r="H109" i="4"/>
  <c r="AA81" i="75"/>
  <c r="AB81" i="75" s="1"/>
  <c r="M70" i="107" s="1"/>
  <c r="K70" i="107" s="1"/>
  <c r="AB29" i="75"/>
  <c r="D106" i="104"/>
  <c r="B106" i="104" s="1"/>
  <c r="F106" i="99" s="1"/>
  <c r="C106" i="99" s="1"/>
  <c r="B75" i="104"/>
  <c r="F75" i="99" s="1"/>
  <c r="C75" i="99" s="1"/>
  <c r="K54" i="3"/>
  <c r="N54" i="3"/>
  <c r="Q54" i="3" s="1"/>
  <c r="K72" i="3"/>
  <c r="O62" i="107" s="1"/>
  <c r="O72" i="3"/>
  <c r="Q72" i="3" s="1"/>
  <c r="P62" i="107" s="1"/>
  <c r="R82" i="75"/>
  <c r="T71" i="97"/>
  <c r="M136" i="97"/>
  <c r="S20" i="97"/>
  <c r="N49" i="97"/>
  <c r="AA125" i="75"/>
  <c r="AB125" i="75" s="1"/>
  <c r="M110" i="107" s="1"/>
  <c r="K110" i="107" s="1"/>
  <c r="O117" i="4"/>
  <c r="X117" i="4" s="1"/>
  <c r="Z51" i="75"/>
  <c r="Q45" i="3"/>
  <c r="P38" i="107" s="1"/>
  <c r="AA32" i="75"/>
  <c r="W19" i="4"/>
  <c r="H19" i="4"/>
  <c r="Q127" i="3"/>
  <c r="B132" i="104"/>
  <c r="F132" i="99" s="1"/>
  <c r="C132" i="99" s="1"/>
  <c r="AM27" i="4"/>
  <c r="AN27" i="4" s="1"/>
  <c r="S22" i="107" s="1"/>
  <c r="I144" i="75"/>
  <c r="N144" i="75" s="1"/>
  <c r="O119" i="4"/>
  <c r="X119" i="4" s="1"/>
  <c r="B145" i="99"/>
  <c r="I145" i="99" s="1"/>
  <c r="J130" i="107" s="1"/>
  <c r="Q56" i="3"/>
  <c r="R45" i="75"/>
  <c r="B112" i="104"/>
  <c r="F112" i="99" s="1"/>
  <c r="C112" i="99" s="1"/>
  <c r="AB36" i="104"/>
  <c r="Z36" i="104" s="1"/>
  <c r="S36" i="104" s="1"/>
  <c r="B36" i="104" s="1"/>
  <c r="F36" i="99" s="1"/>
  <c r="C36" i="99" s="1"/>
  <c r="Z35" i="75"/>
  <c r="I11" i="75"/>
  <c r="I35" i="75"/>
  <c r="N35" i="75" s="1"/>
  <c r="L29" i="107" s="1"/>
  <c r="M86" i="75"/>
  <c r="I62" i="75"/>
  <c r="N62" i="75" s="1"/>
  <c r="Z48" i="75"/>
  <c r="AA48" i="75" s="1"/>
  <c r="I34" i="75"/>
  <c r="L98" i="97"/>
  <c r="V35" i="75"/>
  <c r="Z57" i="75"/>
  <c r="AA57" i="75" s="1"/>
  <c r="AB57" i="75" s="1"/>
  <c r="AA76" i="75"/>
  <c r="AB76" i="75" s="1"/>
  <c r="R17" i="75"/>
  <c r="V52" i="75"/>
  <c r="AA52" i="75" s="1"/>
  <c r="V58" i="75"/>
  <c r="AA58" i="75" s="1"/>
  <c r="AB58" i="75" s="1"/>
  <c r="M33" i="102" s="1"/>
  <c r="K33" i="102" s="1"/>
  <c r="AA26" i="75"/>
  <c r="AB26" i="75" s="1"/>
  <c r="M21" i="107" s="1"/>
  <c r="K21" i="107" s="1"/>
  <c r="I147" i="75"/>
  <c r="M154" i="97"/>
  <c r="C112" i="104"/>
  <c r="H112" i="99" s="1"/>
  <c r="E112" i="99" s="1"/>
  <c r="B112" i="99" s="1"/>
  <c r="AB62" i="104"/>
  <c r="Z62" i="104" s="1"/>
  <c r="S62" i="104" s="1"/>
  <c r="B62" i="104" s="1"/>
  <c r="F62" i="99" s="1"/>
  <c r="C62" i="99" s="1"/>
  <c r="B131" i="104"/>
  <c r="F131" i="99" s="1"/>
  <c r="C131" i="99" s="1"/>
  <c r="D22" i="104"/>
  <c r="D98" i="104"/>
  <c r="B98" i="104" s="1"/>
  <c r="F98" i="99" s="1"/>
  <c r="C98" i="99" s="1"/>
  <c r="Q79" i="3"/>
  <c r="P68" i="107" s="1"/>
  <c r="C22" i="104"/>
  <c r="H22" i="99" s="1"/>
  <c r="E22" i="99" s="1"/>
  <c r="O121" i="4"/>
  <c r="Q95" i="3"/>
  <c r="D65" i="104"/>
  <c r="B65" i="104" s="1"/>
  <c r="F65" i="99" s="1"/>
  <c r="C65" i="99" s="1"/>
  <c r="I127" i="75"/>
  <c r="N127" i="75" s="1"/>
  <c r="B74" i="104"/>
  <c r="F74" i="99" s="1"/>
  <c r="C74" i="99" s="1"/>
  <c r="I64" i="75"/>
  <c r="N64" i="75" s="1"/>
  <c r="B120" i="99"/>
  <c r="K122" i="97" s="1"/>
  <c r="Z34" i="75"/>
  <c r="AA17" i="75"/>
  <c r="B137" i="99"/>
  <c r="K139" i="97" s="1"/>
  <c r="X84" i="4"/>
  <c r="AM48" i="4"/>
  <c r="AN48" i="4" s="1"/>
  <c r="Q19" i="3"/>
  <c r="AA38" i="75"/>
  <c r="I52" i="75"/>
  <c r="N52" i="75" s="1"/>
  <c r="X6" i="4"/>
  <c r="I48" i="75"/>
  <c r="N48" i="75" s="1"/>
  <c r="Z39" i="75"/>
  <c r="AB123" i="75"/>
  <c r="C117" i="104"/>
  <c r="H117" i="99" s="1"/>
  <c r="E117" i="99" s="1"/>
  <c r="AN86" i="4"/>
  <c r="V94" i="75"/>
  <c r="AA94" i="75" s="1"/>
  <c r="AB94" i="75" s="1"/>
  <c r="M48" i="102" s="1"/>
  <c r="K48" i="102" s="1"/>
  <c r="B89" i="104"/>
  <c r="F89" i="99" s="1"/>
  <c r="C89" i="99" s="1"/>
  <c r="I53" i="75"/>
  <c r="B40" i="104"/>
  <c r="F40" i="99" s="1"/>
  <c r="C40" i="99" s="1"/>
  <c r="X24" i="4"/>
  <c r="AM150" i="4"/>
  <c r="AN150" i="4" s="1"/>
  <c r="X27" i="4"/>
  <c r="B67" i="99"/>
  <c r="Z24" i="75"/>
  <c r="I43" i="75"/>
  <c r="N43" i="75" s="1"/>
  <c r="I21" i="75"/>
  <c r="N21" i="75" s="1"/>
  <c r="C116" i="104"/>
  <c r="H116" i="99" s="1"/>
  <c r="E116" i="99" s="1"/>
  <c r="AB21" i="104"/>
  <c r="Z21" i="104" s="1"/>
  <c r="S21" i="104" s="1"/>
  <c r="B21" i="104" s="1"/>
  <c r="F21" i="99" s="1"/>
  <c r="C21" i="99" s="1"/>
  <c r="AN33" i="4"/>
  <c r="B143" i="99"/>
  <c r="K145" i="97" s="1"/>
  <c r="Q131" i="3"/>
  <c r="P115" i="107" s="1"/>
  <c r="AM46" i="4"/>
  <c r="R69" i="75"/>
  <c r="AM79" i="4"/>
  <c r="AN79" i="4" s="1"/>
  <c r="S68" i="107" s="1"/>
  <c r="Q68" i="107" s="1"/>
  <c r="O135" i="4"/>
  <c r="X135" i="4" s="1"/>
  <c r="M79" i="75"/>
  <c r="R83" i="75"/>
  <c r="M68" i="75"/>
  <c r="N68" i="75" s="1"/>
  <c r="R77" i="75"/>
  <c r="AB77" i="75" s="1"/>
  <c r="M67" i="107" s="1"/>
  <c r="M80" i="97"/>
  <c r="M131" i="97"/>
  <c r="L131" i="97" s="1"/>
  <c r="M127" i="97"/>
  <c r="L127" i="97" s="1"/>
  <c r="S86" i="97"/>
  <c r="R86" i="97" s="1"/>
  <c r="T59" i="97"/>
  <c r="R59" i="97" s="1"/>
  <c r="T25" i="97"/>
  <c r="B50" i="104"/>
  <c r="F50" i="99" s="1"/>
  <c r="C50" i="99" s="1"/>
  <c r="B50" i="99" s="1"/>
  <c r="N57" i="97"/>
  <c r="K148" i="97"/>
  <c r="I146" i="99"/>
  <c r="B35" i="104"/>
  <c r="F35" i="99" s="1"/>
  <c r="C35" i="99" s="1"/>
  <c r="C35" i="104"/>
  <c r="H35" i="99" s="1"/>
  <c r="E35" i="99" s="1"/>
  <c r="T44" i="97"/>
  <c r="R44" i="97" s="1"/>
  <c r="K55" i="97"/>
  <c r="I53" i="99"/>
  <c r="C55" i="104"/>
  <c r="H55" i="99" s="1"/>
  <c r="E55" i="99" s="1"/>
  <c r="B55" i="104"/>
  <c r="F55" i="99" s="1"/>
  <c r="C55" i="99" s="1"/>
  <c r="T52" i="97"/>
  <c r="R52" i="97" s="1"/>
  <c r="S57" i="104"/>
  <c r="B57" i="104" s="1"/>
  <c r="F57" i="99" s="1"/>
  <c r="C57" i="99" s="1"/>
  <c r="C57" i="104"/>
  <c r="H57" i="99" s="1"/>
  <c r="E57" i="99" s="1"/>
  <c r="S130" i="97"/>
  <c r="M88" i="97"/>
  <c r="S17" i="97"/>
  <c r="R17" i="97" s="1"/>
  <c r="T128" i="97"/>
  <c r="T82" i="97"/>
  <c r="R82" i="97" s="1"/>
  <c r="T146" i="97"/>
  <c r="S34" i="104"/>
  <c r="B34" i="104" s="1"/>
  <c r="F34" i="99" s="1"/>
  <c r="C34" i="99" s="1"/>
  <c r="C34" i="104"/>
  <c r="H34" i="99" s="1"/>
  <c r="E34" i="99" s="1"/>
  <c r="S128" i="104"/>
  <c r="B128" i="104" s="1"/>
  <c r="F128" i="99" s="1"/>
  <c r="C128" i="99" s="1"/>
  <c r="C128" i="104"/>
  <c r="H128" i="99" s="1"/>
  <c r="E128" i="99" s="1"/>
  <c r="S83" i="104"/>
  <c r="B83" i="104" s="1"/>
  <c r="F83" i="99" s="1"/>
  <c r="C83" i="99" s="1"/>
  <c r="C83" i="104"/>
  <c r="H83" i="99" s="1"/>
  <c r="E83" i="99" s="1"/>
  <c r="T76" i="97"/>
  <c r="T63" i="97"/>
  <c r="S76" i="97"/>
  <c r="N142" i="97"/>
  <c r="L142" i="97" s="1"/>
  <c r="S32" i="104"/>
  <c r="B32" i="104" s="1"/>
  <c r="F32" i="99" s="1"/>
  <c r="C32" i="99" s="1"/>
  <c r="C32" i="104"/>
  <c r="H32" i="99" s="1"/>
  <c r="E32" i="99" s="1"/>
  <c r="S39" i="97"/>
  <c r="R39" i="97" s="1"/>
  <c r="K5" i="97"/>
  <c r="I3" i="99"/>
  <c r="S30" i="104"/>
  <c r="B30" i="104" s="1"/>
  <c r="F30" i="99" s="1"/>
  <c r="C30" i="99" s="1"/>
  <c r="C30" i="104"/>
  <c r="H30" i="99" s="1"/>
  <c r="E30" i="99" s="1"/>
  <c r="S23" i="97"/>
  <c r="T79" i="97"/>
  <c r="S31" i="104"/>
  <c r="B31" i="104" s="1"/>
  <c r="F31" i="99" s="1"/>
  <c r="C31" i="99" s="1"/>
  <c r="C31" i="104"/>
  <c r="H31" i="99" s="1"/>
  <c r="E31" i="99" s="1"/>
  <c r="B92" i="104"/>
  <c r="F92" i="99" s="1"/>
  <c r="C92" i="99" s="1"/>
  <c r="C92" i="104"/>
  <c r="H92" i="99" s="1"/>
  <c r="E92" i="99" s="1"/>
  <c r="T56" i="97"/>
  <c r="R56" i="97" s="1"/>
  <c r="O144" i="3"/>
  <c r="Q144" i="3" s="1"/>
  <c r="K144" i="3"/>
  <c r="M128" i="97"/>
  <c r="K107" i="97"/>
  <c r="I105" i="99"/>
  <c r="J94" i="107" s="1"/>
  <c r="T90" i="97"/>
  <c r="B91" i="104"/>
  <c r="F91" i="99" s="1"/>
  <c r="C91" i="99" s="1"/>
  <c r="Z25" i="75"/>
  <c r="AA25" i="75" s="1"/>
  <c r="B114" i="99"/>
  <c r="T69" i="97"/>
  <c r="R69" i="97" s="1"/>
  <c r="G12" i="99"/>
  <c r="D12" i="99" s="1"/>
  <c r="V153" i="103"/>
  <c r="B68" i="104"/>
  <c r="F68" i="99" s="1"/>
  <c r="C68" i="99" s="1"/>
  <c r="X143" i="4"/>
  <c r="R125" i="107" s="1"/>
  <c r="Q125" i="107" s="1"/>
  <c r="K91" i="3"/>
  <c r="N91" i="3"/>
  <c r="Q91" i="3" s="1"/>
  <c r="X16" i="4"/>
  <c r="R13" i="107" s="1"/>
  <c r="Q13" i="107" s="1"/>
  <c r="K110" i="97"/>
  <c r="I108" i="99"/>
  <c r="J97" i="107" s="1"/>
  <c r="C100" i="104"/>
  <c r="H100" i="99" s="1"/>
  <c r="E100" i="99" s="1"/>
  <c r="B100" i="104"/>
  <c r="F100" i="99" s="1"/>
  <c r="C100" i="99" s="1"/>
  <c r="T15" i="97"/>
  <c r="O140" i="3"/>
  <c r="Q140" i="3" s="1"/>
  <c r="P122" i="107" s="1"/>
  <c r="K140" i="3"/>
  <c r="O122" i="107" s="1"/>
  <c r="B88" i="104"/>
  <c r="F88" i="99" s="1"/>
  <c r="C88" i="99" s="1"/>
  <c r="R91" i="75"/>
  <c r="B81" i="104"/>
  <c r="F81" i="99" s="1"/>
  <c r="C81" i="99" s="1"/>
  <c r="S109" i="104"/>
  <c r="B109" i="104" s="1"/>
  <c r="F109" i="99" s="1"/>
  <c r="C109" i="99" s="1"/>
  <c r="C109" i="104"/>
  <c r="H109" i="99" s="1"/>
  <c r="E109" i="99" s="1"/>
  <c r="C38" i="104"/>
  <c r="H38" i="99" s="1"/>
  <c r="E38" i="99" s="1"/>
  <c r="R42" i="3"/>
  <c r="N35" i="107" s="1"/>
  <c r="Q41" i="97"/>
  <c r="B118" i="104"/>
  <c r="F118" i="99" s="1"/>
  <c r="C118" i="99" s="1"/>
  <c r="C118" i="104"/>
  <c r="H118" i="99" s="1"/>
  <c r="E118" i="99" s="1"/>
  <c r="O48" i="3"/>
  <c r="Q48" i="3" s="1"/>
  <c r="K48" i="3"/>
  <c r="AN46" i="4"/>
  <c r="M101" i="97"/>
  <c r="K121" i="97"/>
  <c r="I119" i="99"/>
  <c r="C78" i="104"/>
  <c r="H78" i="99" s="1"/>
  <c r="E78" i="99" s="1"/>
  <c r="B78" i="104"/>
  <c r="F78" i="99" s="1"/>
  <c r="C78" i="99" s="1"/>
  <c r="K62" i="97"/>
  <c r="I60" i="99"/>
  <c r="J55" i="107" s="1"/>
  <c r="O41" i="4"/>
  <c r="X41" i="4" s="1"/>
  <c r="R34" i="107" s="1"/>
  <c r="B54" i="104"/>
  <c r="F54" i="99" s="1"/>
  <c r="C54" i="99" s="1"/>
  <c r="B54" i="99" s="1"/>
  <c r="O16" i="3"/>
  <c r="Q16" i="3" s="1"/>
  <c r="P13" i="107" s="1"/>
  <c r="K16" i="3"/>
  <c r="O13" i="107" s="1"/>
  <c r="Q25" i="97"/>
  <c r="B13" i="99"/>
  <c r="O43" i="4"/>
  <c r="X43" i="4" s="1"/>
  <c r="Q150" i="3"/>
  <c r="P60" i="3"/>
  <c r="Q60" i="3" s="1"/>
  <c r="P52" i="107" s="1"/>
  <c r="K60" i="3"/>
  <c r="O52" i="107" s="1"/>
  <c r="B23" i="104"/>
  <c r="F23" i="99" s="1"/>
  <c r="C23" i="99" s="1"/>
  <c r="B23" i="99" s="1"/>
  <c r="V60" i="75"/>
  <c r="AA60" i="75" s="1"/>
  <c r="AB60" i="75" s="1"/>
  <c r="M52" i="107" s="1"/>
  <c r="I91" i="75"/>
  <c r="R79" i="75"/>
  <c r="AB79" i="75" s="1"/>
  <c r="M68" i="107" s="1"/>
  <c r="T134" i="97"/>
  <c r="M80" i="75"/>
  <c r="N80" i="75" s="1"/>
  <c r="L69" i="107" s="1"/>
  <c r="I39" i="75"/>
  <c r="N53" i="3"/>
  <c r="K53" i="3"/>
  <c r="O46" i="107" s="1"/>
  <c r="AN43" i="4"/>
  <c r="I69" i="75"/>
  <c r="N69" i="75" s="1"/>
  <c r="L37" i="102" s="1"/>
  <c r="V144" i="75"/>
  <c r="AA144" i="75" s="1"/>
  <c r="AB144" i="75" s="1"/>
  <c r="P126" i="97"/>
  <c r="O44" i="4"/>
  <c r="X44" i="4" s="1"/>
  <c r="O65" i="3"/>
  <c r="Q65" i="3" s="1"/>
  <c r="P35" i="102" s="1"/>
  <c r="K65" i="3"/>
  <c r="O35" i="102" s="1"/>
  <c r="AA39" i="75"/>
  <c r="C48" i="104"/>
  <c r="H48" i="99" s="1"/>
  <c r="E48" i="99" s="1"/>
  <c r="B48" i="99" s="1"/>
  <c r="AB24" i="104"/>
  <c r="Z24" i="104" s="1"/>
  <c r="Z137" i="75"/>
  <c r="AA137" i="75" s="1"/>
  <c r="AB137" i="75" s="1"/>
  <c r="M120" i="107" s="1"/>
  <c r="K120" i="107" s="1"/>
  <c r="M8" i="97"/>
  <c r="Z31" i="75"/>
  <c r="AA31" i="75" s="1"/>
  <c r="AB31" i="75" s="1"/>
  <c r="M25" i="107" s="1"/>
  <c r="Q44" i="97"/>
  <c r="D42" i="104"/>
  <c r="B42" i="104" s="1"/>
  <c r="F42" i="99" s="1"/>
  <c r="C42" i="99" s="1"/>
  <c r="R55" i="3"/>
  <c r="Q54" i="97"/>
  <c r="B80" i="104"/>
  <c r="F80" i="99" s="1"/>
  <c r="C80" i="99" s="1"/>
  <c r="C68" i="104"/>
  <c r="H68" i="99" s="1"/>
  <c r="E68" i="99" s="1"/>
  <c r="I46" i="75"/>
  <c r="X150" i="4"/>
  <c r="Q33" i="3"/>
  <c r="P27" i="107" s="1"/>
  <c r="V47" i="75"/>
  <c r="AA47" i="75" s="1"/>
  <c r="AB47" i="75" s="1"/>
  <c r="K154" i="97"/>
  <c r="B61" i="104"/>
  <c r="F61" i="99" s="1"/>
  <c r="C61" i="99" s="1"/>
  <c r="K19" i="4"/>
  <c r="C16" i="104"/>
  <c r="H16" i="99" s="1"/>
  <c r="E16" i="99" s="1"/>
  <c r="B16" i="104"/>
  <c r="F16" i="99" s="1"/>
  <c r="C16" i="99" s="1"/>
  <c r="Z46" i="75"/>
  <c r="AA46" i="75" s="1"/>
  <c r="AB46" i="75" s="1"/>
  <c r="B59" i="99"/>
  <c r="I38" i="75"/>
  <c r="N38" i="75" s="1"/>
  <c r="C81" i="104"/>
  <c r="H81" i="99" s="1"/>
  <c r="E81" i="99" s="1"/>
  <c r="M24" i="75"/>
  <c r="N24" i="75" s="1"/>
  <c r="M150" i="75"/>
  <c r="C41" i="104"/>
  <c r="H41" i="99" s="1"/>
  <c r="E41" i="99" s="1"/>
  <c r="B41" i="99" s="1"/>
  <c r="M50" i="97"/>
  <c r="Z147" i="75"/>
  <c r="AA147" i="75" s="1"/>
  <c r="AB147" i="75" s="1"/>
  <c r="X140" i="4"/>
  <c r="R122" i="107" s="1"/>
  <c r="Z45" i="75"/>
  <c r="Z22" i="75"/>
  <c r="AA22" i="75" s="1"/>
  <c r="R148" i="3"/>
  <c r="Q147" i="97"/>
  <c r="P139" i="3"/>
  <c r="Q139" i="3" s="1"/>
  <c r="P67" i="102" s="1"/>
  <c r="K139" i="3"/>
  <c r="O67" i="102" s="1"/>
  <c r="B22" i="104"/>
  <c r="F22" i="99" s="1"/>
  <c r="C22" i="99" s="1"/>
  <c r="I70" i="75"/>
  <c r="N70" i="75" s="1"/>
  <c r="L60" i="107" s="1"/>
  <c r="M60" i="75"/>
  <c r="N60" i="75" s="1"/>
  <c r="L52" i="107" s="1"/>
  <c r="O47" i="3"/>
  <c r="Q47" i="3" s="1"/>
  <c r="K47" i="3"/>
  <c r="M39" i="75"/>
  <c r="O149" i="3"/>
  <c r="Q149" i="3" s="1"/>
  <c r="K149" i="3"/>
  <c r="M92" i="97"/>
  <c r="L92" i="97" s="1"/>
  <c r="X72" i="4"/>
  <c r="R62" i="107" s="1"/>
  <c r="P71" i="3"/>
  <c r="Q71" i="3" s="1"/>
  <c r="P61" i="107" s="1"/>
  <c r="K71" i="3"/>
  <c r="O61" i="107" s="1"/>
  <c r="O38" i="4"/>
  <c r="X38" i="4" s="1"/>
  <c r="B142" i="104"/>
  <c r="F142" i="99" s="1"/>
  <c r="C142" i="99" s="1"/>
  <c r="B142" i="99" s="1"/>
  <c r="R39" i="75"/>
  <c r="V51" i="75"/>
  <c r="I134" i="75"/>
  <c r="X132" i="4"/>
  <c r="B116" i="104"/>
  <c r="F116" i="99" s="1"/>
  <c r="C116" i="99" s="1"/>
  <c r="O34" i="3"/>
  <c r="Q34" i="3" s="1"/>
  <c r="P28" i="107" s="1"/>
  <c r="K34" i="3"/>
  <c r="O28" i="107" s="1"/>
  <c r="O24" i="3"/>
  <c r="Q24" i="3" s="1"/>
  <c r="K24" i="3"/>
  <c r="M118" i="97"/>
  <c r="T26" i="97"/>
  <c r="C76" i="104"/>
  <c r="H76" i="99" s="1"/>
  <c r="E76" i="99" s="1"/>
  <c r="B76" i="104"/>
  <c r="F76" i="99" s="1"/>
  <c r="C76" i="99" s="1"/>
  <c r="P152" i="97"/>
  <c r="AM24" i="4"/>
  <c r="AN24" i="4" s="1"/>
  <c r="C74" i="104"/>
  <c r="H74" i="99" s="1"/>
  <c r="E74" i="99" s="1"/>
  <c r="B74" i="99" s="1"/>
  <c r="T124" i="97"/>
  <c r="R124" i="97" s="1"/>
  <c r="D12" i="104"/>
  <c r="B12" i="104" s="1"/>
  <c r="F12" i="99" s="1"/>
  <c r="C12" i="99" s="1"/>
  <c r="AB80" i="75"/>
  <c r="M69" i="107" s="1"/>
  <c r="K69" i="107" s="1"/>
  <c r="O36" i="4"/>
  <c r="X36" i="4" s="1"/>
  <c r="B49" i="104"/>
  <c r="F49" i="99" s="1"/>
  <c r="C49" i="99" s="1"/>
  <c r="C101" i="104"/>
  <c r="H101" i="99" s="1"/>
  <c r="E101" i="99" s="1"/>
  <c r="B101" i="104"/>
  <c r="F101" i="99" s="1"/>
  <c r="C101" i="99" s="1"/>
  <c r="Q39" i="97"/>
  <c r="R142" i="3"/>
  <c r="Q141" i="97"/>
  <c r="O70" i="3"/>
  <c r="Q70" i="3" s="1"/>
  <c r="P60" i="107" s="1"/>
  <c r="K70" i="3"/>
  <c r="O60" i="107" s="1"/>
  <c r="C66" i="104"/>
  <c r="H66" i="99" s="1"/>
  <c r="E66" i="99" s="1"/>
  <c r="Q142" i="97"/>
  <c r="R143" i="3"/>
  <c r="N125" i="107" s="1"/>
  <c r="M73" i="97"/>
  <c r="Q18" i="97"/>
  <c r="C99" i="104"/>
  <c r="H99" i="99" s="1"/>
  <c r="E99" i="99" s="1"/>
  <c r="B99" i="104"/>
  <c r="F99" i="99" s="1"/>
  <c r="C99" i="99" s="1"/>
  <c r="O118" i="4"/>
  <c r="X118" i="4" s="1"/>
  <c r="R103" i="107" s="1"/>
  <c r="Q103" i="107" s="1"/>
  <c r="O92" i="3"/>
  <c r="Q92" i="3" s="1"/>
  <c r="P80" i="107" s="1"/>
  <c r="K92" i="3"/>
  <c r="O80" i="107" s="1"/>
  <c r="P154" i="97"/>
  <c r="N25" i="97"/>
  <c r="L25" i="97" s="1"/>
  <c r="M49" i="97"/>
  <c r="L49" i="97" s="1"/>
  <c r="Q6" i="3"/>
  <c r="X121" i="4"/>
  <c r="R106" i="107" s="1"/>
  <c r="Q106" i="107" s="1"/>
  <c r="R128" i="3"/>
  <c r="Q127" i="97"/>
  <c r="AM39" i="4"/>
  <c r="AN39" i="4" s="1"/>
  <c r="R131" i="3"/>
  <c r="M95" i="75"/>
  <c r="N95" i="75" s="1"/>
  <c r="L82" i="107" s="1"/>
  <c r="T20" i="97"/>
  <c r="C40" i="104"/>
  <c r="H40" i="99" s="1"/>
  <c r="E40" i="99" s="1"/>
  <c r="M57" i="97"/>
  <c r="Q22" i="97"/>
  <c r="R38" i="75"/>
  <c r="R49" i="3"/>
  <c r="Q48" i="97"/>
  <c r="M34" i="75"/>
  <c r="N34" i="75" s="1"/>
  <c r="L28" i="107" s="1"/>
  <c r="Q145" i="97"/>
  <c r="O80" i="3"/>
  <c r="Q80" i="3" s="1"/>
  <c r="P69" i="107" s="1"/>
  <c r="K80" i="3"/>
  <c r="O69" i="107" s="1"/>
  <c r="Q27" i="97"/>
  <c r="AA43" i="75"/>
  <c r="Q146" i="97"/>
  <c r="M81" i="97"/>
  <c r="X81" i="4"/>
  <c r="R70" i="107" s="1"/>
  <c r="AB45" i="104"/>
  <c r="Z45" i="104" s="1"/>
  <c r="S45" i="104" s="1"/>
  <c r="B45" i="104" s="1"/>
  <c r="F45" i="99" s="1"/>
  <c r="C45" i="99" s="1"/>
  <c r="I82" i="99"/>
  <c r="J74" i="107" s="1"/>
  <c r="AA53" i="75"/>
  <c r="O124" i="4"/>
  <c r="X124" i="4" s="1"/>
  <c r="R109" i="107" s="1"/>
  <c r="Q109" i="107" s="1"/>
  <c r="F109" i="107" s="1"/>
  <c r="G109" i="107" s="1"/>
  <c r="H109" i="107" s="1"/>
  <c r="R122" i="3"/>
  <c r="Q121" i="97"/>
  <c r="T50" i="97"/>
  <c r="R50" i="97" s="1"/>
  <c r="I19" i="75"/>
  <c r="N19" i="75" s="1"/>
  <c r="L16" i="107" s="1"/>
  <c r="AA33" i="75"/>
  <c r="N130" i="97"/>
  <c r="L130" i="97" s="1"/>
  <c r="M77" i="75"/>
  <c r="N77" i="75" s="1"/>
  <c r="L67" i="107" s="1"/>
  <c r="R30" i="3"/>
  <c r="N16" i="102" s="1"/>
  <c r="Q29" i="97"/>
  <c r="M53" i="75"/>
  <c r="S92" i="97"/>
  <c r="R92" i="97" s="1"/>
  <c r="B117" i="104"/>
  <c r="F117" i="99" s="1"/>
  <c r="C117" i="99" s="1"/>
  <c r="AN38" i="4"/>
  <c r="K22" i="3"/>
  <c r="O19" i="107" s="1"/>
  <c r="N22" i="3"/>
  <c r="Q22" i="3" s="1"/>
  <c r="P19" i="107" s="1"/>
  <c r="I25" i="75"/>
  <c r="N25" i="75" s="1"/>
  <c r="L14" i="102" s="1"/>
  <c r="AA83" i="75"/>
  <c r="Q69" i="3"/>
  <c r="P37" i="102" s="1"/>
  <c r="M74" i="97"/>
  <c r="I150" i="75"/>
  <c r="M22" i="75"/>
  <c r="I86" i="75"/>
  <c r="R68" i="75"/>
  <c r="C91" i="104"/>
  <c r="H91" i="99" s="1"/>
  <c r="E91" i="99" s="1"/>
  <c r="L132" i="97"/>
  <c r="G132" i="97" s="1"/>
  <c r="K152" i="97"/>
  <c r="AB109" i="75"/>
  <c r="B29" i="104"/>
  <c r="F29" i="99" s="1"/>
  <c r="C29" i="99" s="1"/>
  <c r="T35" i="97"/>
  <c r="B18" i="99"/>
  <c r="AN35" i="4"/>
  <c r="S29" i="107" s="1"/>
  <c r="Q29" i="107" s="1"/>
  <c r="B26" i="104"/>
  <c r="F26" i="99" s="1"/>
  <c r="C26" i="99" s="1"/>
  <c r="AB43" i="104"/>
  <c r="Z43" i="104" s="1"/>
  <c r="S43" i="104" s="1"/>
  <c r="B43" i="104" s="1"/>
  <c r="F43" i="99" s="1"/>
  <c r="C43" i="99" s="1"/>
  <c r="N101" i="75"/>
  <c r="Z150" i="75"/>
  <c r="AA150" i="75" s="1"/>
  <c r="AB150" i="75" s="1"/>
  <c r="P51" i="3"/>
  <c r="Q51" i="3" s="1"/>
  <c r="K51" i="3"/>
  <c r="Q53" i="3"/>
  <c r="P46" i="107" s="1"/>
  <c r="N58" i="3"/>
  <c r="Q58" i="3" s="1"/>
  <c r="P33" i="102" s="1"/>
  <c r="K58" i="3"/>
  <c r="O33" i="102" s="1"/>
  <c r="M58" i="97"/>
  <c r="L58" i="97" s="1"/>
  <c r="G58" i="97" s="1"/>
  <c r="C29" i="104"/>
  <c r="H29" i="99" s="1"/>
  <c r="E29" i="99" s="1"/>
  <c r="N84" i="3"/>
  <c r="Q84" i="3" s="1"/>
  <c r="K84" i="3"/>
  <c r="B8" i="99"/>
  <c r="C26" i="104"/>
  <c r="H26" i="99" s="1"/>
  <c r="E26" i="99" s="1"/>
  <c r="O46" i="3"/>
  <c r="Q46" i="3" s="1"/>
  <c r="K46" i="3"/>
  <c r="AB33" i="104"/>
  <c r="Z33" i="104" s="1"/>
  <c r="S33" i="104" s="1"/>
  <c r="B33" i="104" s="1"/>
  <c r="F33" i="99" s="1"/>
  <c r="C33" i="99" s="1"/>
  <c r="T75" i="97"/>
  <c r="R75" i="97" s="1"/>
  <c r="AN71" i="4"/>
  <c r="S61" i="107" s="1"/>
  <c r="Q61" i="107" s="1"/>
  <c r="T33" i="97"/>
  <c r="C88" i="104"/>
  <c r="H88" i="99" s="1"/>
  <c r="E88" i="99" s="1"/>
  <c r="C124" i="104"/>
  <c r="H124" i="99" s="1"/>
  <c r="E124" i="99" s="1"/>
  <c r="B124" i="99" s="1"/>
  <c r="R43" i="75"/>
  <c r="O11" i="97"/>
  <c r="B113" i="104"/>
  <c r="F113" i="99" s="1"/>
  <c r="C113" i="99" s="1"/>
  <c r="B113" i="99" s="1"/>
  <c r="C65" i="104"/>
  <c r="H65" i="99" s="1"/>
  <c r="E65" i="99" s="1"/>
  <c r="N81" i="3"/>
  <c r="Q81" i="3" s="1"/>
  <c r="P70" i="107" s="1"/>
  <c r="K81" i="3"/>
  <c r="O70" i="107" s="1"/>
  <c r="Z148" i="75"/>
  <c r="AA148" i="75" s="1"/>
  <c r="AB148" i="75" s="1"/>
  <c r="Q83" i="3"/>
  <c r="P27" i="3"/>
  <c r="Q27" i="3" s="1"/>
  <c r="P22" i="107" s="1"/>
  <c r="K27" i="3"/>
  <c r="O22" i="107" s="1"/>
  <c r="AB48" i="75"/>
  <c r="B123" i="104"/>
  <c r="F123" i="99" s="1"/>
  <c r="C123" i="99" s="1"/>
  <c r="C132" i="104"/>
  <c r="H132" i="99" s="1"/>
  <c r="E132" i="99" s="1"/>
  <c r="B132" i="99" s="1"/>
  <c r="AM25" i="4"/>
  <c r="AN25" i="4" s="1"/>
  <c r="S14" i="102" s="1"/>
  <c r="Q14" i="102" s="1"/>
  <c r="O151" i="3"/>
  <c r="Q151" i="3" s="1"/>
  <c r="P133" i="107" s="1"/>
  <c r="K151" i="3"/>
  <c r="R53" i="75"/>
  <c r="I45" i="75"/>
  <c r="N45" i="75" s="1"/>
  <c r="L38" i="107" s="1"/>
  <c r="AA45" i="75"/>
  <c r="AB45" i="75" s="1"/>
  <c r="M38" i="107" s="1"/>
  <c r="R50" i="3"/>
  <c r="Q49" i="97"/>
  <c r="C61" i="104"/>
  <c r="H61" i="99" s="1"/>
  <c r="E61" i="99" s="1"/>
  <c r="Z36" i="75"/>
  <c r="AA36" i="75" s="1"/>
  <c r="R71" i="75"/>
  <c r="M46" i="75"/>
  <c r="S70" i="97"/>
  <c r="I29" i="75"/>
  <c r="N29" i="75" s="1"/>
  <c r="AB147" i="104"/>
  <c r="Z147" i="104" s="1"/>
  <c r="K94" i="3"/>
  <c r="O48" i="102" s="1"/>
  <c r="N94" i="3"/>
  <c r="Q94" i="3" s="1"/>
  <c r="P48" i="102" s="1"/>
  <c r="V140" i="75"/>
  <c r="AA140" i="75" s="1"/>
  <c r="AB140" i="75" s="1"/>
  <c r="M122" i="107" s="1"/>
  <c r="K122" i="107" s="1"/>
  <c r="M56" i="75"/>
  <c r="N56" i="75" s="1"/>
  <c r="K38" i="3"/>
  <c r="N38" i="3"/>
  <c r="Q38" i="3" s="1"/>
  <c r="O127" i="4"/>
  <c r="X127" i="4" s="1"/>
  <c r="R112" i="107" s="1"/>
  <c r="Q112" i="107" s="1"/>
  <c r="V65" i="75"/>
  <c r="AA65" i="75" s="1"/>
  <c r="R85" i="3"/>
  <c r="N74" i="107" s="1"/>
  <c r="R20" i="3"/>
  <c r="Q19" i="97"/>
  <c r="M41" i="75"/>
  <c r="O64" i="3"/>
  <c r="Q64" i="3" s="1"/>
  <c r="K64" i="3"/>
  <c r="I83" i="75"/>
  <c r="N83" i="75" s="1"/>
  <c r="Q66" i="97"/>
  <c r="R25" i="75"/>
  <c r="C111" i="104"/>
  <c r="H111" i="99" s="1"/>
  <c r="E111" i="99" s="1"/>
  <c r="B111" i="99" s="1"/>
  <c r="T64" i="97"/>
  <c r="R64" i="97" s="1"/>
  <c r="R32" i="75"/>
  <c r="AB32" i="75" s="1"/>
  <c r="M26" i="107" s="1"/>
  <c r="K26" i="107" s="1"/>
  <c r="N41" i="3"/>
  <c r="Q41" i="3" s="1"/>
  <c r="P34" i="107" s="1"/>
  <c r="K41" i="3"/>
  <c r="O34" i="107" s="1"/>
  <c r="M77" i="97"/>
  <c r="C80" i="104"/>
  <c r="H80" i="99" s="1"/>
  <c r="E80" i="99" s="1"/>
  <c r="T5" i="97"/>
  <c r="M63" i="75"/>
  <c r="N63" i="75" s="1"/>
  <c r="L55" i="107" s="1"/>
  <c r="K36" i="3"/>
  <c r="N36" i="3"/>
  <c r="Q36" i="3" s="1"/>
  <c r="I36" i="75"/>
  <c r="N36" i="75" s="1"/>
  <c r="Z41" i="75"/>
  <c r="AA41" i="75" s="1"/>
  <c r="N145" i="3"/>
  <c r="Q145" i="3" s="1"/>
  <c r="P127" i="107" s="1"/>
  <c r="K145" i="3"/>
  <c r="O127" i="107" s="1"/>
  <c r="Q17" i="3"/>
  <c r="P14" i="107" s="1"/>
  <c r="R41" i="75"/>
  <c r="O21" i="3"/>
  <c r="Q21" i="3" s="1"/>
  <c r="K21" i="3"/>
  <c r="Q77" i="97"/>
  <c r="AB19" i="104"/>
  <c r="Z19" i="104" s="1"/>
  <c r="S19" i="104" s="1"/>
  <c r="M75" i="97"/>
  <c r="N52" i="3"/>
  <c r="Q52" i="3" s="1"/>
  <c r="P45" i="107" s="1"/>
  <c r="K52" i="3"/>
  <c r="O45" i="107" s="1"/>
  <c r="R132" i="3"/>
  <c r="Q131" i="97"/>
  <c r="N76" i="3"/>
  <c r="Q76" i="3" s="1"/>
  <c r="K76" i="3"/>
  <c r="K68" i="3"/>
  <c r="N68" i="3"/>
  <c r="Q68" i="3" s="1"/>
  <c r="AM22" i="4"/>
  <c r="AN22" i="4" s="1"/>
  <c r="S19" i="107" s="1"/>
  <c r="Q19" i="107" s="1"/>
  <c r="R75" i="3"/>
  <c r="N65" i="107" s="1"/>
  <c r="Q30" i="97"/>
  <c r="C89" i="104"/>
  <c r="H89" i="99" s="1"/>
  <c r="E89" i="99" s="1"/>
  <c r="B89" i="99" s="1"/>
  <c r="P39" i="3"/>
  <c r="Q39" i="3" s="1"/>
  <c r="K39" i="3"/>
  <c r="N57" i="3"/>
  <c r="Q57" i="3" s="1"/>
  <c r="K57" i="3"/>
  <c r="N134" i="75"/>
  <c r="L66" i="102" s="1"/>
  <c r="K66" i="102" s="1"/>
  <c r="N15" i="75"/>
  <c r="L9" i="102" s="1"/>
  <c r="R79" i="3"/>
  <c r="N68" i="107" s="1"/>
  <c r="Q78" i="97"/>
  <c r="K88" i="97"/>
  <c r="I86" i="99"/>
  <c r="J77" i="107" s="1"/>
  <c r="Q7" i="97"/>
  <c r="B110" i="104"/>
  <c r="F110" i="99" s="1"/>
  <c r="C110" i="99" s="1"/>
  <c r="I27" i="75"/>
  <c r="N27" i="75" s="1"/>
  <c r="L22" i="107" s="1"/>
  <c r="Z84" i="75"/>
  <c r="AA84" i="75" s="1"/>
  <c r="I44" i="75"/>
  <c r="N44" i="75" s="1"/>
  <c r="C141" i="104"/>
  <c r="H141" i="99" s="1"/>
  <c r="E141" i="99" s="1"/>
  <c r="S141" i="104"/>
  <c r="B141" i="104" s="1"/>
  <c r="F141" i="99" s="1"/>
  <c r="C141" i="99" s="1"/>
  <c r="AA71" i="75"/>
  <c r="S68" i="97"/>
  <c r="R68" i="97" s="1"/>
  <c r="K25" i="3"/>
  <c r="O14" i="102" s="1"/>
  <c r="Q25" i="3"/>
  <c r="P14" i="102" s="1"/>
  <c r="I79" i="75"/>
  <c r="Q86" i="3"/>
  <c r="N55" i="97"/>
  <c r="Q53" i="97"/>
  <c r="R54" i="3"/>
  <c r="B121" i="99"/>
  <c r="I84" i="75"/>
  <c r="N84" i="75" s="1"/>
  <c r="S47" i="104"/>
  <c r="B47" i="104" s="1"/>
  <c r="F47" i="99" s="1"/>
  <c r="C47" i="99" s="1"/>
  <c r="C47" i="104"/>
  <c r="H47" i="99" s="1"/>
  <c r="E47" i="99" s="1"/>
  <c r="I71" i="75"/>
  <c r="N71" i="75" s="1"/>
  <c r="L61" i="107" s="1"/>
  <c r="K44" i="3"/>
  <c r="N44" i="3"/>
  <c r="Q44" i="3" s="1"/>
  <c r="B77" i="104"/>
  <c r="F77" i="99" s="1"/>
  <c r="C77" i="99" s="1"/>
  <c r="B77" i="99" s="1"/>
  <c r="Q60" i="97"/>
  <c r="R61" i="3"/>
  <c r="N53" i="107" s="1"/>
  <c r="F53" i="107" s="1"/>
  <c r="G53" i="107" s="1"/>
  <c r="H53" i="107" s="1"/>
  <c r="AB107" i="104"/>
  <c r="Z107" i="104" s="1"/>
  <c r="M16" i="97"/>
  <c r="O26" i="4"/>
  <c r="X26" i="4" s="1"/>
  <c r="R21" i="107" s="1"/>
  <c r="Q21" i="107" s="1"/>
  <c r="B28" i="99"/>
  <c r="R146" i="3"/>
  <c r="P145" i="97"/>
  <c r="I41" i="75"/>
  <c r="AB95" i="75"/>
  <c r="M82" i="107" s="1"/>
  <c r="R106" i="3"/>
  <c r="N92" i="107" s="1"/>
  <c r="F92" i="107" s="1"/>
  <c r="G92" i="107" s="1"/>
  <c r="H92" i="107" s="1"/>
  <c r="Q105" i="97"/>
  <c r="N101" i="97"/>
  <c r="R99" i="3"/>
  <c r="N51" i="102" s="1"/>
  <c r="F51" i="102" s="1"/>
  <c r="G51" i="102" s="1"/>
  <c r="H51" i="102" s="1"/>
  <c r="Q98" i="97"/>
  <c r="N100" i="97"/>
  <c r="N119" i="97"/>
  <c r="N113" i="97"/>
  <c r="M112" i="97"/>
  <c r="N102" i="97"/>
  <c r="L102" i="97" s="1"/>
  <c r="N96" i="97"/>
  <c r="L96" i="97" s="1"/>
  <c r="N97" i="97"/>
  <c r="L97" i="97" s="1"/>
  <c r="P105" i="97"/>
  <c r="P114" i="97"/>
  <c r="M113" i="97"/>
  <c r="R96" i="3"/>
  <c r="N83" i="107" s="1"/>
  <c r="Q95" i="97"/>
  <c r="O125" i="97"/>
  <c r="P118" i="97"/>
  <c r="T107" i="97"/>
  <c r="R107" i="97" s="1"/>
  <c r="M117" i="97"/>
  <c r="L117" i="97" s="1"/>
  <c r="R125" i="3"/>
  <c r="N110" i="107" s="1"/>
  <c r="F110" i="107" s="1"/>
  <c r="G110" i="107" s="1"/>
  <c r="H110" i="107" s="1"/>
  <c r="Q124" i="97"/>
  <c r="T115" i="97"/>
  <c r="R115" i="97" s="1"/>
  <c r="R100" i="3"/>
  <c r="N86" i="107" s="1"/>
  <c r="F86" i="107" s="1"/>
  <c r="G86" i="107" s="1"/>
  <c r="H86" i="107" s="1"/>
  <c r="Q99" i="97"/>
  <c r="O134" i="97"/>
  <c r="R112" i="3"/>
  <c r="Q111" i="97"/>
  <c r="N118" i="97"/>
  <c r="T114" i="97"/>
  <c r="R114" i="97" s="1"/>
  <c r="R123" i="3"/>
  <c r="Q122" i="97"/>
  <c r="M107" i="97"/>
  <c r="R119" i="3"/>
  <c r="Q118" i="97"/>
  <c r="N114" i="97"/>
  <c r="L114" i="97" s="1"/>
  <c r="N106" i="97"/>
  <c r="N105" i="97"/>
  <c r="L105" i="97" s="1"/>
  <c r="T122" i="97"/>
  <c r="R122" i="97" s="1"/>
  <c r="R116" i="3"/>
  <c r="N101" i="107" s="1"/>
  <c r="Q115" i="97"/>
  <c r="T108" i="97"/>
  <c r="P99" i="97"/>
  <c r="Q108" i="97"/>
  <c r="R109" i="3"/>
  <c r="N95" i="107" s="1"/>
  <c r="R103" i="3"/>
  <c r="N89" i="107" s="1"/>
  <c r="Q102" i="97"/>
  <c r="R113" i="3"/>
  <c r="Q112" i="97"/>
  <c r="P111" i="97"/>
  <c r="T101" i="97"/>
  <c r="R101" i="97" s="1"/>
  <c r="P119" i="97"/>
  <c r="T102" i="97"/>
  <c r="R102" i="97" s="1"/>
  <c r="P96" i="97"/>
  <c r="R110" i="3"/>
  <c r="Q109" i="97"/>
  <c r="N123" i="75"/>
  <c r="M119" i="97"/>
  <c r="P124" i="97"/>
  <c r="P120" i="97"/>
  <c r="T116" i="97"/>
  <c r="P115" i="97"/>
  <c r="P108" i="97"/>
  <c r="P102" i="97"/>
  <c r="R107" i="3"/>
  <c r="N93" i="107" s="1"/>
  <c r="Q106" i="97"/>
  <c r="P112" i="97"/>
  <c r="R108" i="3"/>
  <c r="N94" i="107" s="1"/>
  <c r="Q107" i="97"/>
  <c r="R120" i="3"/>
  <c r="N105" i="107" s="1"/>
  <c r="Q119" i="97"/>
  <c r="R97" i="3"/>
  <c r="Q96" i="97"/>
  <c r="P109" i="97"/>
  <c r="P136" i="97"/>
  <c r="R117" i="3"/>
  <c r="Q116" i="97"/>
  <c r="P122" i="97"/>
  <c r="P117" i="97"/>
  <c r="N123" i="97"/>
  <c r="P106" i="97"/>
  <c r="P98" i="97"/>
  <c r="N95" i="97"/>
  <c r="L95" i="97" s="1"/>
  <c r="T103" i="97"/>
  <c r="R103" i="97" s="1"/>
  <c r="O123" i="97"/>
  <c r="P107" i="97"/>
  <c r="M108" i="97"/>
  <c r="T113" i="97"/>
  <c r="R113" i="97" s="1"/>
  <c r="L104" i="97"/>
  <c r="G104" i="97" s="1"/>
  <c r="T118" i="97"/>
  <c r="R137" i="3"/>
  <c r="N120" i="107" s="1"/>
  <c r="Q136" i="97"/>
  <c r="R93" i="97"/>
  <c r="T119" i="97"/>
  <c r="R119" i="97" s="1"/>
  <c r="N112" i="97"/>
  <c r="R104" i="3"/>
  <c r="Q103" i="97"/>
  <c r="M123" i="97"/>
  <c r="R102" i="3"/>
  <c r="N88" i="107" s="1"/>
  <c r="F88" i="107" s="1"/>
  <c r="G88" i="107" s="1"/>
  <c r="H88" i="107" s="1"/>
  <c r="Q101" i="97"/>
  <c r="T109" i="97"/>
  <c r="R109" i="97" s="1"/>
  <c r="N110" i="97"/>
  <c r="L110" i="97" s="1"/>
  <c r="G110" i="97" s="1"/>
  <c r="R101" i="3"/>
  <c r="N87" i="107" s="1"/>
  <c r="Q100" i="97"/>
  <c r="R134" i="3"/>
  <c r="N66" i="102" s="1"/>
  <c r="Q133" i="97"/>
  <c r="R118" i="3"/>
  <c r="N103" i="107" s="1"/>
  <c r="Q117" i="97"/>
  <c r="R114" i="3"/>
  <c r="N56" i="102" s="1"/>
  <c r="Q113" i="97"/>
  <c r="T100" i="97"/>
  <c r="R100" i="97" s="1"/>
  <c r="B94" i="99"/>
  <c r="P103" i="97"/>
  <c r="N116" i="97"/>
  <c r="L116" i="97" s="1"/>
  <c r="P101" i="97"/>
  <c r="I136" i="99"/>
  <c r="J67" i="102" s="1"/>
  <c r="K138" i="97"/>
  <c r="M109" i="97"/>
  <c r="AB116" i="75"/>
  <c r="M101" i="107" s="1"/>
  <c r="T106" i="97"/>
  <c r="R106" i="97" s="1"/>
  <c r="T112" i="97"/>
  <c r="P94" i="97"/>
  <c r="P100" i="97"/>
  <c r="N99" i="97"/>
  <c r="P113" i="97"/>
  <c r="R121" i="3"/>
  <c r="N106" i="107" s="1"/>
  <c r="Q120" i="97"/>
  <c r="P116" i="97"/>
  <c r="M99" i="97"/>
  <c r="N141" i="97"/>
  <c r="L141" i="97" s="1"/>
  <c r="P133" i="97"/>
  <c r="R115" i="3"/>
  <c r="N100" i="107" s="1"/>
  <c r="F100" i="107" s="1"/>
  <c r="G100" i="107" s="1"/>
  <c r="H100" i="107" s="1"/>
  <c r="Q114" i="97"/>
  <c r="N126" i="97"/>
  <c r="P95" i="97"/>
  <c r="M106" i="97"/>
  <c r="Q67" i="107" l="1"/>
  <c r="K105" i="107"/>
  <c r="F83" i="107"/>
  <c r="G83" i="107" s="1"/>
  <c r="H83" i="107" s="1"/>
  <c r="K58" i="107"/>
  <c r="K6" i="107"/>
  <c r="F103" i="107"/>
  <c r="G103" i="107" s="1"/>
  <c r="H103" i="107" s="1"/>
  <c r="K52" i="107"/>
  <c r="K155" i="97"/>
  <c r="K39" i="97"/>
  <c r="I37" i="99"/>
  <c r="J20" i="102" s="1"/>
  <c r="K153" i="97"/>
  <c r="B131" i="99"/>
  <c r="B75" i="99"/>
  <c r="K50" i="102"/>
  <c r="N128" i="97"/>
  <c r="Q65" i="97"/>
  <c r="N107" i="97"/>
  <c r="L107" i="97" s="1"/>
  <c r="Q74" i="97"/>
  <c r="AB36" i="75"/>
  <c r="R40" i="3"/>
  <c r="N20" i="102" s="1"/>
  <c r="Q35" i="102"/>
  <c r="H137" i="97"/>
  <c r="AA51" i="75"/>
  <c r="AB51" i="75" s="1"/>
  <c r="T57" i="97"/>
  <c r="R57" i="97" s="1"/>
  <c r="B19" i="104"/>
  <c r="F19" i="99" s="1"/>
  <c r="C19" i="99" s="1"/>
  <c r="N135" i="97"/>
  <c r="L135" i="97" s="1"/>
  <c r="L129" i="97"/>
  <c r="G129" i="97" s="1"/>
  <c r="K104" i="107"/>
  <c r="K82" i="107"/>
  <c r="F56" i="102"/>
  <c r="G56" i="102" s="1"/>
  <c r="H56" i="102" s="1"/>
  <c r="B123" i="99"/>
  <c r="I137" i="99"/>
  <c r="J122" i="107" s="1"/>
  <c r="B98" i="99"/>
  <c r="B73" i="99"/>
  <c r="B17" i="99"/>
  <c r="R66" i="3"/>
  <c r="N57" i="107" s="1"/>
  <c r="F57" i="107" s="1"/>
  <c r="G57" i="107" s="1"/>
  <c r="H57" i="107" s="1"/>
  <c r="K11" i="107"/>
  <c r="F125" i="107"/>
  <c r="G125" i="107" s="1"/>
  <c r="H125" i="107" s="1"/>
  <c r="N49" i="102"/>
  <c r="N84" i="107"/>
  <c r="P33" i="107"/>
  <c r="P19" i="102"/>
  <c r="F120" i="107"/>
  <c r="G120" i="107" s="1"/>
  <c r="H120" i="107"/>
  <c r="F105" i="107"/>
  <c r="G105" i="107" s="1"/>
  <c r="H105" i="107" s="1"/>
  <c r="N99" i="107"/>
  <c r="N55" i="102"/>
  <c r="P75" i="107"/>
  <c r="P44" i="102"/>
  <c r="L37" i="107"/>
  <c r="L22" i="102"/>
  <c r="P18" i="107"/>
  <c r="P11" i="102"/>
  <c r="L72" i="107"/>
  <c r="L42" i="102"/>
  <c r="L15" i="102"/>
  <c r="L24" i="107"/>
  <c r="K38" i="107"/>
  <c r="M41" i="107"/>
  <c r="M25" i="102"/>
  <c r="R32" i="107"/>
  <c r="R18" i="102"/>
  <c r="O40" i="107"/>
  <c r="O24" i="102"/>
  <c r="O147" i="97"/>
  <c r="N130" i="107"/>
  <c r="R21" i="102"/>
  <c r="R36" i="107"/>
  <c r="P41" i="107"/>
  <c r="P25" i="102"/>
  <c r="J31" i="102"/>
  <c r="J49" i="107"/>
  <c r="L36" i="102"/>
  <c r="L59" i="107"/>
  <c r="S26" i="97"/>
  <c r="R22" i="107"/>
  <c r="Q22" i="107" s="1"/>
  <c r="S41" i="107"/>
  <c r="Q41" i="107" s="1"/>
  <c r="S25" i="102"/>
  <c r="Q25" i="102" s="1"/>
  <c r="M61" i="97"/>
  <c r="L54" i="107"/>
  <c r="Q55" i="97"/>
  <c r="P31" i="102"/>
  <c r="P49" i="107"/>
  <c r="O47" i="107"/>
  <c r="O29" i="102"/>
  <c r="R82" i="3"/>
  <c r="P71" i="107"/>
  <c r="P41" i="102"/>
  <c r="R78" i="3"/>
  <c r="N40" i="102" s="1"/>
  <c r="O40" i="102"/>
  <c r="R31" i="102"/>
  <c r="Q31" i="102" s="1"/>
  <c r="R49" i="107"/>
  <c r="Q49" i="107" s="1"/>
  <c r="R28" i="3"/>
  <c r="N23" i="107" s="1"/>
  <c r="O23" i="107"/>
  <c r="N36" i="97"/>
  <c r="M31" i="107"/>
  <c r="K31" i="107" s="1"/>
  <c r="J85" i="107"/>
  <c r="J50" i="102"/>
  <c r="M47" i="107"/>
  <c r="K47" i="107" s="1"/>
  <c r="M29" i="102"/>
  <c r="K29" i="102" s="1"/>
  <c r="S97" i="97"/>
  <c r="R97" i="97" s="1"/>
  <c r="R85" i="107"/>
  <c r="Q85" i="107" s="1"/>
  <c r="R50" i="102"/>
  <c r="Q50" i="102" s="1"/>
  <c r="S41" i="97"/>
  <c r="R41" i="97" s="1"/>
  <c r="R35" i="107"/>
  <c r="Q35" i="107" s="1"/>
  <c r="R27" i="102"/>
  <c r="Q27" i="102" s="1"/>
  <c r="R43" i="107"/>
  <c r="Q43" i="107" s="1"/>
  <c r="F66" i="102"/>
  <c r="G66" i="102" s="1"/>
  <c r="H66" i="102" s="1"/>
  <c r="T130" i="97"/>
  <c r="S115" i="107"/>
  <c r="Q115" i="107" s="1"/>
  <c r="F61" i="102"/>
  <c r="G61" i="102" s="1"/>
  <c r="H61" i="102" s="1"/>
  <c r="H121" i="107"/>
  <c r="F121" i="107"/>
  <c r="G121" i="107" s="1"/>
  <c r="Q11" i="102"/>
  <c r="K49" i="102"/>
  <c r="F106" i="107"/>
  <c r="G106" i="107" s="1"/>
  <c r="H106" i="107" s="1"/>
  <c r="N104" i="107"/>
  <c r="N58" i="102"/>
  <c r="N96" i="107"/>
  <c r="N53" i="102"/>
  <c r="N116" i="107"/>
  <c r="N64" i="102"/>
  <c r="O56" i="107"/>
  <c r="O34" i="102"/>
  <c r="P32" i="107"/>
  <c r="P18" i="102"/>
  <c r="O39" i="107"/>
  <c r="O23" i="102"/>
  <c r="R30" i="107"/>
  <c r="R17" i="102"/>
  <c r="P40" i="107"/>
  <c r="P24" i="102"/>
  <c r="L20" i="107"/>
  <c r="L13" i="102"/>
  <c r="M126" i="107"/>
  <c r="M69" i="102"/>
  <c r="T32" i="97"/>
  <c r="S27" i="107"/>
  <c r="Q27" i="107" s="1"/>
  <c r="T149" i="97"/>
  <c r="S132" i="107"/>
  <c r="S73" i="102"/>
  <c r="M60" i="102"/>
  <c r="M108" i="107"/>
  <c r="S83" i="97"/>
  <c r="R83" i="97" s="1"/>
  <c r="R73" i="107"/>
  <c r="R43" i="102"/>
  <c r="M126" i="97"/>
  <c r="L112" i="107"/>
  <c r="K112" i="107" s="1"/>
  <c r="O71" i="107"/>
  <c r="O41" i="102"/>
  <c r="S33" i="97"/>
  <c r="R28" i="107"/>
  <c r="Q28" i="107" s="1"/>
  <c r="P15" i="102"/>
  <c r="P24" i="107"/>
  <c r="O85" i="107"/>
  <c r="O50" i="102"/>
  <c r="N148" i="97"/>
  <c r="L148" i="97" s="1"/>
  <c r="M131" i="107"/>
  <c r="K131" i="107" s="1"/>
  <c r="M72" i="102"/>
  <c r="K72" i="102" s="1"/>
  <c r="I78" i="107"/>
  <c r="I46" i="102"/>
  <c r="S44" i="107"/>
  <c r="Q44" i="107" s="1"/>
  <c r="S28" i="102"/>
  <c r="Q28" i="102" s="1"/>
  <c r="L90" i="107"/>
  <c r="K90" i="107" s="1"/>
  <c r="L52" i="102"/>
  <c r="K52" i="102" s="1"/>
  <c r="P17" i="107"/>
  <c r="P10" i="102"/>
  <c r="M30" i="97"/>
  <c r="L25" i="107"/>
  <c r="R124" i="107"/>
  <c r="Q124" i="107" s="1"/>
  <c r="R68" i="102"/>
  <c r="N86" i="97"/>
  <c r="L86" i="97" s="1"/>
  <c r="G86" i="97" s="1"/>
  <c r="M45" i="102"/>
  <c r="K45" i="102" s="1"/>
  <c r="F45" i="102" s="1"/>
  <c r="G45" i="102" s="1"/>
  <c r="Q43" i="102"/>
  <c r="Q18" i="107"/>
  <c r="N102" i="107"/>
  <c r="N57" i="102"/>
  <c r="F89" i="107"/>
  <c r="G89" i="107" s="1"/>
  <c r="H89" i="107" s="1"/>
  <c r="N60" i="102"/>
  <c r="N108" i="107"/>
  <c r="L73" i="107"/>
  <c r="L43" i="102"/>
  <c r="P30" i="107"/>
  <c r="P17" i="102"/>
  <c r="P56" i="107"/>
  <c r="P34" i="102"/>
  <c r="O32" i="107"/>
  <c r="O18" i="102"/>
  <c r="P39" i="107"/>
  <c r="P23" i="102"/>
  <c r="N129" i="107"/>
  <c r="N71" i="102"/>
  <c r="O130" i="97"/>
  <c r="N115" i="107"/>
  <c r="N124" i="107"/>
  <c r="N68" i="102"/>
  <c r="R130" i="97"/>
  <c r="R20" i="107"/>
  <c r="R13" i="102"/>
  <c r="T31" i="97"/>
  <c r="R31" i="97" s="1"/>
  <c r="S26" i="107"/>
  <c r="Q26" i="107" s="1"/>
  <c r="M66" i="107"/>
  <c r="M39" i="102"/>
  <c r="S118" i="97"/>
  <c r="R104" i="107"/>
  <c r="R58" i="102"/>
  <c r="Q58" i="102" s="1"/>
  <c r="O15" i="102"/>
  <c r="O24" i="107"/>
  <c r="P85" i="107"/>
  <c r="P50" i="102"/>
  <c r="R49" i="102"/>
  <c r="R84" i="107"/>
  <c r="R31" i="3"/>
  <c r="N25" i="107" s="1"/>
  <c r="O25" i="107"/>
  <c r="P129" i="107"/>
  <c r="P71" i="102"/>
  <c r="Q62" i="107"/>
  <c r="L27" i="102"/>
  <c r="K27" i="102" s="1"/>
  <c r="L43" i="107"/>
  <c r="K43" i="107" s="1"/>
  <c r="T27" i="97"/>
  <c r="R27" i="97" s="1"/>
  <c r="S23" i="107"/>
  <c r="Q23" i="107" s="1"/>
  <c r="O17" i="107"/>
  <c r="O10" i="102"/>
  <c r="S29" i="97"/>
  <c r="R29" i="97" s="1"/>
  <c r="R16" i="102"/>
  <c r="Q16" i="102" s="1"/>
  <c r="F16" i="102" s="1"/>
  <c r="G16" i="102" s="1"/>
  <c r="H16" i="102" s="1"/>
  <c r="J124" i="107"/>
  <c r="J68" i="102"/>
  <c r="S14" i="97"/>
  <c r="R14" i="97" s="1"/>
  <c r="R9" i="102"/>
  <c r="Q9" i="102" s="1"/>
  <c r="M17" i="107"/>
  <c r="K17" i="107" s="1"/>
  <c r="M10" i="102"/>
  <c r="K10" i="102" s="1"/>
  <c r="Q25" i="107"/>
  <c r="Q73" i="107"/>
  <c r="Q68" i="102"/>
  <c r="F68" i="102" s="1"/>
  <c r="G68" i="102" s="1"/>
  <c r="H68" i="102" s="1"/>
  <c r="H8" i="107"/>
  <c r="F8" i="107"/>
  <c r="G8" i="107" s="1"/>
  <c r="O32" i="102"/>
  <c r="O50" i="107"/>
  <c r="O30" i="107"/>
  <c r="O17" i="102"/>
  <c r="L31" i="102"/>
  <c r="K31" i="102" s="1"/>
  <c r="L49" i="107"/>
  <c r="P150" i="97"/>
  <c r="O133" i="107"/>
  <c r="P72" i="107"/>
  <c r="P42" i="102"/>
  <c r="N107" i="107"/>
  <c r="N59" i="102"/>
  <c r="N42" i="107"/>
  <c r="F42" i="107" s="1"/>
  <c r="G42" i="107" s="1"/>
  <c r="H42" i="107" s="1"/>
  <c r="N26" i="102"/>
  <c r="F26" i="102" s="1"/>
  <c r="G26" i="102" s="1"/>
  <c r="H26" i="102" s="1"/>
  <c r="S33" i="107"/>
  <c r="S19" i="102"/>
  <c r="R116" i="107"/>
  <c r="Q116" i="107" s="1"/>
  <c r="F116" i="107" s="1"/>
  <c r="G116" i="107" s="1"/>
  <c r="H116" i="107" s="1"/>
  <c r="R64" i="102"/>
  <c r="Q64" i="102" s="1"/>
  <c r="L32" i="107"/>
  <c r="L18" i="102"/>
  <c r="S36" i="107"/>
  <c r="Q36" i="107" s="1"/>
  <c r="S21" i="102"/>
  <c r="Q21" i="102" s="1"/>
  <c r="J107" i="107"/>
  <c r="J59" i="102"/>
  <c r="P79" i="107"/>
  <c r="P47" i="102"/>
  <c r="O126" i="107"/>
  <c r="O69" i="102"/>
  <c r="S134" i="97"/>
  <c r="R118" i="107"/>
  <c r="Q118" i="107" s="1"/>
  <c r="F118" i="107" s="1"/>
  <c r="G118" i="107" s="1"/>
  <c r="H118" i="107" s="1"/>
  <c r="L25" i="102"/>
  <c r="L41" i="107"/>
  <c r="R95" i="3"/>
  <c r="N82" i="107" s="1"/>
  <c r="F82" i="107" s="1"/>
  <c r="G82" i="107" s="1"/>
  <c r="H82" i="107" s="1"/>
  <c r="P82" i="107"/>
  <c r="M32" i="102"/>
  <c r="M50" i="107"/>
  <c r="M143" i="97"/>
  <c r="L126" i="107"/>
  <c r="L69" i="102"/>
  <c r="M15" i="102"/>
  <c r="M24" i="107"/>
  <c r="K24" i="107" s="1"/>
  <c r="S127" i="97"/>
  <c r="R127" i="97" s="1"/>
  <c r="R113" i="107"/>
  <c r="Q113" i="107" s="1"/>
  <c r="R62" i="102"/>
  <c r="Q62" i="102" s="1"/>
  <c r="O129" i="107"/>
  <c r="O71" i="102"/>
  <c r="K9" i="102"/>
  <c r="F123" i="107"/>
  <c r="G123" i="107" s="1"/>
  <c r="H123" i="107"/>
  <c r="R107" i="107"/>
  <c r="Q107" i="107" s="1"/>
  <c r="R59" i="102"/>
  <c r="Q59" i="102" s="1"/>
  <c r="L32" i="102"/>
  <c r="L50" i="107"/>
  <c r="O36" i="107"/>
  <c r="O21" i="102"/>
  <c r="S71" i="107"/>
  <c r="S41" i="102"/>
  <c r="L8" i="102"/>
  <c r="L12" i="107"/>
  <c r="K16" i="107"/>
  <c r="S146" i="97"/>
  <c r="R129" i="107"/>
  <c r="R71" i="102"/>
  <c r="M38" i="102"/>
  <c r="K38" i="102" s="1"/>
  <c r="M64" i="107"/>
  <c r="K64" i="107" s="1"/>
  <c r="S17" i="107"/>
  <c r="Q17" i="107" s="1"/>
  <c r="S10" i="102"/>
  <c r="Q10" i="102" s="1"/>
  <c r="S38" i="102"/>
  <c r="Q38" i="102" s="1"/>
  <c r="S64" i="107"/>
  <c r="Q64" i="107" s="1"/>
  <c r="J113" i="107"/>
  <c r="J62" i="102"/>
  <c r="Q84" i="107"/>
  <c r="Q104" i="107"/>
  <c r="P32" i="102"/>
  <c r="P50" i="107"/>
  <c r="P36" i="102"/>
  <c r="P59" i="107"/>
  <c r="M17" i="102"/>
  <c r="M30" i="107"/>
  <c r="N147" i="97"/>
  <c r="L147" i="97" s="1"/>
  <c r="M130" i="107"/>
  <c r="K130" i="107" s="1"/>
  <c r="O44" i="107"/>
  <c r="O28" i="102"/>
  <c r="M129" i="107"/>
  <c r="M71" i="102"/>
  <c r="N30" i="102"/>
  <c r="N48" i="107"/>
  <c r="F48" i="107" s="1"/>
  <c r="G48" i="107" s="1"/>
  <c r="H48" i="107" s="1"/>
  <c r="F35" i="107"/>
  <c r="G35" i="107" s="1"/>
  <c r="H35" i="107" s="1"/>
  <c r="O79" i="107"/>
  <c r="O47" i="102"/>
  <c r="P126" i="107"/>
  <c r="P69" i="102"/>
  <c r="L18" i="107"/>
  <c r="L11" i="102"/>
  <c r="S5" i="97"/>
  <c r="R5" i="107"/>
  <c r="R5" i="102"/>
  <c r="S116" i="97"/>
  <c r="R102" i="107"/>
  <c r="Q102" i="107" s="1"/>
  <c r="R57" i="102"/>
  <c r="Q57" i="102" s="1"/>
  <c r="N85" i="97"/>
  <c r="M75" i="107"/>
  <c r="M44" i="102"/>
  <c r="N43" i="97"/>
  <c r="M37" i="107"/>
  <c r="K37" i="107" s="1"/>
  <c r="M22" i="102"/>
  <c r="K22" i="102" s="1"/>
  <c r="M115" i="97"/>
  <c r="L101" i="107"/>
  <c r="K101" i="107" s="1"/>
  <c r="K60" i="107"/>
  <c r="P36" i="107"/>
  <c r="P21" i="102"/>
  <c r="T80" i="97"/>
  <c r="S70" i="107"/>
  <c r="Q70" i="107" s="1"/>
  <c r="F119" i="107"/>
  <c r="G119" i="107" s="1"/>
  <c r="H119" i="107" s="1"/>
  <c r="R71" i="107"/>
  <c r="R41" i="102"/>
  <c r="R126" i="107"/>
  <c r="Q126" i="107" s="1"/>
  <c r="R69" i="102"/>
  <c r="Q69" i="102" s="1"/>
  <c r="S38" i="97"/>
  <c r="R33" i="107"/>
  <c r="R19" i="102"/>
  <c r="Q122" i="107"/>
  <c r="Q49" i="102"/>
  <c r="Q34" i="107"/>
  <c r="F11" i="107"/>
  <c r="G11" i="107" s="1"/>
  <c r="H11" i="107"/>
  <c r="F93" i="107"/>
  <c r="G93" i="107" s="1"/>
  <c r="H93" i="107" s="1"/>
  <c r="L60" i="102"/>
  <c r="L108" i="107"/>
  <c r="N70" i="102"/>
  <c r="N128" i="107"/>
  <c r="P37" i="107"/>
  <c r="P22" i="102"/>
  <c r="O33" i="107"/>
  <c r="O19" i="102"/>
  <c r="O36" i="102"/>
  <c r="O59" i="107"/>
  <c r="N17" i="107"/>
  <c r="N10" i="102"/>
  <c r="O73" i="107"/>
  <c r="O43" i="102"/>
  <c r="P44" i="107"/>
  <c r="P28" i="102"/>
  <c r="N62" i="102"/>
  <c r="N113" i="107"/>
  <c r="M44" i="107"/>
  <c r="K44" i="107" s="1"/>
  <c r="M28" i="102"/>
  <c r="K28" i="102" s="1"/>
  <c r="P148" i="97"/>
  <c r="O131" i="107"/>
  <c r="O72" i="102"/>
  <c r="M39" i="107"/>
  <c r="M23" i="102"/>
  <c r="M40" i="107"/>
  <c r="K40" i="107" s="1"/>
  <c r="M24" i="102"/>
  <c r="K24" i="102" s="1"/>
  <c r="J131" i="107"/>
  <c r="J72" i="102"/>
  <c r="M42" i="97"/>
  <c r="L36" i="107"/>
  <c r="L21" i="102"/>
  <c r="M51" i="97"/>
  <c r="L45" i="107"/>
  <c r="Q72" i="97"/>
  <c r="P63" i="107"/>
  <c r="AB73" i="75"/>
  <c r="M63" i="107" s="1"/>
  <c r="K63" i="107" s="1"/>
  <c r="M56" i="107"/>
  <c r="M34" i="102"/>
  <c r="K55" i="107"/>
  <c r="F55" i="107" s="1"/>
  <c r="G55" i="107" s="1"/>
  <c r="S91" i="97"/>
  <c r="R91" i="97" s="1"/>
  <c r="R80" i="107"/>
  <c r="Q80" i="107" s="1"/>
  <c r="M18" i="107"/>
  <c r="M11" i="102"/>
  <c r="S90" i="97"/>
  <c r="R79" i="107"/>
  <c r="Q79" i="107" s="1"/>
  <c r="R47" i="102"/>
  <c r="Q47" i="102" s="1"/>
  <c r="R98" i="107"/>
  <c r="Q98" i="107" s="1"/>
  <c r="R54" i="102"/>
  <c r="Q54" i="102" s="1"/>
  <c r="P38" i="102"/>
  <c r="P64" i="107"/>
  <c r="S112" i="97"/>
  <c r="R112" i="97" s="1"/>
  <c r="R99" i="107"/>
  <c r="Q99" i="107" s="1"/>
  <c r="R55" i="102"/>
  <c r="Q55" i="102" s="1"/>
  <c r="T84" i="97"/>
  <c r="R84" i="97" s="1"/>
  <c r="S74" i="107"/>
  <c r="Q74" i="107" s="1"/>
  <c r="F74" i="107" s="1"/>
  <c r="G74" i="107" s="1"/>
  <c r="H74" i="107" s="1"/>
  <c r="S30" i="107"/>
  <c r="Q30" i="107" s="1"/>
  <c r="S17" i="102"/>
  <c r="Q17" i="102" s="1"/>
  <c r="K94" i="107"/>
  <c r="F20" i="102"/>
  <c r="G20" i="102" s="1"/>
  <c r="H20" i="102" s="1"/>
  <c r="H54" i="107"/>
  <c r="F64" i="102"/>
  <c r="G64" i="102" s="1"/>
  <c r="H10" i="107"/>
  <c r="K57" i="102"/>
  <c r="N47" i="107"/>
  <c r="N29" i="102"/>
  <c r="N98" i="107"/>
  <c r="N54" i="102"/>
  <c r="O66" i="107"/>
  <c r="O39" i="102"/>
  <c r="P73" i="107"/>
  <c r="P43" i="102"/>
  <c r="N149" i="97"/>
  <c r="M132" i="107"/>
  <c r="M73" i="102"/>
  <c r="N108" i="97"/>
  <c r="M95" i="107"/>
  <c r="K95" i="107" s="1"/>
  <c r="O20" i="107"/>
  <c r="O13" i="102"/>
  <c r="P131" i="107"/>
  <c r="P72" i="102"/>
  <c r="S39" i="107"/>
  <c r="Q39" i="107" s="1"/>
  <c r="S23" i="102"/>
  <c r="Q23" i="102" s="1"/>
  <c r="J5" i="107"/>
  <c r="J5" i="102"/>
  <c r="Q126" i="97"/>
  <c r="P112" i="107"/>
  <c r="S104" i="97"/>
  <c r="R104" i="97" s="1"/>
  <c r="R91" i="107"/>
  <c r="Q91" i="107" s="1"/>
  <c r="S66" i="107"/>
  <c r="Q66" i="107" s="1"/>
  <c r="S39" i="102"/>
  <c r="Q39" i="102" s="1"/>
  <c r="M70" i="102"/>
  <c r="M128" i="107"/>
  <c r="R56" i="107"/>
  <c r="Q56" i="107" s="1"/>
  <c r="R34" i="102"/>
  <c r="Q34" i="102" s="1"/>
  <c r="M7" i="102"/>
  <c r="M10" i="107"/>
  <c r="M99" i="107"/>
  <c r="M55" i="102"/>
  <c r="K22" i="107"/>
  <c r="S16" i="97"/>
  <c r="R14" i="107"/>
  <c r="Q14" i="107" s="1"/>
  <c r="O38" i="102"/>
  <c r="O64" i="107"/>
  <c r="H7" i="102"/>
  <c r="K102" i="107"/>
  <c r="F63" i="102"/>
  <c r="G63" i="102" s="1"/>
  <c r="H63" i="102" s="1"/>
  <c r="N90" i="107"/>
  <c r="N52" i="102"/>
  <c r="O37" i="107"/>
  <c r="O22" i="102"/>
  <c r="P66" i="107"/>
  <c r="P39" i="102"/>
  <c r="O18" i="107"/>
  <c r="O11" i="102"/>
  <c r="L30" i="107"/>
  <c r="L17" i="102"/>
  <c r="N27" i="102"/>
  <c r="N43" i="107"/>
  <c r="M100" i="97"/>
  <c r="L87" i="107"/>
  <c r="K87" i="107" s="1"/>
  <c r="S32" i="107"/>
  <c r="Q32" i="107" s="1"/>
  <c r="S18" i="102"/>
  <c r="Q18" i="102" s="1"/>
  <c r="P5" i="107"/>
  <c r="P5" i="102"/>
  <c r="S20" i="107"/>
  <c r="Q20" i="107" s="1"/>
  <c r="S13" i="102"/>
  <c r="Q13" i="102" s="1"/>
  <c r="P20" i="107"/>
  <c r="P13" i="102"/>
  <c r="S149" i="97"/>
  <c r="R149" i="97" s="1"/>
  <c r="R132" i="107"/>
  <c r="R73" i="102"/>
  <c r="K25" i="107"/>
  <c r="R37" i="107"/>
  <c r="Q37" i="107" s="1"/>
  <c r="R22" i="102"/>
  <c r="Q22" i="102" s="1"/>
  <c r="P132" i="107"/>
  <c r="P73" i="102"/>
  <c r="O41" i="107"/>
  <c r="O25" i="102"/>
  <c r="R90" i="97"/>
  <c r="K67" i="107"/>
  <c r="S75" i="107"/>
  <c r="Q75" i="107" s="1"/>
  <c r="S44" i="102"/>
  <c r="Q44" i="102" s="1"/>
  <c r="R19" i="3"/>
  <c r="N16" i="107" s="1"/>
  <c r="P16" i="107"/>
  <c r="L56" i="107"/>
  <c r="L34" i="102"/>
  <c r="P47" i="107"/>
  <c r="P29" i="102"/>
  <c r="L39" i="102"/>
  <c r="L66" i="107"/>
  <c r="M96" i="107"/>
  <c r="K96" i="107" s="1"/>
  <c r="M53" i="102"/>
  <c r="K53" i="102" s="1"/>
  <c r="M145" i="97"/>
  <c r="L70" i="102"/>
  <c r="L128" i="107"/>
  <c r="S72" i="97"/>
  <c r="R63" i="107"/>
  <c r="Q63" i="107" s="1"/>
  <c r="T22" i="97"/>
  <c r="S12" i="102"/>
  <c r="Q12" i="102" s="1"/>
  <c r="L7" i="102"/>
  <c r="L10" i="107"/>
  <c r="L99" i="107"/>
  <c r="L55" i="102"/>
  <c r="S147" i="97"/>
  <c r="R147" i="97" s="1"/>
  <c r="R130" i="107"/>
  <c r="Q130" i="107" s="1"/>
  <c r="S129" i="107"/>
  <c r="Q129" i="107" s="1"/>
  <c r="S71" i="102"/>
  <c r="Q71" i="102" s="1"/>
  <c r="R36" i="102"/>
  <c r="Q36" i="102" s="1"/>
  <c r="R59" i="107"/>
  <c r="Q59" i="107" s="1"/>
  <c r="K49" i="107"/>
  <c r="F65" i="102"/>
  <c r="G65" i="102" s="1"/>
  <c r="H65" i="102"/>
  <c r="K84" i="107"/>
  <c r="N60" i="97"/>
  <c r="S67" i="97"/>
  <c r="R67" i="97" s="1"/>
  <c r="H129" i="97"/>
  <c r="Z292" i="108"/>
  <c r="D292" i="108" s="1"/>
  <c r="I114" i="107" s="1"/>
  <c r="S22" i="97"/>
  <c r="R22" i="97" s="1"/>
  <c r="S105" i="97"/>
  <c r="R105" i="97" s="1"/>
  <c r="AB92" i="75"/>
  <c r="M80" i="107" s="1"/>
  <c r="K80" i="107" s="1"/>
  <c r="X13" i="4"/>
  <c r="R11" i="107" s="1"/>
  <c r="Q11" i="107" s="1"/>
  <c r="B122" i="99"/>
  <c r="K124" i="97" s="1"/>
  <c r="Q81" i="97"/>
  <c r="R45" i="3"/>
  <c r="N38" i="107" s="1"/>
  <c r="F38" i="107" s="1"/>
  <c r="G38" i="107" s="1"/>
  <c r="H38" i="107" s="1"/>
  <c r="N91" i="75"/>
  <c r="AB62" i="75"/>
  <c r="M54" i="107" s="1"/>
  <c r="AB25" i="75"/>
  <c r="M14" i="102" s="1"/>
  <c r="K14" i="102" s="1"/>
  <c r="Q84" i="97"/>
  <c r="B32" i="99"/>
  <c r="I97" i="99"/>
  <c r="J86" i="107" s="1"/>
  <c r="AA24" i="75"/>
  <c r="AB24" i="75" s="1"/>
  <c r="R8" i="3"/>
  <c r="N7" i="107" s="1"/>
  <c r="F7" i="107" s="1"/>
  <c r="G7" i="107" s="1"/>
  <c r="H7" i="107" s="1"/>
  <c r="AB38" i="75"/>
  <c r="R26" i="3"/>
  <c r="T19" i="97"/>
  <c r="R19" i="97" s="1"/>
  <c r="K141" i="97"/>
  <c r="N19" i="97"/>
  <c r="L19" i="97" s="1"/>
  <c r="T73" i="97"/>
  <c r="R73" i="97" s="1"/>
  <c r="M6" i="97"/>
  <c r="N26" i="97"/>
  <c r="L118" i="97"/>
  <c r="N152" i="97"/>
  <c r="L152" i="97" s="1"/>
  <c r="B93" i="99"/>
  <c r="I93" i="99" s="1"/>
  <c r="J83" i="107" s="1"/>
  <c r="S7" i="97"/>
  <c r="B14" i="99"/>
  <c r="I14" i="99" s="1"/>
  <c r="J14" i="107" s="1"/>
  <c r="P74" i="97"/>
  <c r="B42" i="99"/>
  <c r="R7" i="97"/>
  <c r="Q6" i="97"/>
  <c r="R7" i="3"/>
  <c r="N6" i="107" s="1"/>
  <c r="AB84" i="75"/>
  <c r="R127" i="3"/>
  <c r="N112" i="107" s="1"/>
  <c r="F112" i="107" s="1"/>
  <c r="G112" i="107" s="1"/>
  <c r="H112" i="107" s="1"/>
  <c r="N17" i="97"/>
  <c r="L17" i="97" s="1"/>
  <c r="R67" i="3"/>
  <c r="P6" i="97"/>
  <c r="AB65" i="75"/>
  <c r="M35" i="102" s="1"/>
  <c r="K35" i="102" s="1"/>
  <c r="AB14" i="75"/>
  <c r="R56" i="3"/>
  <c r="M64" i="97"/>
  <c r="I143" i="99"/>
  <c r="Q73" i="97"/>
  <c r="R16" i="97"/>
  <c r="M36" i="97"/>
  <c r="L36" i="97" s="1"/>
  <c r="M31" i="97"/>
  <c r="Q76" i="97"/>
  <c r="R77" i="3"/>
  <c r="N67" i="107" s="1"/>
  <c r="S79" i="97"/>
  <c r="R79" i="97" s="1"/>
  <c r="P73" i="97"/>
  <c r="M9" i="97"/>
  <c r="L9" i="97" s="1"/>
  <c r="G9" i="97" s="1"/>
  <c r="Q5" i="107"/>
  <c r="B38" i="99"/>
  <c r="I38" i="99" s="1"/>
  <c r="J34" i="107" s="1"/>
  <c r="N12" i="97"/>
  <c r="P31" i="97"/>
  <c r="N73" i="97"/>
  <c r="L73" i="97" s="1"/>
  <c r="R32" i="3"/>
  <c r="N26" i="107" s="1"/>
  <c r="F26" i="107" s="1"/>
  <c r="G26" i="107" s="1"/>
  <c r="Q31" i="97"/>
  <c r="I52" i="99"/>
  <c r="K54" i="97"/>
  <c r="K135" i="97"/>
  <c r="AB69" i="75"/>
  <c r="R74" i="3"/>
  <c r="N18" i="97"/>
  <c r="I90" i="99"/>
  <c r="J81" i="107" s="1"/>
  <c r="K92" i="97"/>
  <c r="N6" i="97"/>
  <c r="L6" i="97" s="1"/>
  <c r="Q94" i="97"/>
  <c r="R5" i="97"/>
  <c r="B106" i="99"/>
  <c r="I106" i="99" s="1"/>
  <c r="J95" i="107" s="1"/>
  <c r="R72" i="97"/>
  <c r="B140" i="99"/>
  <c r="K142" i="97" s="1"/>
  <c r="B71" i="99"/>
  <c r="B44" i="99"/>
  <c r="B110" i="99"/>
  <c r="AB52" i="75"/>
  <c r="M45" i="107" s="1"/>
  <c r="K45" i="107" s="1"/>
  <c r="R141" i="97"/>
  <c r="AB91" i="75"/>
  <c r="N90" i="97" s="1"/>
  <c r="B25" i="99"/>
  <c r="S143" i="97"/>
  <c r="R143" i="97" s="1"/>
  <c r="P88" i="97"/>
  <c r="N150" i="75"/>
  <c r="AB33" i="75"/>
  <c r="R37" i="3"/>
  <c r="N31" i="107" s="1"/>
  <c r="N147" i="75"/>
  <c r="M13" i="97"/>
  <c r="K95" i="97"/>
  <c r="R89" i="3"/>
  <c r="N77" i="107" s="1"/>
  <c r="Q88" i="97"/>
  <c r="R20" i="97"/>
  <c r="O109" i="4"/>
  <c r="X109" i="4" s="1"/>
  <c r="R95" i="107" s="1"/>
  <c r="Q95" i="107" s="1"/>
  <c r="S63" i="97"/>
  <c r="R116" i="97"/>
  <c r="M103" i="97"/>
  <c r="L103" i="97" s="1"/>
  <c r="R33" i="97"/>
  <c r="N69" i="97"/>
  <c r="N84" i="97"/>
  <c r="L84" i="97" s="1"/>
  <c r="R9" i="3"/>
  <c r="N6" i="102" s="1"/>
  <c r="Q8" i="97"/>
  <c r="R118" i="97"/>
  <c r="C43" i="104"/>
  <c r="H43" i="99" s="1"/>
  <c r="E43" i="99" s="1"/>
  <c r="B43" i="99" s="1"/>
  <c r="N86" i="75"/>
  <c r="AB72" i="75"/>
  <c r="M62" i="107" s="1"/>
  <c r="K62" i="107" s="1"/>
  <c r="L151" i="97"/>
  <c r="P42" i="97"/>
  <c r="N7" i="97"/>
  <c r="L7" i="97" s="1"/>
  <c r="L112" i="97"/>
  <c r="M63" i="97"/>
  <c r="N11" i="75"/>
  <c r="L9" i="107" s="1"/>
  <c r="K9" i="107" s="1"/>
  <c r="F9" i="107" s="1"/>
  <c r="G9" i="107" s="1"/>
  <c r="N88" i="97"/>
  <c r="L88" i="97" s="1"/>
  <c r="I17" i="99"/>
  <c r="K19" i="97"/>
  <c r="I9" i="99"/>
  <c r="K11" i="97"/>
  <c r="B34" i="99"/>
  <c r="R73" i="3"/>
  <c r="N63" i="107" s="1"/>
  <c r="M12" i="97"/>
  <c r="L12" i="97" s="1"/>
  <c r="G12" i="97" s="1"/>
  <c r="L126" i="97"/>
  <c r="I134" i="99"/>
  <c r="J120" i="107" s="1"/>
  <c r="N93" i="97"/>
  <c r="L93" i="97" s="1"/>
  <c r="G87" i="97"/>
  <c r="H87" i="97" s="1"/>
  <c r="K41" i="97"/>
  <c r="I39" i="99"/>
  <c r="J35" i="107" s="1"/>
  <c r="P25" i="97"/>
  <c r="K13" i="97"/>
  <c r="I11" i="99"/>
  <c r="L8" i="97"/>
  <c r="B51" i="99"/>
  <c r="K53" i="97" s="1"/>
  <c r="N11" i="97"/>
  <c r="P84" i="97"/>
  <c r="P39" i="97"/>
  <c r="P7" i="97"/>
  <c r="B64" i="99"/>
  <c r="K147" i="97"/>
  <c r="R146" i="97"/>
  <c r="M11" i="97"/>
  <c r="P60" i="97"/>
  <c r="B5" i="99"/>
  <c r="M56" i="97"/>
  <c r="B55" i="99"/>
  <c r="P8" i="97"/>
  <c r="P19" i="97"/>
  <c r="N79" i="75"/>
  <c r="N53" i="75"/>
  <c r="L46" i="107" s="1"/>
  <c r="K117" i="97"/>
  <c r="C62" i="104"/>
  <c r="H62" i="99" s="1"/>
  <c r="E62" i="99" s="1"/>
  <c r="B62" i="99" s="1"/>
  <c r="K64" i="97" s="1"/>
  <c r="B117" i="99"/>
  <c r="I117" i="99" s="1"/>
  <c r="J105" i="107" s="1"/>
  <c r="R26" i="97"/>
  <c r="C36" i="104"/>
  <c r="H36" i="99" s="1"/>
  <c r="E36" i="99" s="1"/>
  <c r="B36" i="99" s="1"/>
  <c r="O19" i="4"/>
  <c r="X19" i="4" s="1"/>
  <c r="R16" i="107" s="1"/>
  <c r="Q16" i="107" s="1"/>
  <c r="C21" i="104"/>
  <c r="H21" i="99" s="1"/>
  <c r="E21" i="99" s="1"/>
  <c r="B21" i="99" s="1"/>
  <c r="B66" i="99"/>
  <c r="K68" i="97" s="1"/>
  <c r="B49" i="99"/>
  <c r="K51" i="97" s="1"/>
  <c r="R63" i="97"/>
  <c r="N145" i="97"/>
  <c r="L145" i="97" s="1"/>
  <c r="AB83" i="75"/>
  <c r="R23" i="3"/>
  <c r="N12" i="102" s="1"/>
  <c r="N134" i="97"/>
  <c r="L134" i="97" s="1"/>
  <c r="R94" i="3"/>
  <c r="N48" i="102" s="1"/>
  <c r="B144" i="99"/>
  <c r="K146" i="97" s="1"/>
  <c r="G153" i="97"/>
  <c r="H153" i="97" s="1"/>
  <c r="I153" i="97" s="1"/>
  <c r="N91" i="97"/>
  <c r="L91" i="97" s="1"/>
  <c r="S24" i="97"/>
  <c r="N62" i="97"/>
  <c r="N20" i="97"/>
  <c r="O73" i="97"/>
  <c r="I155" i="97"/>
  <c r="G155" i="97"/>
  <c r="H155" i="97" s="1"/>
  <c r="N109" i="97"/>
  <c r="L109" i="97" s="1"/>
  <c r="I120" i="99"/>
  <c r="Q36" i="97"/>
  <c r="C79" i="104"/>
  <c r="H79" i="99" s="1"/>
  <c r="E79" i="99" s="1"/>
  <c r="B79" i="99" s="1"/>
  <c r="R77" i="97"/>
  <c r="B70" i="99"/>
  <c r="K72" i="97" s="1"/>
  <c r="N53" i="97"/>
  <c r="L53" i="97" s="1"/>
  <c r="B40" i="99"/>
  <c r="J89" i="97"/>
  <c r="Q93" i="97"/>
  <c r="L128" i="97"/>
  <c r="Q5" i="102"/>
  <c r="N46" i="75"/>
  <c r="N22" i="75"/>
  <c r="G92" i="97"/>
  <c r="H92" i="97" s="1"/>
  <c r="I92" i="97" s="1"/>
  <c r="AB39" i="75"/>
  <c r="B22" i="99"/>
  <c r="I22" i="99" s="1"/>
  <c r="J14" i="102" s="1"/>
  <c r="AB22" i="75"/>
  <c r="M19" i="107" s="1"/>
  <c r="R81" i="97"/>
  <c r="AA34" i="75"/>
  <c r="AB34" i="75" s="1"/>
  <c r="M28" i="107" s="1"/>
  <c r="K28" i="107" s="1"/>
  <c r="AB28" i="75"/>
  <c r="AB78" i="75"/>
  <c r="M40" i="102" s="1"/>
  <c r="K40" i="102" s="1"/>
  <c r="O140" i="97"/>
  <c r="O135" i="97"/>
  <c r="G135" i="97" s="1"/>
  <c r="K108" i="97"/>
  <c r="N80" i="97"/>
  <c r="L80" i="97" s="1"/>
  <c r="M27" i="97"/>
  <c r="K71" i="97"/>
  <c r="I69" i="99"/>
  <c r="J62" i="107" s="1"/>
  <c r="K74" i="97"/>
  <c r="I72" i="99"/>
  <c r="J65" i="107" s="1"/>
  <c r="L101" i="97"/>
  <c r="N39" i="75"/>
  <c r="P71" i="97"/>
  <c r="P53" i="97"/>
  <c r="N28" i="97"/>
  <c r="P81" i="97"/>
  <c r="N72" i="97"/>
  <c r="L72" i="97" s="1"/>
  <c r="P14" i="97"/>
  <c r="S55" i="97"/>
  <c r="R55" i="97" s="1"/>
  <c r="O151" i="97"/>
  <c r="Q151" i="97"/>
  <c r="P27" i="97"/>
  <c r="P65" i="97"/>
  <c r="AB75" i="75"/>
  <c r="M65" i="107" s="1"/>
  <c r="K65" i="107" s="1"/>
  <c r="R134" i="97"/>
  <c r="AB23" i="75"/>
  <c r="M12" i="102" s="1"/>
  <c r="K12" i="102" s="1"/>
  <c r="P72" i="97"/>
  <c r="M22" i="97"/>
  <c r="R29" i="3"/>
  <c r="Q28" i="97"/>
  <c r="R15" i="3"/>
  <c r="N9" i="102" s="1"/>
  <c r="Q14" i="97"/>
  <c r="R18" i="3"/>
  <c r="N15" i="107" s="1"/>
  <c r="Q17" i="97"/>
  <c r="P97" i="97"/>
  <c r="K17" i="97"/>
  <c r="I15" i="99"/>
  <c r="J15" i="107" s="1"/>
  <c r="I148" i="99"/>
  <c r="J133" i="107" s="1"/>
  <c r="K150" i="97"/>
  <c r="Q130" i="97"/>
  <c r="AB82" i="75"/>
  <c r="I75" i="99"/>
  <c r="J40" i="102" s="1"/>
  <c r="K77" i="97"/>
  <c r="K60" i="97"/>
  <c r="I58" i="99"/>
  <c r="J53" i="107" s="1"/>
  <c r="P28" i="97"/>
  <c r="N65" i="97"/>
  <c r="L65" i="97" s="1"/>
  <c r="K27" i="97"/>
  <c r="I25" i="99"/>
  <c r="J23" i="107" s="1"/>
  <c r="P17" i="97"/>
  <c r="R98" i="3"/>
  <c r="Q97" i="97"/>
  <c r="N77" i="97"/>
  <c r="L77" i="97" s="1"/>
  <c r="N63" i="97"/>
  <c r="P66" i="97"/>
  <c r="P30" i="97"/>
  <c r="B141" i="99"/>
  <c r="K143" i="97" s="1"/>
  <c r="B116" i="99"/>
  <c r="B65" i="99"/>
  <c r="K67" i="97" s="1"/>
  <c r="R72" i="3"/>
  <c r="N62" i="107" s="1"/>
  <c r="Q71" i="97"/>
  <c r="P77" i="97"/>
  <c r="N71" i="97"/>
  <c r="L71" i="97" s="1"/>
  <c r="S20" i="104"/>
  <c r="B20" i="104" s="1"/>
  <c r="F20" i="99" s="1"/>
  <c r="C20" i="99" s="1"/>
  <c r="C20" i="104"/>
  <c r="H20" i="99" s="1"/>
  <c r="E20" i="99" s="1"/>
  <c r="C63" i="104"/>
  <c r="H63" i="99" s="1"/>
  <c r="E63" i="99" s="1"/>
  <c r="B63" i="99" s="1"/>
  <c r="S96" i="97"/>
  <c r="R96" i="97" s="1"/>
  <c r="N66" i="97"/>
  <c r="L66" i="97" s="1"/>
  <c r="P22" i="97"/>
  <c r="P146" i="97"/>
  <c r="L60" i="97"/>
  <c r="N75" i="97"/>
  <c r="L75" i="97" s="1"/>
  <c r="N124" i="97"/>
  <c r="L124" i="97" s="1"/>
  <c r="B78" i="99"/>
  <c r="I78" i="99" s="1"/>
  <c r="J70" i="107" s="1"/>
  <c r="T85" i="97"/>
  <c r="R85" i="97" s="1"/>
  <c r="L108" i="97"/>
  <c r="B47" i="99"/>
  <c r="K49" i="97" s="1"/>
  <c r="B76" i="99"/>
  <c r="K78" i="97" s="1"/>
  <c r="B61" i="99"/>
  <c r="K63" i="97" s="1"/>
  <c r="B100" i="99"/>
  <c r="K102" i="97" s="1"/>
  <c r="B30" i="99"/>
  <c r="I30" i="99" s="1"/>
  <c r="J27" i="107" s="1"/>
  <c r="K69" i="97"/>
  <c r="I67" i="99"/>
  <c r="J60" i="107" s="1"/>
  <c r="N122" i="97"/>
  <c r="AB17" i="75"/>
  <c r="M14" i="107" s="1"/>
  <c r="K14" i="107" s="1"/>
  <c r="AA35" i="75"/>
  <c r="AB35" i="75" s="1"/>
  <c r="M29" i="107" s="1"/>
  <c r="K29" i="107" s="1"/>
  <c r="S25" i="97"/>
  <c r="R25" i="97" s="1"/>
  <c r="R46" i="3"/>
  <c r="Q45" i="97"/>
  <c r="H58" i="97"/>
  <c r="Z119" i="108"/>
  <c r="D119" i="108" s="1"/>
  <c r="I51" i="107" s="1"/>
  <c r="M18" i="97"/>
  <c r="L18" i="97" s="1"/>
  <c r="I40" i="99"/>
  <c r="K42" i="97"/>
  <c r="R39" i="3"/>
  <c r="Q38" i="97"/>
  <c r="I132" i="99"/>
  <c r="J118" i="107" s="1"/>
  <c r="K134" i="97"/>
  <c r="M24" i="97"/>
  <c r="M68" i="97"/>
  <c r="N35" i="97"/>
  <c r="M44" i="97"/>
  <c r="Q79" i="97"/>
  <c r="R80" i="3"/>
  <c r="N69" i="107" s="1"/>
  <c r="F69" i="107" s="1"/>
  <c r="G69" i="107" s="1"/>
  <c r="H69" i="107" s="1"/>
  <c r="N37" i="97"/>
  <c r="I66" i="99"/>
  <c r="J37" i="102" s="1"/>
  <c r="I41" i="99"/>
  <c r="K43" i="97"/>
  <c r="K91" i="97"/>
  <c r="I89" i="99"/>
  <c r="J80" i="107" s="1"/>
  <c r="Q20" i="97"/>
  <c r="R21" i="3"/>
  <c r="S18" i="97"/>
  <c r="R18" i="97" s="1"/>
  <c r="R48" i="3"/>
  <c r="Q47" i="97"/>
  <c r="I62" i="99"/>
  <c r="J35" i="102" s="1"/>
  <c r="Q63" i="97"/>
  <c r="R64" i="3"/>
  <c r="M94" i="97"/>
  <c r="K32" i="97"/>
  <c r="I111" i="99"/>
  <c r="J56" i="102" s="1"/>
  <c r="K113" i="97"/>
  <c r="M33" i="97"/>
  <c r="I124" i="99"/>
  <c r="J112" i="107" s="1"/>
  <c r="K126" i="97"/>
  <c r="N94" i="97"/>
  <c r="I126" i="99"/>
  <c r="J63" i="102" s="1"/>
  <c r="K128" i="97"/>
  <c r="I77" i="99"/>
  <c r="J69" i="107" s="1"/>
  <c r="K79" i="97"/>
  <c r="K123" i="97"/>
  <c r="I121" i="99"/>
  <c r="J109" i="107" s="1"/>
  <c r="I141" i="99"/>
  <c r="M26" i="97"/>
  <c r="O74" i="97"/>
  <c r="M34" i="97"/>
  <c r="T78" i="97"/>
  <c r="R78" i="97" s="1"/>
  <c r="R145" i="3"/>
  <c r="N127" i="107" s="1"/>
  <c r="F127" i="107" s="1"/>
  <c r="G127" i="107" s="1"/>
  <c r="H127" i="107" s="1"/>
  <c r="Q144" i="97"/>
  <c r="M28" i="97"/>
  <c r="N56" i="97"/>
  <c r="P80" i="97"/>
  <c r="P45" i="97"/>
  <c r="T34" i="97"/>
  <c r="R34" i="97" s="1"/>
  <c r="H132" i="97"/>
  <c r="Z302" i="108"/>
  <c r="D302" i="108" s="1"/>
  <c r="T37" i="97"/>
  <c r="M76" i="97"/>
  <c r="P79" i="97"/>
  <c r="P91" i="97"/>
  <c r="Q91" i="97"/>
  <c r="R92" i="3"/>
  <c r="N80" i="107" s="1"/>
  <c r="O81" i="97"/>
  <c r="O142" i="97"/>
  <c r="O39" i="97"/>
  <c r="G39" i="97" s="1"/>
  <c r="N79" i="97"/>
  <c r="M59" i="97"/>
  <c r="I142" i="99"/>
  <c r="J127" i="107" s="1"/>
  <c r="K144" i="97"/>
  <c r="P64" i="97"/>
  <c r="Q42" i="97"/>
  <c r="R43" i="3"/>
  <c r="R60" i="3"/>
  <c r="N52" i="107" s="1"/>
  <c r="F52" i="107" s="1"/>
  <c r="G52" i="107" s="1"/>
  <c r="H52" i="107" s="1"/>
  <c r="Q59" i="97"/>
  <c r="M69" i="97"/>
  <c r="L69" i="97" s="1"/>
  <c r="S142" i="97"/>
  <c r="R142" i="97" s="1"/>
  <c r="B91" i="99"/>
  <c r="R144" i="3"/>
  <c r="Q143" i="97"/>
  <c r="O36" i="97"/>
  <c r="R44" i="3"/>
  <c r="Q43" i="97"/>
  <c r="O53" i="97"/>
  <c r="R25" i="3"/>
  <c r="N14" i="102" s="1"/>
  <c r="F14" i="102" s="1"/>
  <c r="G14" i="102" s="1"/>
  <c r="H14" i="102" s="1"/>
  <c r="Q24" i="97"/>
  <c r="O7" i="97"/>
  <c r="M14" i="97"/>
  <c r="N146" i="97"/>
  <c r="T21" i="97"/>
  <c r="R21" i="97" s="1"/>
  <c r="P20" i="97"/>
  <c r="M62" i="97"/>
  <c r="O84" i="97"/>
  <c r="G84" i="97" s="1"/>
  <c r="R38" i="3"/>
  <c r="Q37" i="97"/>
  <c r="I48" i="99"/>
  <c r="K50" i="97"/>
  <c r="AB71" i="75"/>
  <c r="M61" i="107" s="1"/>
  <c r="K61" i="107" s="1"/>
  <c r="N44" i="97"/>
  <c r="L44" i="97" s="1"/>
  <c r="R81" i="3"/>
  <c r="N70" i="107" s="1"/>
  <c r="Q80" i="97"/>
  <c r="K20" i="97"/>
  <c r="I18" i="99"/>
  <c r="AB43" i="75"/>
  <c r="R6" i="3"/>
  <c r="Q5" i="97"/>
  <c r="B99" i="99"/>
  <c r="I98" i="99"/>
  <c r="J87" i="107" s="1"/>
  <c r="K100" i="97"/>
  <c r="M20" i="97"/>
  <c r="L20" i="97" s="1"/>
  <c r="M90" i="97"/>
  <c r="S30" i="97"/>
  <c r="R30" i="97" s="1"/>
  <c r="O126" i="97"/>
  <c r="P15" i="97"/>
  <c r="B68" i="99"/>
  <c r="C19" i="104"/>
  <c r="H19" i="99" s="1"/>
  <c r="E19" i="99" s="1"/>
  <c r="B19" i="99" s="1"/>
  <c r="C33" i="104"/>
  <c r="H33" i="99" s="1"/>
  <c r="E33" i="99" s="1"/>
  <c r="B33" i="99" s="1"/>
  <c r="B83" i="99"/>
  <c r="C45" i="104"/>
  <c r="H45" i="99" s="1"/>
  <c r="E45" i="99" s="1"/>
  <c r="B45" i="99" s="1"/>
  <c r="P43" i="97"/>
  <c r="P24" i="97"/>
  <c r="M43" i="97"/>
  <c r="L43" i="97" s="1"/>
  <c r="R65" i="3"/>
  <c r="N35" i="102" s="1"/>
  <c r="F35" i="102" s="1"/>
  <c r="G35" i="102" s="1"/>
  <c r="H35" i="102" s="1"/>
  <c r="Q64" i="97"/>
  <c r="O131" i="97"/>
  <c r="M82" i="97"/>
  <c r="N64" i="97"/>
  <c r="L64" i="97" s="1"/>
  <c r="P37" i="97"/>
  <c r="P57" i="97"/>
  <c r="I49" i="99"/>
  <c r="J45" i="107" s="1"/>
  <c r="O146" i="97"/>
  <c r="O72" i="97"/>
  <c r="N154" i="97"/>
  <c r="L154" i="97" s="1"/>
  <c r="T23" i="97"/>
  <c r="R23" i="97" s="1"/>
  <c r="Q148" i="97"/>
  <c r="R149" i="3"/>
  <c r="K24" i="97"/>
  <c r="B80" i="99"/>
  <c r="I42" i="99"/>
  <c r="J38" i="107" s="1"/>
  <c r="K44" i="97"/>
  <c r="S43" i="97"/>
  <c r="R43" i="97" s="1"/>
  <c r="T42" i="97"/>
  <c r="Q15" i="97"/>
  <c r="R16" i="3"/>
  <c r="N13" i="107" s="1"/>
  <c r="B118" i="99"/>
  <c r="B109" i="99"/>
  <c r="B31" i="99"/>
  <c r="C107" i="104"/>
  <c r="H107" i="99" s="1"/>
  <c r="E107" i="99" s="1"/>
  <c r="S107" i="104"/>
  <c r="B107" i="104" s="1"/>
  <c r="F107" i="99" s="1"/>
  <c r="C107" i="99" s="1"/>
  <c r="M70" i="97"/>
  <c r="N83" i="97"/>
  <c r="M133" i="97"/>
  <c r="L133" i="97" s="1"/>
  <c r="R68" i="3"/>
  <c r="Q67" i="97"/>
  <c r="P51" i="97"/>
  <c r="M35" i="97"/>
  <c r="P40" i="97"/>
  <c r="P63" i="97"/>
  <c r="M55" i="97"/>
  <c r="L55" i="97" s="1"/>
  <c r="K125" i="97"/>
  <c r="I123" i="99"/>
  <c r="K115" i="97"/>
  <c r="I113" i="99"/>
  <c r="J101" i="107" s="1"/>
  <c r="T70" i="97"/>
  <c r="R70" i="97" s="1"/>
  <c r="K10" i="97"/>
  <c r="I8" i="99"/>
  <c r="J9" i="107" s="1"/>
  <c r="Q57" i="97"/>
  <c r="R58" i="3"/>
  <c r="N33" i="102" s="1"/>
  <c r="F33" i="102" s="1"/>
  <c r="G33" i="102" s="1"/>
  <c r="H33" i="102" s="1"/>
  <c r="R69" i="3"/>
  <c r="N37" i="102" s="1"/>
  <c r="Q68" i="97"/>
  <c r="O121" i="97"/>
  <c r="O127" i="97"/>
  <c r="G127" i="97" s="1"/>
  <c r="N23" i="97"/>
  <c r="P69" i="97"/>
  <c r="O141" i="97"/>
  <c r="G141" i="97" s="1"/>
  <c r="H141" i="97" s="1"/>
  <c r="I141" i="97" s="1"/>
  <c r="S131" i="97"/>
  <c r="R131" i="97" s="1"/>
  <c r="S37" i="97"/>
  <c r="P138" i="97"/>
  <c r="B16" i="99"/>
  <c r="N46" i="97"/>
  <c r="L46" i="97" s="1"/>
  <c r="N76" i="97"/>
  <c r="S121" i="97"/>
  <c r="R121" i="97" s="1"/>
  <c r="T47" i="97"/>
  <c r="R47" i="97" s="1"/>
  <c r="K57" i="97"/>
  <c r="I55" i="99"/>
  <c r="J33" i="102" s="1"/>
  <c r="B81" i="99"/>
  <c r="P139" i="97"/>
  <c r="K75" i="97"/>
  <c r="I73" i="99"/>
  <c r="R70" i="3"/>
  <c r="N60" i="107" s="1"/>
  <c r="F60" i="107" s="1"/>
  <c r="G60" i="107" s="1"/>
  <c r="H60" i="107" s="1"/>
  <c r="Q69" i="97"/>
  <c r="N82" i="97"/>
  <c r="P67" i="97"/>
  <c r="Q51" i="97"/>
  <c r="R52" i="3"/>
  <c r="N45" i="107" s="1"/>
  <c r="F45" i="107" s="1"/>
  <c r="G45" i="107" s="1"/>
  <c r="H45" i="107" s="1"/>
  <c r="O65" i="97"/>
  <c r="Q40" i="97"/>
  <c r="R41" i="3"/>
  <c r="N34" i="107" s="1"/>
  <c r="N139" i="97"/>
  <c r="L139" i="97" s="1"/>
  <c r="N47" i="97"/>
  <c r="Q70" i="97"/>
  <c r="R71" i="3"/>
  <c r="N61" i="107" s="1"/>
  <c r="F61" i="107" s="1"/>
  <c r="G61" i="107" s="1"/>
  <c r="H61" i="107" s="1"/>
  <c r="R53" i="3"/>
  <c r="N46" i="107" s="1"/>
  <c r="Q52" i="97"/>
  <c r="S80" i="97"/>
  <c r="R80" i="97" s="1"/>
  <c r="O27" i="97"/>
  <c r="O22" i="97"/>
  <c r="T38" i="97"/>
  <c r="R38" i="97" s="1"/>
  <c r="S120" i="97"/>
  <c r="R120" i="97" s="1"/>
  <c r="S35" i="97"/>
  <c r="R35" i="97" s="1"/>
  <c r="P23" i="97"/>
  <c r="P70" i="97"/>
  <c r="P46" i="97"/>
  <c r="R139" i="3"/>
  <c r="N67" i="102" s="1"/>
  <c r="F67" i="102" s="1"/>
  <c r="G67" i="102" s="1"/>
  <c r="H67" i="102" s="1"/>
  <c r="Q138" i="97"/>
  <c r="S139" i="97"/>
  <c r="R139" i="97" s="1"/>
  <c r="R33" i="3"/>
  <c r="N27" i="107" s="1"/>
  <c r="Q32" i="97"/>
  <c r="N136" i="97"/>
  <c r="L136" i="97" s="1"/>
  <c r="N59" i="97"/>
  <c r="P52" i="97"/>
  <c r="I54" i="99"/>
  <c r="K56" i="97"/>
  <c r="T45" i="97"/>
  <c r="R45" i="97" s="1"/>
  <c r="S15" i="97"/>
  <c r="R15" i="97" s="1"/>
  <c r="B12" i="99"/>
  <c r="B92" i="99"/>
  <c r="O76" i="97"/>
  <c r="L57" i="97"/>
  <c r="O145" i="97"/>
  <c r="N78" i="97"/>
  <c r="R57" i="3"/>
  <c r="P56" i="97"/>
  <c r="O30" i="97"/>
  <c r="P75" i="97"/>
  <c r="AB41" i="75"/>
  <c r="M34" i="107" s="1"/>
  <c r="Q34" i="97"/>
  <c r="R35" i="3"/>
  <c r="N29" i="107" s="1"/>
  <c r="N31" i="97"/>
  <c r="N41" i="75"/>
  <c r="L34" i="107" s="1"/>
  <c r="P26" i="97"/>
  <c r="P83" i="97"/>
  <c r="P50" i="97"/>
  <c r="B29" i="99"/>
  <c r="AB68" i="75"/>
  <c r="M52" i="97"/>
  <c r="S123" i="97"/>
  <c r="R123" i="97" s="1"/>
  <c r="O18" i="97"/>
  <c r="M67" i="97"/>
  <c r="L26" i="97"/>
  <c r="R24" i="3"/>
  <c r="Q23" i="97"/>
  <c r="N50" i="97"/>
  <c r="L50" i="97" s="1"/>
  <c r="R47" i="3"/>
  <c r="Q46" i="97"/>
  <c r="M23" i="97"/>
  <c r="N14" i="97"/>
  <c r="L14" i="97" s="1"/>
  <c r="O54" i="97"/>
  <c r="G54" i="97" s="1"/>
  <c r="Z107" i="108" s="1"/>
  <c r="D107" i="108" s="1"/>
  <c r="O44" i="97"/>
  <c r="G44" i="97" s="1"/>
  <c r="Z58" i="108" s="1"/>
  <c r="D58" i="108" s="1"/>
  <c r="I38" i="107" s="1"/>
  <c r="S24" i="104"/>
  <c r="B24" i="104" s="1"/>
  <c r="F24" i="99" s="1"/>
  <c r="C24" i="99" s="1"/>
  <c r="C24" i="104"/>
  <c r="H24" i="99" s="1"/>
  <c r="E24" i="99" s="1"/>
  <c r="R150" i="3"/>
  <c r="Q149" i="97"/>
  <c r="S40" i="97"/>
  <c r="R40" i="97" s="1"/>
  <c r="P47" i="97"/>
  <c r="O41" i="97"/>
  <c r="G41" i="97" s="1"/>
  <c r="B57" i="99"/>
  <c r="B35" i="99"/>
  <c r="K30" i="97"/>
  <c r="I28" i="99"/>
  <c r="J25" i="107" s="1"/>
  <c r="O60" i="97"/>
  <c r="Q33" i="97"/>
  <c r="R34" i="3"/>
  <c r="N28" i="107" s="1"/>
  <c r="N34" i="97"/>
  <c r="I110" i="99"/>
  <c r="K112" i="97"/>
  <c r="O78" i="97"/>
  <c r="Q56" i="97"/>
  <c r="R76" i="3"/>
  <c r="Q75" i="97"/>
  <c r="R17" i="3"/>
  <c r="N14" i="107" s="1"/>
  <c r="Q16" i="97"/>
  <c r="R36" i="3"/>
  <c r="Q35" i="97"/>
  <c r="N24" i="97"/>
  <c r="L24" i="97" s="1"/>
  <c r="S126" i="97"/>
  <c r="R126" i="97" s="1"/>
  <c r="G126" i="97" s="1"/>
  <c r="P93" i="97"/>
  <c r="O49" i="97"/>
  <c r="G49" i="97" s="1"/>
  <c r="Q150" i="97"/>
  <c r="R151" i="3"/>
  <c r="R27" i="3"/>
  <c r="N22" i="107" s="1"/>
  <c r="Q26" i="97"/>
  <c r="I11" i="97"/>
  <c r="R84" i="3"/>
  <c r="Q83" i="97"/>
  <c r="R51" i="3"/>
  <c r="Q50" i="97"/>
  <c r="R22" i="3"/>
  <c r="N19" i="107" s="1"/>
  <c r="Q21" i="97"/>
  <c r="R140" i="3"/>
  <c r="N122" i="107" s="1"/>
  <c r="Q139" i="97"/>
  <c r="O29" i="97"/>
  <c r="G29" i="97" s="1"/>
  <c r="K34" i="97"/>
  <c r="I32" i="99"/>
  <c r="J29" i="107" s="1"/>
  <c r="O48" i="97"/>
  <c r="G48" i="97" s="1"/>
  <c r="Z87" i="108" s="1"/>
  <c r="D87" i="108" s="1"/>
  <c r="K114" i="97"/>
  <c r="I112" i="99"/>
  <c r="J100" i="107" s="1"/>
  <c r="S117" i="97"/>
  <c r="R117" i="97" s="1"/>
  <c r="S32" i="97"/>
  <c r="R32" i="97" s="1"/>
  <c r="K76" i="97"/>
  <c r="I74" i="99"/>
  <c r="J67" i="107" s="1"/>
  <c r="P33" i="97"/>
  <c r="N38" i="97"/>
  <c r="S71" i="97"/>
  <c r="R71" i="97" s="1"/>
  <c r="G147" i="97"/>
  <c r="M37" i="97"/>
  <c r="N30" i="97"/>
  <c r="L30" i="97" s="1"/>
  <c r="I23" i="99"/>
  <c r="J21" i="107" s="1"/>
  <c r="K25" i="97"/>
  <c r="S42" i="97"/>
  <c r="R42" i="97" s="1"/>
  <c r="B88" i="99"/>
  <c r="R91" i="3"/>
  <c r="Q90" i="97"/>
  <c r="L62" i="97"/>
  <c r="G62" i="97" s="1"/>
  <c r="T36" i="97"/>
  <c r="R36" i="97" s="1"/>
  <c r="B128" i="99"/>
  <c r="K133" i="97"/>
  <c r="I131" i="99"/>
  <c r="J66" i="102" s="1"/>
  <c r="M83" i="97"/>
  <c r="R86" i="3"/>
  <c r="Q85" i="97"/>
  <c r="P38" i="97"/>
  <c r="O77" i="97"/>
  <c r="P144" i="97"/>
  <c r="P35" i="97"/>
  <c r="M47" i="97"/>
  <c r="O19" i="97"/>
  <c r="G19" i="97" s="1"/>
  <c r="H19" i="97" s="1"/>
  <c r="I19" i="97" s="1"/>
  <c r="S147" i="104"/>
  <c r="B147" i="104" s="1"/>
  <c r="F147" i="99" s="1"/>
  <c r="C147" i="99" s="1"/>
  <c r="C147" i="104"/>
  <c r="H147" i="99" s="1"/>
  <c r="E147" i="99" s="1"/>
  <c r="T24" i="97"/>
  <c r="R24" i="97" s="1"/>
  <c r="R83" i="3"/>
  <c r="Q82" i="97"/>
  <c r="B26" i="99"/>
  <c r="P21" i="97"/>
  <c r="N45" i="97"/>
  <c r="AB53" i="75"/>
  <c r="M46" i="107" s="1"/>
  <c r="K46" i="107" s="1"/>
  <c r="K36" i="97"/>
  <c r="I34" i="99"/>
  <c r="J31" i="107" s="1"/>
  <c r="O154" i="97"/>
  <c r="Q154" i="97"/>
  <c r="B101" i="99"/>
  <c r="O152" i="97"/>
  <c r="Q152" i="97"/>
  <c r="S128" i="97"/>
  <c r="R128" i="97" s="1"/>
  <c r="K61" i="97"/>
  <c r="I59" i="99"/>
  <c r="J54" i="107" s="1"/>
  <c r="N143" i="97"/>
  <c r="L143" i="97" s="1"/>
  <c r="M79" i="97"/>
  <c r="P59" i="97"/>
  <c r="K15" i="97"/>
  <c r="I13" i="99"/>
  <c r="J13" i="107" s="1"/>
  <c r="P90" i="97"/>
  <c r="K116" i="97"/>
  <c r="I114" i="99"/>
  <c r="P143" i="97"/>
  <c r="R76" i="97"/>
  <c r="I50" i="99"/>
  <c r="J46" i="107" s="1"/>
  <c r="K52" i="97"/>
  <c r="O122" i="97"/>
  <c r="Z279" i="108"/>
  <c r="D279" i="108" s="1"/>
  <c r="H49" i="97"/>
  <c r="I49" i="97" s="1"/>
  <c r="O95" i="97"/>
  <c r="G125" i="97"/>
  <c r="L119" i="97"/>
  <c r="L123" i="97"/>
  <c r="O136" i="97"/>
  <c r="O112" i="97"/>
  <c r="O113" i="97"/>
  <c r="J137" i="97"/>
  <c r="Z309" i="108"/>
  <c r="D309" i="108" s="1"/>
  <c r="H127" i="97"/>
  <c r="I127" i="97" s="1"/>
  <c r="O106" i="97"/>
  <c r="G134" i="97"/>
  <c r="O117" i="97"/>
  <c r="O96" i="97"/>
  <c r="G130" i="97"/>
  <c r="L106" i="97"/>
  <c r="O118" i="97"/>
  <c r="O101" i="97"/>
  <c r="O114" i="97"/>
  <c r="O120" i="97"/>
  <c r="L99" i="97"/>
  <c r="O103" i="97"/>
  <c r="O102" i="97"/>
  <c r="O111" i="97"/>
  <c r="L100" i="97"/>
  <c r="M122" i="97"/>
  <c r="O94" i="97"/>
  <c r="I94" i="99"/>
  <c r="K96" i="97"/>
  <c r="O93" i="97"/>
  <c r="Z185" i="108"/>
  <c r="D185" i="108" s="1"/>
  <c r="I81" i="107" s="1"/>
  <c r="O108" i="97"/>
  <c r="O99" i="97"/>
  <c r="O98" i="97"/>
  <c r="O100" i="97"/>
  <c r="O116" i="97"/>
  <c r="O133" i="97"/>
  <c r="O107" i="97"/>
  <c r="O115" i="97"/>
  <c r="O124" i="97"/>
  <c r="N115" i="97"/>
  <c r="L115" i="97" s="1"/>
  <c r="Z218" i="108"/>
  <c r="D218" i="108" s="1"/>
  <c r="I97" i="107" s="1"/>
  <c r="H110" i="97"/>
  <c r="Z203" i="108"/>
  <c r="D203" i="108" s="1"/>
  <c r="I91" i="107" s="1"/>
  <c r="H104" i="97"/>
  <c r="O119" i="97"/>
  <c r="O109" i="97"/>
  <c r="L113" i="97"/>
  <c r="O105" i="97"/>
  <c r="F59" i="102" l="1"/>
  <c r="G59" i="102" s="1"/>
  <c r="H59" i="102" s="1"/>
  <c r="F67" i="107"/>
  <c r="G67" i="107" s="1"/>
  <c r="H67" i="107" s="1"/>
  <c r="K54" i="107"/>
  <c r="F54" i="107" s="1"/>
  <c r="G54" i="107" s="1"/>
  <c r="F62" i="102"/>
  <c r="G62" i="102" s="1"/>
  <c r="H62" i="102" s="1"/>
  <c r="F28" i="107"/>
  <c r="G28" i="107" s="1"/>
  <c r="H28" i="107" s="1"/>
  <c r="K15" i="102"/>
  <c r="F31" i="107"/>
  <c r="G31" i="107" s="1"/>
  <c r="H31" i="107" s="1"/>
  <c r="F122" i="107"/>
  <c r="G122" i="107" s="1"/>
  <c r="H122" i="107" s="1"/>
  <c r="F25" i="107"/>
  <c r="G25" i="107" s="1"/>
  <c r="F10" i="102"/>
  <c r="G10" i="102" s="1"/>
  <c r="F29" i="107"/>
  <c r="G29" i="107" s="1"/>
  <c r="H29" i="107" s="1"/>
  <c r="I43" i="99"/>
  <c r="K45" i="97"/>
  <c r="K151" i="97"/>
  <c r="K18" i="107"/>
  <c r="G128" i="97"/>
  <c r="L23" i="97"/>
  <c r="K7" i="102"/>
  <c r="F7" i="102" s="1"/>
  <c r="G7" i="102" s="1"/>
  <c r="N61" i="97"/>
  <c r="L61" i="97" s="1"/>
  <c r="G61" i="97" s="1"/>
  <c r="S12" i="97"/>
  <c r="R12" i="97" s="1"/>
  <c r="K16" i="97"/>
  <c r="N21" i="97"/>
  <c r="F95" i="107"/>
  <c r="G95" i="107" s="1"/>
  <c r="H95" i="107" s="1"/>
  <c r="F101" i="107"/>
  <c r="G101" i="107" s="1"/>
  <c r="H101" i="107" s="1"/>
  <c r="F87" i="107"/>
  <c r="G87" i="107" s="1"/>
  <c r="H87" i="107" s="1"/>
  <c r="J49" i="102"/>
  <c r="J84" i="107"/>
  <c r="N32" i="102"/>
  <c r="N50" i="107"/>
  <c r="N37" i="107"/>
  <c r="F37" i="107" s="1"/>
  <c r="G37" i="107" s="1"/>
  <c r="H37" i="107" s="1"/>
  <c r="N22" i="102"/>
  <c r="F22" i="102" s="1"/>
  <c r="G22" i="102" s="1"/>
  <c r="H22" i="102" s="1"/>
  <c r="N56" i="107"/>
  <c r="N34" i="102"/>
  <c r="N39" i="107"/>
  <c r="N23" i="102"/>
  <c r="M71" i="107"/>
  <c r="K71" i="107" s="1"/>
  <c r="M41" i="102"/>
  <c r="K41" i="102" s="1"/>
  <c r="I70" i="99"/>
  <c r="J63" i="107" s="1"/>
  <c r="M72" i="107"/>
  <c r="K72" i="107" s="1"/>
  <c r="M42" i="102"/>
  <c r="K42" i="102" s="1"/>
  <c r="J17" i="107"/>
  <c r="J10" i="102"/>
  <c r="J70" i="102"/>
  <c r="J128" i="107"/>
  <c r="F43" i="107"/>
  <c r="G43" i="107" s="1"/>
  <c r="H43" i="107" s="1"/>
  <c r="K128" i="107"/>
  <c r="F128" i="107" s="1"/>
  <c r="G128" i="107" s="1"/>
  <c r="H128" i="107" s="1"/>
  <c r="F17" i="107"/>
  <c r="G17" i="107" s="1"/>
  <c r="H17" i="107" s="1"/>
  <c r="F15" i="107"/>
  <c r="G15" i="107" s="1"/>
  <c r="H15" i="107" s="1"/>
  <c r="K66" i="107"/>
  <c r="F115" i="107"/>
  <c r="G115" i="107" s="1"/>
  <c r="H115" i="107"/>
  <c r="N44" i="107"/>
  <c r="N28" i="102"/>
  <c r="N66" i="107"/>
  <c r="N39" i="102"/>
  <c r="J111" i="107"/>
  <c r="J61" i="102"/>
  <c r="N36" i="102"/>
  <c r="N59" i="107"/>
  <c r="N5" i="102"/>
  <c r="N5" i="107"/>
  <c r="N36" i="107"/>
  <c r="N21" i="102"/>
  <c r="I117" i="107"/>
  <c r="I65" i="102"/>
  <c r="N33" i="107"/>
  <c r="N19" i="102"/>
  <c r="J39" i="107"/>
  <c r="J23" i="102"/>
  <c r="J60" i="102"/>
  <c r="J108" i="107"/>
  <c r="J8" i="102"/>
  <c r="J12" i="107"/>
  <c r="M85" i="97"/>
  <c r="L85" i="97" s="1"/>
  <c r="L75" i="107"/>
  <c r="K75" i="107" s="1"/>
  <c r="L44" i="102"/>
  <c r="K44" i="102" s="1"/>
  <c r="N38" i="102"/>
  <c r="F38" i="102" s="1"/>
  <c r="G38" i="102" s="1"/>
  <c r="H38" i="102" s="1"/>
  <c r="N64" i="107"/>
  <c r="F64" i="107" s="1"/>
  <c r="G64" i="107" s="1"/>
  <c r="M73" i="107"/>
  <c r="K73" i="107" s="1"/>
  <c r="M43" i="102"/>
  <c r="K43" i="102" s="1"/>
  <c r="F27" i="102"/>
  <c r="G27" i="102" s="1"/>
  <c r="H27" i="102" s="1"/>
  <c r="K70" i="102"/>
  <c r="F70" i="102" s="1"/>
  <c r="G70" i="102" s="1"/>
  <c r="H70" i="102" s="1"/>
  <c r="F54" i="102"/>
  <c r="G54" i="102" s="1"/>
  <c r="H54" i="102" s="1"/>
  <c r="K108" i="107"/>
  <c r="F108" i="107" s="1"/>
  <c r="G108" i="107" s="1"/>
  <c r="H108" i="107" s="1"/>
  <c r="K69" i="102"/>
  <c r="F53" i="102"/>
  <c r="G53" i="102" s="1"/>
  <c r="H53" i="102" s="1"/>
  <c r="N71" i="107"/>
  <c r="N41" i="102"/>
  <c r="N73" i="107"/>
  <c r="N43" i="102"/>
  <c r="O149" i="97"/>
  <c r="N132" i="107"/>
  <c r="N73" i="102"/>
  <c r="N40" i="107"/>
  <c r="N24" i="102"/>
  <c r="F24" i="102" s="1"/>
  <c r="G24" i="102" s="1"/>
  <c r="H24" i="102" s="1"/>
  <c r="J32" i="102"/>
  <c r="J50" i="107"/>
  <c r="F13" i="107"/>
  <c r="G13" i="107" s="1"/>
  <c r="H13" i="107" s="1"/>
  <c r="O148" i="97"/>
  <c r="G148" i="97" s="1"/>
  <c r="N131" i="107"/>
  <c r="F131" i="107" s="1"/>
  <c r="G131" i="107" s="1"/>
  <c r="H131" i="107" s="1"/>
  <c r="N72" i="102"/>
  <c r="F72" i="102" s="1"/>
  <c r="G72" i="102" s="1"/>
  <c r="H72" i="102" s="1"/>
  <c r="M21" i="102"/>
  <c r="K21" i="102" s="1"/>
  <c r="M36" i="107"/>
  <c r="K36" i="107" s="1"/>
  <c r="J44" i="107"/>
  <c r="J28" i="102"/>
  <c r="F9" i="102"/>
  <c r="G9" i="102" s="1"/>
  <c r="H9" i="102" s="1"/>
  <c r="M33" i="107"/>
  <c r="M19" i="102"/>
  <c r="M79" i="107"/>
  <c r="M47" i="102"/>
  <c r="N68" i="97"/>
  <c r="M37" i="102"/>
  <c r="K37" i="102" s="1"/>
  <c r="F37" i="102" s="1"/>
  <c r="G37" i="102" s="1"/>
  <c r="N49" i="107"/>
  <c r="N31" i="102"/>
  <c r="F31" i="102" s="1"/>
  <c r="G31" i="102" s="1"/>
  <c r="H31" i="102" s="1"/>
  <c r="H6" i="107"/>
  <c r="F6" i="107"/>
  <c r="G6" i="107" s="1"/>
  <c r="K55" i="102"/>
  <c r="F55" i="102" s="1"/>
  <c r="G55" i="102" s="1"/>
  <c r="H55" i="102" s="1"/>
  <c r="F98" i="107"/>
  <c r="G98" i="107" s="1"/>
  <c r="H98" i="107" s="1"/>
  <c r="F30" i="102"/>
  <c r="G30" i="102" s="1"/>
  <c r="H30" i="102" s="1"/>
  <c r="K30" i="107"/>
  <c r="K50" i="107"/>
  <c r="F50" i="107" s="1"/>
  <c r="G50" i="107" s="1"/>
  <c r="H50" i="107" s="1"/>
  <c r="H10" i="102"/>
  <c r="K60" i="102"/>
  <c r="F60" i="102" s="1"/>
  <c r="G60" i="102" s="1"/>
  <c r="H60" i="102" s="1"/>
  <c r="K126" i="107"/>
  <c r="F96" i="107"/>
  <c r="G96" i="107" s="1"/>
  <c r="H96" i="107" s="1"/>
  <c r="I113" i="107"/>
  <c r="I62" i="102"/>
  <c r="J102" i="107"/>
  <c r="J57" i="102"/>
  <c r="N72" i="107"/>
  <c r="N42" i="102"/>
  <c r="M36" i="102"/>
  <c r="K36" i="102" s="1"/>
  <c r="M59" i="107"/>
  <c r="K59" i="107" s="1"/>
  <c r="F59" i="107" s="1"/>
  <c r="G59" i="107" s="1"/>
  <c r="H59" i="107" s="1"/>
  <c r="J18" i="107"/>
  <c r="J11" i="102"/>
  <c r="N126" i="107"/>
  <c r="N69" i="102"/>
  <c r="F69" i="102" s="1"/>
  <c r="G69" i="102" s="1"/>
  <c r="H69" i="102" s="1"/>
  <c r="F80" i="107"/>
  <c r="G80" i="107" s="1"/>
  <c r="H80" i="107" s="1"/>
  <c r="J22" i="102"/>
  <c r="J37" i="107"/>
  <c r="J36" i="107"/>
  <c r="J21" i="102"/>
  <c r="F63" i="107"/>
  <c r="G63" i="107" s="1"/>
  <c r="H63" i="107" s="1"/>
  <c r="M146" i="97"/>
  <c r="L129" i="107"/>
  <c r="K129" i="107" s="1"/>
  <c r="L71" i="102"/>
  <c r="M8" i="102"/>
  <c r="K8" i="102" s="1"/>
  <c r="F8" i="102" s="1"/>
  <c r="G8" i="102" s="1"/>
  <c r="M12" i="107"/>
  <c r="K12" i="107" s="1"/>
  <c r="F12" i="107" s="1"/>
  <c r="G12" i="107" s="1"/>
  <c r="F52" i="102"/>
  <c r="G52" i="102" s="1"/>
  <c r="H52" i="102" s="1"/>
  <c r="K99" i="107"/>
  <c r="F99" i="107" s="1"/>
  <c r="G99" i="107" s="1"/>
  <c r="H99" i="107" s="1"/>
  <c r="K34" i="102"/>
  <c r="K71" i="102"/>
  <c r="F71" i="102" s="1"/>
  <c r="G71" i="102" s="1"/>
  <c r="H71" i="102" s="1"/>
  <c r="K17" i="102"/>
  <c r="F113" i="107"/>
  <c r="G113" i="107" s="1"/>
  <c r="H113" i="107" s="1"/>
  <c r="K32" i="102"/>
  <c r="F107" i="107"/>
  <c r="G107" i="107" s="1"/>
  <c r="H107" i="107" s="1"/>
  <c r="H86" i="97"/>
  <c r="Z170" i="108"/>
  <c r="D170" i="108" s="1"/>
  <c r="Q73" i="102"/>
  <c r="F58" i="102"/>
  <c r="G58" i="102" s="1"/>
  <c r="H58" i="102" s="1"/>
  <c r="F29" i="102"/>
  <c r="G29" i="102" s="1"/>
  <c r="K25" i="102"/>
  <c r="F84" i="107"/>
  <c r="G84" i="107" s="1"/>
  <c r="H84" i="107" s="1"/>
  <c r="K34" i="107"/>
  <c r="F34" i="107" s="1"/>
  <c r="G34" i="107" s="1"/>
  <c r="H34" i="107" s="1"/>
  <c r="J66" i="107"/>
  <c r="J39" i="102"/>
  <c r="N32" i="107"/>
  <c r="N18" i="102"/>
  <c r="N25" i="102"/>
  <c r="F25" i="102" s="1"/>
  <c r="G25" i="102" s="1"/>
  <c r="N41" i="107"/>
  <c r="N15" i="102"/>
  <c r="F15" i="102" s="1"/>
  <c r="G15" i="102" s="1"/>
  <c r="H15" i="102" s="1"/>
  <c r="N24" i="107"/>
  <c r="F24" i="107" s="1"/>
  <c r="G24" i="107" s="1"/>
  <c r="H24" i="107" s="1"/>
  <c r="O25" i="97"/>
  <c r="N21" i="107"/>
  <c r="F90" i="107"/>
  <c r="G90" i="107" s="1"/>
  <c r="H90" i="107" s="1"/>
  <c r="K10" i="107"/>
  <c r="F10" i="107" s="1"/>
  <c r="G10" i="107" s="1"/>
  <c r="K56" i="107"/>
  <c r="F70" i="107"/>
  <c r="G70" i="107" s="1"/>
  <c r="H70" i="107" s="1"/>
  <c r="F65" i="107"/>
  <c r="G65" i="107" s="1"/>
  <c r="H65" i="107" s="1"/>
  <c r="F94" i="107"/>
  <c r="G94" i="107" s="1"/>
  <c r="H94" i="107" s="1"/>
  <c r="Q132" i="107"/>
  <c r="F104" i="107"/>
  <c r="G104" i="107" s="1"/>
  <c r="H104" i="107" s="1"/>
  <c r="F47" i="107"/>
  <c r="G47" i="107" s="1"/>
  <c r="H47" i="107" s="1"/>
  <c r="K41" i="107"/>
  <c r="J99" i="107"/>
  <c r="J55" i="102"/>
  <c r="N20" i="107"/>
  <c r="N13" i="102"/>
  <c r="F62" i="107"/>
  <c r="G62" i="107" s="1"/>
  <c r="H62" i="107" s="1"/>
  <c r="M38" i="97"/>
  <c r="L33" i="107"/>
  <c r="L19" i="102"/>
  <c r="N27" i="97"/>
  <c r="M23" i="107"/>
  <c r="K23" i="107" s="1"/>
  <c r="F23" i="107" s="1"/>
  <c r="G23" i="107" s="1"/>
  <c r="H23" i="107" s="1"/>
  <c r="M21" i="97"/>
  <c r="L19" i="107"/>
  <c r="K19" i="107" s="1"/>
  <c r="F48" i="102"/>
  <c r="G48" i="102" s="1"/>
  <c r="H48" i="102" s="1"/>
  <c r="F6" i="102"/>
  <c r="G6" i="102" s="1"/>
  <c r="H6" i="102"/>
  <c r="N32" i="97"/>
  <c r="L32" i="97" s="1"/>
  <c r="M27" i="107"/>
  <c r="K27" i="107" s="1"/>
  <c r="F27" i="107" s="1"/>
  <c r="G27" i="107" s="1"/>
  <c r="H27" i="107" s="1"/>
  <c r="J30" i="102"/>
  <c r="J48" i="107"/>
  <c r="M32" i="107"/>
  <c r="K32" i="107" s="1"/>
  <c r="M18" i="102"/>
  <c r="K18" i="102" s="1"/>
  <c r="L79" i="107"/>
  <c r="L47" i="102"/>
  <c r="H29" i="102"/>
  <c r="F22" i="107"/>
  <c r="G22" i="107" s="1"/>
  <c r="H22" i="107" s="1"/>
  <c r="Q41" i="102"/>
  <c r="H25" i="107"/>
  <c r="F130" i="107"/>
  <c r="G130" i="107" s="1"/>
  <c r="H130" i="107" s="1"/>
  <c r="N44" i="102"/>
  <c r="N75" i="107"/>
  <c r="N79" i="107"/>
  <c r="N47" i="102"/>
  <c r="O150" i="97"/>
  <c r="G150" i="97" s="1"/>
  <c r="N133" i="107"/>
  <c r="F133" i="107" s="1"/>
  <c r="G133" i="107" s="1"/>
  <c r="H133" i="107" s="1"/>
  <c r="L34" i="97"/>
  <c r="I30" i="102"/>
  <c r="I48" i="107"/>
  <c r="F46" i="107"/>
  <c r="G46" i="107" s="1"/>
  <c r="H46" i="107" s="1"/>
  <c r="G72" i="97"/>
  <c r="G53" i="97"/>
  <c r="N18" i="107"/>
  <c r="F18" i="107" s="1"/>
  <c r="G18" i="107" s="1"/>
  <c r="H18" i="107" s="1"/>
  <c r="N11" i="102"/>
  <c r="N85" i="107"/>
  <c r="N50" i="102"/>
  <c r="L39" i="107"/>
  <c r="K39" i="107" s="1"/>
  <c r="L23" i="102"/>
  <c r="K23" i="102" s="1"/>
  <c r="I140" i="99"/>
  <c r="J125" i="107" s="1"/>
  <c r="J7" i="102"/>
  <c r="J10" i="107"/>
  <c r="M149" i="97"/>
  <c r="L149" i="97" s="1"/>
  <c r="G149" i="97" s="1"/>
  <c r="L132" i="107"/>
  <c r="K132" i="107" s="1"/>
  <c r="L73" i="102"/>
  <c r="K73" i="102" s="1"/>
  <c r="O66" i="97"/>
  <c r="N58" i="107"/>
  <c r="I122" i="99"/>
  <c r="J110" i="107" s="1"/>
  <c r="K11" i="102"/>
  <c r="F28" i="102"/>
  <c r="G28" i="102" s="1"/>
  <c r="Q71" i="107"/>
  <c r="Q19" i="102"/>
  <c r="F40" i="102"/>
  <c r="G40" i="102" s="1"/>
  <c r="H40" i="102" s="1"/>
  <c r="I27" i="102"/>
  <c r="I43" i="107"/>
  <c r="N30" i="107"/>
  <c r="N17" i="102"/>
  <c r="I42" i="107"/>
  <c r="I26" i="102"/>
  <c r="F14" i="107"/>
  <c r="G14" i="107" s="1"/>
  <c r="H14" i="107" s="1"/>
  <c r="J126" i="107"/>
  <c r="J69" i="102"/>
  <c r="I144" i="99"/>
  <c r="M78" i="97"/>
  <c r="L78" i="97" s="1"/>
  <c r="G78" i="97" s="1"/>
  <c r="L68" i="107"/>
  <c r="K68" i="107" s="1"/>
  <c r="F68" i="107" s="1"/>
  <c r="G68" i="107" s="1"/>
  <c r="H68" i="107" s="1"/>
  <c r="F77" i="107"/>
  <c r="G77" i="107" s="1"/>
  <c r="H77" i="107"/>
  <c r="H26" i="107"/>
  <c r="M20" i="107"/>
  <c r="K20" i="107" s="1"/>
  <c r="M13" i="102"/>
  <c r="K13" i="102" s="1"/>
  <c r="F12" i="102"/>
  <c r="G12" i="102" s="1"/>
  <c r="H12" i="102" s="1"/>
  <c r="F16" i="107"/>
  <c r="G16" i="107" s="1"/>
  <c r="H16" i="107" s="1"/>
  <c r="F57" i="102"/>
  <c r="G57" i="102" s="1"/>
  <c r="H57" i="102" s="1"/>
  <c r="Q33" i="107"/>
  <c r="K39" i="102"/>
  <c r="F124" i="107"/>
  <c r="G124" i="107" s="1"/>
  <c r="H124" i="107" s="1"/>
  <c r="F102" i="107"/>
  <c r="G102" i="107" s="1"/>
  <c r="H102" i="107" s="1"/>
  <c r="H64" i="102"/>
  <c r="F49" i="102"/>
  <c r="G49" i="102" s="1"/>
  <c r="H49" i="102" s="1"/>
  <c r="L31" i="97"/>
  <c r="M45" i="97"/>
  <c r="L45" i="97" s="1"/>
  <c r="L82" i="97"/>
  <c r="R37" i="97"/>
  <c r="H44" i="97"/>
  <c r="I44" i="97" s="1"/>
  <c r="H54" i="97"/>
  <c r="I54" i="97" s="1"/>
  <c r="O55" i="97"/>
  <c r="K40" i="97"/>
  <c r="I76" i="99"/>
  <c r="J68" i="107" s="1"/>
  <c r="L122" i="97"/>
  <c r="J129" i="97"/>
  <c r="S108" i="97"/>
  <c r="R108" i="97" s="1"/>
  <c r="L146" i="97"/>
  <c r="I61" i="99"/>
  <c r="Z317" i="108"/>
  <c r="D317" i="108" s="1"/>
  <c r="J141" i="97" s="1"/>
  <c r="Z41" i="108"/>
  <c r="D41" i="108" s="1"/>
  <c r="I47" i="99"/>
  <c r="G145" i="97"/>
  <c r="N13" i="97"/>
  <c r="L13" i="97" s="1"/>
  <c r="G13" i="97" s="1"/>
  <c r="Z15" i="108" s="1"/>
  <c r="D15" i="108" s="1"/>
  <c r="K119" i="97"/>
  <c r="G7" i="97"/>
  <c r="L28" i="97"/>
  <c r="O6" i="97"/>
  <c r="Z243" i="108"/>
  <c r="D243" i="108" s="1"/>
  <c r="I54" i="107" s="1"/>
  <c r="H61" i="97"/>
  <c r="I51" i="99"/>
  <c r="O31" i="97"/>
  <c r="G123" i="97"/>
  <c r="L38" i="97"/>
  <c r="I65" i="99"/>
  <c r="G66" i="97"/>
  <c r="G65" i="97"/>
  <c r="I100" i="99"/>
  <c r="J89" i="107" s="1"/>
  <c r="L63" i="97"/>
  <c r="N51" i="97"/>
  <c r="L51" i="97" s="1"/>
  <c r="G18" i="97"/>
  <c r="I44" i="99"/>
  <c r="K46" i="97"/>
  <c r="H9" i="97"/>
  <c r="Z248" i="108"/>
  <c r="D248" i="108" s="1"/>
  <c r="I8" i="107" s="1"/>
  <c r="H48" i="97"/>
  <c r="I48" i="97" s="1"/>
  <c r="K80" i="97"/>
  <c r="G73" i="97"/>
  <c r="O88" i="97"/>
  <c r="I88" i="97" s="1"/>
  <c r="K73" i="97"/>
  <c r="I71" i="99"/>
  <c r="G60" i="97"/>
  <c r="L76" i="97"/>
  <c r="L56" i="97"/>
  <c r="L59" i="97"/>
  <c r="Z171" i="108"/>
  <c r="D171" i="108" s="1"/>
  <c r="I76" i="107" s="1"/>
  <c r="K38" i="97"/>
  <c r="I36" i="99"/>
  <c r="L11" i="97"/>
  <c r="G11" i="97" s="1"/>
  <c r="Z12" i="108" s="1"/>
  <c r="D12" i="108" s="1"/>
  <c r="H13" i="97"/>
  <c r="M10" i="97"/>
  <c r="L10" i="97" s="1"/>
  <c r="G10" i="97" s="1"/>
  <c r="L27" i="97"/>
  <c r="O8" i="97"/>
  <c r="I8" i="97" s="1"/>
  <c r="G27" i="97"/>
  <c r="Z55" i="108" s="1"/>
  <c r="D55" i="108" s="1"/>
  <c r="I23" i="107" s="1"/>
  <c r="H12" i="97"/>
  <c r="Z253" i="108"/>
  <c r="D253" i="108" s="1"/>
  <c r="I11" i="107" s="1"/>
  <c r="I5" i="99"/>
  <c r="J7" i="107" s="1"/>
  <c r="K7" i="97"/>
  <c r="K66" i="97"/>
  <c r="I64" i="99"/>
  <c r="J58" i="107" s="1"/>
  <c r="B147" i="99"/>
  <c r="K149" i="97" s="1"/>
  <c r="I79" i="99"/>
  <c r="K81" i="97"/>
  <c r="L68" i="97"/>
  <c r="Z305" i="108"/>
  <c r="D305" i="108" s="1"/>
  <c r="I119" i="107" s="1"/>
  <c r="H135" i="97"/>
  <c r="I135" i="97" s="1"/>
  <c r="I21" i="99"/>
  <c r="K23" i="97"/>
  <c r="N33" i="97"/>
  <c r="L33" i="97" s="1"/>
  <c r="I140" i="97"/>
  <c r="G140" i="97"/>
  <c r="I63" i="99"/>
  <c r="J57" i="107" s="1"/>
  <c r="K65" i="97"/>
  <c r="B107" i="99"/>
  <c r="N81" i="97"/>
  <c r="L81" i="97" s="1"/>
  <c r="G81" i="97" s="1"/>
  <c r="O17" i="97"/>
  <c r="G17" i="97" s="1"/>
  <c r="N22" i="97"/>
  <c r="L22" i="97" s="1"/>
  <c r="G22" i="97" s="1"/>
  <c r="O28" i="97"/>
  <c r="G28" i="97" s="1"/>
  <c r="Z46" i="108" s="1"/>
  <c r="D46" i="108" s="1"/>
  <c r="G151" i="97"/>
  <c r="H151" i="97" s="1"/>
  <c r="I151" i="97" s="1"/>
  <c r="G77" i="97"/>
  <c r="H77" i="97" s="1"/>
  <c r="I77" i="97" s="1"/>
  <c r="B20" i="99"/>
  <c r="O71" i="97"/>
  <c r="G71" i="97" s="1"/>
  <c r="I116" i="99"/>
  <c r="K118" i="97"/>
  <c r="O97" i="97"/>
  <c r="O14" i="97"/>
  <c r="G14" i="97" s="1"/>
  <c r="N74" i="97"/>
  <c r="L74" i="97" s="1"/>
  <c r="G74" i="97" s="1"/>
  <c r="N16" i="97"/>
  <c r="L16" i="97" s="1"/>
  <c r="Z291" i="108"/>
  <c r="D291" i="108" s="1"/>
  <c r="I63" i="102" s="1"/>
  <c r="H128" i="97"/>
  <c r="I128" i="97" s="1"/>
  <c r="I45" i="99"/>
  <c r="K47" i="97"/>
  <c r="Z244" i="108"/>
  <c r="D244" i="108" s="1"/>
  <c r="I112" i="107" s="1"/>
  <c r="H126" i="97"/>
  <c r="I126" i="97" s="1"/>
  <c r="I19" i="99"/>
  <c r="J19" i="107" s="1"/>
  <c r="K21" i="97"/>
  <c r="I33" i="99"/>
  <c r="K35" i="97"/>
  <c r="Z282" i="108"/>
  <c r="D282" i="108" s="1"/>
  <c r="I16" i="102" s="1"/>
  <c r="H29" i="97"/>
  <c r="I29" i="97" s="1"/>
  <c r="O33" i="97"/>
  <c r="K37" i="97"/>
  <c r="I35" i="99"/>
  <c r="Z75" i="108"/>
  <c r="D75" i="108" s="1"/>
  <c r="I35" i="107" s="1"/>
  <c r="H41" i="97"/>
  <c r="I41" i="97" s="1"/>
  <c r="G152" i="97"/>
  <c r="H152" i="97" s="1"/>
  <c r="I152" i="97" s="1"/>
  <c r="G76" i="97"/>
  <c r="J61" i="97"/>
  <c r="H28" i="97"/>
  <c r="I28" i="97" s="1"/>
  <c r="I91" i="99"/>
  <c r="J48" i="102" s="1"/>
  <c r="K93" i="97"/>
  <c r="G25" i="97"/>
  <c r="J58" i="97"/>
  <c r="Z328" i="108"/>
  <c r="D328" i="108" s="1"/>
  <c r="I130" i="107" s="1"/>
  <c r="H147" i="97"/>
  <c r="I147" i="97" s="1"/>
  <c r="H11" i="97"/>
  <c r="O16" i="97"/>
  <c r="I57" i="99"/>
  <c r="J52" i="107" s="1"/>
  <c r="K59" i="97"/>
  <c r="B24" i="99"/>
  <c r="N40" i="97"/>
  <c r="Z323" i="108"/>
  <c r="D323" i="108" s="1"/>
  <c r="H145" i="97"/>
  <c r="I145" i="97" s="1"/>
  <c r="K94" i="97"/>
  <c r="I92" i="99"/>
  <c r="J82" i="107" s="1"/>
  <c r="H27" i="97"/>
  <c r="I27" i="97" s="1"/>
  <c r="O70" i="97"/>
  <c r="L83" i="97"/>
  <c r="K33" i="97"/>
  <c r="I31" i="99"/>
  <c r="J28" i="107" s="1"/>
  <c r="I80" i="99"/>
  <c r="K82" i="97"/>
  <c r="G146" i="97"/>
  <c r="G131" i="97"/>
  <c r="O37" i="97"/>
  <c r="G36" i="97"/>
  <c r="O42" i="97"/>
  <c r="L94" i="97"/>
  <c r="O47" i="97"/>
  <c r="I128" i="99"/>
  <c r="J115" i="107" s="1"/>
  <c r="K130" i="97"/>
  <c r="O90" i="97"/>
  <c r="M40" i="97"/>
  <c r="O56" i="97"/>
  <c r="G56" i="97" s="1"/>
  <c r="I12" i="99"/>
  <c r="J9" i="102" s="1"/>
  <c r="K14" i="97"/>
  <c r="O32" i="97"/>
  <c r="G32" i="97" s="1"/>
  <c r="O69" i="97"/>
  <c r="G69" i="97" s="1"/>
  <c r="O68" i="97"/>
  <c r="G68" i="97" s="1"/>
  <c r="I99" i="99"/>
  <c r="J88" i="107" s="1"/>
  <c r="K101" i="97"/>
  <c r="L90" i="97"/>
  <c r="O63" i="97"/>
  <c r="G63" i="97" s="1"/>
  <c r="O139" i="97"/>
  <c r="G139" i="97" s="1"/>
  <c r="O50" i="97"/>
  <c r="G50" i="97" s="1"/>
  <c r="K18" i="97"/>
  <c r="I16" i="99"/>
  <c r="J16" i="107" s="1"/>
  <c r="K111" i="97"/>
  <c r="I109" i="99"/>
  <c r="G154" i="97"/>
  <c r="H154" i="97" s="1"/>
  <c r="I154" i="97" s="1"/>
  <c r="K85" i="97"/>
  <c r="I83" i="99"/>
  <c r="N70" i="97"/>
  <c r="L70" i="97" s="1"/>
  <c r="H84" i="97"/>
  <c r="I84" i="97" s="1"/>
  <c r="Z187" i="108"/>
  <c r="D187" i="108" s="1"/>
  <c r="I74" i="107" s="1"/>
  <c r="L79" i="97"/>
  <c r="O91" i="97"/>
  <c r="G91" i="97" s="1"/>
  <c r="O38" i="97"/>
  <c r="G38" i="97" s="1"/>
  <c r="O82" i="97"/>
  <c r="G82" i="97" s="1"/>
  <c r="O85" i="97"/>
  <c r="G85" i="97" s="1"/>
  <c r="K90" i="97"/>
  <c r="I88" i="99"/>
  <c r="O26" i="97"/>
  <c r="G26" i="97" s="1"/>
  <c r="Z128" i="108"/>
  <c r="D128" i="108" s="1"/>
  <c r="I57" i="107" s="1"/>
  <c r="H65" i="97"/>
  <c r="I65" i="97" s="1"/>
  <c r="I81" i="99"/>
  <c r="K83" i="97"/>
  <c r="G121" i="97"/>
  <c r="O67" i="97"/>
  <c r="I118" i="99"/>
  <c r="J106" i="107" s="1"/>
  <c r="K120" i="97"/>
  <c r="H148" i="97"/>
  <c r="I148" i="97" s="1"/>
  <c r="Z331" i="108"/>
  <c r="D331" i="108" s="1"/>
  <c r="L37" i="97"/>
  <c r="H150" i="97"/>
  <c r="I150" i="97" s="1"/>
  <c r="Z334" i="108"/>
  <c r="D334" i="108" s="1"/>
  <c r="I133" i="107" s="1"/>
  <c r="O75" i="97"/>
  <c r="G75" i="97" s="1"/>
  <c r="H60" i="97"/>
  <c r="I60" i="97" s="1"/>
  <c r="Z122" i="108"/>
  <c r="D122" i="108" s="1"/>
  <c r="I53" i="107" s="1"/>
  <c r="N67" i="97"/>
  <c r="L67" i="97" s="1"/>
  <c r="G55" i="97"/>
  <c r="O51" i="97"/>
  <c r="G51" i="97" s="1"/>
  <c r="O57" i="97"/>
  <c r="G57" i="97" s="1"/>
  <c r="O64" i="97"/>
  <c r="G64" i="97" s="1"/>
  <c r="O43" i="97"/>
  <c r="G43" i="97" s="1"/>
  <c r="Z73" i="108"/>
  <c r="D73" i="108" s="1"/>
  <c r="I20" i="102" s="1"/>
  <c r="H39" i="97"/>
  <c r="I39" i="97" s="1"/>
  <c r="O144" i="97"/>
  <c r="G144" i="97" s="1"/>
  <c r="O45" i="97"/>
  <c r="N52" i="97"/>
  <c r="L52" i="97" s="1"/>
  <c r="H62" i="97"/>
  <c r="Z114" i="108"/>
  <c r="D114" i="108" s="1"/>
  <c r="I55" i="107" s="1"/>
  <c r="O21" i="97"/>
  <c r="O35" i="97"/>
  <c r="O23" i="97"/>
  <c r="G23" i="97" s="1"/>
  <c r="I29" i="99"/>
  <c r="J26" i="107" s="1"/>
  <c r="K31" i="97"/>
  <c r="O52" i="97"/>
  <c r="K109" i="97"/>
  <c r="I107" i="99"/>
  <c r="O15" i="97"/>
  <c r="G15" i="97" s="1"/>
  <c r="O5" i="97"/>
  <c r="G5" i="97" s="1"/>
  <c r="O80" i="97"/>
  <c r="G80" i="97" s="1"/>
  <c r="O24" i="97"/>
  <c r="G24" i="97" s="1"/>
  <c r="O143" i="97"/>
  <c r="G143" i="97" s="1"/>
  <c r="O59" i="97"/>
  <c r="O20" i="97"/>
  <c r="G20" i="97" s="1"/>
  <c r="O79" i="97"/>
  <c r="G79" i="97" s="1"/>
  <c r="K103" i="97"/>
  <c r="I101" i="99"/>
  <c r="K28" i="97"/>
  <c r="I26" i="99"/>
  <c r="O83" i="97"/>
  <c r="G83" i="97" s="1"/>
  <c r="O46" i="97"/>
  <c r="G46" i="97" s="1"/>
  <c r="O34" i="97"/>
  <c r="G34" i="97" s="1"/>
  <c r="O138" i="97"/>
  <c r="G138" i="97" s="1"/>
  <c r="L47" i="97"/>
  <c r="O40" i="97"/>
  <c r="I68" i="99"/>
  <c r="J61" i="107" s="1"/>
  <c r="K70" i="97"/>
  <c r="G30" i="97"/>
  <c r="N42" i="97"/>
  <c r="L42" i="97" s="1"/>
  <c r="H53" i="97"/>
  <c r="I53" i="97" s="1"/>
  <c r="Z105" i="108"/>
  <c r="D105" i="108" s="1"/>
  <c r="G142" i="97"/>
  <c r="J132" i="97"/>
  <c r="L21" i="97"/>
  <c r="L35" i="97"/>
  <c r="G115" i="97"/>
  <c r="G116" i="97"/>
  <c r="G99" i="97"/>
  <c r="G102" i="97"/>
  <c r="G103" i="97"/>
  <c r="Z281" i="108"/>
  <c r="D281" i="108" s="1"/>
  <c r="H125" i="97"/>
  <c r="I125" i="97" s="1"/>
  <c r="G95" i="97"/>
  <c r="G114" i="97"/>
  <c r="G96" i="97"/>
  <c r="G106" i="97"/>
  <c r="J127" i="97"/>
  <c r="G112" i="97"/>
  <c r="G122" i="97"/>
  <c r="G119" i="97"/>
  <c r="J104" i="97"/>
  <c r="J44" i="97"/>
  <c r="J48" i="97"/>
  <c r="G118" i="97"/>
  <c r="Z263" i="108"/>
  <c r="D263" i="108" s="1"/>
  <c r="I109" i="107" s="1"/>
  <c r="H123" i="97"/>
  <c r="I123" i="97" s="1"/>
  <c r="H14" i="97"/>
  <c r="I14" i="97" s="1"/>
  <c r="Z24" i="108"/>
  <c r="D24" i="108" s="1"/>
  <c r="I9" i="102" s="1"/>
  <c r="G133" i="97"/>
  <c r="G105" i="97"/>
  <c r="G109" i="97"/>
  <c r="G94" i="97"/>
  <c r="G111" i="97"/>
  <c r="J19" i="97"/>
  <c r="I136" i="97"/>
  <c r="G136" i="97"/>
  <c r="Z183" i="108"/>
  <c r="D183" i="108" s="1"/>
  <c r="I80" i="107" s="1"/>
  <c r="H91" i="97"/>
  <c r="I91" i="97" s="1"/>
  <c r="G107" i="97"/>
  <c r="G100" i="97"/>
  <c r="G98" i="97"/>
  <c r="G108" i="97"/>
  <c r="G101" i="97"/>
  <c r="Z293" i="108"/>
  <c r="D293" i="108" s="1"/>
  <c r="I115" i="107" s="1"/>
  <c r="H130" i="97"/>
  <c r="I130" i="97" s="1"/>
  <c r="Z304" i="108"/>
  <c r="D304" i="108" s="1"/>
  <c r="I118" i="107" s="1"/>
  <c r="H134" i="97"/>
  <c r="I134" i="97" s="1"/>
  <c r="J54" i="97"/>
  <c r="G113" i="97"/>
  <c r="J49" i="97"/>
  <c r="G124" i="97"/>
  <c r="J110" i="97"/>
  <c r="J92" i="97"/>
  <c r="G93" i="97"/>
  <c r="G120" i="97"/>
  <c r="G117" i="97"/>
  <c r="F30" i="107" l="1"/>
  <c r="G30" i="107" s="1"/>
  <c r="H30" i="107" s="1"/>
  <c r="F42" i="102"/>
  <c r="G42" i="102" s="1"/>
  <c r="H42" i="102" s="1"/>
  <c r="F56" i="107"/>
  <c r="G56" i="107" s="1"/>
  <c r="F71" i="107"/>
  <c r="G71" i="107" s="1"/>
  <c r="H71" i="107" s="1"/>
  <c r="F32" i="102"/>
  <c r="G32" i="102" s="1"/>
  <c r="H32" i="102" s="1"/>
  <c r="F73" i="107"/>
  <c r="G73" i="107" s="1"/>
  <c r="H73" i="107" s="1"/>
  <c r="F20" i="107"/>
  <c r="G20" i="107" s="1"/>
  <c r="J128" i="97"/>
  <c r="F32" i="107"/>
  <c r="G32" i="107" s="1"/>
  <c r="H32" i="107" s="1"/>
  <c r="J87" i="97"/>
  <c r="G8" i="97"/>
  <c r="F75" i="107"/>
  <c r="G75" i="107" s="1"/>
  <c r="H75" i="107" s="1"/>
  <c r="F44" i="102"/>
  <c r="G44" i="102" s="1"/>
  <c r="H44" i="102" s="1"/>
  <c r="F11" i="102"/>
  <c r="G11" i="102" s="1"/>
  <c r="H11" i="102" s="1"/>
  <c r="F18" i="102"/>
  <c r="G18" i="102" s="1"/>
  <c r="H18" i="102" s="1"/>
  <c r="F129" i="107"/>
  <c r="G129" i="107" s="1"/>
  <c r="H129" i="107" s="1"/>
  <c r="I15" i="102"/>
  <c r="I24" i="107"/>
  <c r="H149" i="97"/>
  <c r="I149" i="97" s="1"/>
  <c r="Z332" i="108"/>
  <c r="D332" i="108" s="1"/>
  <c r="I7" i="102"/>
  <c r="I10" i="107"/>
  <c r="F19" i="107"/>
  <c r="G19" i="107" s="1"/>
  <c r="H19" i="107" s="1"/>
  <c r="I111" i="107"/>
  <c r="I61" i="102"/>
  <c r="G45" i="97"/>
  <c r="J73" i="107"/>
  <c r="J43" i="102"/>
  <c r="I147" i="99"/>
  <c r="J41" i="107"/>
  <c r="J25" i="102"/>
  <c r="J104" i="107"/>
  <c r="J58" i="102"/>
  <c r="J71" i="107"/>
  <c r="J41" i="102"/>
  <c r="J33" i="107"/>
  <c r="J19" i="102"/>
  <c r="J40" i="107"/>
  <c r="J24" i="102"/>
  <c r="J36" i="102"/>
  <c r="J59" i="107"/>
  <c r="I68" i="102"/>
  <c r="I124" i="107"/>
  <c r="H85" i="107"/>
  <c r="F85" i="107"/>
  <c r="G85" i="107" s="1"/>
  <c r="K19" i="102"/>
  <c r="F21" i="102"/>
  <c r="G21" i="102" s="1"/>
  <c r="H21" i="102" s="1"/>
  <c r="H37" i="102"/>
  <c r="H56" i="107"/>
  <c r="J90" i="107"/>
  <c r="J52" i="102"/>
  <c r="J56" i="107"/>
  <c r="J34" i="102"/>
  <c r="K33" i="107"/>
  <c r="F73" i="102"/>
  <c r="G73" i="102" s="1"/>
  <c r="H73" i="102" s="1"/>
  <c r="H64" i="107"/>
  <c r="F36" i="107"/>
  <c r="G36" i="107" s="1"/>
  <c r="H36" i="107" s="1"/>
  <c r="I47" i="107"/>
  <c r="I29" i="102"/>
  <c r="J79" i="107"/>
  <c r="J47" i="102"/>
  <c r="J32" i="107"/>
  <c r="J18" i="102"/>
  <c r="J30" i="107"/>
  <c r="J17" i="102"/>
  <c r="J129" i="107"/>
  <c r="J71" i="102"/>
  <c r="I45" i="102"/>
  <c r="J86" i="97"/>
  <c r="F17" i="102"/>
  <c r="G17" i="102" s="1"/>
  <c r="H17" i="102" s="1"/>
  <c r="F132" i="107"/>
  <c r="G132" i="107" s="1"/>
  <c r="H132" i="107" s="1"/>
  <c r="F39" i="102"/>
  <c r="G39" i="102" s="1"/>
  <c r="H39" i="102" s="1"/>
  <c r="J96" i="107"/>
  <c r="J53" i="102"/>
  <c r="J72" i="107"/>
  <c r="J42" i="102"/>
  <c r="J20" i="107"/>
  <c r="J13" i="102"/>
  <c r="G31" i="97"/>
  <c r="F36" i="102"/>
  <c r="G36" i="102" s="1"/>
  <c r="H36" i="102" s="1"/>
  <c r="F49" i="107"/>
  <c r="G49" i="107" s="1"/>
  <c r="H49" i="107" s="1"/>
  <c r="F66" i="107"/>
  <c r="G66" i="107" s="1"/>
  <c r="H66" i="107" s="1"/>
  <c r="J75" i="107"/>
  <c r="J44" i="102"/>
  <c r="J47" i="107"/>
  <c r="J29" i="102"/>
  <c r="H72" i="97"/>
  <c r="I72" i="97" s="1"/>
  <c r="Z150" i="108"/>
  <c r="D150" i="108" s="1"/>
  <c r="F41" i="107"/>
  <c r="G41" i="107" s="1"/>
  <c r="H41" i="107" s="1"/>
  <c r="F43" i="102"/>
  <c r="G43" i="102" s="1"/>
  <c r="H43" i="102" s="1"/>
  <c r="F19" i="102"/>
  <c r="G19" i="102" s="1"/>
  <c r="H19" i="102" s="1"/>
  <c r="H28" i="102"/>
  <c r="I70" i="102"/>
  <c r="I128" i="107"/>
  <c r="F58" i="107"/>
  <c r="G58" i="107" s="1"/>
  <c r="H58" i="107" s="1"/>
  <c r="F13" i="102"/>
  <c r="G13" i="102" s="1"/>
  <c r="H13" i="102" s="1"/>
  <c r="H25" i="102"/>
  <c r="F72" i="107"/>
  <c r="G72" i="107" s="1"/>
  <c r="H72" i="107" s="1"/>
  <c r="F33" i="107"/>
  <c r="G33" i="107" s="1"/>
  <c r="H33" i="107" s="1"/>
  <c r="F44" i="107"/>
  <c r="G44" i="107" s="1"/>
  <c r="H44" i="107" s="1"/>
  <c r="F23" i="102"/>
  <c r="G23" i="102" s="1"/>
  <c r="H23" i="102" s="1"/>
  <c r="I8" i="102"/>
  <c r="I12" i="107"/>
  <c r="J27" i="102"/>
  <c r="J43" i="107"/>
  <c r="H20" i="107"/>
  <c r="F126" i="107"/>
  <c r="G126" i="107" s="1"/>
  <c r="H126" i="107" s="1"/>
  <c r="K47" i="102"/>
  <c r="F47" i="102" s="1"/>
  <c r="G47" i="102" s="1"/>
  <c r="F41" i="102"/>
  <c r="G41" i="102" s="1"/>
  <c r="H41" i="102" s="1"/>
  <c r="F40" i="107"/>
  <c r="G40" i="107" s="1"/>
  <c r="H40" i="107" s="1"/>
  <c r="F39" i="107"/>
  <c r="G39" i="107" s="1"/>
  <c r="H39" i="107" s="1"/>
  <c r="I131" i="107"/>
  <c r="I72" i="102"/>
  <c r="J15" i="102"/>
  <c r="J24" i="107"/>
  <c r="J98" i="107"/>
  <c r="J54" i="102"/>
  <c r="J38" i="102"/>
  <c r="J64" i="107"/>
  <c r="I17" i="107"/>
  <c r="I10" i="102"/>
  <c r="H50" i="102"/>
  <c r="F50" i="102"/>
  <c r="G50" i="102" s="1"/>
  <c r="F21" i="107"/>
  <c r="G21" i="107" s="1"/>
  <c r="H21" i="107" s="1"/>
  <c r="K79" i="107"/>
  <c r="F79" i="107" s="1"/>
  <c r="G79" i="107" s="1"/>
  <c r="H79" i="107" s="1"/>
  <c r="F34" i="102"/>
  <c r="G34" i="102" s="1"/>
  <c r="H34" i="102" s="1"/>
  <c r="G52" i="97"/>
  <c r="Z156" i="108"/>
  <c r="D156" i="108" s="1"/>
  <c r="I68" i="107" s="1"/>
  <c r="H78" i="97"/>
  <c r="I78" i="97" s="1"/>
  <c r="Z81" i="108"/>
  <c r="D81" i="108" s="1"/>
  <c r="I7" i="107" s="1"/>
  <c r="H7" i="97"/>
  <c r="I7" i="97" s="1"/>
  <c r="G6" i="97"/>
  <c r="I6" i="97"/>
  <c r="H31" i="97"/>
  <c r="I31" i="97" s="1"/>
  <c r="Z285" i="108"/>
  <c r="D285" i="108" s="1"/>
  <c r="I26" i="107" s="1"/>
  <c r="H73" i="97"/>
  <c r="I73" i="97" s="1"/>
  <c r="Z152" i="108"/>
  <c r="D152" i="108" s="1"/>
  <c r="G88" i="97"/>
  <c r="H66" i="97"/>
  <c r="I66" i="97" s="1"/>
  <c r="Z129" i="108"/>
  <c r="D129" i="108" s="1"/>
  <c r="I58" i="107" s="1"/>
  <c r="J9" i="97"/>
  <c r="Z251" i="108"/>
  <c r="D251" i="108" s="1"/>
  <c r="I16" i="107" s="1"/>
  <c r="H18" i="97"/>
  <c r="I18" i="97" s="1"/>
  <c r="J135" i="97"/>
  <c r="J126" i="97"/>
  <c r="G59" i="97"/>
  <c r="Z120" i="108" s="1"/>
  <c r="D120" i="108" s="1"/>
  <c r="I52" i="107" s="1"/>
  <c r="Z155" i="108"/>
  <c r="D155" i="108" s="1"/>
  <c r="I40" i="102" s="1"/>
  <c r="G16" i="97"/>
  <c r="J12" i="97"/>
  <c r="J13" i="97"/>
  <c r="Z82" i="108"/>
  <c r="D82" i="108" s="1"/>
  <c r="I6" i="102" s="1"/>
  <c r="H8" i="97"/>
  <c r="H10" i="97"/>
  <c r="Z247" i="108"/>
  <c r="D247" i="108" s="1"/>
  <c r="I9" i="107" s="1"/>
  <c r="G33" i="97"/>
  <c r="Z315" i="108"/>
  <c r="D315" i="108" s="1"/>
  <c r="I123" i="107" s="1"/>
  <c r="H140" i="97"/>
  <c r="Z141" i="108"/>
  <c r="D141" i="108" s="1"/>
  <c r="I62" i="107" s="1"/>
  <c r="H71" i="97"/>
  <c r="I71" i="97" s="1"/>
  <c r="Z153" i="108"/>
  <c r="D153" i="108" s="1"/>
  <c r="I65" i="107" s="1"/>
  <c r="H74" i="97"/>
  <c r="I74" i="97" s="1"/>
  <c r="K22" i="97"/>
  <c r="I20" i="99"/>
  <c r="J12" i="102" s="1"/>
  <c r="H81" i="97"/>
  <c r="I81" i="97" s="1"/>
  <c r="Z168" i="108"/>
  <c r="D168" i="108" s="1"/>
  <c r="Z23" i="108"/>
  <c r="D23" i="108" s="1"/>
  <c r="I12" i="102" s="1"/>
  <c r="H22" i="97"/>
  <c r="I22" i="97" s="1"/>
  <c r="Z29" i="108"/>
  <c r="D29" i="108" s="1"/>
  <c r="I15" i="107" s="1"/>
  <c r="H17" i="97"/>
  <c r="I17" i="97" s="1"/>
  <c r="I97" i="97"/>
  <c r="G97" i="97"/>
  <c r="G35" i="97"/>
  <c r="H35" i="97" s="1"/>
  <c r="I35" i="97" s="1"/>
  <c r="G21" i="97"/>
  <c r="Z22" i="108" s="1"/>
  <c r="D22" i="108" s="1"/>
  <c r="I19" i="107" s="1"/>
  <c r="H34" i="97"/>
  <c r="I34" i="97" s="1"/>
  <c r="Z289" i="108"/>
  <c r="D289" i="108" s="1"/>
  <c r="I29" i="107" s="1"/>
  <c r="H142" i="97"/>
  <c r="I142" i="97" s="1"/>
  <c r="Z325" i="108"/>
  <c r="D325" i="108" s="1"/>
  <c r="I125" i="107" s="1"/>
  <c r="H30" i="97"/>
  <c r="I30" i="97" s="1"/>
  <c r="Z284" i="108"/>
  <c r="D284" i="108" s="1"/>
  <c r="I25" i="107" s="1"/>
  <c r="F5" i="107"/>
  <c r="G5" i="107" s="1"/>
  <c r="H5" i="107" s="1"/>
  <c r="J39" i="97"/>
  <c r="Z111" i="108"/>
  <c r="D111" i="108" s="1"/>
  <c r="H55" i="97"/>
  <c r="I55" i="97" s="1"/>
  <c r="J65" i="97"/>
  <c r="Z54" i="108"/>
  <c r="D54" i="108" s="1"/>
  <c r="I22" i="107" s="1"/>
  <c r="H26" i="97"/>
  <c r="I26" i="97" s="1"/>
  <c r="G47" i="97"/>
  <c r="J147" i="97"/>
  <c r="Z321" i="108"/>
  <c r="D321" i="108" s="1"/>
  <c r="H143" i="97"/>
  <c r="I143" i="97" s="1"/>
  <c r="F5" i="102"/>
  <c r="G5" i="102" s="1"/>
  <c r="H5" i="102" s="1"/>
  <c r="J62" i="97"/>
  <c r="H64" i="97"/>
  <c r="I64" i="97" s="1"/>
  <c r="Z127" i="108"/>
  <c r="D127" i="108" s="1"/>
  <c r="I35" i="102" s="1"/>
  <c r="Z286" i="108"/>
  <c r="D286" i="108" s="1"/>
  <c r="I27" i="107" s="1"/>
  <c r="H32" i="97"/>
  <c r="I32" i="97" s="1"/>
  <c r="G90" i="97"/>
  <c r="J41" i="97"/>
  <c r="J29" i="97"/>
  <c r="Z3" i="108"/>
  <c r="D3" i="108" s="1"/>
  <c r="H5" i="97"/>
  <c r="I5" i="97" s="1"/>
  <c r="H75" i="97"/>
  <c r="I75" i="97" s="1"/>
  <c r="Z160" i="108"/>
  <c r="D160" i="108" s="1"/>
  <c r="G67" i="97"/>
  <c r="G37" i="97"/>
  <c r="J53" i="97"/>
  <c r="H83" i="97"/>
  <c r="I83" i="97" s="1"/>
  <c r="Z174" i="108"/>
  <c r="D174" i="108" s="1"/>
  <c r="H23" i="97"/>
  <c r="I23" i="97" s="1"/>
  <c r="Z16" i="108"/>
  <c r="D16" i="108" s="1"/>
  <c r="Z52" i="108"/>
  <c r="D52" i="108" s="1"/>
  <c r="I14" i="102" s="1"/>
  <c r="H24" i="97"/>
  <c r="I24" i="97" s="1"/>
  <c r="Z56" i="108"/>
  <c r="D56" i="108" s="1"/>
  <c r="H43" i="97"/>
  <c r="I43" i="97" s="1"/>
  <c r="H57" i="97"/>
  <c r="I57" i="97" s="1"/>
  <c r="Z118" i="108"/>
  <c r="D118" i="108" s="1"/>
  <c r="I33" i="102" s="1"/>
  <c r="J150" i="97"/>
  <c r="J31" i="97"/>
  <c r="Z191" i="108"/>
  <c r="D191" i="108" s="1"/>
  <c r="H82" i="97"/>
  <c r="I82" i="97" s="1"/>
  <c r="H131" i="97"/>
  <c r="I131" i="97" s="1"/>
  <c r="Z300" i="108"/>
  <c r="D300" i="108" s="1"/>
  <c r="G70" i="97"/>
  <c r="J145" i="97"/>
  <c r="Z26" i="108"/>
  <c r="D26" i="108" s="1"/>
  <c r="I14" i="107" s="1"/>
  <c r="H16" i="97"/>
  <c r="I16" i="97" s="1"/>
  <c r="H46" i="97"/>
  <c r="I46" i="97" s="1"/>
  <c r="Z86" i="108"/>
  <c r="D86" i="108" s="1"/>
  <c r="H79" i="97"/>
  <c r="I79" i="97" s="1"/>
  <c r="Z165" i="108"/>
  <c r="D165" i="108" s="1"/>
  <c r="I69" i="107" s="1"/>
  <c r="H15" i="97"/>
  <c r="I15" i="97" s="1"/>
  <c r="Z25" i="108"/>
  <c r="D25" i="108" s="1"/>
  <c r="I13" i="107" s="1"/>
  <c r="H52" i="97"/>
  <c r="I52" i="97" s="1"/>
  <c r="Z94" i="108"/>
  <c r="D94" i="108" s="1"/>
  <c r="I46" i="107" s="1"/>
  <c r="Z242" i="108"/>
  <c r="D242" i="108" s="1"/>
  <c r="I127" i="107" s="1"/>
  <c r="H144" i="97"/>
  <c r="I144" i="97" s="1"/>
  <c r="J148" i="97"/>
  <c r="Z275" i="108"/>
  <c r="D275" i="108" s="1"/>
  <c r="H121" i="97"/>
  <c r="I121" i="97" s="1"/>
  <c r="J84" i="97"/>
  <c r="H50" i="97"/>
  <c r="I50" i="97" s="1"/>
  <c r="Z92" i="108"/>
  <c r="D92" i="108" s="1"/>
  <c r="H68" i="97"/>
  <c r="I68" i="97" s="1"/>
  <c r="Z137" i="108"/>
  <c r="D137" i="108" s="1"/>
  <c r="I37" i="102" s="1"/>
  <c r="H146" i="97"/>
  <c r="I146" i="97" s="1"/>
  <c r="Z327" i="108"/>
  <c r="D327" i="108" s="1"/>
  <c r="J27" i="97"/>
  <c r="J28" i="97"/>
  <c r="J149" i="97"/>
  <c r="J77" i="97"/>
  <c r="Z126" i="108"/>
  <c r="D126" i="108" s="1"/>
  <c r="H63" i="97"/>
  <c r="I63" i="97" s="1"/>
  <c r="L40" i="97"/>
  <c r="G40" i="97" s="1"/>
  <c r="J11" i="97"/>
  <c r="Z287" i="108"/>
  <c r="D287" i="108" s="1"/>
  <c r="I28" i="107" s="1"/>
  <c r="H33" i="97"/>
  <c r="I33" i="97" s="1"/>
  <c r="Z310" i="108"/>
  <c r="D310" i="108" s="1"/>
  <c r="I67" i="102" s="1"/>
  <c r="H138" i="97"/>
  <c r="I138" i="97" s="1"/>
  <c r="Z21" i="108"/>
  <c r="D21" i="108" s="1"/>
  <c r="H20" i="97"/>
  <c r="I20" i="97" s="1"/>
  <c r="H45" i="97"/>
  <c r="I45" i="97" s="1"/>
  <c r="Z84" i="108"/>
  <c r="D84" i="108" s="1"/>
  <c r="Z93" i="108"/>
  <c r="D93" i="108" s="1"/>
  <c r="I45" i="107" s="1"/>
  <c r="H51" i="97"/>
  <c r="I51" i="97" s="1"/>
  <c r="J60" i="97"/>
  <c r="H85" i="97"/>
  <c r="I85" i="97" s="1"/>
  <c r="Z188" i="108"/>
  <c r="D188" i="108" s="1"/>
  <c r="H139" i="97"/>
  <c r="I139" i="97" s="1"/>
  <c r="Z314" i="108"/>
  <c r="D314" i="108" s="1"/>
  <c r="I122" i="107" s="1"/>
  <c r="H56" i="97"/>
  <c r="I56" i="97" s="1"/>
  <c r="Z110" i="108"/>
  <c r="D110" i="108" s="1"/>
  <c r="J78" i="97"/>
  <c r="G42" i="97"/>
  <c r="I24" i="99"/>
  <c r="J22" i="107" s="1"/>
  <c r="K26" i="97"/>
  <c r="Z53" i="108"/>
  <c r="D53" i="108" s="1"/>
  <c r="I21" i="107" s="1"/>
  <c r="H25" i="97"/>
  <c r="I25" i="97" s="1"/>
  <c r="Z252" i="108"/>
  <c r="D252" i="108" s="1"/>
  <c r="I67" i="107" s="1"/>
  <c r="H76" i="97"/>
  <c r="I76" i="97" s="1"/>
  <c r="Z167" i="108"/>
  <c r="D167" i="108" s="1"/>
  <c r="I70" i="107" s="1"/>
  <c r="H80" i="97"/>
  <c r="I80" i="97" s="1"/>
  <c r="H38" i="97"/>
  <c r="I38" i="97" s="1"/>
  <c r="Z70" i="108"/>
  <c r="D70" i="108" s="1"/>
  <c r="H69" i="97"/>
  <c r="I69" i="97" s="1"/>
  <c r="Z138" i="108"/>
  <c r="D138" i="108" s="1"/>
  <c r="I60" i="107" s="1"/>
  <c r="H36" i="97"/>
  <c r="I36" i="97" s="1"/>
  <c r="Z65" i="108"/>
  <c r="D65" i="108" s="1"/>
  <c r="I31" i="107" s="1"/>
  <c r="Z175" i="108"/>
  <c r="D175" i="108" s="1"/>
  <c r="I48" i="102" s="1"/>
  <c r="H93" i="97"/>
  <c r="I93" i="97" s="1"/>
  <c r="J134" i="97"/>
  <c r="H136" i="97"/>
  <c r="Z306" i="108"/>
  <c r="D306" i="108" s="1"/>
  <c r="I120" i="107" s="1"/>
  <c r="J130" i="97"/>
  <c r="H106" i="97"/>
  <c r="I106" i="97" s="1"/>
  <c r="Z207" i="108"/>
  <c r="D207" i="108" s="1"/>
  <c r="I93" i="107" s="1"/>
  <c r="H95" i="97"/>
  <c r="I95" i="97" s="1"/>
  <c r="Z177" i="108"/>
  <c r="D177" i="108" s="1"/>
  <c r="I83" i="107" s="1"/>
  <c r="Z200" i="108"/>
  <c r="D200" i="108" s="1"/>
  <c r="I89" i="107" s="1"/>
  <c r="H102" i="97"/>
  <c r="I102" i="97" s="1"/>
  <c r="H115" i="97"/>
  <c r="I115" i="97" s="1"/>
  <c r="Z226" i="108"/>
  <c r="D226" i="108" s="1"/>
  <c r="I101" i="107" s="1"/>
  <c r="H108" i="97"/>
  <c r="I108" i="97" s="1"/>
  <c r="Z241" i="108"/>
  <c r="D241" i="108" s="1"/>
  <c r="I95" i="107" s="1"/>
  <c r="H100" i="97"/>
  <c r="I100" i="97" s="1"/>
  <c r="Z198" i="108"/>
  <c r="D198" i="108" s="1"/>
  <c r="I87" i="107" s="1"/>
  <c r="Z204" i="108"/>
  <c r="D204" i="108" s="1"/>
  <c r="I92" i="107" s="1"/>
  <c r="H105" i="97"/>
  <c r="I105" i="97" s="1"/>
  <c r="H122" i="97"/>
  <c r="I122" i="97" s="1"/>
  <c r="Z259" i="108"/>
  <c r="D259" i="108" s="1"/>
  <c r="Z225" i="108"/>
  <c r="D225" i="108" s="1"/>
  <c r="I100" i="107" s="1"/>
  <c r="H114" i="97"/>
  <c r="I114" i="97" s="1"/>
  <c r="Z273" i="108"/>
  <c r="D273" i="108" s="1"/>
  <c r="I106" i="107" s="1"/>
  <c r="H120" i="97"/>
  <c r="I120" i="97" s="1"/>
  <c r="H96" i="97"/>
  <c r="I96" i="97" s="1"/>
  <c r="Z195" i="108"/>
  <c r="D195" i="108" s="1"/>
  <c r="J125" i="97"/>
  <c r="H99" i="97"/>
  <c r="I99" i="97" s="1"/>
  <c r="Z197" i="108"/>
  <c r="D197" i="108" s="1"/>
  <c r="I86" i="107" s="1"/>
  <c r="Z208" i="108"/>
  <c r="D208" i="108" s="1"/>
  <c r="I94" i="107" s="1"/>
  <c r="H107" i="97"/>
  <c r="I107" i="97" s="1"/>
  <c r="H111" i="97"/>
  <c r="I111" i="97" s="1"/>
  <c r="Z238" i="108"/>
  <c r="D238" i="108" s="1"/>
  <c r="Z303" i="108"/>
  <c r="D303" i="108" s="1"/>
  <c r="I66" i="102" s="1"/>
  <c r="H133" i="97"/>
  <c r="I133" i="97" s="1"/>
  <c r="J123" i="97"/>
  <c r="Z222" i="108"/>
  <c r="D222" i="108" s="1"/>
  <c r="H112" i="97"/>
  <c r="I112" i="97" s="1"/>
  <c r="H116" i="97"/>
  <c r="I116" i="97" s="1"/>
  <c r="Z257" i="108"/>
  <c r="D257" i="108" s="1"/>
  <c r="H94" i="97"/>
  <c r="I94" i="97" s="1"/>
  <c r="Z176" i="108"/>
  <c r="D176" i="108" s="1"/>
  <c r="I82" i="107" s="1"/>
  <c r="H118" i="97"/>
  <c r="I118" i="97" s="1"/>
  <c r="Z270" i="108"/>
  <c r="D270" i="108" s="1"/>
  <c r="J91" i="97"/>
  <c r="H117" i="97"/>
  <c r="I117" i="97" s="1"/>
  <c r="Z266" i="108"/>
  <c r="D266" i="108" s="1"/>
  <c r="I103" i="107" s="1"/>
  <c r="Z264" i="108"/>
  <c r="D264" i="108" s="1"/>
  <c r="I110" i="107" s="1"/>
  <c r="H124" i="97"/>
  <c r="I124" i="97" s="1"/>
  <c r="J14" i="97"/>
  <c r="H103" i="97"/>
  <c r="I103" i="97" s="1"/>
  <c r="Z201" i="108"/>
  <c r="D201" i="108" s="1"/>
  <c r="Z199" i="108"/>
  <c r="D199" i="108" s="1"/>
  <c r="I88" i="107" s="1"/>
  <c r="H101" i="97"/>
  <c r="I101" i="97" s="1"/>
  <c r="H113" i="97"/>
  <c r="I113" i="97" s="1"/>
  <c r="Z223" i="108"/>
  <c r="D223" i="108" s="1"/>
  <c r="I56" i="102" s="1"/>
  <c r="Z196" i="108"/>
  <c r="D196" i="108" s="1"/>
  <c r="I51" i="102" s="1"/>
  <c r="H98" i="97"/>
  <c r="I98" i="97" s="1"/>
  <c r="Z215" i="108"/>
  <c r="D215" i="108" s="1"/>
  <c r="H109" i="97"/>
  <c r="I109" i="97" s="1"/>
  <c r="Z271" i="108"/>
  <c r="D271" i="108" s="1"/>
  <c r="I105" i="107" s="1"/>
  <c r="H119" i="97"/>
  <c r="I119" i="97" s="1"/>
  <c r="I49" i="102" l="1"/>
  <c r="I84" i="107"/>
  <c r="I33" i="107"/>
  <c r="I19" i="102"/>
  <c r="I75" i="107"/>
  <c r="I44" i="102"/>
  <c r="I18" i="107"/>
  <c r="I11" i="102"/>
  <c r="I56" i="107"/>
  <c r="I34" i="102"/>
  <c r="I72" i="107"/>
  <c r="I42" i="102"/>
  <c r="I66" i="107"/>
  <c r="I39" i="102"/>
  <c r="I98" i="107"/>
  <c r="I54" i="102"/>
  <c r="I44" i="107"/>
  <c r="I28" i="102"/>
  <c r="I20" i="107"/>
  <c r="I13" i="102"/>
  <c r="J132" i="107"/>
  <c r="J73" i="102"/>
  <c r="I102" i="107"/>
  <c r="I57" i="102"/>
  <c r="I38" i="102"/>
  <c r="I64" i="107"/>
  <c r="I73" i="107"/>
  <c r="I43" i="102"/>
  <c r="I132" i="107"/>
  <c r="I73" i="102"/>
  <c r="I32" i="102"/>
  <c r="I50" i="107"/>
  <c r="I39" i="107"/>
  <c r="I23" i="102"/>
  <c r="I129" i="107"/>
  <c r="I71" i="102"/>
  <c r="I107" i="107"/>
  <c r="I59" i="102"/>
  <c r="I116" i="107"/>
  <c r="I64" i="102"/>
  <c r="I49" i="107"/>
  <c r="I31" i="102"/>
  <c r="H47" i="102"/>
  <c r="I52" i="102"/>
  <c r="I90" i="107"/>
  <c r="I22" i="102"/>
  <c r="I37" i="107"/>
  <c r="I126" i="107"/>
  <c r="I69" i="102"/>
  <c r="I71" i="107"/>
  <c r="I41" i="102"/>
  <c r="I99" i="107"/>
  <c r="I55" i="102"/>
  <c r="I104" i="107"/>
  <c r="I58" i="102"/>
  <c r="I60" i="102"/>
  <c r="I108" i="107"/>
  <c r="I96" i="107"/>
  <c r="I53" i="102"/>
  <c r="I40" i="107"/>
  <c r="I24" i="102"/>
  <c r="I63" i="107"/>
  <c r="J72" i="97"/>
  <c r="Z64" i="108"/>
  <c r="D64" i="108" s="1"/>
  <c r="J35" i="97" s="1"/>
  <c r="Z80" i="108"/>
  <c r="D80" i="108" s="1"/>
  <c r="I6" i="107" s="1"/>
  <c r="H6" i="97"/>
  <c r="J7" i="97"/>
  <c r="Z172" i="108"/>
  <c r="D172" i="108" s="1"/>
  <c r="I77" i="107" s="1"/>
  <c r="H88" i="97"/>
  <c r="J18" i="97"/>
  <c r="J73" i="97"/>
  <c r="H59" i="97"/>
  <c r="I59" i="97" s="1"/>
  <c r="J66" i="97"/>
  <c r="J8" i="97"/>
  <c r="J10" i="97"/>
  <c r="J140" i="97"/>
  <c r="Z209" i="108"/>
  <c r="D209" i="108" s="1"/>
  <c r="H97" i="97"/>
  <c r="J81" i="97"/>
  <c r="J22" i="97"/>
  <c r="J74" i="97"/>
  <c r="H21" i="97"/>
  <c r="I21" i="97" s="1"/>
  <c r="J17" i="97"/>
  <c r="J71" i="97"/>
  <c r="H40" i="97"/>
  <c r="I40" i="97" s="1"/>
  <c r="Z74" i="108"/>
  <c r="D74" i="108" s="1"/>
  <c r="I34" i="107" s="1"/>
  <c r="J36" i="97"/>
  <c r="J46" i="97"/>
  <c r="J131" i="97"/>
  <c r="J43" i="97"/>
  <c r="H67" i="97"/>
  <c r="I67" i="97" s="1"/>
  <c r="Z134" i="108"/>
  <c r="D134" i="108" s="1"/>
  <c r="Z180" i="108"/>
  <c r="D180" i="108" s="1"/>
  <c r="H90" i="97"/>
  <c r="I90" i="97" s="1"/>
  <c r="J64" i="97"/>
  <c r="J142" i="97"/>
  <c r="J80" i="97"/>
  <c r="J56" i="97"/>
  <c r="J144" i="97"/>
  <c r="J83" i="97"/>
  <c r="J75" i="97"/>
  <c r="J143" i="97"/>
  <c r="Z269" i="108"/>
  <c r="D269" i="108" s="1"/>
  <c r="H47" i="97"/>
  <c r="I47" i="97" s="1"/>
  <c r="J138" i="97"/>
  <c r="J146" i="97"/>
  <c r="J52" i="97"/>
  <c r="J24" i="97"/>
  <c r="J32" i="97"/>
  <c r="J38" i="97"/>
  <c r="J16" i="97"/>
  <c r="J23" i="97"/>
  <c r="H37" i="97"/>
  <c r="I37" i="97" s="1"/>
  <c r="Z62" i="108"/>
  <c r="D62" i="108" s="1"/>
  <c r="Z235" i="108"/>
  <c r="D235" i="108" s="1"/>
  <c r="H42" i="97"/>
  <c r="I42" i="97" s="1"/>
  <c r="J121" i="97"/>
  <c r="J15" i="97"/>
  <c r="J34" i="97"/>
  <c r="J69" i="97"/>
  <c r="J76" i="97"/>
  <c r="J139" i="97"/>
  <c r="J68" i="97"/>
  <c r="J57" i="97"/>
  <c r="J55" i="97"/>
  <c r="J51" i="97"/>
  <c r="J20" i="97"/>
  <c r="J33" i="97"/>
  <c r="J63" i="97"/>
  <c r="J79" i="97"/>
  <c r="I5" i="107"/>
  <c r="J5" i="97"/>
  <c r="I5" i="102"/>
  <c r="J59" i="97"/>
  <c r="J30" i="97"/>
  <c r="J25" i="97"/>
  <c r="J85" i="97"/>
  <c r="J45" i="97"/>
  <c r="J50" i="97"/>
  <c r="H70" i="97"/>
  <c r="I70" i="97" s="1"/>
  <c r="Z139" i="108"/>
  <c r="D139" i="108" s="1"/>
  <c r="I61" i="107" s="1"/>
  <c r="J82" i="97"/>
  <c r="J26" i="97"/>
  <c r="J21" i="97"/>
  <c r="J107" i="97"/>
  <c r="J109" i="97"/>
  <c r="J112" i="97"/>
  <c r="J96" i="97"/>
  <c r="J122" i="97"/>
  <c r="J115" i="97"/>
  <c r="J118" i="97"/>
  <c r="J99" i="97"/>
  <c r="J105" i="97"/>
  <c r="J102" i="97"/>
  <c r="J94" i="97"/>
  <c r="J124" i="97"/>
  <c r="J100" i="97"/>
  <c r="J95" i="97"/>
  <c r="J117" i="97"/>
  <c r="J116" i="97"/>
  <c r="J120" i="97"/>
  <c r="J136" i="97"/>
  <c r="J119" i="97"/>
  <c r="J101" i="97"/>
  <c r="J133" i="97"/>
  <c r="J108" i="97"/>
  <c r="J106" i="97"/>
  <c r="J98" i="97"/>
  <c r="J113" i="97"/>
  <c r="J103" i="97"/>
  <c r="J111" i="97"/>
  <c r="J114" i="97"/>
  <c r="J93" i="97"/>
  <c r="I30" i="107" l="1"/>
  <c r="I17" i="102"/>
  <c r="I25" i="102"/>
  <c r="I41" i="107"/>
  <c r="I79" i="107"/>
  <c r="I47" i="102"/>
  <c r="I85" i="107"/>
  <c r="I50" i="102"/>
  <c r="I36" i="107"/>
  <c r="I21" i="102"/>
  <c r="I36" i="102"/>
  <c r="I59" i="107"/>
  <c r="I32" i="107"/>
  <c r="I18" i="102"/>
  <c r="J6" i="97"/>
  <c r="J88" i="97"/>
  <c r="J97" i="97"/>
  <c r="J42" i="97"/>
  <c r="J90" i="97"/>
  <c r="J37" i="97"/>
  <c r="J67" i="97"/>
  <c r="J70" i="97"/>
  <c r="J47" i="97"/>
  <c r="J40" i="9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<sst xmlns="http://schemas.openxmlformats.org/spreadsheetml/2006/main" count="39988" uniqueCount="8642">
  <si>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</si>
  <si>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</si>
  <si>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</si>
  <si>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</si>
  <si>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</si>
  <si>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</si>
  <si>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</si>
  <si>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</si>
  <si>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</si>
  <si>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</si>
  <si>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</si>
  <si>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</si>
  <si>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</si>
  <si>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</si>
  <si>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</si>
  <si>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</si>
  <si>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</si>
  <si>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</si>
  <si>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</si>
  <si>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</si>
  <si>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</si>
  <si>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</si>
  <si>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</si>
  <si>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</si>
  <si>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</si>
  <si>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</si>
  <si>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</si>
  <si>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</si>
  <si>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</si>
  <si>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</si>
  <si>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</si>
  <si>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</si>
  <si>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</si>
  <si>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</si>
  <si>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</si>
  <si>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</si>
  <si>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</si>
  <si>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</si>
  <si>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</si>
  <si>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</si>
  <si>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</si>
  <si>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</si>
  <si>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</si>
  <si>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</si>
  <si>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</si>
  <si>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</si>
  <si>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</si>
  <si>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</si>
  <si>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</si>
  <si>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</si>
  <si>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</si>
  <si>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</si>
  <si>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</si>
  <si>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</si>
  <si>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</si>
  <si>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</si>
  <si>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</si>
  <si>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</si>
  <si>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</si>
  <si>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</si>
  <si>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</si>
  <si>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</si>
  <si>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</si>
  <si>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</si>
  <si>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</si>
  <si>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</si>
  <si>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</si>
  <si>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</si>
  <si>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</si>
  <si>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</si>
  <si>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</si>
  <si>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</si>
  <si>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</si>
  <si>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</si>
  <si>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</si>
  <si>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</si>
  <si>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</si>
  <si>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</si>
  <si>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</si>
  <si>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</si>
  <si>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</si>
  <si>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</si>
  <si>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</si>
  <si>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</si>
  <si>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</si>
  <si>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</si>
  <si>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</si>
  <si>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</si>
  <si>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</si>
  <si>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</si>
  <si>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</si>
  <si>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</si>
  <si>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</si>
  <si>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</si>
  <si>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</si>
  <si>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</si>
  <si>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</si>
  <si>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</si>
  <si>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</si>
  <si>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</si>
  <si>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</si>
  <si>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</si>
  <si>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</si>
  <si>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</si>
  <si>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</si>
  <si>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</si>
  <si>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</si>
  <si>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</si>
  <si>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</si>
  <si>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</si>
  <si>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</si>
  <si>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</si>
  <si>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</si>
  <si>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</si>
  <si>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</si>
  <si>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</si>
  <si>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</si>
  <si>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</si>
  <si>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</si>
  <si>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</si>
  <si>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</si>
  <si>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</si>
  <si>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</si>
  <si>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</si>
  <si>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</si>
  <si>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</si>
  <si>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</si>
  <si>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</si>
  <si>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</si>
  <si>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</si>
  <si>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</si>
  <si>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</si>
  <si>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</si>
  <si>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</si>
  <si>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</si>
  <si>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</si>
  <si>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</si>
  <si>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</si>
  <si>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</si>
  <si>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</si>
  <si>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</si>
  <si>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</si>
  <si>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</si>
  <si>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</si>
  <si>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</si>
  <si>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</si>
  <si>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</si>
  <si>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</si>
  <si>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</si>
  <si>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</si>
  <si>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</si>
  <si>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</si>
  <si>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</si>
  <si>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</si>
  <si>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</si>
  <si>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</si>
  <si>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</si>
  <si>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</si>
  <si>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</si>
  <si>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</si>
  <si>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</si>
  <si>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</si>
  <si>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</si>
  <si>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</si>
  <si>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</si>
  <si>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</si>
  <si>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</si>
  <si>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</si>
  <si>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</si>
  <si>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</si>
  <si>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</si>
  <si>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</si>
  <si>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</si>
  <si>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</si>
  <si>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</si>
  <si>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</si>
  <si>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</si>
  <si>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</si>
  <si>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</si>
  <si>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</si>
  <si>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</si>
  <si>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</si>
  <si>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</si>
  <si>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</si>
  <si>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</si>
  <si>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</si>
  <si>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</si>
  <si>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</si>
  <si>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</si>
  <si>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</si>
  <si>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</si>
  <si>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</si>
  <si>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</si>
  <si>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</si>
  <si>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</si>
  <si>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</si>
  <si>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</si>
  <si>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</si>
  <si>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</si>
  <si>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</si>
  <si>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</si>
  <si>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</si>
  <si>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</si>
  <si>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</si>
  <si>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</si>
  <si>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</si>
  <si>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</si>
  <si>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</si>
  <si>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</si>
  <si>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</si>
  <si>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</si>
  <si>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</si>
  <si>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</si>
  <si>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</si>
  <si>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</si>
  <si>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</si>
  <si>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</si>
  <si>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</si>
  <si>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</si>
  <si>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</si>
  <si>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</si>
  <si>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</si>
  <si>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</si>
  <si>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</si>
  <si>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</si>
  <si>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</si>
  <si>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</si>
  <si>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</si>
  <si>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</si>
  <si>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</si>
  <si>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</si>
  <si>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</si>
  <si>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</si>
  <si>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</si>
  <si>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</si>
  <si>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</si>
  <si>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</si>
  <si>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</si>
  <si>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</si>
  <si>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</si>
  <si>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</si>
  <si>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</si>
  <si>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</si>
  <si>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</si>
  <si>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</si>
  <si>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</si>
  <si>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</si>
  <si>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</si>
  <si>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</si>
  <si>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</si>
  <si>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</si>
  <si>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</si>
  <si>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</si>
  <si>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</si>
  <si>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</si>
  <si>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</si>
  <si>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</si>
  <si>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</si>
  <si>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</si>
  <si>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</si>
  <si>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</si>
  <si>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</si>
  <si>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</si>
  <si>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</si>
  <si>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</si>
  <si>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</si>
  <si>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</si>
  <si>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</si>
  <si>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</si>
  <si>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</si>
  <si>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</si>
  <si>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</si>
  <si>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</si>
  <si>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</si>
  <si>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</si>
  <si>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</si>
  <si>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</si>
  <si>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</si>
  <si>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</si>
  <si>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</si>
  <si>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</si>
  <si>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</si>
  <si>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</si>
  <si>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</si>
  <si>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</si>
  <si>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</si>
  <si>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</si>
  <si>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</si>
  <si>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</si>
  <si>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</si>
  <si>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</si>
  <si>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</si>
  <si>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</si>
  <si>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</si>
  <si>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</si>
  <si>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</si>
  <si>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</si>
  <si>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</si>
  <si>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</si>
  <si>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</si>
  <si>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</si>
  <si>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</si>
  <si>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</si>
  <si>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</si>
  <si>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</si>
  <si>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</si>
  <si>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</si>
  <si>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</si>
  <si>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</si>
  <si>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</si>
  <si>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</si>
  <si>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</si>
  <si>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</si>
  <si>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</si>
  <si>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</si>
  <si>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</si>
  <si>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</si>
  <si>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</si>
  <si>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</si>
  <si>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</si>
  <si>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</si>
  <si>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</si>
  <si>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</si>
  <si>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</si>
  <si>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</si>
  <si>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</si>
  <si>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</si>
  <si>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</si>
  <si>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</si>
  <si>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</si>
  <si>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</si>
  <si>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</si>
  <si>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</si>
  <si>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</si>
  <si>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</si>
  <si>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</si>
  <si>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</si>
  <si>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</si>
  <si>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</si>
  <si>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</si>
  <si>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</si>
  <si>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</si>
  <si>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</si>
  <si>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</si>
  <si>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</si>
  <si>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</si>
  <si>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</si>
  <si>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</si>
  <si>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</si>
  <si>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</si>
  <si>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</si>
  <si>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</si>
  <si>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</si>
  <si>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</si>
  <si>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</si>
  <si>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</si>
  <si>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</si>
  <si>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Myanmar</t>
  </si>
  <si>
    <t>Côte d'Ivoire</t>
  </si>
  <si>
    <t>Guinea-Bissau</t>
  </si>
  <si>
    <t>Timor-Leste</t>
  </si>
  <si>
    <t>Congo</t>
  </si>
  <si>
    <t>Viet Nam</t>
  </si>
  <si>
    <t>China</t>
  </si>
  <si>
    <t>Russian Federation</t>
  </si>
  <si>
    <t>Latvia</t>
  </si>
  <si>
    <t>Brunei Darussalam</t>
  </si>
  <si>
    <t>COUNTRY</t>
  </si>
  <si>
    <t>Gender Inequality Index</t>
  </si>
  <si>
    <t>MIN</t>
  </si>
  <si>
    <t>MAX</t>
  </si>
  <si>
    <t>Iso3</t>
  </si>
  <si>
    <t>Palestine</t>
  </si>
  <si>
    <t>Unit of Measurament</t>
  </si>
  <si>
    <t>Number</t>
  </si>
  <si>
    <t>Index</t>
  </si>
  <si>
    <t>Income Gini coefficient</t>
  </si>
  <si>
    <t>Micronesia</t>
  </si>
  <si>
    <t>(a-z)</t>
  </si>
  <si>
    <t>Land area (sq. km)</t>
  </si>
  <si>
    <t>sq. Km</t>
  </si>
  <si>
    <t>Bolivia</t>
  </si>
  <si>
    <t>Cabo Verde</t>
  </si>
  <si>
    <t>Korea DPR</t>
  </si>
  <si>
    <t>Congo DR</t>
  </si>
  <si>
    <t>Iran</t>
  </si>
  <si>
    <t>Korea Republic of</t>
  </si>
  <si>
    <t>Moldova Republic of</t>
  </si>
  <si>
    <t>Syria</t>
  </si>
  <si>
    <t>Tanzania</t>
  </si>
  <si>
    <t>United Kingdom</t>
  </si>
  <si>
    <t>Venezuela</t>
  </si>
  <si>
    <t>Total Population</t>
  </si>
  <si>
    <t>x</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</si>
  <si>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</si>
  <si>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</si>
  <si>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</si>
  <si>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</si>
  <si>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</si>
  <si>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</si>
  <si>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</si>
  <si>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</si>
  <si>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</si>
  <si>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</si>
  <si>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</si>
  <si>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</si>
  <si>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</si>
  <si>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</si>
  <si>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</si>
  <si>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</si>
  <si>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</si>
  <si>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</si>
  <si>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</si>
  <si>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</si>
  <si>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</si>
  <si>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</si>
  <si>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</si>
  <si>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</si>
  <si>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</si>
  <si>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</si>
  <si>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</si>
  <si>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</si>
  <si>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</si>
  <si>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</si>
  <si>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</si>
  <si>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</si>
  <si>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</si>
  <si>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</si>
  <si>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</si>
  <si>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</si>
  <si>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</si>
  <si>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</si>
  <si>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</si>
  <si>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</si>
  <si>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</si>
  <si>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</si>
  <si>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</si>
  <si>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</si>
  <si>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</si>
  <si>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</si>
  <si>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</si>
  <si>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</si>
  <si>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</si>
  <si>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</si>
  <si>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</si>
  <si>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</si>
  <si>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</si>
  <si>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</si>
  <si>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</si>
  <si>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</si>
  <si>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</si>
  <si>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</si>
  <si>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</si>
  <si>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</si>
  <si>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</si>
  <si>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</si>
  <si>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</si>
  <si>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</si>
  <si>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</si>
  <si>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</si>
  <si>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</si>
  <si>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</si>
  <si>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</si>
  <si>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</si>
  <si>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</si>
  <si>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</si>
  <si>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</si>
  <si>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</si>
  <si>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</si>
  <si>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</si>
  <si>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</si>
  <si>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</si>
  <si>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</si>
  <si>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</si>
  <si>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</si>
  <si>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</si>
  <si>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</si>
  <si>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</si>
  <si>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</si>
  <si>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</si>
  <si>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</si>
  <si>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</si>
  <si>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</si>
  <si>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</si>
  <si>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</si>
  <si>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</si>
  <si>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</si>
  <si>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</si>
  <si>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</si>
  <si>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</si>
  <si>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</si>
  <si>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</si>
  <si>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</si>
  <si>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</si>
  <si>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</si>
  <si>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</si>
  <si>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</si>
  <si>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</si>
  <si>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</si>
  <si>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</si>
  <si>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</si>
  <si>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</si>
  <si>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</si>
  <si>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</si>
  <si>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</si>
  <si>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</si>
  <si>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</si>
  <si>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</si>
  <si>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</si>
  <si>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</si>
  <si>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</si>
  <si>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</si>
  <si>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</si>
  <si>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</si>
  <si>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</si>
  <si>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</si>
  <si>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</si>
  <si>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</si>
  <si>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</si>
  <si>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</si>
  <si>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</si>
  <si>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</si>
  <si>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</si>
  <si>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</si>
  <si>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</si>
  <si>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</si>
  <si>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</si>
  <si>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</si>
  <si>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</si>
  <si>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</si>
  <si>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</si>
  <si>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</si>
  <si>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</si>
  <si>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</si>
  <si>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</si>
  <si>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</si>
  <si>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</si>
  <si>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</si>
  <si>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</si>
  <si>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</si>
  <si>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</si>
  <si>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</si>
  <si>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</si>
  <si>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</si>
  <si>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</si>
  <si>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</si>
  <si>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</si>
  <si>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</si>
  <si>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</si>
  <si>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</si>
  <si>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</si>
  <si>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</si>
  <si>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</si>
  <si>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</si>
  <si>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</si>
  <si>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</si>
  <si>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</si>
  <si>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</si>
  <si>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</si>
  <si>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</si>
  <si>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</si>
  <si>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</si>
  <si>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</si>
  <si>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</si>
  <si>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</si>
  <si>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</si>
  <si>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</si>
  <si>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</si>
  <si>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</si>
  <si>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</si>
  <si>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</si>
  <si>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</si>
  <si>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</si>
  <si>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</si>
  <si>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</si>
  <si>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</si>
  <si>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</si>
  <si>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</si>
  <si>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</si>
  <si>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</si>
  <si>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</si>
  <si>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</si>
  <si>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</si>
  <si>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</si>
  <si>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</si>
  <si>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</si>
  <si>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</si>
  <si>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</si>
  <si>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</si>
  <si>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</si>
  <si>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</si>
  <si>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</si>
  <si>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</si>
  <si>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</si>
  <si>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</si>
  <si>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</si>
  <si>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</si>
  <si>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</si>
  <si>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</si>
  <si>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</si>
  <si>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</si>
  <si>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</si>
  <si>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</si>
  <si>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</si>
  <si>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</si>
  <si>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</si>
  <si>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</si>
  <si>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</si>
  <si>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</si>
  <si>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</si>
  <si>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</si>
  <si>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</si>
  <si>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</si>
  <si>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</si>
  <si>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</si>
  <si>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</si>
  <si>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</si>
  <si>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</si>
  <si>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</si>
  <si>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</si>
  <si>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</si>
  <si>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</si>
  <si>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</si>
  <si>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</si>
  <si>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</si>
  <si>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</si>
  <si>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</si>
  <si>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</si>
  <si>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</si>
  <si>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</si>
  <si>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</si>
  <si>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</si>
  <si>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</si>
  <si>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</si>
  <si>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</si>
  <si>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</si>
  <si>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</si>
  <si>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</si>
  <si>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</si>
  <si>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</si>
  <si>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</si>
  <si>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</si>
  <si>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</si>
  <si>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</si>
  <si>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</si>
  <si>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</si>
  <si>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</si>
  <si>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</si>
  <si>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</si>
  <si>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</si>
  <si>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</si>
  <si>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</si>
  <si>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</si>
  <si>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</si>
  <si>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</si>
  <si>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</si>
  <si>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</si>
  <si>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</si>
  <si>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</si>
  <si>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</si>
  <si>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</si>
  <si>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</si>
  <si>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</si>
  <si>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</si>
  <si>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</si>
  <si>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</si>
  <si>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</si>
  <si>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</si>
  <si>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</si>
  <si>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</si>
  <si>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</si>
  <si>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</si>
  <si>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</si>
  <si>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</si>
  <si>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</si>
  <si>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</si>
  <si>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</si>
  <si>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</si>
  <si>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</si>
  <si>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</si>
  <si>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</si>
  <si>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</si>
  <si>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</si>
  <si>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</si>
  <si>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</si>
  <si>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</si>
  <si>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</si>
  <si>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</si>
  <si>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</si>
  <si>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</si>
  <si>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</si>
  <si>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</si>
  <si>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</si>
  <si>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</si>
  <si>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</si>
  <si>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</si>
  <si>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</si>
  <si>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</si>
  <si>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</si>
  <si>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</si>
  <si>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</si>
  <si>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</si>
  <si>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</si>
  <si>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</si>
  <si>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</si>
  <si>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</si>
  <si>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</si>
  <si>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</si>
  <si>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OCHA 11/2018</t>
  </si>
  <si>
    <t>https://www.humanitarianresponse.info/sites/www.humanitarianresponse.info/files/documents/files/13022018_ocha_humanitarian_needs_overview.pdf</t>
  </si>
  <si>
    <t xml:space="preserve">IDPs, returnees, host and non-host. </t>
  </si>
  <si>
    <t>Crisis Group 26/07/2018</t>
  </si>
  <si>
    <t>https://www.crisisgroup.org/africa/west-africa/nigeria/262-stopping-nigerias-spiralling-farmer-herder-violence</t>
  </si>
  <si>
    <t xml:space="preserve">There is no data on the number of people in need facing limited access constraints </t>
  </si>
  <si>
    <t>https://data.worldbank.org/indicator/SP.POP.TOTL</t>
  </si>
  <si>
    <t>https://data.worldbank.org/indicator/AG.LND.TOTL.K2?locations=KP</t>
  </si>
  <si>
    <t>All country is considered to be affected</t>
  </si>
  <si>
    <t>Country population</t>
  </si>
  <si>
    <t>https://data.worldbank.org/indicator/AG.LND.TOTL.K2?locations=YE</t>
  </si>
  <si>
    <t>OCHA 2018</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</si>
  <si>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</si>
  <si>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</si>
  <si>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</si>
  <si>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</si>
  <si>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</si>
  <si>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</si>
  <si>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</si>
  <si>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</si>
  <si>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 xml:space="preserve">IDPs, refugees from Cameroon, returnees, host and non-host. </t>
  </si>
  <si>
    <t>Observatorio Venezolano de Violencia 27/12/2018</t>
  </si>
  <si>
    <t>IMF Accessed 25/01/2019</t>
  </si>
  <si>
    <t>The whole country is affected by the crisis</t>
  </si>
  <si>
    <t>Injuries during protests or from police and military brutality are likely to occur, but lack of data to give a real estimation</t>
  </si>
  <si>
    <t xml:space="preserve">People reportedly abandoning their houses + basic services infrastructures stopping working </t>
  </si>
  <si>
    <t>https://www.imf.org/external/datamapper/PPPGDP@WEO/OEMDC/ADVEC/WEOWORLD/VEN</t>
  </si>
  <si>
    <t>Substraction from pre-crisis GDP in 2014 (543 and forecasted 2018 GDP (320.140 billion dollars)</t>
  </si>
  <si>
    <t>https://data.humdata.org/dataset/sadc-rvaa-estimated-population-2018</t>
  </si>
  <si>
    <t>Total population in country in 2018 (estimations)</t>
  </si>
  <si>
    <t>SADC 01/10/2018</t>
  </si>
  <si>
    <t>No cases of injuries directly related to the crisis</t>
  </si>
  <si>
    <t>No cases of fatalities directly related to the crisis</t>
  </si>
  <si>
    <t>No damages related to the crisis</t>
  </si>
  <si>
    <t>Non host populations are affected by the drought</t>
  </si>
  <si>
    <t>There are no access constraints observed</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</si>
  <si>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</si>
  <si>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</si>
  <si>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</si>
  <si>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</si>
  <si>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 xml:space="preserve">OCHA </t>
  </si>
  <si>
    <t>https://reliefweb.int/sites/reliefweb.int/files/resources/acc-11_syr_overview_of_hard_to_reach_areas_20181029.pdf</t>
  </si>
  <si>
    <t>ACAPS ACCESS MAP</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</si>
  <si>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</si>
  <si>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</si>
  <si>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</si>
  <si>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</si>
  <si>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</si>
  <si>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HNO 2019</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</si>
  <si>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</si>
  <si>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</si>
  <si>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</si>
  <si>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</si>
  <si>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</si>
  <si>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</si>
  <si>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</si>
  <si>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</si>
  <si>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</si>
  <si>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</si>
  <si>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</si>
  <si>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</si>
  <si>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</si>
  <si>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</si>
  <si>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</si>
  <si>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</si>
  <si>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</si>
  <si>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</si>
  <si>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</si>
  <si>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</si>
  <si>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</si>
  <si>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</si>
  <si>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</si>
  <si>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</si>
  <si>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</si>
  <si>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</si>
  <si>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</si>
  <si>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</si>
  <si>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</si>
  <si>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</si>
  <si>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</si>
  <si>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</si>
  <si>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</si>
  <si>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</si>
  <si>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</si>
  <si>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</si>
  <si>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</si>
  <si>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</si>
  <si>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</si>
  <si>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</si>
  <si>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</si>
  <si>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</si>
  <si>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</si>
  <si>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</si>
  <si>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</si>
  <si>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</si>
  <si>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</si>
  <si>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</si>
  <si>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</si>
  <si>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</si>
  <si>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</si>
  <si>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</si>
  <si>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</si>
  <si>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 xml:space="preserve">The whole country is affected by the crisis: total population </t>
  </si>
  <si>
    <t xml:space="preserve">No data available </t>
  </si>
  <si>
    <t>https://www.acleddata.com/data/</t>
  </si>
  <si>
    <t>No available data</t>
  </si>
  <si>
    <t xml:space="preserve">Refugees, asylum seekers and others of concern + host </t>
  </si>
  <si>
    <t>Shelter cluster Nov 2018</t>
  </si>
  <si>
    <t>https://www.sheltercluster.org/sites/default/files/docs/one_page_factsheet_nov_2018_0.pdf</t>
  </si>
  <si>
    <t>A total of the number of Palestinian injuries resulting directly from conflict between June and December 2018.</t>
  </si>
  <si>
    <t xml:space="preserve">https://www.ochaopt.org/reports/protection-of-civilians, </t>
  </si>
  <si>
    <t>The number of houses that experienced minro, major and severe damage during 2014 war.</t>
  </si>
  <si>
    <t>The total of houses destroyed in Gaza by the 2014 war, as well as housing demolitions in the West Bank and East Jerusalem as of November 2018.</t>
  </si>
  <si>
    <t xml:space="preserve">There are IDP's, refugees, host and non-host groups in Gaza, the West Bank and East Jerusalem. </t>
  </si>
  <si>
    <t>Acaps Access Map</t>
  </si>
  <si>
    <t>Total Square kilometers of Teknaf and Ukhia Upazila</t>
  </si>
  <si>
    <t xml:space="preserve">There is no indication that there are direct access constraints. </t>
  </si>
  <si>
    <t>http://www.searo.who.int/bangladesh/mmwb/en/</t>
  </si>
  <si>
    <t>UNICEF 01/2019</t>
  </si>
  <si>
    <t>TheNews 05/26/2017</t>
  </si>
  <si>
    <t>http://www.pbs.gov.pk/sites/default/files/PAKISTAN%20TEHSIL%20WISE%20FOR%20WEB%20CENSUS_2017.pdf</t>
  </si>
  <si>
    <t>No data on crisis related damages</t>
  </si>
  <si>
    <t xml:space="preserve">In fiscal year 2017, $3.88 billion (Rs407.2 billion) losses to economy were recorded. There is no updated sources for 2018. </t>
  </si>
  <si>
    <t xml:space="preserve">Returnees, IDPs, Afghan refugees, host and non-host </t>
  </si>
  <si>
    <t xml:space="preserve">No data on crisis related injuries </t>
  </si>
  <si>
    <t>UNHCR 31/12/2018</t>
  </si>
  <si>
    <t>Gov Leb 2001</t>
  </si>
  <si>
    <t>LCRP 2017-2020 (2019 Update) /</t>
  </si>
  <si>
    <t>https://data.worldbank.org/indicator/sp.pop.totl?page=2</t>
  </si>
  <si>
    <t>http://www.moe.gov.lb/ledo/soer2001pdf/appendix.pdf</t>
  </si>
  <si>
    <t>https://reliefweb.int/sites/reliefweb.int/files/resources/67780.pdf</t>
  </si>
  <si>
    <t>https://data.humdata.org/dataset/madagascar-administrative-level-0-4-population-statistics</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</si>
  <si>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</si>
  <si>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</si>
  <si>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</si>
  <si>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</si>
  <si>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</si>
  <si>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</si>
  <si>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</si>
  <si>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</si>
  <si>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</si>
  <si>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</si>
  <si>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</si>
  <si>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</si>
  <si>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</si>
  <si>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</si>
  <si>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</si>
  <si>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No damages due to drought</t>
  </si>
  <si>
    <t>UNHCR 11/2018</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</si>
  <si>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</si>
  <si>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</si>
  <si>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</si>
  <si>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</si>
  <si>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</si>
  <si>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</si>
  <si>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</si>
  <si>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</si>
  <si>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</si>
  <si>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 OCHA 2019</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</si>
  <si>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</si>
  <si>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</si>
  <si>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 https://www.unocha.org/southern-and-eastern-africa-rosea/eritrea</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</si>
  <si>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</si>
  <si>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</si>
  <si>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</si>
  <si>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No information available</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</si>
  <si>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t>
  </si>
  <si>
    <t xml:space="preserve">IDPS + refugees, asylum seekers and others of concern + returnees + host + non-host </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</si>
  <si>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</si>
  <si>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</si>
  <si>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</si>
  <si>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</si>
  <si>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VOA 24/01/2019</t>
  </si>
  <si>
    <t>http://www.statistics-cameroon.org/downloads/Rapport_de_presentation_3_RGPH.pdf</t>
  </si>
  <si>
    <t>https://www.acleddata.com/</t>
  </si>
  <si>
    <t>IDPS, refugees, returnees (from Libya), host, and non-host</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</si>
  <si>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</si>
  <si>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</si>
  <si>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</si>
  <si>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</si>
  <si>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</si>
  <si>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</si>
  <si>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</si>
  <si>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</si>
  <si>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IMF accessed 12/02/2019
Institute for Economics and Peace 11/2018</t>
  </si>
  <si>
    <t>https://data.worldbank.org/indicator/AG.SRF.TOTL.K2</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</si>
  <si>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</si>
  <si>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</si>
  <si>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</si>
  <si>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</si>
  <si>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</si>
  <si>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</si>
  <si>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</si>
  <si>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</si>
  <si>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</si>
  <si>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</si>
  <si>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</si>
  <si>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</si>
  <si>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</si>
  <si>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</si>
  <si>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</si>
  <si>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UNFPA, UNHCR</t>
  </si>
  <si>
    <t xml:space="preserve"> Bassikounou commune, next to which the Mbera camp is located</t>
  </si>
  <si>
    <t>Host, refs</t>
  </si>
  <si>
    <t>https://r4v.info/es/situations/platform</t>
  </si>
  <si>
    <t>DANE</t>
  </si>
  <si>
    <t>N/A</t>
  </si>
  <si>
    <t>OCHA HNO 15/01/2023</t>
  </si>
  <si>
    <t>UNICEF</t>
  </si>
  <si>
    <t>OCHA HNO 13/12/2018</t>
  </si>
  <si>
    <t>Statoids</t>
  </si>
  <si>
    <t>INE 2018</t>
  </si>
  <si>
    <t>INE 2013</t>
  </si>
  <si>
    <t>https://databank.worldbank.org/data/views/reports/reportwidget.aspx?Report_Name=CountryProfile&amp;Id=b450fd57&amp;tbar=y&amp;dd=y&amp;inf=n&amp;zm=n&amp;country=COL</t>
  </si>
  <si>
    <t>https://reliefweb.int/sites/reliefweb.int/files/resources/14012019_hno_2019_es.pdf</t>
  </si>
  <si>
    <t>https://reliefweb.int/sites/reliefweb.int/files/resources/UNICEF%20Djibouti%20Situation%20Report_Year%20End%202018.pdf</t>
  </si>
  <si>
    <t>http://missingmigrants.iom.int/downloads</t>
  </si>
  <si>
    <t>https://reliefweb.int/sites/reliefweb.int/files/resources/South_Sudan_2019_Humanitarian_Needs_Overview.pdf</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</si>
  <si>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</si>
  <si>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</si>
  <si>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</si>
  <si>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</si>
  <si>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</si>
  <si>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</si>
  <si>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</si>
  <si>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</si>
  <si>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</si>
  <si>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</si>
  <si>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</si>
  <si>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</si>
  <si>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</si>
  <si>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</si>
  <si>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</si>
  <si>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</si>
  <si>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</si>
  <si>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</si>
  <si>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</si>
  <si>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</si>
  <si>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</si>
  <si>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</si>
  <si>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No indication of PiN with limited access</t>
  </si>
  <si>
    <t>No indication of PinN with restricted access</t>
  </si>
  <si>
    <t>There is certainly a cost of answering to the influx but unclear what could be considered economic losses due to international displacement.</t>
  </si>
  <si>
    <t>No indications for access constraints.</t>
  </si>
  <si>
    <t>No economic losses expected due to mixed migration.</t>
  </si>
  <si>
    <t>No damages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</si>
  <si>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</si>
  <si>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</si>
  <si>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</si>
  <si>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</si>
  <si>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</si>
  <si>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</si>
  <si>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</si>
  <si>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</si>
  <si>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</si>
  <si>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</si>
  <si>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</si>
  <si>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(recent) damages due to international displacement.</t>
  </si>
  <si>
    <t>No indication of economic losses due to international displacement</t>
  </si>
  <si>
    <t>No (significant) access constraints.</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</si>
  <si>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</si>
  <si>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</si>
  <si>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</si>
  <si>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</si>
  <si>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No cases of damages reported</t>
  </si>
  <si>
    <t xml:space="preserve">No data available but limited access to detention centers where human rights abuses have been reported </t>
  </si>
  <si>
    <t>Population of Tindouf (49,149) + sahrawi refugees population (173,600)</t>
  </si>
  <si>
    <t>UNHCR 03/2018</t>
  </si>
  <si>
    <t>http://www.usc.es/export9/sites/webinstitucional/gl/institutos/ceso/descargas/UNHCR_Tindouf-Total-In-Camp-Population_March-2018.pdf</t>
  </si>
  <si>
    <t>Refugees</t>
  </si>
  <si>
    <t>No reports of access constraints</t>
  </si>
  <si>
    <t>https://www.unhcr.org/en-lk/news/press/2018/9/5bae473c4/tindouf-camps-planning-figures.html</t>
  </si>
  <si>
    <t>Sahrawi refugees</t>
  </si>
  <si>
    <t>Refugees, IDP, host and non host</t>
  </si>
  <si>
    <t>UNHCR (Jan 2019) / Kenya National Bureau of Statistics - Census 2009</t>
  </si>
  <si>
    <t>UNHCR 2019</t>
  </si>
  <si>
    <t>https://www.knbs.or.ke/download/population-distribution-by-sex-number-of-households-area-and-density-by-county-and-district/, https://www.unhcr.org/ke/wp-content/uploads/sites/2/2019/02/Kenya-Infographics_January-2019.pdf</t>
  </si>
  <si>
    <t>https://www.unhcr.org/ke/</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</si>
  <si>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</si>
  <si>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 xml:space="preserve">Refugee and host </t>
  </si>
  <si>
    <t xml:space="preserve">No information available </t>
  </si>
  <si>
    <t>Populationdata.net</t>
  </si>
  <si>
    <t>https://www.populationdata.net/pays/tchad/divisions</t>
  </si>
  <si>
    <t xml:space="preserve">Area of Lac region. The crisis affects the entirety of the region. </t>
  </si>
  <si>
    <t>The entire population of Lac region is affected by the crisis.</t>
  </si>
  <si>
    <t xml:space="preserve">No information available. </t>
  </si>
  <si>
    <t>Refugee, IDP, host, non-host, returnee</t>
  </si>
  <si>
    <t>https://www.humanitarianresponse.info/en/operations/chad/document/tchad-aper%C3%A7u-des-besoins-humanitaires-2019-hno-2019-21-dec-2018</t>
  </si>
  <si>
    <t>Refugee, IDP, Host, non-host, returnee</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</si>
  <si>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</si>
  <si>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</si>
  <si>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</si>
  <si>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</si>
  <si>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</si>
  <si>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</si>
  <si>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</si>
  <si>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</si>
  <si>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</si>
  <si>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</si>
  <si>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</si>
  <si>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</si>
  <si>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</si>
  <si>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 xml:space="preserve">Represents the total area of provinces affected by one or more crisis. </t>
  </si>
  <si>
    <t>http://web.turkstat.gov.tr/UstMenu.do?metod=temelist</t>
  </si>
  <si>
    <t xml:space="preserve">Represents the total population of provinces affected by one or more crisis. </t>
  </si>
  <si>
    <t>No information available.</t>
  </si>
  <si>
    <t>Figure represents the number of fatilities from the Kurdish conflict from August 2018-Early February 2019 (673) +  the number of migrants and refugees who died in Turkey August 2018-early February 2019 (116).</t>
  </si>
  <si>
    <t>Refugees, IDPs, host, non-host</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</si>
  <si>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</si>
  <si>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</si>
  <si>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</si>
  <si>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</si>
  <si>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</si>
  <si>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</si>
  <si>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</si>
  <si>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</si>
  <si>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 xml:space="preserve">The Syrian refugees crisis has not caused a significant number of partial damages. </t>
  </si>
  <si>
    <t xml:space="preserve">The Syrian refugees crisis has not caused a significant number of total damages. </t>
  </si>
  <si>
    <t>No comprehensive data about the number of fatalities among Syrian refugees</t>
  </si>
  <si>
    <t xml:space="preserve">No comprehensive data about the economic impact of  the Syrian refugee crisis in Turkey exists. This is a topic that is very politically divisive. </t>
  </si>
  <si>
    <t>Refugees, host</t>
  </si>
  <si>
    <t xml:space="preserve">Data about the number of Syrian refugees facing access constraints is unavailable </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</si>
  <si>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</si>
  <si>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</si>
  <si>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</si>
  <si>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</si>
  <si>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</si>
  <si>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The number of people facing limited access is unknown</t>
  </si>
  <si>
    <t>The number of people facing restricted access is unknown</t>
  </si>
  <si>
    <t>https://en.wikipedia.org/wiki/Provinces_of_Turkey
https://www.acleddata.com/
http://www.crisisgroup.be/interactives/turkey/</t>
  </si>
  <si>
    <t xml:space="preserve">
http://web.turkstat.gov.tr/UstMenu.do?metod=temelist
https://www.acleddata.com/
http://www.crisisgroup.be/interactives/turkey/</t>
  </si>
  <si>
    <t>http://www.internal-displacement.org/sites/default/files/2018-05/GRID%202018%20-%20Figure%20Analysis%20-%20TURKEY.pdf</t>
  </si>
  <si>
    <t xml:space="preserve">According to IDMC, up to 1,100,000 people could potentially be internally displaced in southeastern Turkey as a result of fighting between government forces and non-state armed groups. </t>
  </si>
  <si>
    <t>No data available.</t>
  </si>
  <si>
    <t>IDP, host, non-host</t>
  </si>
  <si>
    <t xml:space="preserve">The precise number of people in need facing access constraints is unknown. In general, humanitarian access in conflict-affected areas is extremely limited, which constrains both information gathering and servce delivery. </t>
  </si>
  <si>
    <t>Combined area of the regions identified by UNHCR as being affected. Regions included: Logone Occidental, Logone Oriental, Moyen Chari, Salamat, Mandoul.</t>
  </si>
  <si>
    <t xml:space="preserve">Combined population of the regions identified by UNHCR as being affected. Regions included: Logone Occidental, Logone Oriental, Moyen Chari, Salamat, Mandoul. </t>
  </si>
  <si>
    <t xml:space="preserve">In the absence of additional data, the PIN figure has been used as an approximation of the people affected. </t>
  </si>
  <si>
    <t>The presence of refugees from CAR has not been associated with damaged buildings</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</si>
  <si>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</si>
  <si>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</si>
  <si>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</si>
  <si>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The presence of refugees from Darfur has not been associated with damaged buildings</t>
  </si>
  <si>
    <t>Refugees, host communities</t>
  </si>
  <si>
    <t>OCHA 11/2018; OCHA 08/2018</t>
  </si>
  <si>
    <t>https://data.worldbank.org/indicator/SP.POP.TOTL?locations=IQ&amp;page=2</t>
  </si>
  <si>
    <t>http://documents.worldbank.org/curated/en/771451524124058858/pdf/125406-WP-PUBLIC-P163016-Iraq-Economic-Monitor-text-Spring-2018-4-18-18web.pdf</t>
  </si>
  <si>
    <t>no data available</t>
  </si>
  <si>
    <t xml:space="preserve"> https://reliefweb.int/sites/reliefweb.int/files/resources/irq_2019_hno.pdf
https://data2.unhcr.org/en/documents/download/67489</t>
  </si>
  <si>
    <t xml:space="preserve">all groups are affected as the syrian refugees are spread and living in camps, non camps as well as remote and urban areas. </t>
  </si>
  <si>
    <t>IBGE 2018</t>
  </si>
  <si>
    <t>https://www.ibge.gov.br/cidades-e-estados/rr.html</t>
  </si>
  <si>
    <t>Refugee, host</t>
  </si>
  <si>
    <t>AS and refs</t>
  </si>
  <si>
    <t>IDMC 09/2018</t>
  </si>
  <si>
    <t xml:space="preserve">No reliable data exists. </t>
  </si>
  <si>
    <t xml:space="preserve">Many buldings have been damaged and destroyed as a result of intercommunal conflict in several regions in Ethiopia. Shelter needs among the displaced population are a particular concern. Despite this, almost no reliable data has been collected. </t>
  </si>
  <si>
    <t xml:space="preserve">No reliable data exists concerning the economic impact of the complex crisis in ethiopia. </t>
  </si>
  <si>
    <t>IDPs, refugees, host, non-host</t>
  </si>
  <si>
    <t>https://reliefweb.int/sites/reliefweb.int/files/resources/201809-mid-year-figures.pdf</t>
  </si>
  <si>
    <t>Refugees from Mali in Mauritania</t>
  </si>
  <si>
    <t>Government of Bangladesh 2011, ISCG 01/2019</t>
  </si>
  <si>
    <t>https://data.humdata.org/dataset/acled-data-for-burkina-faso</t>
  </si>
  <si>
    <t xml:space="preserve">Collapase of the health infrastructure because of the conflict. The data available does not reflect the situation. </t>
  </si>
  <si>
    <t>OCHA as of 03/02/2019; Government of Burundi as of 17/02/2019; UNICEF January 2019</t>
  </si>
  <si>
    <t>HNO 2019, October 2018</t>
  </si>
  <si>
    <t>https://reliefweb.int/sites/reliefweb.int/files/resources/Situation%20Report%20-%20Burundi%20-%2031%20Jan%202019.pdf https://reliefweb.int/report/burundi/rapport-de-situation-n-13-sur-la-flamb-e-de-chol-ra-au-burundi-18-f-vrier-2019-donn https://reliefweb.int/sites/reliefweb.int/files/resources/2019-HAC-Burundi.pdf</t>
  </si>
  <si>
    <t>https://reliefweb.int/sites/reliefweb.int/files/resources/afg_2019_humanitarian_needs_overview.pdf https://data.humdata.org/dataset/afg-est-pop</t>
  </si>
  <si>
    <t>Same as total population as the whole country is affected by conflict (17m in worst affected districts) and food insecurity (two thirds of the country affected by drought).</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</si>
  <si>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</si>
  <si>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</si>
  <si>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</si>
  <si>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</si>
  <si>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</si>
  <si>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</si>
  <si>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</si>
  <si>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</si>
  <si>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</si>
  <si>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</si>
  <si>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</si>
  <si>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</si>
  <si>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</si>
  <si>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</si>
  <si>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</si>
  <si>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</si>
  <si>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</si>
  <si>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</si>
  <si>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</si>
  <si>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</si>
  <si>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</si>
  <si>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</si>
  <si>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</si>
  <si>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</si>
  <si>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</si>
  <si>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</si>
  <si>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</si>
  <si>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</si>
  <si>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</si>
  <si>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</si>
  <si>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</si>
  <si>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</si>
  <si>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</si>
  <si>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</si>
  <si>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</si>
  <si>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</si>
  <si>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</si>
  <si>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</si>
  <si>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</si>
  <si>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</si>
  <si>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</si>
  <si>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</si>
  <si>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</si>
  <si>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</si>
  <si>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</si>
  <si>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</si>
  <si>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 xml:space="preserve">No data for the amount of people affected due to the increased insecurity in Azad Kashmir. </t>
  </si>
  <si>
    <t xml:space="preserve">No data for the amount of injuries due to the increased insecurity in Azad Kashmir. </t>
  </si>
  <si>
    <t xml:space="preserve">No data for the amount of illnesses as a direct result of increased insecurity in Azad Kashmir. </t>
  </si>
  <si>
    <t xml:space="preserve">No data for the amount of crisis related damages due to the increased insecurity in Azad Kashmir. </t>
  </si>
  <si>
    <t xml:space="preserve">No data for the amount of total damages due to the increased insecurity in Azad Kashmir. </t>
  </si>
  <si>
    <t xml:space="preserve">No data on economic losses due to the increased insecurity in Azad Kashmir. </t>
  </si>
  <si>
    <t>Afghan refugees, host and non-host</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</si>
  <si>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</si>
  <si>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No mayor damaged in relation to this specific crisis recently reported.</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</si>
  <si>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</si>
  <si>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</si>
  <si>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</si>
  <si>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</si>
  <si>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Total population in country plus POCs as estimated by UNCHR</t>
  </si>
  <si>
    <t>Refs, host</t>
  </si>
  <si>
    <t>https://missingmigrants.iom.int/region/africa?region=1410</t>
  </si>
  <si>
    <t>as UNAMI is not publishing the injuries numbers anymore from Jan 2019 onwards, there is no data available</t>
  </si>
  <si>
    <t xml:space="preserve">No comprehensive information is available. According to WHO, 3084 suspected measles cases were recorded between 1 January and 17 February and 5336 cases were recorded in 2018. It is impossible, however, to derive the total number of ilnesses for the last 6 months. </t>
  </si>
  <si>
    <t>https://apps.who.int/iris/bitstream/handle/10665/310988/OEW08-1824022019.pdf</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</si>
  <si>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</si>
  <si>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</si>
  <si>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 xml:space="preserve">No comprehensive data available. </t>
  </si>
  <si>
    <t>https://databank.worldbank.org/data/reports.aspx?source=2&amp;country=TTO</t>
  </si>
  <si>
    <t>Total surface of the country</t>
  </si>
  <si>
    <t>Wolrd Bank</t>
  </si>
  <si>
    <t>n/a</t>
  </si>
  <si>
    <t>Due to lack of legal status many Venezuelans tend to hide and also lack access to basic services</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</si>
  <si>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</si>
  <si>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</si>
  <si>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</si>
  <si>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</si>
  <si>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</si>
  <si>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</si>
  <si>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</si>
  <si>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</si>
  <si>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</si>
  <si>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</si>
  <si>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</si>
  <si>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</si>
  <si>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</si>
  <si>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</si>
  <si>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</si>
  <si>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</si>
  <si>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</si>
  <si>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</si>
  <si>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</si>
  <si>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</si>
  <si>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</si>
  <si>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</si>
  <si>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</si>
  <si>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Total buildings damaged due to the BH crisis in Nigeria.</t>
  </si>
  <si>
    <t xml:space="preserve">Economic losses in Cameroon, no data from other crisis. </t>
  </si>
  <si>
    <t>World Bank 8/1/2018</t>
  </si>
  <si>
    <t>Non-host; IDPs</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</si>
  <si>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</si>
  <si>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</si>
  <si>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</si>
  <si>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</si>
  <si>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</si>
  <si>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</si>
  <si>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</si>
  <si>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There have been widespread reports of houses and other buildings being damaged/destroyed by the flooding, however the total number is currently unknown.</t>
  </si>
  <si>
    <t xml:space="preserve">No information about economic losses is available, though crops, infrastructure, property, and livestock have reportedly been affected. </t>
  </si>
  <si>
    <t>Figure represents the total area of Malawi. Food insecurity is prevalent throughout the country, and is not confined to one particular area.</t>
  </si>
  <si>
    <t>Nicaraguan refugees in Costa Rica</t>
  </si>
  <si>
    <t>CRI002</t>
  </si>
  <si>
    <t>Total surface of Cabo Delgado</t>
  </si>
  <si>
    <t>It is likely they people living in Cabo Delgado suffer some kind of mobility restrictions</t>
  </si>
  <si>
    <t>http://www.ipcinfo.org/fileadmin/user_upload/ipcinfo/docs/1_IPC_Djibouti_CFI_20182023.pdf</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</si>
  <si>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</si>
  <si>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Burnt shelters have been reported during Boko Haram attacks</t>
  </si>
  <si>
    <t xml:space="preserve">UNICEF 27/03/2019 R4V December 2018 NRC 18/12/2018 </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</si>
  <si>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</si>
  <si>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</si>
  <si>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 xml:space="preserve">Most sources put the number of Venezuelans at 40,000 but others estimate the actual number to be higher, at 60,000. </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</si>
  <si>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</si>
  <si>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</si>
  <si>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</si>
  <si>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</si>
  <si>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</si>
  <si>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</si>
  <si>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</si>
  <si>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</si>
  <si>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GoI 2011, india Population 2018</t>
  </si>
  <si>
    <t xml:space="preserve">https://www.census2011.co.in/states.php http://indiapopulation2018.in/population-of-telangana-2018.html </t>
  </si>
  <si>
    <t>GoI 2011</t>
  </si>
  <si>
    <t>https://www.census2011.co.in/states.php</t>
  </si>
  <si>
    <t>refugees and host community is affected</t>
  </si>
  <si>
    <t>Humanitarian Access Overview ACAPS 04/2019</t>
  </si>
  <si>
    <t>People living in affected area - people affected by the crisis</t>
  </si>
  <si>
    <t>ACAPS 04/2019</t>
  </si>
  <si>
    <t>https://reliefweb.int/sites/reliefweb.int/files/resources/irq_2019_hno.pdf</t>
  </si>
  <si>
    <t>https://data2.unhcr.org/en/situations/syria/location/5</t>
  </si>
  <si>
    <t xml:space="preserve">ACAPS ACCESS MAP </t>
  </si>
  <si>
    <t>https://reliefweb.int/sites/reliefweb.int/files/resources/01022019_ocha_nigeria_humanitarian_needs_overview.pdf</t>
  </si>
  <si>
    <t>Whole population living in Diffa</t>
  </si>
  <si>
    <t>Population living in the Liptako-Gourma regions of Niger,  Tahoua and Tillaberi, excluding the city of Niamey and including Malian refugees</t>
  </si>
  <si>
    <t>Overall number of people affected by the crisis, including Malian refugees</t>
  </si>
  <si>
    <t>OCHA 11/2019</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</si>
  <si>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</si>
  <si>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</si>
  <si>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</si>
  <si>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</si>
  <si>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</si>
  <si>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</si>
  <si>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 xml:space="preserve">Population exposed = population affected </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</si>
  <si>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</si>
  <si>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</si>
  <si>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</si>
  <si>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 xml:space="preserve">UNHCR 28/09/2018, UNSC 27/04/2018 </t>
  </si>
  <si>
    <t>Regional Kashmir conflict</t>
  </si>
  <si>
    <t>REG003</t>
  </si>
  <si>
    <t>India, Pakistan</t>
  </si>
  <si>
    <t>IND, PAK</t>
  </si>
  <si>
    <t>UNHCR 18/10/2018
UNHCR 12/31/2018
PBS 2017  GoI 2011, india Population 2018</t>
  </si>
  <si>
    <t>PBS 2017; GoI 2011</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</si>
  <si>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</si>
  <si>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</si>
  <si>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</si>
  <si>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No data available. </t>
  </si>
  <si>
    <t>all groups are affected</t>
  </si>
  <si>
    <t>http://yemeneoc.org/bi/</t>
  </si>
  <si>
    <t>https://www.acleddata.com/data/ http://yemeneoc.org/bi/ https://missingmigrants.iom.int/region/africa?region=1410</t>
  </si>
  <si>
    <t xml:space="preserve">There is limited data available of those people affected by the Kashmir conflict, although it is likely that Afghan refugees, host and non-host groups as well as IDPs are affected. </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</si>
  <si>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</si>
  <si>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</si>
  <si>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</si>
  <si>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</si>
  <si>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</si>
  <si>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</si>
  <si>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</si>
  <si>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</si>
  <si>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</si>
  <si>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</si>
  <si>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</si>
  <si>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</si>
  <si>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</si>
  <si>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</si>
  <si>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</si>
  <si>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</si>
  <si>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</si>
  <si>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</si>
  <si>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</si>
  <si>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</si>
  <si>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</si>
  <si>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</si>
  <si>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</si>
  <si>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</si>
  <si>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</si>
  <si>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</si>
  <si>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 xml:space="preserve">People in need - total number of people living in the affected area </t>
  </si>
  <si>
    <t>Population affected = population in need</t>
  </si>
  <si>
    <t xml:space="preserve">Refugees and host population </t>
  </si>
  <si>
    <t>Total sq.km.</t>
  </si>
  <si>
    <t>ISO3 code</t>
  </si>
  <si>
    <t>Flood</t>
  </si>
  <si>
    <t>International displacement</t>
  </si>
  <si>
    <t>Regional crisis</t>
  </si>
  <si>
    <t>Political and economic crisis</t>
  </si>
  <si>
    <t>Food security</t>
  </si>
  <si>
    <t>Other type of violence</t>
  </si>
  <si>
    <t>TYPE</t>
  </si>
  <si>
    <t>ACAPS Humanitarian Overview 4/2019</t>
  </si>
  <si>
    <t>Kashmir Regional conflict</t>
  </si>
  <si>
    <t xml:space="preserve">ACLED  </t>
  </si>
  <si>
    <t>01/10/2018-31/03/2019</t>
  </si>
  <si>
    <t>https://reliefweb.int/report/cameroon/cameroun-aper-u-des-besoins-humanitaires-2019-janvier-2019 https://data.humdata.org/dataset/cameroon-humanitarian-needs-overview</t>
  </si>
  <si>
    <t>IDPs, Refugees, Host, Non-Host, Returnees</t>
  </si>
  <si>
    <t xml:space="preserve">The population faces limited access to assistance, only few humanitarian organizations are allowed to operate. However it is hard to do an estimation. </t>
  </si>
  <si>
    <t>Mixed Migration Flows in Eritrea</t>
  </si>
  <si>
    <t>Tropical Cyclone Kenneth in Comoros</t>
  </si>
  <si>
    <t>Tropical Cyclone Kenneth in Mozambique</t>
  </si>
  <si>
    <t>https://www.euronews.com/2019/04/11/world-bank-puts-mozambiques-economic-losses-from-cyclone-idai-at-up-to-773-million</t>
  </si>
  <si>
    <t>World Bank 11/04/2019</t>
  </si>
  <si>
    <t>It is the surface of the departments where more than 100,000 Venezuelans migrants are reported: Antioquia, Atlantico, Bogota, Cundinamarca, La Guajira, Norte de Santander, Santander</t>
  </si>
  <si>
    <t>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t>
  </si>
  <si>
    <t>https://data.humdata.org/dataset/colombia-admin-level-4-boundaries</t>
  </si>
  <si>
    <t>Non-host, host, refugees, returnees</t>
  </si>
  <si>
    <t xml:space="preserve">VEN: The population faces limited access to assistance, only few humanitarian organizations are allowed to operate. However it is hard to do an estimation. </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</si>
  <si>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</si>
  <si>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</si>
  <si>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</si>
  <si>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ACAPS Access MAP</t>
  </si>
  <si>
    <t>People facing access contraints in Nigeria</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</si>
  <si>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</si>
  <si>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</si>
  <si>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</si>
  <si>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</si>
  <si>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Refugees and migrants in Greece according to UNHCR</t>
  </si>
  <si>
    <t>Information gaps</t>
  </si>
  <si>
    <t>http://humanitarianaccess.acaps.org/</t>
  </si>
  <si>
    <t>Acaps Acces map score</t>
  </si>
  <si>
    <t>humanitarianaccess.acaps.org/</t>
  </si>
  <si>
    <t xml:space="preserve">No Data Availble but it assumed that number of injuries caused by the displacement crisis is too low to have an effect in the model. Therefore we scored this indicator 0. </t>
  </si>
  <si>
    <t xml:space="preserve">refugees and host population </t>
  </si>
  <si>
    <t>UNHCR 15/05/2019</t>
  </si>
  <si>
    <t>Complex in Burundi</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</si>
  <si>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</si>
  <si>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</si>
  <si>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Gov of Mozambique 10/05/2019; OCHA 06/04/2019</t>
  </si>
  <si>
    <t>Gov of Mozambique 10/05/2019; OCHA 06/04/2019; ACLED October 2017-February 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</si>
  <si>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</si>
  <si>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PBS 2017</t>
  </si>
  <si>
    <t xml:space="preserve">See the individual crises </t>
  </si>
  <si>
    <t xml:space="preserve">The injuries recorded in Syria caused by the conflict in the last six months (until April 2019) </t>
  </si>
  <si>
    <t xml:space="preserve">No recent reliable data available </t>
  </si>
  <si>
    <t xml:space="preserve">The syrian number of affected groups in the affected area </t>
  </si>
  <si>
    <t>Injuries reported</t>
  </si>
  <si>
    <t>Illness cases reported</t>
  </si>
  <si>
    <t>Fatalities reported</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</si>
  <si>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</si>
  <si>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</si>
  <si>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</si>
  <si>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</si>
  <si>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</si>
  <si>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</si>
  <si>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</si>
  <si>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</si>
  <si>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</si>
  <si>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</si>
  <si>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</si>
  <si>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 xml:space="preserve">Total landmass as the whole country is considered affected by the complex crisis </t>
  </si>
  <si>
    <t xml:space="preserve">Total population as the whole country is considered affected by the complex crisis </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</si>
  <si>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</si>
  <si>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</si>
  <si>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</si>
  <si>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</si>
  <si>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</si>
  <si>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 xml:space="preserve">IPC population estimate February to June 2019 </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</si>
  <si>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</si>
  <si>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</si>
  <si>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</si>
  <si>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</si>
  <si>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</si>
  <si>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</si>
  <si>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</si>
  <si>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</si>
  <si>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</si>
  <si>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Venezuela, Brazil, Colombia, Ecuador, Peru, Trinidad and Tobago</t>
  </si>
  <si>
    <t>VEN, BRA, COL, ECU, PER, TTO</t>
  </si>
  <si>
    <t>medium</t>
  </si>
  <si>
    <t>Eatern Mediterranean Route</t>
  </si>
  <si>
    <t>Complex crisis in Pakistan</t>
  </si>
  <si>
    <t>UNHCR 31/05/2019</t>
  </si>
  <si>
    <t>https://www.citypopulation.de/Sudan.html</t>
  </si>
  <si>
    <t xml:space="preserve">While we assume the food insecurity crisis may have caused some internal displacement, no reliable figures are availble. </t>
  </si>
  <si>
    <t>UNICEF 31/03/2019</t>
  </si>
  <si>
    <t xml:space="preserve">We assume there are no injuries caused by the crisis </t>
  </si>
  <si>
    <t xml:space="preserve">No reliable data available </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</si>
  <si>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</si>
  <si>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</si>
  <si>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 xml:space="preserve">We assume there are no damages </t>
  </si>
  <si>
    <t>https://reliefweb.int/sites/reliefweb.int/files/resources/HoA%20Joint%20Position%20Paper%20FAO%20UNICEF%20WFP%20Final.pdf</t>
  </si>
  <si>
    <t>No areas above IPC 3</t>
  </si>
  <si>
    <t xml:space="preserve">FEWSNET June - September 2019 </t>
  </si>
  <si>
    <t>Host, non host, refugee</t>
  </si>
  <si>
    <t xml:space="preserve">The whole country is affected by the food insecurity crisis. Therefore we use the data registered in this crisis for the country level. </t>
  </si>
  <si>
    <t xml:space="preserve">We damages caused by the crises </t>
  </si>
  <si>
    <t>UNHCR (31 May)
FEWSNET June - September 2019 / Kenya National Bureau of Statistics - Census 2009</t>
  </si>
  <si>
    <t xml:space="preserve">https://www.unhcr.org/ke/wp-content/uploads/sites/2/2018/06/Kenya-Infographics_May-2018.pdf
https://reliefweb.int/sites/reliefweb.int/files/resources/HoA%20Joint%20Position%20Paper%20FAO%20UNICEF%20WFP%20Final.pdf
</t>
  </si>
  <si>
    <t xml:space="preserve">host, non host, refugee </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</si>
  <si>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</si>
  <si>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</si>
  <si>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</si>
  <si>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</si>
  <si>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</si>
  <si>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</si>
  <si>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</si>
  <si>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</si>
  <si>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</si>
  <si>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</si>
  <si>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</si>
  <si>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</si>
  <si>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</si>
  <si>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</si>
  <si>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</si>
  <si>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</si>
  <si>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</si>
  <si>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</si>
  <si>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</si>
  <si>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</si>
  <si>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</si>
  <si>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</si>
  <si>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</si>
  <si>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</si>
  <si>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</si>
  <si>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</si>
  <si>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</si>
  <si>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</si>
  <si>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</si>
  <si>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</si>
  <si>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</si>
  <si>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</si>
  <si>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</si>
  <si>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</si>
  <si>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</si>
  <si>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</si>
  <si>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</si>
  <si>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</si>
  <si>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https://data.humdata.org/dataset/south-sudan-population-statistics
https://reliefweb.int/sites/reliefweb.int/files/resources/South_Sudan_2019_Humanitarian_Needs_Overview.pdf
http://www.ipcinfo.org/ipc-country-analysis/details-map/en/c/1151975/?iso3=SSD</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</si>
  <si>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</si>
  <si>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</si>
  <si>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</si>
  <si>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</si>
  <si>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</si>
  <si>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</si>
  <si>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</si>
  <si>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 xml:space="preserve">OCHA 01/02/2019 </t>
  </si>
  <si>
    <t xml:space="preserve">x </t>
  </si>
  <si>
    <t>The total square kilometers of Adamawa, Borno, and Yobe states</t>
  </si>
  <si>
    <t>Limited information available</t>
  </si>
  <si>
    <t>700 public buildings, 1,200 schools, 800 health facilities and 1,600 water supply sources have been destroyed in the conflict</t>
  </si>
  <si>
    <t xml:space="preserve">The economic impact of Boko Haram activities in the Northeast Nigeria is estimated at $9 billion </t>
  </si>
  <si>
    <t>Around 800,000 people live in areas that are inaccessible to humanitarian organisations</t>
  </si>
  <si>
    <t xml:space="preserve"> SFCG 01/2018; Crisis Group 26/07/2018; Council on Foreign Relations 20/12/2018; National Bureau of Statistics 2011</t>
  </si>
  <si>
    <t>https://www.sfcg.org/wp-content/uploads/2018/03/Responses-to-Conflicts-between-Farmers-and-Herders-in-the-Middle-Belt-FINAL.pdf https://www.crisisgroup.org/africa/west-africa/nigeria/262-stopping-nigerias-spiralling-farmer-herder-violence https://www.cfr.org/blog/numbers-behind-sectarian-violence-nigeria http://istmat.info/files/uploads/53129/annual_abstract_of_statistics_2011.pdf</t>
  </si>
  <si>
    <t>States considered affected by farmer-herder violence: Adamawa, Benue, Delta, Edo, Ekiti, Enugu, Gombe, Kaduna, Kano, Katsina, Kebbi, Nasarawa, Plateau, Rivers, Sokoto, and Taraba</t>
  </si>
  <si>
    <t>All people displaced by the crisis between September 2017 and June 2018 (no recent figures reported) are used as the affected population figure. There is no affected or PIN figure. Alternatively, the total population of the most affected states Benue, Plateau, Taraba, Adamawa, and Nasarawa could be used, which would lead to an affected population of 19,246,000 (people living in this area are more often exposed to farmer-herder violence and may be affected due to increased risk of food insecurity)</t>
  </si>
  <si>
    <t>Population affected = population exposed</t>
  </si>
  <si>
    <t>Due to limited available information it is not possible to identify the number of people experiencing level 2 humanitarian conditions. It is however expected that there are people in this level</t>
  </si>
  <si>
    <t>Due to limited available information it is not possible to identify the number of people experiencing level 3 humanitarian conditions</t>
  </si>
  <si>
    <t>IDPs, refugees, returnees, host and non-host</t>
  </si>
  <si>
    <t>There is no data on the number of people in need facing restricted acces constraints</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</si>
  <si>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</si>
  <si>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</si>
  <si>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700 public buildings, 1,200 schools, 800 health facilities and 1,600 water supply sources have been destroyed in the Boko Haram conflict</t>
  </si>
  <si>
    <t>The economic impact of Boko Haram activities in the North East is estimated at $9 billion</t>
  </si>
  <si>
    <t xml:space="preserve">Complex Crisis in Indonesia </t>
  </si>
  <si>
    <t>Papua Conflict</t>
  </si>
  <si>
    <t>IDN002</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</si>
  <si>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</si>
  <si>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 xml:space="preserve">IDPs, returnees, host and non-host </t>
  </si>
  <si>
    <t>Complex crisis in Malawi</t>
  </si>
  <si>
    <t xml:space="preserve">2018 population estimate </t>
  </si>
  <si>
    <t xml:space="preserve">No/limited available data/information  </t>
  </si>
  <si>
    <t xml:space="preserve">National Bureau of Statistics 2011
OCHA 01/02/2019 </t>
  </si>
  <si>
    <t>http://istmat.info/files/uploads/53129/annual_abstract_of_statistics_2011.pdf
https://reliefweb.int/sites/reliefweb.int/files/resources/01022019_ocha_nigeria_humanitarian_needs_overview.pdf</t>
  </si>
  <si>
    <t xml:space="preserve"> SFCG 01/2018 Crisis Group 26/07/2018 Council on Foreign Relations 20/12/2018 National Bureau of Statistics 2011</t>
  </si>
  <si>
    <t>UNHCR 20/12/2018 11/01/2019 National Bureau of Statistics 2011</t>
  </si>
  <si>
    <t xml:space="preserve">ACLED 01-05/2019 </t>
  </si>
  <si>
    <t>Total number of crisis related fatalities the last six months (January to June)</t>
  </si>
  <si>
    <t>The whole country is considered to be affected by drought and the political/economic crisis, therefore the total number of people exposed is total population - PIN</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</si>
  <si>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</si>
  <si>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</si>
  <si>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 xml:space="preserve">OCHA 2016; IOM 05/2019; UNHCR 06/2019; UNHCR 07/2019 </t>
  </si>
  <si>
    <t>https://data.humdata.org/dataset/nigeria-2016-population-data https://reliefweb.int/sites/reliefweb.int/files/resources/Nigeria%20-%20DTM%20Round%2027%20Report%20%28May%202019%29.pdf https://reliefweb.int/sites/reliefweb.int/files/resources/70341.pdf https://data2.unhcr.org/en/situations/nigeriasituation</t>
  </si>
  <si>
    <t>Total population in country (187,783,000) + returnees to northeast Nigeria (125,000) + Cameroonian refugees (40,000) - Nigerian refugees in Niger, Chad, and Cameroon (230,000)</t>
  </si>
  <si>
    <t>No/limited data/information available</t>
  </si>
  <si>
    <t>Total of people living in states considered affected by farmer-herder violence: Adamawa, Benue, Delta, Edo, Ekiti, Enugu, Gombe, Kaduna, Kano, Katsina, Kebbi, Nasarawa, Plateau, Rivers, Sokoto and Taraba</t>
  </si>
  <si>
    <t xml:space="preserve">No/limited data/information available </t>
  </si>
  <si>
    <t xml:space="preserve">28,213,808 population in country + 1.28 million returnees + 422,000 refugees + 150,000 migrants </t>
  </si>
  <si>
    <t>Figure represents registered Syrian refugees in Turkey. Host communities in Turkey are likely to be affected as well, but it is impossible to quantify how many. Data comes from the most recent operational update for UNHCR Turkey.</t>
  </si>
  <si>
    <t>There is no data to support that people might face level 4 of humanitarian conditions</t>
  </si>
  <si>
    <t xml:space="preserve">Total population of Djibouti is considered to be exposed to the flux of mixed migration, this is an overestimate, but due to the nature of the crisis it is difficult to determine the areas and host populations most exposed to the event. </t>
  </si>
  <si>
    <t>IPC 23/02/2018</t>
  </si>
  <si>
    <t xml:space="preserve">People in IPC level 2 and above plus refugees and asylum seekers, which are usualy not included in the food security analysis. </t>
  </si>
  <si>
    <t>https://data.worldbank.org/country/ethiopia
https://data2.unhcr.org/en/country/eth</t>
  </si>
  <si>
    <t>Sunda Strait Tsunami</t>
  </si>
  <si>
    <t>Complex crisis in Mozambique</t>
  </si>
  <si>
    <t>IPC May - September 2019 - 09/07/2019, World Bank 2019</t>
  </si>
  <si>
    <t>IOM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</si>
  <si>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</si>
  <si>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</si>
  <si>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</si>
  <si>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</si>
  <si>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</si>
  <si>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 xml:space="preserve">No reliable data is available. However, we assume that the total # crisis related injuries is zero or negligible. </t>
  </si>
  <si>
    <t>The whole population living in the affected area is affected by the conflict</t>
  </si>
  <si>
    <t>OCHA 12/2018
South Sudan National Bureau of Statistics 15/08/2018
IPC 01/2020</t>
  </si>
  <si>
    <t xml:space="preserve">11,385,139 total population estimate for mid-2019 + 300,000 refugees. </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</si>
  <si>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</si>
  <si>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</si>
  <si>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</si>
  <si>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</si>
  <si>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 xml:space="preserve">There have been widespread reports of houses and other buildings being damaged/destroyed by the flooding, however the total number is currently unknown. </t>
  </si>
  <si>
    <t>Landmass of districts analysed by IPC Acute Food Insecurity Analysis. Cabo Delgado, affected by violence and displacement, is already included in this figure.</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</si>
  <si>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</si>
  <si>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</si>
  <si>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</si>
  <si>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</si>
  <si>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</si>
  <si>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</si>
  <si>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</si>
  <si>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</si>
  <si>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</si>
  <si>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</si>
  <si>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</si>
  <si>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</si>
  <si>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</si>
  <si>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</si>
  <si>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 xml:space="preserve">The current Cholera outbreak in the Far North Region is not clearly connected to the Boko Haram crisis. Data on illnesses that can be related to the BH crisis is insufficient. </t>
  </si>
  <si>
    <t xml:space="preserve">Publicly available data is insufficient to give an approximate number of injuries. </t>
  </si>
  <si>
    <t xml:space="preserve">Reported deaths from Adamaoua and Est regions between February and July 2019 are not explicitly related to the CAR refugee crisis, and thus were not included. </t>
  </si>
  <si>
    <t>Not enough information available.</t>
  </si>
  <si>
    <t>IPDs, host, non host and refugees</t>
  </si>
  <si>
    <t>Not enough data available</t>
  </si>
  <si>
    <t>Sum of three different crises</t>
  </si>
  <si>
    <t>Not enough data available (consistency across crisis)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</si>
  <si>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</si>
  <si>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</si>
  <si>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</si>
  <si>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</si>
  <si>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</si>
  <si>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</si>
  <si>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https://reports.unocha.org/en/country/sudan/</t>
  </si>
  <si>
    <t>UNICEF 22/08/2019</t>
  </si>
  <si>
    <t>https://reliefweb.int/sites/reliefweb.int/files/resources/UNICEF%20Malawi%20Humanitarian%20Situation%20Report%20-%20July%202019.pdf</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</si>
  <si>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</si>
  <si>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OCHA 22/08/2019</t>
  </si>
  <si>
    <t xml:space="preserve">No representative data is available regarding the number of injuries from the complex emergency in Mali over the last six months. </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</si>
  <si>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</si>
  <si>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https://www.humanitarianresponse.info/sites/www.humanitarianresponse.info/files/documents/files/mli_plan_de_reponse_humanitaire_version_revisee_20190820_vf.pdf</t>
  </si>
  <si>
    <t>non-host</t>
  </si>
  <si>
    <t>Zambia CSO 2017, OCHA 2017, UNHCR 06/2019</t>
  </si>
  <si>
    <t>https://data.humdata.org/dataset/zambia-administrative-boundaries-level-1-provinces-and-level-2-districts-with-census-2010-population
https://reliefweb.int/sites/reliefweb.int/files/resources/67309.pdf
https://reliefweb.int/sites/reliefweb.int/files/resources/70886.pdf</t>
  </si>
  <si>
    <t xml:space="preserve">Total population (16405299)  + persons of concern into the county (mainly refugees and asylum seekers from DRC and Angola) </t>
  </si>
  <si>
    <t>https://reliefweb.int/sites/reliefweb.int/files/resources/IPC_Zambia_Acute%20Food%20Insecurity_2019May2020March.pdf
https://data.humdata.org/dataset/zambia-administrative-boundaries-level-1-provinces-and-level-2-districts-with-census-2010-population</t>
  </si>
  <si>
    <t>IPC Info 05/2019 -09/2019
GoZ 2013</t>
  </si>
  <si>
    <t>All provinces, However, IPC data did not analyze Copperbelt province, as well as districts in North-Western and Northern, Central and Luapula province. These areas are likely to experience drought-like situations but are excluded due to unavailability of the food insecurity data. All provinces are considered here except Copperbelt province due to the missing sw data for Admin 2 level. This is therefore an overestimation compared to the exposed population</t>
  </si>
  <si>
    <t>IPC Info 05/2019 -09/2019</t>
  </si>
  <si>
    <t>https://reliefweb.int/sites/reliefweb.int/files/resources/IPC_Zambia_Acute%20Food%20Insecurity_2019May2020March.pdf</t>
  </si>
  <si>
    <t xml:space="preserve">No indication that there has been drought related dispalcement. </t>
  </si>
  <si>
    <t>IPC figures for May to October 2019. Not the whole country was analyzed in the IPC assessment from May 2019,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</si>
  <si>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high</t>
  </si>
  <si>
    <t>Total population as the whole country is considered affected by the complex crisis</t>
  </si>
  <si>
    <t>Tropical cyclone</t>
  </si>
  <si>
    <t xml:space="preserve">Hurricane Dorian in Bahamas </t>
  </si>
  <si>
    <t>World Bank 2018</t>
  </si>
  <si>
    <t>Laos</t>
  </si>
  <si>
    <t xml:space="preserve">Tropical Storm Podul in Laos </t>
  </si>
  <si>
    <t>UNHCR 31/08/2020</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</si>
  <si>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</si>
  <si>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</si>
  <si>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</si>
  <si>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</si>
  <si>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</si>
  <si>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City Population 20/09/2019</t>
  </si>
  <si>
    <t xml:space="preserve">http://www.citypopulation.de/php/madagascar-admin.php </t>
  </si>
  <si>
    <t xml:space="preserve">Districts Androy, Anosy, Atismo Andrefana, Atismo Atsinananana, and Vatovavy-Fitovinany are considred to be affected according to IPC figures (projection for August-December 2019). </t>
  </si>
  <si>
    <t>EOC Yemen 09/2019</t>
  </si>
  <si>
    <t>Total number of fatalities (conflict, cholera ) the last six months  (25 March to 26 Sep cholera -19 March to 20 Sep)</t>
  </si>
  <si>
    <t xml:space="preserve">https://www.acleddata.com/data/ http://yemeneoc.org/bi/ </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</si>
  <si>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</si>
  <si>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IPC Info 09/2019
OCHA 16/09/2019</t>
  </si>
  <si>
    <t>https://reliefweb.int/sites/reliefweb.int/files/resources/IPC_South%20Sudan_Key_Messages_August_2019.pdf
https://reliefweb.int/sites/reliefweb.int/files/resources/Situation%20Report%20-%20South%20Sudan%20-%2016%20Sep%202019.pdf</t>
  </si>
  <si>
    <t>ACLED 30/09/2019</t>
  </si>
  <si>
    <t xml:space="preserve">Data not sufficient to represent the numbers of people injured in Colombia for the last 6 months. </t>
  </si>
  <si>
    <t xml:space="preserve">Data not sufficient to represent the numbers of people killed in Colombia for the last 6 months. </t>
  </si>
  <si>
    <t>Cyclone Idai resulted in 672 injuries, but no longer falls under the 6 month time frame. Infuries from drought or food insecurity are assumed to be 0.</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</si>
  <si>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</si>
  <si>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More than 10,700 cases of cholera confirmed in Zmibabwe between Sept 2019 and Feb 2019. The last update of cumulative cases is from a WHO report in April 2019. It cannot be confirmed how many cases have been identified during the last 6 months.</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</si>
  <si>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</si>
  <si>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https://displacement.iom.int/reports/pakistan-–-migration-snapshot-august-2019 http://www.pbs.gov.pk/sites/default/files/PAKISTAN%20TEHSIL%20WISE%20FOR%20WEB%20CENSUS_2017.pdf</t>
  </si>
  <si>
    <t>It is difficult to determine what illnesses can be considered a result of the crisis given the complexity of drought, conflict, and natural disasters.</t>
  </si>
  <si>
    <t>http://www.internal-displacement.org/sites/default/files/2019-05/GRID%202019%20-%20Conflict%20Figure%20Analysis%20-%20PAKISTAN.pdf https://displacement.iom.int/reports/pakistan-–-migration-snapshot-august-2019</t>
  </si>
  <si>
    <t>IDMC 31/02/2018, IOM 02/09/2019</t>
  </si>
  <si>
    <t>IPC 07/2020</t>
  </si>
  <si>
    <t>low</t>
  </si>
  <si>
    <t>UNHCR 30/09/2019</t>
  </si>
  <si>
    <t>WHO 30/09/2019</t>
  </si>
  <si>
    <t>All med cases for diseases recorded by WHO since April (week 14  to week 38), except for ARI, Malnutrition, and "other consultations".</t>
  </si>
  <si>
    <t>All injured and wounds cases recorded by WHO since April (week 14 to week 38).</t>
  </si>
  <si>
    <t xml:space="preserve">Injuries caused by  attacks related to the insurgency in Cabo Delgado (April to September). </t>
  </si>
  <si>
    <t>ACAPS Access Report October 2019</t>
  </si>
  <si>
    <t>https://data.humdata.org/dataset/syrian-arab-republic-humanitarian-needs-overview</t>
  </si>
  <si>
    <t>No reliable data available for number of all peope injured due to the complex crisis.</t>
  </si>
  <si>
    <t>The total country and populaiton of Syria are affected by the crisis.</t>
  </si>
  <si>
    <t xml:space="preserve">We previously  used the data on "trauma's suppported" registered by the health cluster. As data currently is only available untill May, we decided to X this indicator for Syria. </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</si>
  <si>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</si>
  <si>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https://data.worldbank.org/indicator/SP.POP.TOTL?locations=GR and  https://data2.unhcr.org/en/documents/download/68057
https://data.worldbank.org/country/turkey</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</si>
  <si>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</si>
  <si>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 xml:space="preserve">Sum of the crisis related ilnesses of the individual crises </t>
  </si>
  <si>
    <t xml:space="preserve">Average of the scores of the indiviual crises </t>
  </si>
  <si>
    <t xml:space="preserve">Population of Greece and Turkey </t>
  </si>
  <si>
    <t>http://www.paho.org/data/index.php/en/mnu-topics/indicadores-dengue-en/dengue-nacional-en/252-dengue-pais-ano-en.html</t>
  </si>
  <si>
    <t>https://data2.unhcr.org/en/country/tcd</t>
  </si>
  <si>
    <t>UNHCR 09/2019</t>
  </si>
  <si>
    <t>Host and displaced comunities are also present in Tibesti</t>
  </si>
  <si>
    <t>Choice of using whole region population</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</si>
  <si>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</si>
  <si>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</si>
  <si>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</si>
  <si>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</si>
  <si>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inconsistency in data collection</t>
  </si>
  <si>
    <t>Inconsistency in data collection</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</si>
  <si>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</si>
  <si>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</si>
  <si>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No available information</t>
  </si>
  <si>
    <t>UNHCR 30/09/2020</t>
  </si>
  <si>
    <t>OCHA HNO 10/2019</t>
  </si>
  <si>
    <t>OCHA HNO 10/2020; UNHCR 09/2019</t>
  </si>
  <si>
    <t>IPC 08/2019</t>
  </si>
  <si>
    <t>https://www.humanitarianresponse.info/sites/www.humanitarianresponse.info/files/documents/files/ocha_car_11102019_hno_fr_0.pdf</t>
  </si>
  <si>
    <t>https://data2.unhcr.org/fr/situations/car; https://www.humanitarianresponse.info/sites/www.humanitarianresponse.info/files/documents/files/ocha_car_11102019_hno_fr_0.pdf</t>
  </si>
  <si>
    <t>https://reliefweb.int/sites/reliefweb.int/files/resources/Fiche%20de%20communication%20IPC%2017%C3%A8%20cycle-1.pdf</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</si>
  <si>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</si>
  <si>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OCHA number of 4.900.000 people for total population includes IDPs (581,000), returnees (355.000), host population (1,700,000) &amp; refugees (700,000)</t>
  </si>
  <si>
    <t>OCHA number of total population (following previous analysts argument that entire population is affected &gt; this also means that the figure is likely an overestimation) + CAR refugees displaced in other countries as of 30 Sep 2019 (601994 UNHCR)</t>
  </si>
  <si>
    <t>All people in IPC-2 to IPC-5 were included as affected (i.e. without 17476744 IPC-1), as no better data is currently available to make a more informed estimation of people affected. The latest available IPC analysis is from August 2019, valid until Dec 2019.</t>
  </si>
  <si>
    <t>See ACAPS Report October 2019</t>
  </si>
  <si>
    <t>https://www.acaps.org/special-report/humanitarian-access-overview-3</t>
  </si>
  <si>
    <t>IPC Info 08/2019 , Govt Zambia 2011</t>
  </si>
  <si>
    <t>IPC Info 08/2019</t>
  </si>
  <si>
    <t>https://reliefweb.int/sites/reliefweb.int/files/resources/IPC_Zambia_Acute%20Food%20Insecurity_2019May2020March.pdf
https://www.zamstats.gov.zm/phocadownload/Zambia%20Census%20Projection%202011%20-%202035.pdf</t>
  </si>
  <si>
    <t>http://www.ipcinfo.org/fileadmin/user_upload/ipcinfo/docs/IPC_Zambia_Acute%20Food%20Insecurity_2019May2020March.pdf</t>
  </si>
  <si>
    <t>All provinces - IPC data did not analyze Copperbelt province, as well as districts in North-Western and Northern, Central and Luapula province. These areas are likely to experience drought-like situations. All provinces are considered here except Copperbelt province due to the missing  data for Admin 2 level. This is therefore an overestimation compared to the exposed population</t>
  </si>
  <si>
    <t>IPC figures for May to October 2019. Affected = IPC Phase 2.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</si>
  <si>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2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</si>
  <si>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3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</si>
  <si>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4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</si>
  <si>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</si>
  <si>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</si>
  <si>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</si>
  <si>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</si>
  <si>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MEX002</t>
  </si>
  <si>
    <t>Criminal Violence</t>
  </si>
  <si>
    <t>MEX003</t>
  </si>
  <si>
    <t>Worldometers 11/2019; UNHCR 30/09/2019</t>
  </si>
  <si>
    <t xml:space="preserve"> UNHCR 30/09/2019; IDMC 2014; IDMC 16/07/2010</t>
  </si>
  <si>
    <t>Worldometers 11/2019; UNHCR 01/01/2019</t>
  </si>
  <si>
    <t>http://www.worldometers.info/world-population/eritrea-population/ https://reliefweb.int/sites/reliefweb.int/files/resources/RB_EHGL_RefAs_190930.pdf</t>
  </si>
  <si>
    <t xml:space="preserve"> https://reliefweb.int/sites/reliefweb.int/files/resources/RB_EHGL_RefAs_190930.pdf  http://www.internal-displacement.org/countries/eritrea https://www.refworld.org/topic,50ffbce526e,50ffbce5274,4c4030912,0,IDMC,,ERI.html</t>
  </si>
  <si>
    <t>3,516,283 (population according to worldometers) + 210 (refugees and asylum seekers in Eritrea) - 289,600 (Eritrean refugees and asylum seekers in neighbouring countries)</t>
  </si>
  <si>
    <t>289,600 (Eritrean refugees and asylum seekers in neighbouring countries) + 210 (refugees and asylum seekers in Eritrea) + 10,000 (IDPs)</t>
  </si>
  <si>
    <t>Not enough data available for assessment</t>
  </si>
  <si>
    <t xml:space="preserve">There is not enough information to determine if there are IDPs, host communities, non-host communtiies, etc. affected by the Kashmir crisis. </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</si>
  <si>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</si>
  <si>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 xml:space="preserve">Sum of CAR refugees + Chadian returnees from CAR . Both refugees and returnees have been forcibly displaced for the same reasons. </t>
  </si>
  <si>
    <t xml:space="preserve">Sum of IDPs, Malian refugees in third countries
** Due to the dynamic situation in Mali, there are discrepencies between different sources regarding the number of IDPs. The new source in the GCSI comes from UNHCR, which has most recently updated IDP figures from Government sources. The last GCSI used figures from ECHO corroborated with figures from NRC and IDMC - however none of these sources have updated their figures. Will continue monitoring for any other potential sources of information. </t>
  </si>
  <si>
    <t>World Bank, Government Institute of Mexicans Living Abroad 2018, 2017</t>
  </si>
  <si>
    <t>World Bank, Justice in Mexico 2018, 2019</t>
  </si>
  <si>
    <t>CMDPDH, World Bank 2018</t>
  </si>
  <si>
    <t xml:space="preserve">https://data.worldbank.org/indicator/AG.SRF.TOTL.K2?locations=MX http://www.ime.gob.mx/estadisticas/mundo/estadistica_poblacion_pruebas.html </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</si>
  <si>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</si>
  <si>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</si>
  <si>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</si>
  <si>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</si>
  <si>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</si>
  <si>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</si>
  <si>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 xml:space="preserve">Although figures for total criminal-related injuries are available per month and per year, it would be difficult to assess each case's relation to cartel violence. </t>
  </si>
  <si>
    <t xml:space="preserve">Analysis of 2019 homicide data has not yet been undertaken to determine whether they bear characteristics of organized crime-style violence. The only availble crisis fatality figures are those estimated for the "Mixed Migration" situation. </t>
  </si>
  <si>
    <t xml:space="preserve">It is difficult to assess the number of people in need. Using UNHCR's figures would underestimate the extent of the crisis, especially since violence affects host, non-host, as well as IDP populations. </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</si>
  <si>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</si>
  <si>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</si>
  <si>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</si>
  <si>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</si>
  <si>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</si>
  <si>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</si>
  <si>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</si>
  <si>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</si>
  <si>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</si>
  <si>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</si>
  <si>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</si>
  <si>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</si>
  <si>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</si>
  <si>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</si>
  <si>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</si>
  <si>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</si>
  <si>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</si>
  <si>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</si>
  <si>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</si>
  <si>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</si>
  <si>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</si>
  <si>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</si>
  <si>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</si>
  <si>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</si>
  <si>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</si>
  <si>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</si>
  <si>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 xml:space="preserve">The camps cover an area of 8.6km2. See estimations tab for calculations and links to individual camp profiles. </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</si>
  <si>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</si>
  <si>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 xml:space="preserve">Availability and quality of data is insuffient </t>
  </si>
  <si>
    <t>Sahrawi refugees in camps in Tindouf. Data hasn’t been updated since 31/12 2017.</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</si>
  <si>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</si>
  <si>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Floods in Chad</t>
  </si>
  <si>
    <t>World Bank 2018 UNHCR 10/2019</t>
  </si>
  <si>
    <t>City Population 2019 UN OCHA 06/11/2019 UN OCHA 18/11/2019</t>
  </si>
  <si>
    <t>UN OCHA 23/11/2019</t>
  </si>
  <si>
    <t>UNHCR population estimates 2018 based on 2014 census, sent via email to analyst UNHCR 31/10/2019</t>
  </si>
  <si>
    <t>UNCHR 31/10/2019 Wikipedia 2019</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</si>
  <si>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</si>
  <si>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 xml:space="preserve">Total # people affected by the crisis are the total of the registered refugees and asylum seekers in Kenya as reported by UNHCR </t>
  </si>
  <si>
    <t xml:space="preserve">Total of registered refugees and asylum seekers as reported by UNHCR + the total number of people displaced by the floods. There may be further internal displacements due to the drought but not clear numbers available. </t>
  </si>
  <si>
    <t xml:space="preserve">Total number of people internally displaced plus the total number of Cameroonian refugees in Nigeria. </t>
  </si>
  <si>
    <t xml:space="preserve">The distribution of humanitarian conditions was determined as the sum of all three crises. </t>
  </si>
  <si>
    <t>https://data.worldbank.org/indicator/SP.POP.TOTL?locations=SO https://data2.unhcr.org/en/situations/horn https://reliefweb.int/sites/reliefweb.int/files/resources/72363.pdf</t>
  </si>
  <si>
    <t>Total population in country minus number of Somali refugees that are documented in countries throughout the Horn of Africa, plus the returnees, refugees, and asylum-seekers.</t>
  </si>
  <si>
    <t>https://www.citypopulation.de/Somalia.html https://reliefweb.int/sites/reliefweb.int/files/resources/Deyr%20rains%20Fash%20update%20%234_%20FINAL%20-%20Y%2BE.pdf https://reliefweb.int/sites/reliefweb.int/files/resources/Situation%20Report%20-%20Somalia%20%20-%2017%20Nov%202019.pdf</t>
  </si>
  <si>
    <t xml:space="preserve">The total square kilometers of the 9 most affected administrations according  to the latest flash report: Hiraan, Lower Shabelle, Middle Shabelle, Gedo, Bay, Bakool, Lower Juba, Middle Juba, and Banadir. </t>
  </si>
  <si>
    <t>https://reliefweb.int/report/somalia/somalia-flood-response-plan-november-2019-january-2020</t>
  </si>
  <si>
    <t>The total population of the 9 most affected administrations according  to the latest flash report: Hiraan, Lower Shabelle, Middle Shabelle, Gedo, Bay, Bakool, Lower Juba, Middle Juba, and Banadir. The total population is likely an underestimation, as the data is from 2014.</t>
  </si>
  <si>
    <t xml:space="preserve">Total number of people affected due to the floods. </t>
  </si>
  <si>
    <t xml:space="preserve">No sufficient/limited information/data available. </t>
  </si>
  <si>
    <t>Total number of flood related deaths according to the latest report.</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</si>
  <si>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</si>
  <si>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 xml:space="preserve">https://www.acleddata.com/data/ </t>
  </si>
  <si>
    <t xml:space="preserve">38823100 total Ugandan population, which is a UNHCR projection 2018 based on census from 2014. The total refugee population hosted in Uganda is added here. </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</si>
  <si>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</si>
  <si>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</si>
  <si>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</si>
  <si>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</si>
  <si>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IPC 23/02/2018
UNCHR 30/09/2019</t>
  </si>
  <si>
    <t>IBGE 2019</t>
  </si>
  <si>
    <t>World Bank 2018
R4V</t>
  </si>
  <si>
    <t>http://www.ipcinfo.org/fileadmin/user_upload/ipcinfo/docs/1_IPC_Djibouti_CFI_20182023.pdf
https://reliefweb.int/sites/reliefweb.int/files/resources/RB_EHGL_RefAs_190930.pdf</t>
  </si>
  <si>
    <t>https://reliefweb.int/sites/reliefweb.int/files/resources/RB_EHGL_RefAs_190930.pdf</t>
  </si>
  <si>
    <t>https://data2.unhcr.org/en/documents/download/72193</t>
  </si>
  <si>
    <t>https://data2.unhcr.org/es/situations/platform/location/7416</t>
  </si>
  <si>
    <t>https://data.worldbank.org/country/trinidad-and-tobago</t>
  </si>
  <si>
    <t>981,000 (total population in country) + 30 374 refugees and  asylum-seekers (the  number of people of concern in Djibouti)</t>
  </si>
  <si>
    <t>No reported fatalities</t>
  </si>
  <si>
    <t>UNHCR counted 30 374 asylum seekers and refugees in the country up to 30/09/2019</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</si>
  <si>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</si>
  <si>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</si>
  <si>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1,389,858 local population + 60,000 Venezuelan refugees (+ ? number of Cubans and other migrants) </t>
  </si>
  <si>
    <t>No sufficient data available for assessment</t>
  </si>
  <si>
    <t>Refugees and host communities</t>
  </si>
  <si>
    <t>No sufficient data available</t>
  </si>
  <si>
    <t xml:space="preserve">World Bank 2018 </t>
  </si>
  <si>
    <t xml:space="preserve">World Bank data already includes refugees' inflow and outflow. However, there is a small margin of error as the WB data is from 2018 and new refugee/returnee numbers are not accountated for. Yet, the movement and dynamics are little. </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</si>
  <si>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</si>
  <si>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</si>
  <si>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</si>
  <si>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</si>
  <si>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</si>
  <si>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</si>
  <si>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</si>
  <si>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</si>
  <si>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</si>
  <si>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</si>
  <si>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</si>
  <si>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 xml:space="preserve">https://data.humdata.org/dataset/philippines-2015-census-population-administrative-level-1-to-4 </t>
  </si>
  <si>
    <t xml:space="preserve">Regions included: Region IX (Zamboanga Peninsula), Region XI (Davao Region), Region X (Northern Mindanao), Region XII (Soccsksargen), Region XIII (Caraga), Bangsamoro Autonomous Region In Muslim Mindanao (BARMM) </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</si>
  <si>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</si>
  <si>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</si>
  <si>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</si>
  <si>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</si>
  <si>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</si>
  <si>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 xml:space="preserve">It is difficult to assess the number of people in need/those affected, as many different categories of persons end up being affected by violence and there are no reliable figures on numbers of those making up Mexico's Mixed Migration.  </t>
  </si>
  <si>
    <t xml:space="preserve">No Information is currently available. </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</si>
  <si>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</si>
  <si>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 xml:space="preserve">No country-wide reliable Information is currently available. </t>
  </si>
  <si>
    <t xml:space="preserve">It is difficult to assess the number of people in need. Using UNHCR's figures would underestimate the extent of the country's crises, especially since violence affects host, non-host, as well as IDP populations. </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</si>
  <si>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</si>
  <si>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</si>
  <si>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</si>
  <si>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</si>
  <si>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 xml:space="preserve">Violence has obstructed populations from accessing services. </t>
  </si>
  <si>
    <t xml:space="preserve">In many areas, criminal actors act with impunity and extort, kidnap, harrass and harm civilians and affected populations. </t>
  </si>
  <si>
    <t>http://www.icnl.org/research/monitor/mexico.html</t>
  </si>
  <si>
    <t>The International Center for Not-for-Profit Law</t>
  </si>
  <si>
    <t>Aid in danger 2019</t>
  </si>
  <si>
    <t>http://www.insecurityinsight.org/aidindanger/</t>
  </si>
  <si>
    <t>One worker killed in 07/2019</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</si>
  <si>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</si>
  <si>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HRW 2/7/2019</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</si>
  <si>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</si>
  <si>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</si>
  <si>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</si>
  <si>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</si>
  <si>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</si>
  <si>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</si>
  <si>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</si>
  <si>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 xml:space="preserve">Criminals often target foreigners along border areas, often preventing vulnerable people's access to services. </t>
  </si>
  <si>
    <t>CEPAL 2019</t>
  </si>
  <si>
    <t>https://repositorio.cepal.org/bitstream/handle/11362/43697/1/S1800554_es.pdf</t>
  </si>
  <si>
    <t>https://www.latimes.com/world/mexico-americas/la-fg-mexico-guns-20190430-story.html</t>
  </si>
  <si>
    <t>LA times 06/10/2019</t>
  </si>
  <si>
    <t>https://data.humdata.org/dataset/sind-aid-worker-kka-dataset</t>
  </si>
  <si>
    <t>https://reliefweb.int/report/somalia/somalia-flood-response-plan-november-2019-january-2020 https://reliefweb.int/sites/reliefweb.int/files/resources/20191205_Humanitarian%20Snapshot.pdf</t>
  </si>
  <si>
    <t xml:space="preserve">All of those who are displaced have some level of needs, particularly shelter, food, and WASH. Therefore, the total number of displaced were considered to be PIN.  Although there are likely to be people in level 4 due to the flooding, no clear numbers were available, and thus the total displaced were placed on level 3. As of 5 December, 80,000 people have returned home to one of the most affected areas, and therefore were subtracted from the total. Level 2 humanitarian conditions was determined by taking the affected population minus the total PIN figure. Level 1 humanitarian conditions was the total number of exposed population minus the affected and the PIN. </t>
  </si>
  <si>
    <t>The total number of Refugees and population of the host community living in the 12 districts that host the majority of the refugees.</t>
  </si>
  <si>
    <t>https://data.humdata.org/dataset/cadre-harmonise
https://data2.unhcr.org/en/country/mrt</t>
  </si>
  <si>
    <t>https://data2.unhcr.org/en/country/mrt https://www.citypopulation.de/php/mauritania-admin.php</t>
  </si>
  <si>
    <t xml:space="preserve">In previous GCSIs the total number of displaced in the country were represented in the Drought crisis because it was mistakenly considered "country level". </t>
  </si>
  <si>
    <t>Level 1 is calculated from the population of Bassikounou commune, next to which the Mbera camp is located.There is no Level 2. Level 3 is the number of Malian refugees in Mbera camp, which also accounts for the PIN figure. There are no Level 4 or 5.</t>
  </si>
  <si>
    <t xml:space="preserve">Estimation based on the PIN figures disagragated per status and the severity map. Level 1 is the whole population living in Taouha and Tillaberi not affected by the conflict. IDPs and refugees (UNHCR figures) are considered facing severe humanitarian conditions while the rest of the PIN is considering facing moderate humanitarian conditions. </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</si>
  <si>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</si>
  <si>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World Bank, Justice in Mexico 201, 2018</t>
  </si>
  <si>
    <t>https://reliefweb.int/sites/reliefweb.int/files/resources/Tendencias%20Migratorias%20en%20Centroamérica%2C%20Norteamérica%20y%20El%20Caribe%20%28noviembre%202019%29%20.pdf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</si>
  <si>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</si>
  <si>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 xml:space="preserve">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</si>
  <si>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World Bank, Justice in Mexico 2019, 2018</t>
  </si>
  <si>
    <t xml:space="preserve">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</si>
  <si>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 </t>
  </si>
  <si>
    <t>World Bank , Strauss Center, Imagen Poblana</t>
  </si>
  <si>
    <t>Mixed migration: Total # of people living in the affected area + Mexicans forcefully returned from the USA in 2019 + Asylum-seekers on metering waitlists in 11 Mexican Northern Border cities</t>
  </si>
  <si>
    <t xml:space="preserve">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 </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</si>
  <si>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</si>
  <si>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</si>
  <si>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</si>
  <si>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</si>
  <si>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</si>
  <si>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</si>
  <si>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</si>
  <si>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</si>
  <si>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</si>
  <si>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</si>
  <si>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</si>
  <si>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</si>
  <si>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</si>
  <si>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</si>
  <si>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</si>
  <si>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</si>
  <si>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</si>
  <si>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</si>
  <si>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OCHA Niger 2018</t>
  </si>
  <si>
    <t>http://www.stat-niger.org/statistique/file/Regions/Maradi/AS_Maradi_2013_2017.pdf</t>
  </si>
  <si>
    <t>https://data.humdata.org/organization/ocha-niger</t>
  </si>
  <si>
    <t>https://data2.unhcr.org/en/country/ner https://reliefweb.int/sites/reliefweb.int/files/resources/71485.pdf https://www.humanitarianresponse.info/sites/www.humanitarianresponse.info/files/documents/files/ner_hno_2019.pdf</t>
  </si>
  <si>
    <t xml:space="preserve">Nigerians have crossed the border seeking refuge in 50 villages located in Maradi province's Guidan Roumji department (communes of Guidan Roumji, Guidan Sori, Tibri). The names of the villages are unknown, and as the situation is dynamic the whole area of the department is taken. </t>
  </si>
  <si>
    <t xml:space="preserve">Population of Maradi's department Guidam Roumji's communes, Guidan Roumji, Guidam Sori, and Tibri + Nigerian refugees. The whole of the department's population was taken because the current situation is dynamic, and refugees as well as host populations may be located throughout area. </t>
  </si>
  <si>
    <t>Although refugees may put strain on available resources and may also provide opportunities to host communities, there is no information available about their impact on host communities.</t>
  </si>
  <si>
    <t>Estimation based on the PIN figures disagragated per status and the severity map. IDPs and refugees (UNHCR figures) are considered facing severe humanitarian conditions while the rest of the PIN, which includes the total exposed population and the direct host communities, are considered to be facing minimal and moderate humanitarian conditions.</t>
  </si>
  <si>
    <t>Displaced, and host populations.</t>
  </si>
  <si>
    <t>LA Times 06/10/2019</t>
  </si>
  <si>
    <t>After reviewing different estimations the preliminary estimation for 2018 the WorldPop Project (FlowMinder) seem to be the most recent and accurate. The projection is based on spatial demography and satelite imagery to estimate population flows. Note: no ingoing or outgoing population is calculated into this number.</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</si>
  <si>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</si>
  <si>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</si>
  <si>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</si>
  <si>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</si>
  <si>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</si>
  <si>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</si>
  <si>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</si>
  <si>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</si>
  <si>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</si>
  <si>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</si>
  <si>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</si>
  <si>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</si>
  <si>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</si>
  <si>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</si>
  <si>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</si>
  <si>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</si>
  <si>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</si>
  <si>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</si>
  <si>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</si>
  <si>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</si>
  <si>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</si>
  <si>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</si>
  <si>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</si>
  <si>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GOZ 04/05/2019; Citizen 11/09/2019</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</si>
  <si>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</si>
  <si>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</si>
  <si>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</si>
  <si>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 xml:space="preserve">IDPs, refugees, returnees, host and non-host communities </t>
  </si>
  <si>
    <t>Census Data 2015; NDRRMC 11/2019</t>
  </si>
  <si>
    <t>DROMIC 13/12/2019</t>
  </si>
  <si>
    <t>NDRRMC 11/2019</t>
  </si>
  <si>
    <t>https://data.humdata.org/dataset/philippines-2015-census-population-administrative-level-1-to-4</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</si>
  <si>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</si>
  <si>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https://reliefweb.int/sites/reliefweb.int/files/resources/DSWD-DROMIC-Report-47-on-the-Ms-6.6-Earthquake-Incident-in-Tulunan-North-Cotabato-as-of-13-December-2019-6PM-A.pdf</t>
  </si>
  <si>
    <t>http://www.statoids.com/ucg.html</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</si>
  <si>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</si>
  <si>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</si>
  <si>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</si>
  <si>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 xml:space="preserve">Total population living in the affected areas. </t>
  </si>
  <si>
    <t>According to NDRRMC SitRep38 a total of 563 people reportedly got injured in the earthquake.</t>
  </si>
  <si>
    <t>limited data/information available</t>
  </si>
  <si>
    <t>According to DROMIC SitRep 47 a total of 47,476 houses were damaged, of which 25,795 were totally damaged and 21,681 partially damaged</t>
  </si>
  <si>
    <t>Host, non-host, and IDPs that are affected by the earthquake in Mindanao</t>
  </si>
  <si>
    <t>S. ACACPS report</t>
  </si>
  <si>
    <t>limited updated information available</t>
  </si>
  <si>
    <t>Host, non-host, returnees and IDPs that are affected by the ongoing insecurity in Mindanao, the earthquakes in Mindanao and Tisoy</t>
  </si>
  <si>
    <t>not enough verifiable data available</t>
  </si>
  <si>
    <t>World Bank 2018; UNHCR 30/11/2019</t>
  </si>
  <si>
    <t>IOM 2019
UN Djibouti and Ministry of the Interior 05/12/2019
ACLED 2019</t>
  </si>
  <si>
    <t>IOM 2019
UN Djibouti and Ministry of the Interior 05/12/2019</t>
  </si>
  <si>
    <t>UNCTAD 02/12/2019</t>
  </si>
  <si>
    <t>http://missingmigrants.iom.int/downloads  https://www.acleddata.com/data/  https://reliefweb.int/sites/reliefweb.int/files/resources/DJB-HumAssessFloods-FINAL%20-%205%20Dec%2010h.pdf</t>
  </si>
  <si>
    <t>https://unctad.org/en/pages/newsdetails.aspx?OriginalVersionID=2254</t>
  </si>
  <si>
    <t>https://www.humanitarianresponse.info/sites/www.humanitarianresponse.info/files/documents/files/iraq_hno_2020.pdf</t>
  </si>
  <si>
    <t xml:space="preserve">World Bank projected population for 2018 (109,224,559) + refugee population (720 914). The refugee population was added because it does not seem to have been included in the original WB estimate. </t>
  </si>
  <si>
    <t>All crises fatalities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</si>
  <si>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</si>
  <si>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</si>
  <si>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</si>
  <si>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</si>
  <si>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</si>
  <si>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IOM 2019
UN Djibouti and Ministry of the Interior 05/12/2019
ACLED 2109</t>
  </si>
  <si>
    <t>981,000 (total population in country) + 30 374 refugees and  asylum-seekers (the  number of people of concern in Djibouti). Number of people exposed includes the whole population of Djibouti both in the drought and mixed migration crises.</t>
  </si>
  <si>
    <t>UNHCR counted 30 374 asylum seekers and refugees in the country up to 30/09/2019. However, there is no clear data on the number of people temporarily displaced due to floods.</t>
  </si>
  <si>
    <t xml:space="preserve">Not enough data available </t>
  </si>
  <si>
    <t>All crises fatalities.</t>
  </si>
  <si>
    <t>Refugees, host, non-host population,  retunrees, IDPs</t>
  </si>
  <si>
    <t>2019 population estimate, according to Brazilian government</t>
  </si>
  <si>
    <t>ACAPS Access Report December 2019</t>
  </si>
  <si>
    <t>ACAPS Access Report December 2020</t>
  </si>
  <si>
    <t>ACAPS Access Report December 2021</t>
  </si>
  <si>
    <t>ACAPS Access Report December 2022</t>
  </si>
  <si>
    <t>ACAPS Access Report December 2023</t>
  </si>
  <si>
    <t>ACAPS Access Report December 2024</t>
  </si>
  <si>
    <t>ACAPS Access Report December 2025</t>
  </si>
  <si>
    <t>Typhoon Phanfone</t>
  </si>
  <si>
    <t>PHL006</t>
  </si>
  <si>
    <t>Cameroonian Refugees in Nigeria</t>
  </si>
  <si>
    <t>http://istmat.info/files/uploads/53129/annual_abstract_of_statistics_2011.pdf</t>
  </si>
  <si>
    <t xml:space="preserve">The refugees registered by UNHCR are located in Akwa Ibom, Benue, Cross River and Taraba states. </t>
  </si>
  <si>
    <t>Total number of Cameroonian refugees registered in Nigeria by the UNHCR.</t>
  </si>
  <si>
    <t>ACLED 2020</t>
  </si>
  <si>
    <t>PAK001</t>
  </si>
  <si>
    <t>PHL001</t>
  </si>
  <si>
    <t>SDN001</t>
  </si>
  <si>
    <t>Jakarta Floods</t>
  </si>
  <si>
    <t>IDN005</t>
  </si>
  <si>
    <t>Refugees in Sudan</t>
  </si>
  <si>
    <t>SDN005</t>
  </si>
  <si>
    <t>UNHCR 12/2019</t>
  </si>
  <si>
    <t>Populations living in all districts affected by food insecurity, cyclone and Cabo delgado are considered affected by the complex crisis.</t>
  </si>
  <si>
    <t>These figures include people who have been displaced by both Cyclone Idai and Kenneth and also violence in Cabo Delgado.</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</si>
  <si>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</si>
  <si>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</si>
  <si>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</si>
  <si>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</si>
  <si>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</si>
  <si>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</si>
  <si>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</si>
  <si>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</si>
  <si>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</si>
  <si>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</si>
  <si>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</si>
  <si>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</si>
  <si>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 xml:space="preserve">Agencia EFE 03/04/2019; Radio New Zealand 03/04/2019; Radio New Zealand 15/02/2019; IDMC 02/09/2019, Al Jazeera 07/10/2019, ICP 23/07/2019 </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</si>
  <si>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</si>
  <si>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</si>
  <si>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</si>
  <si>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</si>
  <si>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</si>
  <si>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</si>
  <si>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 </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</si>
  <si>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</si>
  <si>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</si>
  <si>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</si>
  <si>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</si>
  <si>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</si>
  <si>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Centre d’Etudes et de Recherches Démographiques (CERED) 05/2017</t>
  </si>
  <si>
    <t>INS Tunisie 2014, p.32</t>
  </si>
  <si>
    <t>UN World Population Prospects 2019</t>
  </si>
  <si>
    <t xml:space="preserve"> Instituto Nicaragüense de Estudios Territoriales (INETER) - Dirección General de Ordenamiento Territorial 2017</t>
  </si>
  <si>
    <t>MOROCCO: Centre d’Etudes et de Recherches Démographiques (CERED) 05/2017
ALGERIA: UN World Population Prospects 2019
SPAIN: INE. Instituto Nacional de Estadística 08/01/2020</t>
  </si>
  <si>
    <t>https://data.worldbank.org/country/lebanon</t>
  </si>
  <si>
    <t>https://www.acleddata.com/data/
http://missingmigrants.iom.int/downloads
https://missingmigrants.iom.int/methodology</t>
  </si>
  <si>
    <t>https://www.hcp.ma/Les-projections-de-la-population-et-des-menages-entre-2014-et-2050_a1920.html</t>
  </si>
  <si>
    <t>http://census.ins.tn/sites/default/files/projection_2014.pdf</t>
  </si>
  <si>
    <t xml:space="preserve">https://population.un.org/wpp/Graphs/1_Demographic%20Profiles/Algeria.pdf
https://population.un.org/wpp/Methodology/
</t>
  </si>
  <si>
    <t>http://aaca.mtpt.gov.dz/mtpt2019/index.php/w37/</t>
  </si>
  <si>
    <t>www.inec.go.cr/poblacion/estimaciones-y-proyecciones-de-poblacion</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</si>
  <si>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</si>
  <si>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https://www.inide.gob.ni/Anuarios/Anuario2017.pdf</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</si>
  <si>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</si>
  <si>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</si>
  <si>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</si>
  <si>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</si>
  <si>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</si>
  <si>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</si>
  <si>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</si>
  <si>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 xml:space="preserve">Total land area excluding lakes and lagoons. The whole country is affected by the crisis. </t>
  </si>
  <si>
    <t xml:space="preserve">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 </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</si>
  <si>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</si>
  <si>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</si>
  <si>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</si>
  <si>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</si>
  <si>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</si>
  <si>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 xml:space="preserve">OCHA, July 2015; Regional Response Plan  2020; R4V Factsheet 29/10/2019 </t>
  </si>
  <si>
    <t xml:space="preserve">World Bank 2018 
R4V March 2019 Update
UNICEF 27/03/2019 
NPR 18/12/2018 
IFRC 01/02/2019
</t>
  </si>
  <si>
    <t>WHO/PAHO July - December 2019</t>
  </si>
  <si>
    <t>OCHA 01/2020</t>
  </si>
  <si>
    <t>SEPOL 2019 YEAR REPORT, last accessed 03/02/2020</t>
  </si>
  <si>
    <t>INEC Ecuador, 2018</t>
  </si>
  <si>
    <t>OCHA, 2018</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</si>
  <si>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</si>
  <si>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 xml:space="preserve">No comprehensive data available. Anecdotal accounts suggest that refugee-hosting areas have experienced an increase in crime. </t>
  </si>
  <si>
    <t>https://r4v.info/es/situations/platform/location/7511; https://r4v.info/en/documents/details/72254;</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</si>
  <si>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</si>
  <si>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</si>
  <si>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</si>
  <si>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 xml:space="preserve">Population figures (31,989,256) according to World Bank's midyear estimates for 2020. Total population is based on the de facto definition of population, which counts all residents regardless of legal status or citizenship.  </t>
  </si>
  <si>
    <t>https://www.inei.gob.pe/media/MenuRecursivo/publicaciones_digitales/Est/Lib1140/cap01.pdf
https://reliefweb.int/sites/reliefweb.int/files/resources/72254.pdf</t>
  </si>
  <si>
    <t xml:space="preserve">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
  </si>
  <si>
    <t xml:space="preserve">Number of people living in 6 provinces that were included as affected by the crisis. Based on OCHA population estimation. </t>
  </si>
  <si>
    <t>https://data.humdata.org/dataset/proyeccion-de-poblacion-por-distrito-y-edad-de-peru;https://reliefweb.int/sites/reliefweb.int/files/resources/72254.pdf; https://data2.unhcr.org/en/documents/download/72314</t>
  </si>
  <si>
    <t xml:space="preserve">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</si>
  <si>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</si>
  <si>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</si>
  <si>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</si>
  <si>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 xml:space="preserve">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 </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</si>
  <si>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</si>
  <si>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</si>
  <si>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Country population + refugees in country + asylum seekers + returnees - refugees outside of the country</t>
  </si>
  <si>
    <t>IDPs in Diffa + returnees in Diffa</t>
  </si>
  <si>
    <t>There is no Level 1. Level 2 includes populations living in Diffa region but not affected by the crisis (population - levels 3-4). Levels 3-4 estimations based on the PIN figures disagragated per status and the severity map. IDPs, refugees and returnees are considered facing severe humanitarian needs while the rest of the PIN is considering facing stressed humanitarian conditions</t>
  </si>
  <si>
    <t>https://reliefweb.int/report/niger/niger-aper-u-des-besoins-humanitaires-2020-janvier-2022</t>
  </si>
  <si>
    <t>https://www.inacif.gob.gt/index.php/datos-numericos/informacion-mensual</t>
  </si>
  <si>
    <t>https://www.sepol.hn/artisistem/images/sepol-images/images/777(1).PNG</t>
  </si>
  <si>
    <t>Total number of  homicides from July to December 2019.</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</si>
  <si>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</si>
  <si>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</si>
  <si>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</si>
  <si>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 xml:space="preserve">Population living in the cities of the most affected regions: Tulcan, Quito, Santiago de Guayaquil, Huaquillas and Lago Agrio  </t>
  </si>
  <si>
    <t xml:space="preserve">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
</t>
  </si>
  <si>
    <t xml:space="preserve">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
</t>
  </si>
  <si>
    <t xml:space="preserve">VEN: It is arguable that a percentage of the population is in severe humanitarian conditions, however due to lack of data it is difficult to estimate a figure.
ECU: 0
BRA: 0
COL: 500000 -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TRI:0 -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</si>
  <si>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https://datos.gob.mx/busca/dataset/victimas-de-incidencia-delictiva-del-fuero-comun/resource/38b2733d-0d2f-4a14-bcf4-8570e4435bc3</t>
  </si>
  <si>
    <t>Mexico recorded 35,588 murders in 2019, its highest total ever. However, 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</si>
  <si>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Floods in Madagascar</t>
  </si>
  <si>
    <t>City population, ECDM 29/01/2020</t>
  </si>
  <si>
    <t>Sq. Km: http://www.citypopulation.de/php/madagascar-admin.php https://erccportal.jrc.ec.europa.eu/ercmaps/ECDM_20200129_Madagascar_Floods.pdf</t>
  </si>
  <si>
    <t>P-code and Population (2018 Est.); ECDM 29/01/2020</t>
  </si>
  <si>
    <t>https://data.humdata.org/dataset/madagascar-administrative-level-0-4-population-statistics https://erccportal.jrc.ec.europa.eu/ercmaps/ECDM_20200129_Madagascar_Floods.pdf</t>
  </si>
  <si>
    <t>ECHO 29/01/2020</t>
  </si>
  <si>
    <t>https://erccportal.jrc.ec.europa.eu/ECHO-Flash/ECHO-Flash-List/yy/2020/mm/1</t>
  </si>
  <si>
    <t>ECDM 29/01/2020</t>
  </si>
  <si>
    <t>https://erccportal.jrc.ec.europa.eu/ercmaps/ECDM_20200129_Madagascar_Floods.pdf</t>
  </si>
  <si>
    <t>SADC 30/01/2020</t>
  </si>
  <si>
    <t>https://www.sadc.int/news-events/news/statement-sadc-executive-secretary-her-excellency-dr-stergomena-lawrence-tax-impacts-adverse-weather-conditions-led-heavy-rains/</t>
  </si>
  <si>
    <t>The SADC reports that at least 170 people have died and the death toll is expected to rise. OCHA reported 32 people dead but this could be as a result of lack of access to information and to affected populations.</t>
  </si>
  <si>
    <t>ECHO 29/01/2020; FEWS 01/2020.</t>
  </si>
  <si>
    <t>PIN was assumed to be the population affected by the crisis which already included displaced persons. Level 1 was calculated as population living in the affected area minus population affected by the crisis. Level 2 is assumed to be the people affected by the crisis as estimated by ECHO and the SADC. No affected population is documented in Level 3 - 5.</t>
  </si>
  <si>
    <t>https://erccportal.jrc.ec.europa.eu/ECHO-Flash/ECHO-Flash-List/yy/2020/mm/1 https://fews.net/southern-africa/madagascar/key-message-update/january-2021</t>
  </si>
  <si>
    <t>https://erccportal.jrc.ec.europa.eu/ECHO-Flash/ECHO-Flash-List/yy/2020/mm/1 https://fews.net/southern-africa/madagascar/key-message-update/january-2022</t>
  </si>
  <si>
    <t>https://erccportal.jrc.ec.europa.eu/ECHO-Flash/ECHO-Flash-List/yy/2020/mm/1 https://fews.net/southern-africa/madagascar/key-message-update/january-2023</t>
  </si>
  <si>
    <t>https://erccportal.jrc.ec.europa.eu/ECHO-Flash/ECHO-Flash-List/yy/2020/mm/1 https://fews.net/southern-africa/madagascar/key-message-update/january-2024</t>
  </si>
  <si>
    <t>https://erccportal.jrc.ec.europa.eu/ECHO-Flash/ECHO-Flash-List/yy/2020/mm/1 https://fews.net/southern-africa/madagascar/key-message-update/january-2025</t>
  </si>
  <si>
    <t>Complex Country Crisis in Madagascar</t>
  </si>
  <si>
    <t>This is the total population of people living in areas affected by both the drought and the flooding.</t>
  </si>
  <si>
    <t>This is the total population of people affected by both the drought and the flooding.</t>
  </si>
  <si>
    <t>Total number of people displaced by both the drought and flooding crises.</t>
  </si>
  <si>
    <t>IPC July 2019 to June 2020 Projection; ECHO 29/01/2020; FEWS 01/2025</t>
  </si>
  <si>
    <t>http://www.ipcinfo.org/fileadmin/user_upload/ipcinfo/docs/IPC_AcuteFoodSec_Madagascar_2019July2020June_English%20summary.pdf https://erccportal.jrc.ec.europa.eu/ECHO-Flash/ECHO-Flash-List/yy/2020/mm/1 https://fews.net/southern-africa/madagascar/key-message-update/january-2025</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</si>
  <si>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</si>
  <si>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</si>
  <si>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</si>
  <si>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</si>
  <si>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</si>
  <si>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</si>
  <si>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</si>
  <si>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</si>
  <si>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</si>
  <si>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</si>
  <si>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</si>
  <si>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</si>
  <si>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</si>
  <si>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Food Security Crisis in Swaziland</t>
  </si>
  <si>
    <t>World Bak Data; UN Populations Division and Eswatini Census Report 2018</t>
  </si>
  <si>
    <t>https://data.worldbank.org/country/botswana</t>
  </si>
  <si>
    <t>Total population of people living in Eswatini</t>
  </si>
  <si>
    <t>IPC October 2019 to March 2020 Projections</t>
  </si>
  <si>
    <t>http://www.ipcinfo.org/fileadmin/user_upload/ipcinfo/docs/IPC_Eswatini_AFI_2019June2020March.pdf</t>
  </si>
  <si>
    <t>This is the total SQ for areas affected by both the drought and the flooding.</t>
  </si>
  <si>
    <t>UN OCHA 08/01/2020</t>
  </si>
  <si>
    <t>City Population 2020</t>
  </si>
  <si>
    <t>UN OCHA 08/01/2020 UNHCR 12/01/2020</t>
  </si>
  <si>
    <t>UN OCHA 22/12/2019</t>
  </si>
  <si>
    <t>https://reliefweb.int/report/sudan/sudan-humanitarian-needs-overview-2020-january-2020</t>
  </si>
  <si>
    <t xml:space="preserve">The total population of Sudan according to the 2020 HNO is 43 million. </t>
  </si>
  <si>
    <t>The whole country is considerd to be affected by the complex crisis, which includes the political situation, economic situation (including inflation rates and rising prices for basic commodities), ongoing conflict, displaced population, food security, and others.</t>
  </si>
  <si>
    <t>The entire population is considerd to be affected by the complex crisis, which includes the political situation, economic situation (including inflation rates and rising prices for basic commodities), ongoing conflict, displaced population, food security, and others.</t>
  </si>
  <si>
    <t>The total number of crisis related displaced people is based off of the 2020 HNO and includes refugees (from countries including South Sudan, Chad, CAR, Ertirea, Syria, and others), returnees, and IDPs.</t>
  </si>
  <si>
    <t xml:space="preserve">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 </t>
  </si>
  <si>
    <t xml:space="preserve">All states are hosting South Sudanese refugees, however, Khartoum, White Nile, East Darfur are hosting the most refugees (all over 100,000 and at least marking 3,75% of the host population). Therefore, these 3 states will be taken as a representative sample. </t>
  </si>
  <si>
    <t xml:space="preserve">https://reliefweb.int/sites/reliefweb.int/files/resources/Sudan_2020_HNO.pdf https://reliefweb.int/sites/reliefweb.int/files/resources/Digital%20Virsion_Sudan%20Countrry%20CRP%202020-V4-20200113.pdf </t>
  </si>
  <si>
    <t>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only the the number of host population who are to be targeted for assistance and total number of refugees were counted as exposed.</t>
  </si>
  <si>
    <t xml:space="preserve">This is the figure included in the 2020 HNO as the total population of refugees living in Sudan. Refugees from South Sudan make up the majority of this number. In addition, refugees in Sudan originate from Eritrea,  Ethiopia, Chad, CAR, Syria, and others. </t>
  </si>
  <si>
    <t xml:space="preserve">They are likely refugees included in the total number of fatalities by ACLED, however it was too unreliable to determine the total number.  Therefore, the number was put as X. </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</si>
  <si>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</si>
  <si>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</si>
  <si>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</si>
  <si>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</si>
  <si>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</si>
  <si>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</si>
  <si>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</si>
  <si>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 xml:space="preserve">According to the 2020 HNO there are 5.3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</si>
  <si>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UNHCR 13/08/2018; División Territorial Administrativa, Instituto Geográfico Nacional, San José, Costa Rica, Imprenta Nacional, 2001; Government of Costa Rica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</si>
  <si>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</si>
  <si>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</si>
  <si>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</si>
  <si>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</si>
  <si>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</si>
  <si>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</si>
  <si>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</si>
  <si>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</si>
  <si>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</si>
  <si>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</si>
  <si>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SWZ002</t>
  </si>
  <si>
    <t>Residents are the only group affected.</t>
  </si>
  <si>
    <t>Only population living in Namibia are affected.</t>
  </si>
  <si>
    <t>Only populations living in Mozambique are affected.</t>
  </si>
  <si>
    <t>Only population living in Madagascar are affected.</t>
  </si>
  <si>
    <t xml:space="preserve">Foreign travel within Iran is strictly controlled by the authorities, and subject to authorization. Roadblocks and checkpoints are common. </t>
  </si>
  <si>
    <t>Reports suggest Iran often deregisters or criminalises NGO work deemed a threat - this is particularly true for human rights and civil society organizations, but also is present in the humanitarian and development sector.  Economic sanctions imposed on Iran have negatively impacted the ability for humanitarian operations to continue in the country - organizations present in the country report issues in transferring funds and goods into the country.</t>
  </si>
  <si>
    <t xml:space="preserve">ACAPS Access Report </t>
  </si>
  <si>
    <t>Refugees, IDPs, host, non-host and returnees.</t>
  </si>
  <si>
    <t>This is the total number of IDPs and refugees recorded in the heights of the drought and food insecurity crisis especially in Zimbabwe.</t>
  </si>
  <si>
    <t>Total population in the country + total refugee population, including from CAR, Nigeria, and others + returnees minus total number of Cameroonians living in Nigeria.</t>
  </si>
  <si>
    <t>This is the sum of people facing levels 1-5 humanitarian needs according to ACAPS methodology.</t>
  </si>
  <si>
    <t>This is the sum of people facing levels 2-5 humanitarian needs according to ACAPS methodology.</t>
  </si>
  <si>
    <t>The PIN is a sum of people at levels 1-3 requiring humanitarian assistance according to ACAPS methodology calculations. Levels 1-5 is as specified by Cadre Harmonise.</t>
  </si>
  <si>
    <t>This is the sum total of level 1-5 needs according to ACAPS methodology for population living in affected areas.</t>
  </si>
  <si>
    <t>This is the sum total of level 2-5 needs according to ACAPS methodology for populationaffected by a crisis.</t>
  </si>
  <si>
    <t>http://www.ipcinfo.org/fileadmin/user_upload/ipcinfo/docs/IPC_AcuteFoodSec_Madagascar_2019July2020June_English%20summary.pdf   https://data.humdata.org/dataset/madagascar-administrative-level-0-4-population-statistics   https://erccportal.jrc.ec.europa.eu/ercmaps/ECDM_20200129_Madagascar_Floods.pdf</t>
  </si>
  <si>
    <t>PIN figures are a summation of levels 1-3 according to ACAPS methodology. Level 1-5 are as specified by IPC April 2020 to June 2020 from the July 2019 to June 2020 projections.</t>
  </si>
  <si>
    <t>http://www.ine.gov.mz/operacoes-estatisticas/censos/censo-2007/censo-2017;  https://www.unhcr.org/news/briefing/2020/2/5e3d2d8f4/fresh-violence-northern-mozambique-forces-thousands-flee.html;   https://reliefweb.int/sites/reliefweb.int/files/resources/IPC_AFI_AMN_Mozambique_2019April2020Feb_English.pdf</t>
  </si>
  <si>
    <t>This is assumed to be the summation of levels 2-4 of humanitarian needs according to ACAPS methodology.</t>
  </si>
  <si>
    <t>https://data2.unhcr.org/en/country/moz</t>
  </si>
  <si>
    <t>These are the number of people displaced by cyclones and other food security inducing factors.</t>
  </si>
  <si>
    <t>All the people living in areas affected by Boko Haram crisis, the farmer/herder conflict, northwest banditry and cameroonian refugee locations are considered affected by the crisis. The people living in Kaduna and Bauchi at IPC level 2 and 3 are also considered affected (complex crisis status).</t>
  </si>
  <si>
    <t>This is a summation of the total number of people affected by all crisis under study in Nigeria.</t>
  </si>
  <si>
    <t>Total number of people displaced by the Boko Haram crisis , the farmer/herder conflict, the northwest banditry and the Cameroonian refugee crisis.</t>
  </si>
  <si>
    <t xml:space="preserve">The PIN and Level 1 to 5 are a summation of each levels for the 5 crisis. </t>
  </si>
  <si>
    <t>This is following ACAPS methodology for populations living in affected areas: The summation of people at Level 1 to 5 needing humanitarian assistance.</t>
  </si>
  <si>
    <t>This is following ACAPS methodology for populations affected: The summation of people at Level 2 to 5 needing humanitarian assistance.</t>
  </si>
  <si>
    <t xml:space="preserve">The total PIN for the crisis includes the sum of people in  level 1-3 according based on ACAPS methodology calculations. Total number of people experiencing level 1 humanitarian conditions were those exposed (populations Akwa Ibom, Benue, Cross River and Taraba states) minus Cameroonian refugees. </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</si>
  <si>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</si>
  <si>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</si>
  <si>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</si>
  <si>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</si>
  <si>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</si>
  <si>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02/2020</t>
  </si>
  <si>
    <t>Government of Bangladesh 2011, JRP 28/02/2020, ISCG MSNA 30/09/2019, REACH-UNHCR 26/01/2020, ACAPS 20/12/2020</t>
  </si>
  <si>
    <t xml:space="preserve">Needs and Priorities 2020 </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</si>
  <si>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</si>
  <si>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</si>
  <si>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</si>
  <si>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</si>
  <si>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</si>
  <si>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</si>
  <si>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</si>
  <si>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</si>
  <si>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</si>
  <si>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</si>
  <si>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</si>
  <si>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</si>
  <si>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http://reporting.unhcr.org/sites/default/files/UNHCR%20Iran%20Fact%20Sheet%20-%20October%202019.pdf https://www.nrc.no/globalassets/pdf/fact-sheets/2019/q3/factsheet_iran_sep2019.pdf https://www.amnesty.org/en/latest/news/2019/06/afghanistan-refugees-forty-years/
http://ec.europa.eu/echo/printpdf/4437_en</t>
  </si>
  <si>
    <t xml:space="preserve">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</si>
  <si>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http://reporting.unhcr.org/sites/default/files/UNHCR%20Iran%20Fact%20Sheet%20-%20October%202019.pdf https://www.nrc.no/globalassets/pdf/fact-sheets/2019/q3/factsheet_iran_sep2019.pdf https://www.amnesty.org/en/latest/news/2019/06/afghanistan-refugees-forty-years/</t>
  </si>
  <si>
    <t>http://ec.europa.eu/echo/printpdf/4437_en</t>
  </si>
  <si>
    <t>Afghan refuges are directly affected. Host community, especially in the largest refugee hosting provinces are also assumed to be affected.</t>
  </si>
  <si>
    <t>Myanmar National Census 2014, HNO 2020</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</si>
  <si>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</si>
  <si>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</si>
  <si>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 
https://reliefweb.int/report/myanmar/myanmar-humanitarian-needs-overview-2020-december-2019</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</si>
  <si>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</si>
  <si>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</si>
  <si>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</si>
  <si>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https://reliefweb.int/report/myanmar/myanmar-humanitarian-needs-overview-2020-december-2019</t>
  </si>
  <si>
    <t>IDPs, Host, Non-Host</t>
  </si>
  <si>
    <t xml:space="preserve">https://myanmar.unfpa.org/en/publications/union-report-volume-3k-rakhine-state-report 
</t>
  </si>
  <si>
    <t xml:space="preserve">The whole of the Rakhine state (36,778 km²) is affected by the conflict to a degree. Paletwa township in Chin is also affected (8,079 km²).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</si>
  <si>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</si>
  <si>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</si>
  <si>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 </t>
  </si>
  <si>
    <t>https://myanmar.unfpa.org/en/publications/union-report-volume-3k-rakhine-state-report 
https://reliefweb.int/report/myanmar/myanmar-humanitarian-needs-overview-2020-december-2020</t>
  </si>
  <si>
    <t>https://myanmar.unfpa.org/en/publications/union-report-volume-3k-rakhine-state-report 
https://reliefweb.int/report/myanmar/myanmar-humanitarian-needs-overview-2020-december-2021</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</si>
  <si>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</si>
  <si>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https://reliefweb.int/report/myanmar/myanmar-humanitarian-needs-overview-2020-december-2023</t>
  </si>
  <si>
    <t>IDP, host, non-host, refugees</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</si>
  <si>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</si>
  <si>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 xml:space="preserve">IDP, host, and non-host </t>
  </si>
  <si>
    <t xml:space="preserve">Ukraine Statistical Service 11/2018 </t>
  </si>
  <si>
    <t>UNHCR 07/02/2020</t>
  </si>
  <si>
    <t>HNO 2020, Ukraine Statistical Service 11/2018, UNHCR 12/2018</t>
  </si>
  <si>
    <t>Myanmar Census 2014, Government of Bangladesh 2011, ISCG 01/2019</t>
  </si>
  <si>
    <t>Myanmar National Census 2014,  HNO 2020, Government of Bangladesh 2011, JRP 28/02/2020, ISCG MSNA 30/09/2019, REACH-UNHCR 26/01/2020, ACAPS 20/12/2020</t>
  </si>
  <si>
    <t>UNHCR 31/01/2020</t>
  </si>
  <si>
    <t>UN OCHA 08/01/2020
UNHCR 12/01/2020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</si>
  <si>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</si>
  <si>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</si>
  <si>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</si>
  <si>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Estimated population living in the area along the contact line (from 0 – 20+ km). Includes non-government controlled areas and government controlled areas.</t>
  </si>
  <si>
    <t>https://app.powerbi.com/view?r=eyJrIjoiY2RhMmExMjgtZWRlMS00YjcwLWI0MzktNmEwNDkwYzdmYTM0IiwidCI6ImU1YzM3OTgxLTY2NjQtNDEzNC04YTBjLTY1NDNkMmFmODBiZSIsImMiOjh9</t>
  </si>
  <si>
    <t xml:space="preserve">IDPs in Eastern Ukraine. 450,000 asylum seekers were removed as of February 2020 due to outdated information. </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</si>
  <si>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</si>
  <si>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</si>
  <si>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Non-host, IDPs, Host community</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</si>
  <si>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</si>
  <si>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t>
  </si>
  <si>
    <t>https://myanmar.unfpa.org/en/publications/union-report-volume-3k-rakhine-state-report https://reliefweb.int/report/myanmar/myanmar-humanitarian-needs-overview-2020-december-2019</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</si>
  <si>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</si>
  <si>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</si>
  <si>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surroudning communities. Therefore, this number was taken as the total number of affected in addition to the total number of refugees.</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</si>
  <si>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</si>
  <si>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Total affected population by the drought + the total number of registered refugees and asylum seekers. The total number of people affected by the floods was not included as it would be highly likely that double counting of people would occur.</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</si>
  <si>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</si>
  <si>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</si>
  <si>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</si>
  <si>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https://missingmigrants.iom.int/downloads
https://acleddata.com/data-export-tool/</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</si>
  <si>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</si>
  <si>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</si>
  <si>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</si>
  <si>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</si>
  <si>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</si>
  <si>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Economic sanctions imposed on Iran have negatively impacted the ability for humanitarian operations to continue in the country - organizations present in the country report issues in transferring funds and goods into the country.  Any new projects or visits to ongoing projects throughout the country require prior approval and continued oversight by the government. Several areas in the country are not accessible without an escort by security forces. There are extreme restrictions in terms of surveillance, authorization for activities, and movement restrictions that also limit the type of work and area in which foreign organizations can operate.</t>
  </si>
  <si>
    <t>Ethnic minorities face significant socio-economic challenges due to the forced closure of businesses, discriminatory practices and denial of employment, restrictions on access to education and other basic services.</t>
  </si>
  <si>
    <t>Documentation requirements restricts many Afghans from accessing basic services and humanitarian assistance.</t>
  </si>
  <si>
    <t xml:space="preserve">Extremely violent protests in Iran that began in November 2019. Roads became blocked, both by protestors and as a response from the government, violence escalated and clashes occurred. Movement was restricted in many cities across the country. </t>
  </si>
  <si>
    <t>Flooding in Sistan Baluchistan resulted in damage to infrastructure, disrupted communications and electricity networks, and road blockages which cut off many remote villages. Sanctions have negatively impacted the ability of Iran to import specialty medical equipment, medication, and food. Resulting in shortages.</t>
  </si>
  <si>
    <t>OCHA 01/2020; UNHCR 29/02/2020</t>
  </si>
  <si>
    <t xml:space="preserve">OCHA 01/2020; </t>
  </si>
  <si>
    <t>OCHA 01/2020; UNHCR 29/02/2020; UNHCR 31/02/2020</t>
  </si>
  <si>
    <t>populationdata.net 2019; UNHCR 31/02/2020</t>
  </si>
  <si>
    <t>OCHA 01/2020;</t>
  </si>
  <si>
    <t>UNHCR 31/02/2020</t>
  </si>
  <si>
    <t>ECU: R4V Ecuador accessed 30/03/2020; OCHA 2018; 
BRA: IBGE 2017   
COL: Regional Response Plan 2020 31/10/2019; R4V Colombia 08/2019; DANE; 
PER: OCHA, July 2015; Regional Response Plan  2020; R4V Factsheet 29/10/2019 
TRI: World Bank 2018; R4V March 2019 Update; UNICEF 27/03/2019; NPR 18/12/2018; 
IFRC 01/02/2019</t>
  </si>
  <si>
    <t>IOM Missing Migrants Project 2020</t>
  </si>
  <si>
    <t>https://www.humanitarianresponse.info/es/operations/chad/document/tchad-aper%C3%A7u-des-besoins-humanitaires-2020-hno-2020
https://data2.unhcr.org/en/country/tcd</t>
  </si>
  <si>
    <t xml:space="preserve">https://www.humanitarianresponse.info/es/operations/chad/document/tchad-aper%C3%A7u-des-besoins-humanitaires-2020-hno-2020
</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</si>
  <si>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</si>
  <si>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</si>
  <si>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</si>
  <si>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Recent figures from UNHCR on number of Sudanese refugees in Chad</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</si>
  <si>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</si>
  <si>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https://data2.unhcr.org/en/documents/download/74360</t>
  </si>
  <si>
    <t xml:space="preserve">PIN figures are based on OCHA HNO 2020 report for the 5 regions most affected by the CAR refugee crisis: Logone Occiddental, Logone Oriental, Moyen Chari, Salamat, Mandoul. </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</si>
  <si>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</si>
  <si>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</si>
  <si>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https://data2.unhcr.org/en/situations/platform/location/7512; https://data2.unhcr.org/en/documents/details/73278</t>
  </si>
  <si>
    <t xml:space="preserve">https://missingmigrants.iom.int/downloads </t>
  </si>
  <si>
    <t>ECU: https://data2.unhcr.org/es/situations/platform/location/7512; https://data.humdata.org/dataset/ecuador-admin-level-2-boundaries
BRA: https://www.ibge.gov.br/cidades-e-estados/rr.html 
COL: https://r4v.info/es/situations/platform/location/7511;
https://r4v.info/en/documents/details/72254;
https://data.humdata.org/dataset/colombia-admin-level-4-boundaries
PER: https://data.humdata.org/dataset/proyeccion-de-poblacion-por-distrito-y-edad-de-peru;https://reliefweb.int/sites/reliefweb.int/files/resources/72254.pdf; https://data2.unhcr.org/en/documents/download/72314
TRI: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</si>
  <si>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0
ECU: 4241037 -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206,548 - Level 1: The exposed population minus the affected population (incl level 2 and 3 humanitarian conditions) 
COL: 23679097 -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15442560 -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1389858 -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</si>
  <si>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https://data.worldbank.org/indicator/SP.POP.TOTL?locations=GR; https://data2.unhcr.org/en/documents/download/74134</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</si>
  <si>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</si>
  <si>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</si>
  <si>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</si>
  <si>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</si>
  <si>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</si>
  <si>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</si>
  <si>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</si>
  <si>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</si>
  <si>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</si>
  <si>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</si>
  <si>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</si>
  <si>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</si>
  <si>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</si>
  <si>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</si>
  <si>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HNO 03/2020.</t>
  </si>
  <si>
    <t xml:space="preserve"> https://www.humanitarianresponse.info/sites/www.humanitarianresponse.info/files/documents/files/ocha_nga_2020hno.pdf</t>
  </si>
  <si>
    <t>The total PIN for the crisis includes the sum of people in IPC level 1-3 according to Nigeria HNO 2020 and based on ACAPS methodology calculations. IPC level 1-5 was also based on Nigeria HNO 2020.</t>
  </si>
  <si>
    <t>The total PIN for the crisis includes the sum of people in  level 1-3 according based on ACAPS methodology calculations. Level 1 is total population lving in the 6 northwest states caegorised as affected areas minus the number of displaced people by the crisis. Level 3 is assumed to be the number of people displaced by the crisis.</t>
  </si>
  <si>
    <t>Nigeria Bureau of Statistics (NBS) 2012; OCHA 2016</t>
  </si>
  <si>
    <t xml:space="preserve">Total landmass of people living in Zamfara, Sokoto, Katsina, Kaduna, Niger and Kebbi states in Northwest Nigeria are considered affected by the banditry violence in the area. </t>
  </si>
  <si>
    <t>Afghan Refugees in Iran</t>
  </si>
  <si>
    <t>Flooding and Landslides in Kenya</t>
  </si>
  <si>
    <t>Flooding and Landslides</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</si>
  <si>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</si>
  <si>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</si>
  <si>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</si>
  <si>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</si>
  <si>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</si>
  <si>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</si>
  <si>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</si>
  <si>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UN OCHA 05/11/2019; ECHO 24/04/2020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</si>
  <si>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</si>
  <si>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</si>
  <si>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</si>
  <si>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</si>
  <si>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</si>
  <si>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</si>
  <si>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</si>
  <si>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</si>
  <si>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</si>
  <si>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</si>
  <si>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 xml:space="preserve">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 </t>
  </si>
  <si>
    <t xml:space="preserve">Total number of fatalities due to the flooding. Due to information gaps, fatalities related to the displacement crisis or drought are not considered. </t>
  </si>
  <si>
    <t xml:space="preserve">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 </t>
  </si>
  <si>
    <t>Flooding has posed serious access constraints across the most affected areas. Damage to roads and bridges poses a challenge for humantiarian response.</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</si>
  <si>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</si>
  <si>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</si>
  <si>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</si>
  <si>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</si>
  <si>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 xml:space="preserve">LCRP 2017-2020 (2020 Update) </t>
  </si>
  <si>
    <t>Reuters 08/06/2018; FS Cluster 08/2017</t>
  </si>
  <si>
    <t>Reuters 19/02/2019; The Daily Star 23/05/2018</t>
  </si>
  <si>
    <t>ACAPS HEN Report 20/04/2020; The New Humanitarian 17/09/2019</t>
  </si>
  <si>
    <t>Insecurity Insight</t>
  </si>
  <si>
    <t xml:space="preserve">UNHCR 2019; UNRWA 01/06/2018
</t>
  </si>
  <si>
    <t>Mine Action Review; Landmine Monitor</t>
  </si>
  <si>
    <t>https://migrationdataportal.org/data?cm49=422&amp;focus=profile&amp;i=stock_abs_&amp;t=2019; https://www.reuters.com/article/us-lebanon-crisis-emigration/crisis-drives-lebanese-abroad-in-search-of-better-future-idUSKBN20D1T6</t>
  </si>
  <si>
    <t>https://www.acleddata.com/data/; https://reliefweb.int/report/lebanon/press-briefing-note-lebanon-21-january-2020</t>
  </si>
  <si>
    <t>https://www.worldbank.org/en/country/lebanon/publication/lebanon-economic-monitor-fall-2019</t>
  </si>
  <si>
    <t>https://data2.unhcr.org/en/documents/download/74641</t>
  </si>
  <si>
    <t>1. https://www.reuters.com/article/us-lebanon-syria-refugees-unhcr/lebanon-freezes-unhcr-residency-applications-foreign-minister-idUSKCN1J41JE  2. https://fscluster.org/sites/default/files/documents/fss_contingency_plan_2017-2018.pdf</t>
  </si>
  <si>
    <t>https://www.reuters.com/article/us-mideast-crisis-lebanon-hezbollah/us-concerned-over-hezbollahs-growing-role-in-lebanon-idUSKCN1Q81YR; http://www.dailystar.com.lb/News/Lebanon-News/2018/May-23/450530-man-shot-dead-after-failing-to-stop-at-tripoli-checkpoint.ashx</t>
  </si>
  <si>
    <t>https://www.acaps.org/sites/acaps/files/products/files/200420_acaps_humanitarian_experts_network_survey_2_results_final.pdf; https://www.thenewhumanitarian.org/news-feature/2019/09/17/Syrian-refugees-deportations-Lebanon</t>
  </si>
  <si>
    <t>https://www.unhcr.org/lb/refugees-and-asylum-seekers; https://www.unrwa.org/sites/default/files/unrwa_lebanon_protection_context_brief_june_2018.pdf</t>
  </si>
  <si>
    <t>http://www.mineactionreview.org/; http://www.the-monitor.org/en-gb/home.aspx</t>
  </si>
  <si>
    <t xml:space="preserve">Worldbank population data includes the adjustments for people who have come into and gone out of Lebanon. Reliability is medium as the figure does not take into account the migratory dinamycs of the last year. </t>
  </si>
  <si>
    <t>The socio-economic crisis is affecting the whole of Lebanon and thus the total surface area is reported.</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</si>
  <si>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of the last year.</t>
  </si>
  <si>
    <t xml:space="preserve">It is difficult to establish how many Lebanese and refugees left the country due to the socio-economi crisis. The last  figure for Lebanese emigration between 1990 and mid 2019 was around 844,200 people. 
</t>
  </si>
  <si>
    <t>Several episodes of vandalism targeting ATMs, banks, shops and public property were reported. However, it is not possible to quantify the damages due to insufficient data.</t>
  </si>
  <si>
    <t xml:space="preserve">No  Data available </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</si>
  <si>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</si>
  <si>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</si>
  <si>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 xml:space="preserve">No Data Available </t>
  </si>
  <si>
    <t>Presence of checkpoints and multiple actors managing access to different areas of the country.</t>
  </si>
  <si>
    <t>Due to governmental movement restrictions imposed because of the COVID-19 outbreak this indicator will be now logged. "The limitation on movements endorsed by the Government is clearly affecting our COVID-19 preparedness and response. INGOs don't have a clear waiver toaccess communities and are in constant negotiations with local authorities.” (Aid worker based in Lebanon from the Humanitarian Experts Network). Overlap of politics and humanitarian issues was also observed.</t>
  </si>
  <si>
    <t>One aid worker arrested in the last six months.</t>
  </si>
  <si>
    <t xml:space="preserve">Since May 2015 new registration of Syrian refugees has been suspended. Palestine refugees from Syria and Lebanon, but also non-ID Palestinians face difficulties in accessing services due to governmental restrictions. These can be expected to affect these categories also in the socio-economic crisis. </t>
  </si>
  <si>
    <t>No reported hostilities.</t>
  </si>
  <si>
    <t>Based on contamination extension and number of casualties, Lebanon scored a 3 according to ACAPS' access methodology.</t>
  </si>
  <si>
    <t>No reported physical constraints</t>
  </si>
  <si>
    <t>UN World Population Prospects 08/2019</t>
  </si>
  <si>
    <t>UNHCR 10/10/2019
Government of Egypt 2007
Government of Egypt 2019
Government of Egypt 2017</t>
  </si>
  <si>
    <t>UNHCR 31/01/2020; UNHCR 31/01/2020; CAPMAS 01/01/2015; UNHCR 10/10/2019; EVAR 2017</t>
  </si>
  <si>
    <t>Jordanian Department of Statistics 2018
Jordanina Department of Statistics N.D.</t>
  </si>
  <si>
    <t xml:space="preserve"> World Bank Spring 2018, data based on 2017 figures</t>
  </si>
  <si>
    <t>OCHA 01/11/2018</t>
  </si>
  <si>
    <t>Spring 2018, data based on 2017 figures
World Bank 02/2018</t>
  </si>
  <si>
    <t>Government of KR-I ND; UNHCR 22/02/2019</t>
  </si>
  <si>
    <t>ALGERIA: UN World Population Prospects 2019
TUNISIA: INS Tunisie 2014, p.32
LIBYA: World Population Prospects 2019
ITALY: ISTAT 09/2019</t>
  </si>
  <si>
    <t>World Population Prospects 2019</t>
  </si>
  <si>
    <t xml:space="preserve">OCHA HNO 2020 </t>
  </si>
  <si>
    <t xml:space="preserve">https://population.un.org/wpp/Download/Standard/Population/
https://population.un.org/wpp/Methodology/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</si>
  <si>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</si>
  <si>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 xml:space="preserve">https://data2.unhcr.org/en/situations/syria/location/1
https://data2.unhcr.org/en/documents/download/73116
https://geoportal.capmas.gov.eg/arcgis/apps/webappviewer/index.html?id=67fdd9906a12407785e6a7be42bf70dc&amp;locale=ar
 https://reliefweb.int/sites/reliefweb.int/files/resources/September-2019-UNHCR-Egypt-Monthly-Statistical-Report-External.pdf
https://www.unhcr.org/eg/wp-content/uploads/sites/36/2019/09/EVAR2017-2019-Online.pdf
</t>
  </si>
  <si>
    <t>http://dosweb.dos.gov.jo/DataBank/Population_Estimares/PopulationEstimates.pdf 
http://www.dos.gov.jo/dos_home_e/main/Demograghy/Methodology.pdf</t>
  </si>
  <si>
    <t>https://databank.worldbank.org/reports.aspx?source=2&amp;country=IRQ</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</si>
  <si>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</si>
  <si>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http://previous.cabinet.gov.krd/p/page.aspx?l=12&amp;s=050000&amp;r=300&amp;p=210; http://www.3rpsyriacrisis.org/wp-content/uploads/2020/03/rso2020_30.pdf</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</si>
  <si>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</si>
  <si>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</si>
  <si>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</si>
  <si>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</si>
  <si>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</si>
  <si>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</si>
  <si>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</si>
  <si>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</si>
  <si>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3: 26.29% of registered Syrian refugees are facing high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2: 4.3% of registered Syrian refugees are facing midl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</si>
  <si>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The figure takes into account migration and emigration trends, including new population dynamics following the 2011 Syrian conflict.</t>
  </si>
  <si>
    <t>Only admin level 1 areas hosting  over 20,000 registered Syrian refugees are counted, so Amman, Irbid,Mafraq and Zarqa. Therefore: 1,572km2 (Irbid) + 4,761km2 (Zarqa) + 26,551 (Mafraq) + 7,579 (Amman)</t>
  </si>
  <si>
    <t>No mention of damaged buidlings found</t>
  </si>
  <si>
    <t>No mention of destroyed buildings found</t>
  </si>
  <si>
    <t>World Bank data already includes refugees' inflow and outflow. However, there is a small margin of error as the WB data is from 2018 and new refugee/returnee numbers are not accountated for. And that is why reliability is set as medium.</t>
  </si>
  <si>
    <t>The whole country is affected. The ongoing conflict and displacement crisis have affected multiple aspects of life in all regions in Iraq.</t>
  </si>
  <si>
    <t>As the whole country is considered affected, the total population of the country is considered exposed.</t>
  </si>
  <si>
    <t>as UNAMI is not publishing injuries numbers from Jan 2019 onwards anymore. There is no other (reliable) data available</t>
  </si>
  <si>
    <t>no sufficient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</si>
  <si>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</si>
  <si>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The country level number represents the sum of conflict (HNO data) and int. displacement numbers (UNHCR data). The reason why at country level we sum the PIN numbers for both crisis is because in the 2020 HNO for Iraq (used to assess humanitarian conditions in the conflict crisis) the needs of Syrian refugees are not analysed: "Refugees, largely from Syria, remain a vulnerable category of people with ongoing presence in Iraq. Their needs continue to be assessed and addressed in the Regional Refugee and Resilience Plan 2019-2020 (3RP) and are not included in this assessment and analysis of humanitarian needs of Iraqis in Iraq." p.16
The number of vulnerable Iraqis in host communities which was added to the PIN number and to level 3 within the interntional displacement crisis was subtracted from the country level caculations, as vulnerable Iraqis should alredy be accounted for under HNO data. Only the figure for Syrian refugees was thus added from the displacement crisis to avoid possible double counting of vulnerable Iraqis.</t>
  </si>
  <si>
    <t>The whole country is affected as the conflict affects all aspects of life in all regions in Iraq.</t>
  </si>
  <si>
    <t>This number is based on the HNO 2019 and represents the estimated population living in conflict affected areas. No equivalent figure was reported in the 2020 HNO and that is why the figure from the 2019 HNO was kept.</t>
  </si>
  <si>
    <t xml:space="preserve">PIN: HNO figure of 4.10 m was adjusted to the addition of the breakdown of the Admin 1 figures  reported on p.6. 
Level 1:  obtained subtracting from the number of people exposed the total of people in need on level 2,3,4,5. 
Level 2: obtained subtracting the PIN from level 3 and 4 from the overall number of people affected as given in the HNO 2020. 
Level 3: Obtained subtracting the number of people in acute need from the number of PIN at admin 1 level reported on p.28 of the 2020 HNO. 
Level 4: Acute needs in the HNO correspond to ACAPS level 4, severe needs. 
Level 5: Some IDPs, returnees and other Iraqis are  living in conditions that are matching severity level 5, as they are faciging multiple vulnerabilities, but no specific breakdown appeared in the HNO and therefore level 4 and 5 were put under the term "acute needs". Districts on level 5 severity are: al Shikhan, al Shirqat, Kirkuk, Tikrit, Khanaqin, al Adhamiya and al Kadhmiya. Considering the severity map on p.24 we can see that only these 6 districts are on level 5, while 20 are on level 4 and that is why the number of people in acute need was put under level 4. The exact number of people in acute need was obtained by adding the admin 1 scores reported on p. 28 of the HNO. </t>
  </si>
  <si>
    <t>This accounts for the Admin level 1 area of governorates of Duhok, Erbil and Sulaymaniyah; 99% of Syrian refugees live in Kurdistan Region  – Iraq (KR-I) (these three governorates), 1% live in other locations in Iraq.</t>
  </si>
  <si>
    <t>Total number of Syrian refugees registered in Iraq.</t>
  </si>
  <si>
    <t xml:space="preserve">Level 5: no mention of extreme or catastrophic humanitarian conditions emerged in qualitative analysis. 
Level 4: all Syrian refugees resident in Iraq are considered in need based on the 2020-2021 3RP response plan. They were divided between level 3 and level 4 as a consequence. Syrian refugees in urban settings in KR-I  identified in the category "high income vulnerability" are on level 4 (32% of the total). Syrian refugees in KR-I camps having a lower income (below 500,000 IQD) were put on level 4. While urban refugees were categorised based on income vulnerability and the MEB (Minimum Expenditure Basket), no such criteria was found in the most recent assessment of in-camp refugees. A proxy indicator which was used to divide the global figures into differen categories was the level of income. The monthly HH income considered in the two studies is relatively similar, considering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distribution.
Level 3: all Syrian refugees resident in Iraq are considered in need based on the 2020-2021 3RP response plan. They were divided between level 3 and level 4 as a consequence. Syrian refugees in urban settings in the KR-I identified as having a "low income vulnerability" were put on level 3 (68%). Syrian refugees in KR-I camps having a an income above the 500,000 IQD threshold were put on level 3. While urban refugees were categorised based on income vulnerability also considering the MEB (Minimum Expenditure Basket), no such criteria was found in the most recent assessment of in-camp refugees. A proxy indicator which was used to divide the global figures into different categories was the level of income for in-camp refugees. The monthly HH income considered in the two studies is relatively similar (both assessments consider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alternative. 207,458 Iraqi hosts in need were also added to level 3.
Level 2: Affected population-PIN
Level 1: Exposed population-affected population
</t>
  </si>
  <si>
    <t>Fatalities related to political motives. The figure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</si>
  <si>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</si>
  <si>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</si>
  <si>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 xml:space="preserve">According tot the HNO the # affected people is 180000. </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</si>
  <si>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</si>
  <si>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All groups are affected by the complex crisis: Host, Non-Host, Migrants/Refugees, IDPs and Returnees.</t>
  </si>
  <si>
    <t>Host communities + refugees, asylum seekers, and migrants</t>
  </si>
  <si>
    <t>OCHA HNO 2020</t>
  </si>
  <si>
    <t>Regional Response Plan 2020 31/10/2019; R4V Colombia 29/02/2020</t>
  </si>
  <si>
    <t>Total population in the country</t>
  </si>
  <si>
    <t>The whole country is considered to be affected by the crisis</t>
  </si>
  <si>
    <t xml:space="preserve">Total population in the country is considered to be affected </t>
  </si>
  <si>
    <t>https://data.humdata.org/dataset/venezuela-administrative-level-0-1-2-and-3-population-statistics-and-gazeteer; https://r4v.info/es/situations/platform</t>
  </si>
  <si>
    <t xml:space="preserve">OCHA figures based on government data (the latest census in 2011) using projections for 2018.
Substracted number of Venezuelans who left the country since 2015 when the crisis began.
</t>
  </si>
  <si>
    <t xml:space="preserve">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</si>
  <si>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http://elucabista.com/wp-content/uploads/2019/02/Presentacion-Encovi-2018-y-Plan-Pa%C3%ADs-Def.pdf; https://data.humdata.org/dataset/venezuela-administrative-level-0-1-2-and-3-population-statistics-and-gazeteer; https://s3.amazonaws.com/unhcrsharedmedia/2018/RMRP_Venezuela_2019_OnlineVersion.pdf</t>
  </si>
  <si>
    <t xml:space="preserve">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 </t>
  </si>
  <si>
    <t>https://www.humanitarianresponse.info/sites/www.humanitarianresponse.info/files/documents/files/hno_2020_colombia_esp.pdf</t>
  </si>
  <si>
    <t xml:space="preserve">Total population of the country according to the latest HNO </t>
  </si>
  <si>
    <t xml:space="preserve">Number of people affected by the crisis in the country according to latest HNO. Affected populations include: IDPs, people affected by natural disasters, host communities for IDPs, Venezuelans with intention to stay, Colombian returnees and transit population. </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</si>
  <si>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</si>
  <si>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SOM004</t>
  </si>
  <si>
    <t>UNHCR 30/04/2020</t>
  </si>
  <si>
    <t>https://data2.unhcr.org/en/documents/download/75574</t>
  </si>
  <si>
    <t>4,077,344 total population of the counrty +  refugees and asylum seekers</t>
  </si>
  <si>
    <t xml:space="preserve">UN OCHA 22/12/2019; UNHCR 2020; </t>
  </si>
  <si>
    <t>https://www.acleddata.com/data/; https://reliefweb.int/report/somalia/somalia-flood-response-plan-november-2019-january-2020</t>
  </si>
  <si>
    <t xml:space="preserve">IDPs, host and, non-host. This list may not be exhaustive. </t>
  </si>
  <si>
    <t xml:space="preserve">UNHCR 2019; UNRWA 01/06/2018;HRW 02/04/2020
</t>
  </si>
  <si>
    <t>https://www.unhcr.org/lb/protection; https://www.unrwa.org/sites/default/files/unrwa_lebanon_protection_context_brief_june_2018.pdf;https://www.hrw.org/news/2020/04/02/lebanon-refugees-risk-covid-19-response</t>
  </si>
  <si>
    <t>Lack of documentation prevents Syrian refugees and non ID-Palestinians from accessing basic services. This can be expected to lead to difficulties also in the socio-economic crisis. In 2019 episodes of forced displacement of people in need away from services were also reported. Due to the COVID-19 outbreak, harsher restrictions of movement and curfews were imposed on syrian refugees i certain municipalities. As a consequence, their access to healthcare and other services has been limited.</t>
  </si>
  <si>
    <t xml:space="preserve">Confusion and difficulties related to entry visas and work permits for staff affecting recruitment.
</t>
  </si>
  <si>
    <t xml:space="preserve">Total number of CAR refugees currently in Cameroon. </t>
  </si>
  <si>
    <t>IPC April to July 2020 Projection; ECHO 29/01/2020; FEWS NET February to September 2020.</t>
  </si>
  <si>
    <t>Total number of PIN for the flood and drought crisis. Level 1-5 is the cummulation for all crises.</t>
  </si>
  <si>
    <t>IPC April to July 2020 Projection</t>
  </si>
  <si>
    <t>http://www.ipcinfo.org/fileadmin/user_upload/ipcinfo/docs/IPC_Madagascar_AcuteFoodInsec_Projection_Update_2020AprilJuly_English.pdf</t>
  </si>
  <si>
    <t>Total population in country + returnees to northeast Nigeria + Cameroonian refugees - Nigerian refugees in Niger, Chad, and Cameroon.</t>
  </si>
  <si>
    <t>HNO 03/2020</t>
  </si>
  <si>
    <t>https://www.cfr.org/nigeria/nigeria-security-tracker/p29483?cid=ppc-Google-grant-nst-boko_haram&amp;gclid=CKDGnovxrMQCFUHmwgodmgkADg</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</si>
  <si>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</si>
  <si>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 xml:space="preserve">Bureau Central des Recensements et des Etudes de Population Cameroon 2010; populationdata.net; http://www.stat-niger.org/statistique/file/DSEDS/TBS_2016.pdf; National Bureau of Statistics 2011; OCHA 01/02/2019;  </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</si>
  <si>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</si>
  <si>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</si>
  <si>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Mutliple crises in Bangladesh</t>
  </si>
  <si>
    <t>BGD001</t>
  </si>
  <si>
    <t>Cyclone Amphan Bangladesh</t>
  </si>
  <si>
    <t>Cyclone Amphan</t>
  </si>
  <si>
    <t>Multiple Crises in India</t>
  </si>
  <si>
    <t>IND001</t>
  </si>
  <si>
    <t>Cyclone Amphan India</t>
  </si>
  <si>
    <t>IND003</t>
  </si>
  <si>
    <t>Floods and Landslides in Uganda</t>
  </si>
  <si>
    <t>UGA006</t>
  </si>
  <si>
    <t>Floods and Landslides</t>
  </si>
  <si>
    <t>https://www.humanitarianresponse.info/sites/www.humanitarianresponse.info/files/documents/files/hno_2020_colombia_esp.pdf; https://r4v.info/es/situations/platform/location/7511; https://www.migracioncolombia.gov.co/noticias/1-informacion-general/27-oficinas/131-comunicaciones/132-sala-de-prensa/133-noticias/247-comunicados-2020/mayo-2020/numero-de-venezolanos-radicados-en-colombia-desciende-por-primera-vez-en-5-anos</t>
  </si>
  <si>
    <t>World Bank 2017; UNHCR 14/05/2020</t>
  </si>
  <si>
    <t xml:space="preserve">Total area affected by conflict, earthquakes, and Typhoon Ambo. Regions included: Region IX (Zamboanga Peninsula), Region XI (Davao Region), Region X (Northern Mindanao), Region XII (Soccsksargen), Region XIII (Caraga), Bangsamoro Autonomous Region In Muslim Mindanao (BARMM). The Typhoon affected regions are also included: Regions I, II, III, VIII and CAR. </t>
  </si>
  <si>
    <t>Total population living in the areas considered affected in Mindanao and the Typhoon.  Regions included: Region IX (Zamboanga Peninsula), Region XI (Davao Region), Region X (Northern Mindanao), Region XII (Soccsksargen), Region XIII (Caraga), Bangsamoro Autonomous Region In Muslim Mindanao (BARMM). The area affected by the earthquake overlap with the conflict (since the conflict is affecting the entire Mindanao region). The Typhoon affected regions are also included: Regions I, II, III, VIII and CAR</t>
  </si>
  <si>
    <t>The earthquake caused 23 deaths, though they are no longer considered in the severity index due to the fact that the earthquake falls outside the 6 month reporting period.</t>
  </si>
  <si>
    <t>Statoids 2015; UN News 21/05/2020</t>
  </si>
  <si>
    <t>ECHO 25/05/2020</t>
  </si>
  <si>
    <t>Statoids 2015; ECHO 25/05/2020; UN News 21/05/2020; GoI 2011</t>
  </si>
  <si>
    <t>Joint Needs Assessment 31/05/2020; UN RC Bangladesh 01/06/2020; Statoids 2020</t>
  </si>
  <si>
    <t>Joint Needs Assessment 31/05/2020</t>
  </si>
  <si>
    <t>Joint Needs Assessment 31/05/2020; UN RC Bangladesh 01/06/2020</t>
  </si>
  <si>
    <t>UN RC Bangladesh 01/06/2020</t>
  </si>
  <si>
    <t>Joint Needs Assessment 31/05/2020; UN RC Bangladesh 01/06/2020; BDRC 22/05/2020; Statoids 2020</t>
  </si>
  <si>
    <t>Joint Needs Assessment 31/05/2020; UN RC Bangladesh 01/06/2020; Statoids 2020; Government of Bangladesh 2011, ISCG 01/2019</t>
  </si>
  <si>
    <t>Joint Needs Assessment 31/05/2020; UN RC Bangladesh 01/06/2020; BDRC 22/05/2020; Statoids 2020; Government of Bangladesh 2011; JRP 28/02/2020; ISCG MSNA 30/09/2019; REACH-UNHCR 26/01/2020; ACAPS 20/12/2020</t>
  </si>
  <si>
    <t xml:space="preserve"> Kenya National Bureau of Statistics 2009; Statoids 2020; OCHA 07/05/2020</t>
  </si>
  <si>
    <t>OCHA 07/05/2020</t>
  </si>
  <si>
    <t>ACT Alliance 21/05/2020</t>
  </si>
  <si>
    <t>The Star 26/04/2020; ECHO 24/04/2020; OCHA 07/05/2020;  Kenya National Bureau of Statistics 2009;</t>
  </si>
  <si>
    <t>UNHCR 31/07/2019; IFRC 06/05/2020</t>
  </si>
  <si>
    <t>IFRC 06/05/2020</t>
  </si>
  <si>
    <t>ECHO 11/05/2020</t>
  </si>
  <si>
    <t>ECHO 11/05/2020; New Vision 23/05/2020</t>
  </si>
  <si>
    <t>IFRC 06/05/2020; UNHCR 30/04/2020</t>
  </si>
  <si>
    <t>City Population 08/27/2014; IFRC 06/05/2020; UNHCR 30/04/2020</t>
  </si>
  <si>
    <t>UNHCR 30/04/2020; IFRC 06/05/2020</t>
  </si>
  <si>
    <t>http://www.statoids.com/yin.html https://news.un.org/en/story/2020/05/1064712</t>
  </si>
  <si>
    <t>https://erccportal.jrc.ec.europa.eu/ercmaps/ECDM_20200525_India_TC-AMPHAN.pdf</t>
  </si>
  <si>
    <t>https://erccportal.jrc.ec.europa.eu/ercmaps/ECDM_20200525_India_TC-AMPHAN.pdf http://www.statoids.com/yin.html https://news.un.org/en/story/2020/05/1064712 https://www.census2011.co.in/states.php</t>
  </si>
  <si>
    <t>Seven districts were particularly affected by Cyclone Amphan: South 24 Paraganas, North 24 Paraganas, East Medinipur, West Medinipur, Howrah, Hooghly and Kolkata. Due to a lack of detailed information regarding damages and humanitarian needs, only these districts are considered to be affected.</t>
  </si>
  <si>
    <t>Seven districts were particularly affected by Cyclone Amphan: South 24 Paraganas, North 24 Paraganas, East Medinipur, West Medinipur, Howrah, Hooghly and Kolkata. Due to a lack of detailed information regarding damages and humanitarian needs, only the population of these districts considered to be exposed, although this is likely an underestimate.</t>
  </si>
  <si>
    <t xml:space="preserve">Approximately 660,000 people were evacuated from West Bengal and Odisha. As of June 2020, they are all believed to be in evacuation centres still. </t>
  </si>
  <si>
    <t>The total number of fatalities due to Cyclone Amphan in West Bengal and Odisha as of 03/06/2020</t>
  </si>
  <si>
    <t>While Cyclone Amphan affected most of the state's of West Bengal and Odisha, seven districts were particularly affected. The total population in these seven districts is considered to be exposed, and due a lack of information regarding the situation and humanitarian needs, all of these people are also considered to be affected - they are placed on Level 2. It is likely that this is an underestimate and could change as information and needs assessments become available. The PIN is all those considered to be displaced by the cyclone. In this case, 660,000 people were evacuated and are currently sheltering in evacuation centres. There is currently no one considered to be on levels 4 or 5 - though this will be evaluated as information becomes available.</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</si>
  <si>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t>
  </si>
  <si>
    <t>Cyclone Amphan is believed to have heavily impacted 16 districts in southern and southwestern bangladesh,</t>
  </si>
  <si>
    <t>https://www.humanitarianresponse.info/sites/www.humanitarianresponse.info/files/documents/files/cyclone_amphan_joint_needs_assessment_final_draft_31052020.pdf</t>
  </si>
  <si>
    <t>https://www.humanitarianresponse.info/sites/www.humanitarianresponse.info/files/documents/files/cyclone_amphan_joint_needs_assessment_final_draft_31052020.pdf https://reliefweb.int/sites/reliefweb.int/files/resources/31.05.2020_Final_draft_HCTT%20Cyclone%20Amphan%20Response%20Plan.pdf</t>
  </si>
  <si>
    <t>https://reliefweb.int/sites/reliefweb.int/files/resources/31.05.2020_Final_draft_HCTT%20Cyclone%20Amphan%20Response%20Plan.pdf</t>
  </si>
  <si>
    <t xml:space="preserve">According to initial impact analysis,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
  </si>
  <si>
    <t>Total fatalities cause by Cyclone Amphan as of 31/05/2020.</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</si>
  <si>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t>
  </si>
  <si>
    <t>Humanitarian needs assessments have indicated that as many as 10 million people have been directly affected by the cyclone. A lack of information on internal displacement, damage assessments, and infrastructure conditions, makes it difficult to determine a PIN figure for the cyclone. Thus, the PIN is determined to be the number of people directly targeted by the UN Humanitarian Appeal for Cyclone Amphan, which is 700,000 people. These people will be targeted for shelter, WASH, food, and livelihood assistance. This figure could change as information becomes available. The distribution of humanitarian conditions is as follows: Level 1 is all those living in the 16 districts heavily impacted by the cyclone (minus those affected and in need). Level 2 is only those living in the 8 districts considered to be severely impacted (minus the PIN) these people are affected. Level 3 includes those targeted for humanitarian assistance (700,000 people). Since it is difficult to determin a distribution of these people between levels 3 and 4, they are all considered to be on Level 3. This could change as information becomes available.</t>
  </si>
  <si>
    <t>Non-host, host, refugee (there were minimal impacts in cox's bazar, but as many as 7,000 rohingya were affected).</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</si>
  <si>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 http://203.112.218.65:8008/WebTestApplication/userfiles/Image/PopCen2011/Com_Cox%27s%20Bazar.pdf https://www.humanitarianresponse.info/sites/www.humanitarianresponse.info/files/documents/files/2019_jrp_for_rohingya_humanitarian_crisis_compressed.pdf</t>
  </si>
  <si>
    <t>Cyclone Amphan is believed to have heavilyimpacted 16 districts in southern and southwestern bangladesh,</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</si>
  <si>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</si>
  <si>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Non-host, host, refugee</t>
  </si>
  <si>
    <t>https://www.knbs.or.ke/download/population-distribution-by-sex-number-of-households-area-and-density-by-county-and-district/ https://reliefweb.int/sites/reliefweb.int/files/resources/ROSEA_20200507_Kenya_Floods_FlashUpdate%231.pdf http://www.statoids.com/uke.html</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</si>
  <si>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</si>
  <si>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</si>
  <si>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https://reliefweb.int/sites/reliefweb.int/files/resources/ROSEA_20200507_Kenya_Floods_FlashUpdate%231.pdf</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</si>
  <si>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</si>
  <si>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</si>
  <si>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https://actalliance.org/wp-content/uploads/2020/05/Horn-and-East-Africa-Floods-Alert.pdf</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</si>
  <si>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</si>
  <si>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</si>
  <si>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https://reliefweb.int/map/uganda/map-showing-districts-affected-february-march-april-and-may-mam-rainy-season-flood-and https://data.worldbank.org/indicator/SP.POP.TOTL?locations=UG&amp;page=2 https://reliefweb.int/sites/reliefweb.int/files/resources/67906.pdf Email link to analyst</t>
  </si>
  <si>
    <t>28 of Uganda's districts have been affected by flooding to some degree. The western and southern districts have experienced the heaviesty rainfall and most severe flooding, though districts in the country's eastern regions have been impacted as well. The total area of these 28 districts are included.</t>
  </si>
  <si>
    <t xml:space="preserve">The total population of the 28 districts that have received heavy rainfall, flooding, and landslides, are considered to be exposed. Only one district (Isingiro) that was affected by the flooding also hosts refugees so the 140,440 refugees hosted in this district were added to this figure. </t>
  </si>
  <si>
    <t>https://reliefweb.int/sites/reliefweb.int/files/resources/76093.pdf</t>
  </si>
  <si>
    <t xml:space="preserve">The total number of people living in districts with reported flooding events that impacted the community (displacement, severe crop or infrastructure damage) as of 6 May. According to IFRC, 13 counties have reported flooding events. Given the lack of information regarding the effects of the flooding, it is assumed that everyone living in districts with reported flood events/impacts have been affected to a certain degree. Since this is already a likely overestimate of the affected population, additional districts at risk of flooding or with flood events after 6 May are not considered. </t>
  </si>
  <si>
    <t>https://reliefweb.int/report/uganda/uganda-landslides-and-flash-floods-dg-echo-noaa-cpc-media-echo-daily-flash-11-may-2020</t>
  </si>
  <si>
    <t xml:space="preserve">On 6 - 7 May,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</si>
  <si>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https://reliefweb.int/report/uganda/uganda-landslides-and-flash-floods-dg-echo-noaa-cpc-media-echo-daily-flash-11-may-2020 https://www.newvision.co.ug/new_vision/news/1519208/kasese-floods-death-toll</t>
  </si>
  <si>
    <t>Fatalities caused by flooding and landslides in May 2020.</t>
  </si>
  <si>
    <t>Fatalities caused by flooding and landslides from May 2020. Fatalities for international displacement are not included because it is not clear if any fatalities can be directly attributed to the displacement situation in the country.</t>
  </si>
  <si>
    <t>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t>
  </si>
  <si>
    <t>https://reliefweb.int/sites/reliefweb.int/files/resources/76093.pdf https://ugandarefugees.org/en/country/uga</t>
  </si>
  <si>
    <t>Non-host community, refugees and host community (Isingiro district only).</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</si>
  <si>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</si>
  <si>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</si>
  <si>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</si>
  <si>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https://reliefweb.int/sites/reliefweb.int/files/resources/76093.pdf https://data2.unhcr.org/en/country/uga</t>
  </si>
  <si>
    <t xml:space="preserve">The total number of people living in districts with reported flooding events that impacted the community (displacement, severe crop or infrastructure damage) as of 6 May. According to IFRC, 13 counties have reported flooding events, given that this is already a likely overestimate of the affected population, additional districts at risk of flooding or with flood events after 6 May are not considered. Additionally, the refugees in the country are considered to be affected, so they are counted here. Since the district Isingiro overlaps between the two crises, the refugees in this district are only counted once. </t>
  </si>
  <si>
    <t xml:space="preserve">This is the cumulative number of people affected by the refugee influx, which we count as the total number of refugees in country. In terms of flooding, on 6 - 7 May 2020,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</si>
  <si>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Both protesters and security forces have been injured during clashes, but it is not possible to estimate an accurate figure for injuries.</t>
  </si>
  <si>
    <t>UNHCR 31/01/2020;UNRWA 27/02/2020;LCRP 2020</t>
  </si>
  <si>
    <t>International Crisi Group 13/02/2020
LCRP 17/03/2020</t>
  </si>
  <si>
    <t>https://data2.unhcr.org/en/documents/download/73116
https://www.unrwa.org/resources/reports/lebanon-unrwa-humanitarian-snapshot-november-december-2019
https://data2.unhcr.org/en/documents/download/74641</t>
  </si>
  <si>
    <t>https://www.crisisgroup.org/middle-east-north-africa/eastern-mediterranean/lebanon/211-easing-syrian-refugees-plight-lebanon; https://data2.unhcr.org/en/documents/download/74641</t>
  </si>
  <si>
    <t>Worldbank population data includes the adjustments for people who have come into and gone out of Lebanon. Reliability is medium as the figure does not take into account the migratory dinamycs of the last year.</t>
  </si>
  <si>
    <t>Displacement involves the whole country and thus the total surface area of Lebanon is reported.</t>
  </si>
  <si>
    <t>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of the last year.</t>
  </si>
  <si>
    <t>The total displaced population is affected: Syrians (1,500,000) + PRS (Palestine Refugees from Syria) (27,248). The host population has 1.5 million vulnerable individuals whose precarious situation was exacerbated by the crisis according to the 2020 LCRP. The figure was added.</t>
  </si>
  <si>
    <t xml:space="preserve"># Syrian refugees residing in Lebanon + #PRS   
The number of Syrians in Lebanon registered by UNHCR is just above 900,000. As the registration of Syrian refugees by UNHCR in Lebanon was suspended by the Lebanese government in 2015, the actual number of Syrian refugees is estimated to be much higher. The most widely used (incl by Lebanese Crisis Response Plan) estimation is 1,500,000. 
</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</si>
  <si>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</si>
  <si>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 xml:space="preserve">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 </t>
  </si>
  <si>
    <t>Host and refugee</t>
  </si>
  <si>
    <t>Typhoon Ambo Philippines</t>
  </si>
  <si>
    <t>Flood Crisis in Ethiopia</t>
  </si>
  <si>
    <t>ETH002</t>
  </si>
  <si>
    <t>Malaria Outbreak in Zimbabwe</t>
  </si>
  <si>
    <t>ZWE003</t>
  </si>
  <si>
    <t>Epidemic</t>
  </si>
  <si>
    <t>Malaria Epidemic</t>
  </si>
  <si>
    <t>Zimbabwe 2017 ICDS; OCHA 04/06/2020</t>
  </si>
  <si>
    <t>OCHA 02/2019, UNHCR 08/2019, OCHA ROSEA 10/2018</t>
  </si>
  <si>
    <t>City Population 06/2020</t>
  </si>
  <si>
    <t>http://www.zimstat.co.zw/sites/default/files/img/publications/Facts%20and%20Figures/Fact_Figures_2017.pdf; https://reports.unocha.org/en/country/zimbabwe/</t>
  </si>
  <si>
    <t>https://reliefweb.int/sites/reliefweb.int/files/resources/ROSEA_ZimbabweFlashAppeal_27Feb2019_Final.pdf, https://www.refworld.org/country,,UNHCR,,ZAF,,5a12b5482,0.html,  https://data.humdata.org/dataset/zimbabwe-administrative-levels-0-2-population-statistics</t>
  </si>
  <si>
    <t>https://www.citypopulation.de/Zimbabwe-Cities.html</t>
  </si>
  <si>
    <t>ZImbabwe Population (OCHA ROSEA) is 15,404,270. Refugees in Zimbabwe as of The refugee number from 2019 Flass Appeal (26,546) is added to the population number and includes refugees and asylum seekers in Zimbabwe. Zimbabwean refugees in South Africa are included (17,405). provided from OCHA ROSEA on HDX(2018). This should be considered as an estimate.</t>
  </si>
  <si>
    <t>The 3 major areas affected by the malaria epidemic is Manicaland, Mashona East and Masvingo.</t>
  </si>
  <si>
    <t>Infected persons and population residing in affected areas.</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</si>
  <si>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</si>
  <si>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</si>
  <si>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</si>
  <si>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</si>
  <si>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</si>
  <si>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</si>
  <si>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</si>
  <si>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https://www.acleddata.com/data/;  https://www.humanitarianresponse.info/sites/www.humanitarianresponse.info/files/documents/files/ethiopia_-_flood_emergeny_response_plan_may_2020.pdf</t>
  </si>
  <si>
    <t xml:space="preserve">Total population in country according to the 2020 HNO </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</si>
  <si>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</si>
  <si>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</si>
  <si>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</si>
  <si>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</si>
  <si>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</si>
  <si>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UNHCR 31/01/2020; 3RP 26/05/2019; U.S. State Department 11/03/2020</t>
  </si>
  <si>
    <t>UNHCR 31/01/2020; U.S. State Department 11/03/2020</t>
  </si>
  <si>
    <t xml:space="preserve">UNHCR 31/01/2020; UNHCR 31/01/2020; CAPMAS 01/01/2015; UNHCR 30/04/2020; EVAR 2017; U.S. State Department 11/03/2020;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</si>
  <si>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</si>
  <si>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https://data2.unhcr.org/en/documents/download/73116; https://reliefweb.int/sites/reliefweb.int/files/resources/69672.pdf; https://www.state.gov/reports/2019-country-reports-on-human-rights-practices/egypt/</t>
  </si>
  <si>
    <t>https://data2.unhcr.org/en/documents/download/73116; https://www.state.gov/reports/2019-country-reports-on-human-rights-practices/egypt/</t>
  </si>
  <si>
    <t xml:space="preserve">https://data2.unhcr.org/en/situations/syria/location/1
https://data2.unhcr.org/en/documents/download/73116
https://geoportal.capmas.gov.eg/arcgis/apps/webappviewer/index.html?id=67fdd9906a12407785e6a7be42bf70dc&amp;locale=ar
https://www.unhcr.org/eg/wp-content/uploads/sites/36/2020/05/April-2020-UNHCR-Egypt-Monthly-Statistical-Report-External.pdf
https://www.unhcr.org/eg/wp-content/uploads/sites/36/2019/09/EVAR2017-2019-Online.pdf; https://www.state.gov/reports/2019-country-reports-on-human-rights-practices/egypt/; 
</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</si>
  <si>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</si>
  <si>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Registered and unregistered Syrian asylum seekers and refugees (500,000) + "impacted and most vulnerable" among the hosts as of 2019 estimations (2,654,475) + 2,900 Palestine Refugees from Syria (PRS)</t>
  </si>
  <si>
    <t>Estimated number of registered and unregistered Syrians in the country + estimated number of PRS in the country</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</si>
  <si>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</si>
  <si>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INS Tunisie 2014, p.32
Information about which areas are affected: REACH Initiative 20/2018; UNHCR 14/05/2020</t>
  </si>
  <si>
    <t>Brookings 01/2019; Ansamed 12/2018; UNHCR 30/04/2020; UN DESA 2019; The New Humanitarian 22/01/2020; Mercy Corps and REACH 10/2018</t>
  </si>
  <si>
    <t>http://census.ins.tn/sites/default/files/projection_2014.pdf
https://reliefweb.int/sites/reliefweb.int/files/resources/reach_tns_subsaharan_migration_in_tunisia_report_october_2018.pdf; https://data2.unhcr.org/en/documents/download/76297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</si>
  <si>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</si>
  <si>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</si>
  <si>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</si>
  <si>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</si>
  <si>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</si>
  <si>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</si>
  <si>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</si>
  <si>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</si>
  <si>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</si>
  <si>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</si>
  <si>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</si>
  <si>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</si>
  <si>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</si>
  <si>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</si>
  <si>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</si>
  <si>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</si>
  <si>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</si>
  <si>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</si>
  <si>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</si>
  <si>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</si>
  <si>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Institut National de la Statistique et de la Démographie</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</si>
  <si>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</si>
  <si>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</si>
  <si>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</si>
  <si>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</si>
  <si>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</si>
  <si>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https://data.humdata.org/dataset/burkina-faso-population-statistic; http://www.insd.bf/n/contenu/Tableaux/T0316.htm; https://data2.unhcr.org/en/country/bfa; https://data2.unhcr.org/en/documents/download/73402; https://reliefweb.int/sites/reliefweb.int/files/resources/74564.pdf</t>
  </si>
  <si>
    <t>OCHA 05/06/2020</t>
  </si>
  <si>
    <t>https://www.humanitarianresponse.info/sites/www.humanitarianresponse.info/files/documents/files/bfa_hno_2020_04062020_web.pdf</t>
  </si>
  <si>
    <t>Lack of specific data on access contraints faced by PIN</t>
  </si>
  <si>
    <t>Floods in south-eastern DRC</t>
  </si>
  <si>
    <t>DZA004</t>
  </si>
  <si>
    <t>COD003</t>
  </si>
  <si>
    <t>IRN004</t>
  </si>
  <si>
    <t>KEN005</t>
  </si>
  <si>
    <t>LBN004</t>
  </si>
  <si>
    <t>MOZ006</t>
  </si>
  <si>
    <t>NGA008</t>
  </si>
  <si>
    <t>PHL008</t>
  </si>
  <si>
    <t>UNHCR 01/2019; UN World Population Prospects 2019</t>
  </si>
  <si>
    <t>http://reporting.unhcr.org/sites/default/files/UNHCR%20Algeria%20Operational%20Update%20-%20October-December%202018.pdf; https://population.un.org/wpp/Graphs/1_Demographic%20Profiles/Algeria.pdf
https://population.un.org/wpp/Methodology/</t>
  </si>
  <si>
    <t>Data reflecting the mixed migration crisis. Sahrawi refugees are concentrated in the province of Tindouf</t>
  </si>
  <si>
    <t>No damages reported</t>
  </si>
  <si>
    <t>As PIN numbers are available only for the Sahrawi refugee crisis, but not for the mixed migration crisis, the indicator was xed.</t>
  </si>
  <si>
    <t>Refugees,  migrants and host population</t>
  </si>
  <si>
    <t>OXFAM n.d.</t>
  </si>
  <si>
    <t>https://www.oxfam.org/en/sahrawi-refugee-camps-lifetime-exile</t>
  </si>
  <si>
    <t>OHCHR 17/02/2017; OHCHR 20/02/2017; CMW 25/05/2018; HRW 2020; RFI 11/08/2019; US State Department 11/03/2020; OHCHR 22/05/2018</t>
  </si>
  <si>
    <t>https://documents-dds-ny.un.org/doc/UNDOC/GEN/G17/034/77/PDF/G1703477.pdf?OpenElement; https://documents-dds-ny.un.org/doc/UNDOC/GEN/G17/036/81/PDF/G1703681.pdf?OpenElement; http://docstore.ohchr.org/SelfServices/FilesHandler.ashx?enc=6QkG1d%2fPPRiCAqhKb7yhspF8sqbawqYSuoVUSaiP%2bAYfCxu%2blQbthnBf1zb9l9D6PG9RGaHcjoKSPhoIuqjUJBrIZY%2ftGcTJ%2fQTY1rGxio%2b5btSBUW58MNob8vYXwerC; https://www.hrw.org/world-report/2020/country-chapters/algeria#1d22a9; http://www.rfi.fr/fr/afrique/20190811-algerie-niger-expulsions-migrants-subsahariens-assamaka; https://www.state.gov/reports/2019-country-reports-on-human-rights-practices/algeria/; https://www.ohchr.org/en/NewsEvents/Pages/DisplayNews.aspx?NewsID=23114&amp;LangID=E</t>
  </si>
  <si>
    <t>UNHCR 2020</t>
  </si>
  <si>
    <t>http://reporting.unhcr.org/algeria</t>
  </si>
  <si>
    <t>OHCHR 17/08/2018</t>
  </si>
  <si>
    <t>http://docstore.ohchr.org/SelfServices/FilesHandler.ashx?enc=6QkG1d%2fPPRiCAqhKb7yhsupCifjZpImgcLMaz30WluRQ3nFGEy6bTgPxWpOk%2bHxuM5AWE2y8tRGO%2fjXXBzw%2bf4hfJzCpp3ar9P8RGaAB9aKu9CfDO59qp67CCyJnIUzm</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</si>
  <si>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</si>
  <si>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</si>
  <si>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</si>
  <si>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UNHCR 31/05/2020</t>
  </si>
  <si>
    <t>IOM 03/2020</t>
  </si>
  <si>
    <t>https://displacement.iom.int/system/tdf/reports/DTM%20Ethiopia%20R21%20National%20Displacement%20Report%20v3.pdf?file=1&amp;type=node&amp;id=8488</t>
  </si>
  <si>
    <t>Total number of IDPs displaced by conflicts and violence in Ethiopia.</t>
  </si>
  <si>
    <t>https://acleddata.com/data-export-tool/; https://www.sadc.int/news-events/news/statement-sadc-executive-secretary-her-excellency-dr-stergomena-lawrence-tax-impacts-adverse-weather-conditions-led-heavy-rains/</t>
  </si>
  <si>
    <t>https://data2.unhcr.org/en/country/moz; https://www.news24.com/news24/africa/news/210-000-people-displaced-in-mozambique-after-jihadist-attack-says-un-20200604</t>
  </si>
  <si>
    <t>UNHCR 06/2020</t>
  </si>
  <si>
    <t xml:space="preserve">All fatalities and people missing recorded on the Western Mediterranean Route. IOM data is intended to be "a minimum estimate of the number of migrant deaths." Deaths happening in detention centres or due to labour exploitation are not included. </t>
  </si>
  <si>
    <t>Espace Politique 2009; USAID 02/06/2020</t>
  </si>
  <si>
    <t>https://journals.openedition.org/espacepolitique/1296; https://reliefweb.int/sites/reliefweb.int/files/resources/06.02.20%20-%20USAID-DCHA%20DRC%20Complex%20Emergency%20Fact%20Sheet%20%233.pdf</t>
  </si>
  <si>
    <t>Affected provinces are South Kivu (65 130), Maniema (135 250), Tanganyika (134 940), Haut Katanga (132 425) and Haut Lomami (108 204).</t>
  </si>
  <si>
    <t>OCHA 10/09/2019</t>
  </si>
  <si>
    <t>Population living in flood-affected provinces: South Kivu (7 104 949), Maniema (2 636 541), Tanganyika (3 158 328), Haut Katanga (6 102 542), Haut Lomami (4 074 329).</t>
  </si>
  <si>
    <t>https://data.humdata.org/dataset/rdc-statistiques-des-populations</t>
  </si>
  <si>
    <t>OCHA 27/05/2020; OCHA 27/05/2020; OCHA 21/05/2020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</si>
  <si>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</si>
  <si>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Initial estimations put the number of people affected at 162 698 for South Kivu (Uvira, Fizi and Baraka), 28 759 for Maniema (Kindu,Alunguli, Kailo, Kasongo,Ferekeni and Punia), 279 269 for Haut Lomami,  52 208 for Tanganyika and 63 699 for Haut Katanga</t>
  </si>
  <si>
    <t>OCHA 27/05/2020; OCHA 27/05/2020; OCHA 21/05/2020; OCHA 03/06/2020; UNDP 03/2009; UNDP 03/2009</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</si>
  <si>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</si>
  <si>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</si>
  <si>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Not enough reliable data available. 200 injuries reported in Uvira onlyas of mid May</t>
  </si>
  <si>
    <t>Overall information lacking. 44 deaths reported only in Uvira as of mid May</t>
  </si>
  <si>
    <t>https://reliefweb.int/sites/reliefweb.int/files/resources/06.02.20%20-%20USAID-DCHA%20DRC%20Complex%20Emergency%20Fact%20Sheet%20%233.pdf</t>
  </si>
  <si>
    <t>Not enough reliable data available</t>
  </si>
  <si>
    <t>OCHA 27/05/2020; OCHA 27/05/2020; OCHA 21/05/2020; OCHA 28/05/2020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</si>
  <si>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</si>
  <si>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</si>
  <si>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IDPs, refugees, returnees, host, non-host</t>
  </si>
  <si>
    <t>CMDPDH 01/05/2018; World Bank 2018; Strauss Center 01/11/2019;  Gobierno de Mexico 01/01/2020</t>
  </si>
  <si>
    <t>IOM Missing Migrants Project December 2019 - May 2020</t>
  </si>
  <si>
    <t>IOM Missing Migrants Dec-May 2020
ACLED Dec-May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</si>
  <si>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</si>
  <si>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</si>
  <si>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</si>
  <si>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</si>
  <si>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</si>
  <si>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</si>
  <si>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</si>
  <si>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</si>
  <si>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</si>
  <si>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</si>
  <si>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 xml:space="preserve">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 </t>
  </si>
  <si>
    <t xml:space="preserve">Not enough reliable data. </t>
  </si>
  <si>
    <t xml:space="preserve">Not enough reliable data, damaged buildings as a result of the conflict, not the refugee situation. </t>
  </si>
  <si>
    <t>Not enough reliable data</t>
  </si>
  <si>
    <t>https://data2.unhcr.org/en/situations/thailand</t>
  </si>
  <si>
    <t>https://data2.unhcr.org/en/situations/thailand ; https://www.aidsdatahub.org/sites/default/files/publication/UN_Thailand_Migration_Report_2019.pdf</t>
  </si>
  <si>
    <t xml:space="preserve">World Bank 2019; UNHCR 05/2020 </t>
  </si>
  <si>
    <t>UNHCR 01/2020; IPC 01/02/2020</t>
  </si>
  <si>
    <t>IPC 01/02/2020; IPC, 04/2020</t>
  </si>
  <si>
    <t>https://data.worldbank.org/indicator/SP.POP.TOTL?locations=KE&amp;page=2; https://data2.unhcr.org/en/documents/download/77024</t>
  </si>
  <si>
    <t>World Bank 2018; UNHCR 05/2020; FAO, 2015; IPC, 04/2020; OCHA 07/05/2020; ACT Alliance, 05/2020</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</si>
  <si>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</si>
  <si>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 </t>
  </si>
  <si>
    <t>http://www.ipcinfo.org/fileadmin/user_upload/ipcinfo/docs/IPC_Kenya_AcuteFoodSec_Malnutrition_2019JulyOctober.pdf; http://www.ipcinfo.org/fileadmin/user_upload/ipcinfo/docs/IPC_Kenya_AcuteFoodInsec_Malnutrition_2020FebJuly.pdf</t>
  </si>
  <si>
    <t>The total number of affected population was determined as the IPC figures 2-5. This is the IPC projection for April-July 2020</t>
  </si>
  <si>
    <t>World Bank 2018; UNHCR 05/2020; IPC 04/2020</t>
  </si>
  <si>
    <t>https://data.worldbank.org/indicator/SP.POP.TOTL?locations=KE&amp;page=2; https://data2.unhcr.org/en/documents/download/77024; http://www.ipcinfo.org/fileadmin/user_upload/ipcinfo/docs/IPC_Kenya_AcuteFoodInsec_Malnutrition_2020FebJuly.pdf</t>
  </si>
  <si>
    <t>UNHCR 05/2020; Kenya National Bureau of Statistics, 2019</t>
  </si>
  <si>
    <t>UNHCR, 05/2020</t>
  </si>
  <si>
    <t>UNHCR 05/2020; Kenya National Bureau of Statistics, 2019; UNHCR Fact Sheet, 05/2020</t>
  </si>
  <si>
    <t>https://reliefweb.int/report/kenya/kenya-registered-refugees-and-asylum-seekers-31st-may-2020; http://housingfinanceafrica.org/app/uploads/VOLUME-I-KPHC-2019.pdf</t>
  </si>
  <si>
    <t>https://data2.unhcr.org/en/documents/download/77024</t>
  </si>
  <si>
    <t>https://reliefweb.int/report/kenya/kenya-registered-refugees-and-asylum-seekers-31st-may-2020; http://housingfinanceafrica.org/app/uploads/VOLUME-I-KPHC-2019.pdf; https://www.unhcr.org/ke/wp-content/uploads/sites/2/2020/05/UNHCR-Kenya-Operational-Update_April-2020.pdf</t>
  </si>
  <si>
    <t>Worldbank population figure total + registered refugees and asylum seekers in Kenya as of May 2020.</t>
  </si>
  <si>
    <t>OCHA 24/01/2020; UNHCR 31/05/2020; UNHCR 31/05/2020; UNHCR 31/05/2020; UNHCR 31/05/2020</t>
  </si>
  <si>
    <t>https://www.humanitarianresponse.info/sites/www.humanitarianresponse.info/files/documents/files/ocha_mli_hno_2020_20200124_version_finale.pdf; https://data2.unhcr.org/en/country/ner; https://data2.unhcr.org/en/country/mrt; https://data2.unhcr.org/en/country/bfa; https://data2.unhcr.org/en/country/mli</t>
  </si>
  <si>
    <t>OCHA 24/01/2020</t>
  </si>
  <si>
    <t>https://www.humanitarianresponse.info/sites/www.humanitarianresponse.info/files/documents/files/ocha_mli_hno_2020_20200124_version_finale_0.pdf</t>
  </si>
  <si>
    <t>Affected population based on 2020 HNO</t>
  </si>
  <si>
    <t>OCHA 24/01/2020; OCHA 22/08/2019</t>
  </si>
  <si>
    <t xml:space="preserve">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 </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</si>
  <si>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</si>
  <si>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</si>
  <si>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</si>
  <si>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</si>
  <si>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</si>
  <si>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World Bank 2019; UNHCR 31/12/2019; UNHCR 31/12/2019; UNHCR 31/12/2019</t>
  </si>
  <si>
    <t>https://data.worldbank.org/country/senegal; https://data2.unhcr.org/en/country/gnb; https://data2.unhcr.org/en/country/gmb</t>
  </si>
  <si>
    <t>World Bank population data + refugees in Senegal - Senegalese refugees in Gambia and Guinea-Bissau</t>
  </si>
  <si>
    <t>CILSS 07/04/2020</t>
  </si>
  <si>
    <t xml:space="preserve">Results of the 2020 Cadre Harmonise for the Jan-May 2020 period. Population in IPC2 and above is considered affected. </t>
  </si>
  <si>
    <t>Estimated number of people in IPC phases 1-5 according to the Cadre Harmonise make up the "Current Humanitarian conditions" indicators (current period January-May 2020)</t>
  </si>
  <si>
    <t>https://databank.worldbank.org/data/reports.aspx?source=2&amp;country=COG; https://data2.unhcr.org/en/situations/drc; https://data2.unhcr.org/fr/situations/car/location/476</t>
  </si>
  <si>
    <t>ICNL 2019; Logistics Cluster 15/05/2020</t>
  </si>
  <si>
    <t>https://www.icnl.org/resources/civic-freedom-monitor/algeria; https://logcluster.org/document/global-logistics-cluster-covid-19-situation-update-15-may-2020</t>
  </si>
  <si>
    <t>No reports related to this access indicator.</t>
  </si>
  <si>
    <t>https://reliefweb.int/sites/reliefweb.int/files/resources/cyclone_amphan_joint_needs_assessment_final_draft_31052020.pdf</t>
  </si>
  <si>
    <t>The cyclone season in the Bay of Bengal runs from April to November. The storm severely damaged infrastructure, including more than 18,000 water points, 40,000 latrines,  and 400+ km of roads.</t>
  </si>
  <si>
    <t>HNO 2020; Humanitarian Access Report 30/04/2020</t>
  </si>
  <si>
    <t>JRP 2018-2020; JRP 23/06/2020</t>
  </si>
  <si>
    <t>JRP 23/06/2020</t>
  </si>
  <si>
    <t>ACLED 2020; OHCHR 21/01/2020</t>
  </si>
  <si>
    <t>OCHA 08/05/2020</t>
  </si>
  <si>
    <t>OCHA 08/05/2020; UNHCR 12/04/2020</t>
  </si>
  <si>
    <t>https://data.humdata.org/dataset/libya-baseline-assessment-data-iom-dtm; https://data.humdata.org/dataset/libya-migration-data-migrants-baseline-assessment-iom-dtm; https://www.unhcr.org/statistics/unhcrstats/5ee200e37/unhcr-global-trends-2019.html</t>
  </si>
  <si>
    <t>https://www.humanitarianresponse.info/sites/www.humanitarianresponse.info/files/documents/files/libya_hno_2020-fullen_final.pdf; https://www.humanitarianresponse.info/sites/www.humanitarianresponse.info/files/documents/files/access_report_-_april_2020.pdf</t>
  </si>
  <si>
    <t>https://reliefweb.int/sites/reliefweb.int/files/resources/77177.pdf
https://www.unrwa.org/sites/default/files/content/resources/2020_syria_ea_eng_03_02_2020_final.pdf
https://data2.unhcr.org/en/documents/download/77262</t>
  </si>
  <si>
    <t>http://www.3rpsyriacrisis.org/wp-content/uploads/2019/07/JRP-Executive-Summary-Final-Copy.pdf; https://data2.unhcr.org/en/documents/download/77262</t>
  </si>
  <si>
    <t>https://data2.unhcr.org/en/documents/download/77262</t>
  </si>
  <si>
    <t>https://www.humanitarianresponse.info/sites/www.humanitarianresponse.info/files/documents/files/iraq_hno_2020.pdf; https://data2.unhcr.org/en/documents/download/75248
https://data2.unhcr.org/en/situations/syria/location/5
https://data2.unhcr.org/en/documents/download/74758
http://www.3rpsyriacrisis.org/wp-content/uploads/2020/03/rso2020_30.pdf</t>
  </si>
  <si>
    <t xml:space="preserve"> http://iraqdtm.iom.int/; https://www.unhcr.org/5ee200e37.pdf; https://migrationdataportal.org/data?t=2019&amp;i=stock_abs_origin&amp;cm49=368; https://data2.unhcr.org/en/situations/syria/location/5
</t>
  </si>
  <si>
    <t>https://www.humanitarianresponse.info/sites/www.humanitarianresponse.info/files/documents/files/20200508_humanitarian_access_severity.pdf</t>
  </si>
  <si>
    <t xml:space="preserve">http://iraqdtm.iom.int/
https://www.unhcr.org/5ee200e37.pdf
https://migrationdataportal.org/data?t=2019&amp;i=stock_abs_origin&amp;cm49=368
</t>
  </si>
  <si>
    <t>https://www.humanitarianresponse.info/sites/www.humanitarianresponse.info/files/documents/files/20200508_humanitarian_access_severity.pdf; https://data2.unhcr.org/en/documents/download/75369</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</si>
  <si>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</si>
  <si>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</si>
  <si>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</si>
  <si>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Not enough available data. Three Syrian refugee children were injured due to to an ERW explosion close to Zarqa in May 2020.</t>
  </si>
  <si>
    <t>One Syrian child was killed due to an ERW explosion close to Zarqa city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</si>
  <si>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</si>
  <si>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</si>
  <si>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 xml:space="preserve">everyone who was killed related to the crisis in the past 6 months, including in protests and riots. </t>
  </si>
  <si>
    <t xml:space="preserve">People in need living in Admin 2 areas classified as 'moderate access constraints' or 'medium access severiy' as defined by OCHA. Humanitarian operations in these areas continue, but restrictions are regular. 
</t>
  </si>
  <si>
    <t>People in need living in Admin 2 areas classified as  'high access constraints' defined by OCHA. Humanitarian actors face consistent difficulties and might be unable to operate in these areas.</t>
  </si>
  <si>
    <t>IDPs + Returnees + Iraqi refugees and asylum seekers worldwide reported by UNHCR as of end 2019. Numbers might be an underestimation considering  Iraqis who left due to the conflict, but were not counted in UNHCR estimations and thus reliability is set at medium. Total number of Iraqi emigrants between 1990 and as of mid 2019 was of around 2 million people.</t>
  </si>
  <si>
    <t>All violent events included (battles+explosions/remote violence+strategic developments+violence against civilians), except fatalities in riots and protests which are added in the country level crisis.</t>
  </si>
  <si>
    <t xml:space="preserve">People in need living in districts  classified as having 'moderate access constraints' or 'medium access severiy' as defined by OCHA. Humanitarian operations in these areas continue, but restrictions are common. 
</t>
  </si>
  <si>
    <t>People in need living in districts classified as  'high access constraints' defined by OCHA. Humanitarian actors face consistent difficulties and might be unable to operate in these areas.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</si>
  <si>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</si>
  <si>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</si>
  <si>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</si>
  <si>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</si>
  <si>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all deaths and people missing recorded via the eastern Mediterranean route during the past 6 months</t>
  </si>
  <si>
    <t>ACAPS access methodology</t>
  </si>
  <si>
    <t>From ACCESS report - Bangladesh score</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</si>
  <si>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</si>
  <si>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</si>
  <si>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</si>
  <si>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</si>
  <si>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</si>
  <si>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</si>
  <si>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 xml:space="preserve">People in acute need </t>
  </si>
  <si>
    <t>https://www.internal-displacement.org/countries/yemen  https://reliefweb.int/sites/reliefweb.int/files/resources/Yemen%20Operational%20Update%20-%204%20June%202020.pdf</t>
  </si>
  <si>
    <t>people in IPC Phase 5</t>
  </si>
  <si>
    <t>Floods in Assam</t>
  </si>
  <si>
    <t>IND004</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</si>
  <si>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</si>
  <si>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</si>
  <si>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</si>
  <si>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 xml:space="preserve">This is the total number of refugees and asylum seekers in Uganda. The highest population of refugees come from South Sudan, DRC, Burundi, and Somalia. There are also refugees in smaller numbers (less than 20,000 per country) coming from Rwanda, Eritrea, Sudan, Ethiopia, and others. </t>
  </si>
  <si>
    <t xml:space="preserve">https://ugandarefugees.org/en/country/uga#category-4 https://fews.net/sites/default/files/documents/reports/UGANDA_Food_Security_Outlook_June2020_final.pdf </t>
  </si>
  <si>
    <t>Refugees and host communities are exposed.</t>
  </si>
  <si>
    <t>Non-host community, refugees and host community.</t>
  </si>
  <si>
    <t>UNHCR 06/2020; OCHA 06/2020</t>
  </si>
  <si>
    <t>https://www.news24.com/news24/africa/news/210-000-people-displaced-in-mozambique-after-jihadist-attack-says-un-20200603; https://reliefweb.int/sites/reliefweb.int/files/resources/MOZ_20200604_Cabo_Delgado_Rapid_Response_Plan.pdf</t>
  </si>
  <si>
    <t xml:space="preserve">PIN is calculated to be the sum of levels 1-3 according to ACAPS methodology. Level 1 is people affected minus the population of Cabo Delgado. Level 2 is affected population minus the PIN. </t>
  </si>
  <si>
    <t>UNHCR 22/06/2020</t>
  </si>
  <si>
    <t>INE 2018; UNHCR 14/02/2020; IPC 25/07/2019; 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</si>
  <si>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</si>
  <si>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</si>
  <si>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</si>
  <si>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</si>
  <si>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 xml:space="preserve">Admin level 1 areas hosting over 10,000 refugees and asylum seekers are considered affected. Woq. Galbeed (28,220km2) </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</si>
  <si>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</si>
  <si>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</si>
  <si>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</si>
  <si>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</si>
  <si>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</si>
  <si>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</si>
  <si>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 xml:space="preserve">According to the 2020 HNO there are 5.2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</si>
  <si>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 xml:space="preserve">UN OCHA 22/12/2019 </t>
  </si>
  <si>
    <t xml:space="preserve">UN OCHA 08/01/2020;  IPC 07/2020
</t>
  </si>
  <si>
    <t>https://reliefweb.int/report/sudan/sudan-humanitarian-needs-overview-2020-january-2020; https://reliefweb.int/sites/reliefweb.int/files/resources/IPC_Sudan_AcuteFoodInsecurity_2020JuneDec_Report.pdf</t>
  </si>
  <si>
    <t>Although the entire country is exposed to the ongoing political situation, economic challenges, conflicts, internal displacement, and refugee situation,  those within IPC phases 2-5 were used as a proxy to determine the total number of affected. Therefore,  the total number of people in Phase 2-5 (25.5 m)is considered affected, plus It is assumed that the IPC numbers exclude refugees and displaced, they are added here.</t>
  </si>
  <si>
    <t xml:space="preserve">UN OCHA 08/012020
</t>
  </si>
  <si>
    <t>https://data2.unhcr.org/en/situations/southsudan ; https://displacement.iom.int/reports/south-sudan-%E2%80%94-mobility-tracking-round-8-initial-data-release</t>
  </si>
  <si>
    <t>IFRC 23/07/2020</t>
  </si>
  <si>
    <t>https://reliefweb.int/sites/reliefweb.int/files/resources/MDRIN025du1.pdf</t>
  </si>
  <si>
    <t>4.4 million people affected in Odisha State and 13.6 million affected in West Bengal</t>
  </si>
  <si>
    <t>Statoids 2015; ECHO 25/05/2020; UN News 21/05/2020</t>
  </si>
  <si>
    <t>https://erccportal.jrc.ec.europa.eu/ercmaps/ECDM_20200525_India_TC-AMPHAN.pdf http://www.statoids.com/yin.html https://news.un.org/en/story/2020/05/1064712</t>
  </si>
  <si>
    <t xml:space="preserve"> https://www.census2011.co.in/district.php ; https://www.citypopulation.de/php/india-admin.php?adm1id=18</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</si>
  <si>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</si>
  <si>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</si>
  <si>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</si>
  <si>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Refugees  + IDPs + Chadian returnees + asylum seekers</t>
  </si>
  <si>
    <t xml:space="preserve"> 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</si>
  <si>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</si>
  <si>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 xml:space="preserve">The entire country is affected by three humanitarian crisis: food insecurity and malnutrition, population movements and lack of health assistance </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</si>
  <si>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</si>
  <si>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Nigerian refugee population + IDPs in Lac region + Returnees from Lake Chad Bassin</t>
  </si>
  <si>
    <t>https://data.humdata.org/dataset/5988a0cf-6706-4f9a-aecf-db57a985ba20/resource/89193e25-f203-4d97-a23b-1ebf03040374/download/tcd_hno_2020.xlsx</t>
  </si>
  <si>
    <t>Data taken from 2020 HNO</t>
  </si>
  <si>
    <t>OCHA 30/12/2019; UNHCR 30/06/2020; UNHCR 30/06/2020</t>
  </si>
  <si>
    <t>https://www.humanitarianresponse.info/sites/www.humanitarianresponse.info/files/documents/files/drc_hno_2020_final_web.pdf; https://data2.unhcr.org/en/situations/drc; https://data2.unhcr.org/en/documents/download/77670</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</si>
  <si>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</si>
  <si>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refugees and asylum seekers in DRC + refugees and asylum seekers from DRC + 5.01 million IDPs  + 2000000 returnees (2020 HNO states that returnees are 2% of the population p. 11)</t>
  </si>
  <si>
    <t>All deaths  as counted by ACLED. MONUSCO reports only on annual basis. Figures do not include flood-related fatalities.</t>
  </si>
  <si>
    <t>https://data.worldbank.org/indicator/SP.POP.TOTL?locations=NE; https://data2.unhcr.org/en/country/ner</t>
  </si>
  <si>
    <t>Population of concern in Diffa</t>
  </si>
  <si>
    <t>Population of concern in Tahoua and Tillaberi</t>
  </si>
  <si>
    <t>Registered Nigerian refugees, unregistered Nigerian refugees (UNHCR estimate), IDPs</t>
  </si>
  <si>
    <t>Floods in India</t>
  </si>
  <si>
    <t>UNHCR 31/07/2020</t>
  </si>
  <si>
    <t>https://erccportal.jrc.ec.europa.eu/ercmaps/ECDM_20200225_Burkina_Faso_Crisis.pdf; https://data2.unhcr.org/en/country/bfa; https://data.humdata.org/dataset/5a0dfc28-6fb6-4719-bff7-71fa35b87588/resource/9cad6117-8dc8-4004-9c32-78f0493cf2b9/download/situation_pdi_08082020.xlsx</t>
  </si>
  <si>
    <t xml:space="preserve">Floods in Sudan </t>
  </si>
  <si>
    <t xml:space="preserve">Explosion in Beirut </t>
  </si>
  <si>
    <t>https://missingmigrants.iom.int/downloads; https://www.acleddata.com/</t>
  </si>
  <si>
    <t xml:space="preserve">Figure represents the total number of Syrian refugees and asylum seekers + Non-Syrian refugees and asylum seekers in Turkey. People from host communities are affected as well, but it is impossible to quantify how many given the available data. Due to significant data gaps, it is not possible to determine how many people are affected by the Kurdish conflict.  </t>
  </si>
  <si>
    <t>https://data2.unhcr.org/en/country/mli; https://data2.unhcr.org/en/country/ner; https://data2.unhcr.org/en/country/mrt; https://data2.unhcr.org/en/country/bfa</t>
  </si>
  <si>
    <t>ECHO 11/05/2020; UNHCR 31/07/2020</t>
  </si>
  <si>
    <t>https://reliefweb.int/report/uganda/uganda-landslides-and-flash-floods-dg-echo-noaa-cpc-media-echo-daily-flash-11-may-2020; https://ugandarefugees.org/en/country/uga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</si>
  <si>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</si>
  <si>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</si>
  <si>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</si>
  <si>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 xml:space="preserve">https://ugandarefugees.org/en/country/uga#category-4; https://fews.net/sites/default/files/documents/reports/UGANDA_Food_Security_Outlook_June2020_final.pdf </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</si>
  <si>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</si>
  <si>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IPC February  to June 2020 projections; HNO 2020</t>
  </si>
  <si>
    <t>http://www.ipcinfo.org/fileadmin/user_upload/ipcinfo/docs/IPC_Ethiopia_AcuteFoodSec_2019July2020June.pdf; https://reliefweb.int/sites/reliefweb.int/files/resources/Ethiopia%20Humanitarian%20Needs%20Overview%202020.pdf</t>
  </si>
  <si>
    <t xml:space="preserve">The PIN is a summation of Levels 3-5 facing humanitarian conditions according to ACAPS methodology. Levels 1-5 are as specified by the IPC February to June 2020 projections. These were also compared to HNO figures.  </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</si>
  <si>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</si>
  <si>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</si>
  <si>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</si>
  <si>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</si>
  <si>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</si>
  <si>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</si>
  <si>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</si>
  <si>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IPC 23/02/2018;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</si>
  <si>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</si>
  <si>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</si>
  <si>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Myanmar National Census 2014; HNO 2020</t>
  </si>
  <si>
    <t>https://myanmar.unfpa.org/en/publications/union-report-volume-3k-rakhine-state-report ; https://reliefweb.int/report/myanmar/myanmar-humanitarian-needs-overview-2020-december-2019</t>
  </si>
  <si>
    <t>NGA007</t>
  </si>
  <si>
    <t>World Bank 2018; UNHCR 07/2020.</t>
  </si>
  <si>
    <t>https://data.worldbank.org/indicator/SP.POP.TOTL?locations=CM; https://data2.unhcr.org/en/country/cmr; file:///C:/Users/Analyst.ACAPSPC13.000/Documents/ACLED/POCs%20July%202020.pdf; https://data2.unhcr.org/en/documents/download/76831; file:///C:/Users/Analyst.ACAPSPC13.000/Documents/ACLED/POCs%20July%202020.pdf</t>
  </si>
  <si>
    <t>Cadre Harmonise (Harmonised Framework) 03/2020 for June to August 2020 Projections</t>
  </si>
  <si>
    <t>https://fscluster.org/sites/default/files/documents/cadre_harmonise_march_2020_results_-_presentation_to_cameroon_government.pdf</t>
  </si>
  <si>
    <t>Cadre Harmonise (Harmonised Framework) 03/2020 for June to August 2020 Projections; UNHCR 31/07/2020</t>
  </si>
  <si>
    <t>Pin was assumed to be the sum of populations on level 1-3. Level 1-5 was as specified by Cadre Harmonise.</t>
  </si>
  <si>
    <t>http://www.ipcinfo.org/fileadmin/user_upload/ipcinfo/docs/IPC%20Eswatini%20AcuteFoodInsecurity2020JuneMarch2021%20Report.pdf</t>
  </si>
  <si>
    <t>UNHCR 21/08/2020 and 08/2020; HNO 03/2020; FEWSNET 31/03/2020.</t>
  </si>
  <si>
    <t>https://data2.unhcr.org/en/country/nga;  https://www.humanitarianresponse.info/sites/www.humanitarianresponse.info/files/documents/files/ocha_nga_2020hno.pdf ; https://displacement.iom.int/system/tdf/reports/LCBC_Monthly_Dashboard_August_2020_v1.pdf?file=1&amp;type=node&amp;id=9449;https://data2.unhcr.org/en/documents/details/78479; https://data2.unhcr.org/en/documents/details/78481</t>
  </si>
  <si>
    <t>UNHCR 08/2020; Worldbank 2018</t>
  </si>
  <si>
    <t>https://data2.unhcr.org/en/country/nga;  https://www.humanitarianresponse.info/sites/www.humanitarianresponse.info/files/documents/files/ocha_nga_2020hno.pdf ;https://displacement.iom.int/system/tdf/reports/LCBC_Monthly_Dashboard_August_2020_v1.pdf?file=1&amp;type=node&amp;id=9449;https://data2.unhcr.org/en/documents/details/78479; https://data2.unhcr.org/en/documents/details/78476</t>
  </si>
  <si>
    <t>https://data.worldbank.org/country/nigeria; https://data2.unhcr.org/en/documents/details/78476;  https://data2.unhcr.org/en/documents/details/78491</t>
  </si>
  <si>
    <t>https://displacement.iom.int/system/tdf/reports/LCBC_Monthly_Dashboard_August_2020_v1.pdf?file=1&amp;type=node&amp;id=9449</t>
  </si>
  <si>
    <t>UNHCR 21/08/2020</t>
  </si>
  <si>
    <t>Total number of people internally displaced by Boko Haram + total number of returnees to the northeast + Nigerian refugees in Niger, Chad, and Cameroon.</t>
  </si>
  <si>
    <t>UNHCR 08/2020</t>
  </si>
  <si>
    <t>https://data2.unhcr.org/en/documents/details/78491</t>
  </si>
  <si>
    <t>Nigeria Bureau of Statistics (NBS) 2012; OCHA 2016; UNHCR 08/2020</t>
  </si>
  <si>
    <t>https://reliefweb.int/sites/reliefweb.int/files/resources/77184.pdf; https://data2.unhcr.org/en/documents/details/78491</t>
  </si>
  <si>
    <t>Nigerian Population Commission and Bureau of Statistics; UNHCR 31/07/2020</t>
  </si>
  <si>
    <t>https://data2.unhcr.org/en/documents/details/78476</t>
  </si>
  <si>
    <t>https://data.humdata.org/dataset/nigeria-2016-population-data; https://data2.unhcr.org/en/documents/details/78476</t>
  </si>
  <si>
    <t>UNHCR 31/05/2020; UNHCR, GoB and MIDIMAR 31/03/2020;  UNHCR 31/07/2020.</t>
  </si>
  <si>
    <t>https://data2.unhcr.org/en/situations/burundi; https://data2.unhcr.org/en/documents/download/77054; https://data2.unhcr.org/en/documents/download/77055; https://data2.unhcr.org/en/dataviz/57.</t>
  </si>
  <si>
    <t>Food Security in Mauritania</t>
  </si>
  <si>
    <t xml:space="preserve">UN OCHA 08/01/2020
</t>
  </si>
  <si>
    <t>Floodlist 14/08/2020; ACLED 21/08/2020</t>
  </si>
  <si>
    <t>http://floodlist.com/africa/sudan-floods-update-august-2020; https://acleddata.com/curated-data-files/</t>
  </si>
  <si>
    <t xml:space="preserve">https://reliefweb.int/map/sudan/sudan-floods-snapshot-12-august-2020; https://reliefweb.int/sites/reliefweb.int/files/resources/Sudan%20-%20Floods%20-%20Emergency%20Plan%20of%20Action%20%28EPoA%29%20DREF%20Operation%20n%C2%B0%20MDRSD028.pdf </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</si>
  <si>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</si>
  <si>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IOM 12/06/2020; UNHCR 31/07/2020</t>
  </si>
  <si>
    <t>ACLED 20/08/2020</t>
  </si>
  <si>
    <t>ACLED March-August 2020</t>
  </si>
  <si>
    <t>This figure includes the IDPs determined from IOM Round 8 (1,600,254) and the refugees and asylum seekers from South Sudan who are in other countries according to UNHCR data (2,253,226).</t>
  </si>
  <si>
    <t>Conflict related fatalities in  South Sudan from March 2020 to Aug 2020. While it is likely there are additional deaths related to conflict food insecurity, and poor health infrastructure caused by the conflict, lack of data excludes them from our calculations. Note: ACLED’s real-time data updates are currently paused through August 2020. (Data for 2 August to 5 September)</t>
  </si>
  <si>
    <t>Total number of fatalities (conflict and flooding) across the country in the last six months (March 2020 to August 2020). No updated data available no the MMF fatalities. Note: ACLED’s real-time data updates are currently paused through August 2020. (Data for 2 August to 5 September)</t>
  </si>
  <si>
    <t>The latest IOM Data for death at sea is from 2019</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</si>
  <si>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</si>
  <si>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 xml:space="preserve">Total number of crisis related fatalities in the last six months. Note: ACLED’s real-time data updates are currently paused through August 2020. (Data for 2 August to 5 September) </t>
  </si>
  <si>
    <t xml:space="preserve">World Bank 2019
</t>
  </si>
  <si>
    <t>The World Bank 2017; BBC News 15/06/2020</t>
  </si>
  <si>
    <t>https://data.worldbank.org/indicator/SP.POP.TOTL?locations=SY; https://blogs.worldbank.org/opendata/population-estimates-certain-countries-resident-refugees</t>
  </si>
  <si>
    <t>https://www.worldbank.org/en/country/syria/publication/the-toll-of-war-the-economic-and-social-consequences-of-the-conflict-in-syria; https://www.bbc.com/news/world-middle-east-53020105</t>
  </si>
  <si>
    <t xml:space="preserve">The total number of people in Syria, according to the World Bank. The World Bank population figure already takes into account refugees who have left Syria. </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</si>
  <si>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</si>
  <si>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No reported fatalities. Note: ACLED’s real-time data updates are currently paused through August 2020. (Data for 2 August to 5 September)</t>
  </si>
  <si>
    <t>https://data.humdata.org/dataset/cadre-harmonise; https://data2.unhcr.org/en/country/mrt?secret=unhcrrestricted</t>
  </si>
  <si>
    <t>OCHA13/02/2020</t>
  </si>
  <si>
    <t>OCHA 13/02/2020</t>
  </si>
  <si>
    <t>https://www.ochaopt.org/sites/default/files/hno_2020-final.pdf</t>
  </si>
  <si>
    <t>The 2020 HNO estimate of 5.2 million. Although the Palestinian Central Bureau of Statistics estimates a total of 4,976,684</t>
  </si>
  <si>
    <t>Everyone in the West Bank and Gaza is considered living in the area affected by the conflict, occupation and in Gaza also by the air, land and sea blockade</t>
  </si>
  <si>
    <t xml:space="preserve">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
</t>
  </si>
  <si>
    <t>entire country covered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</si>
  <si>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</si>
  <si>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The latest figure of the total number of people killed by the explosion + deaths from protests and riots</t>
  </si>
  <si>
    <t>Gov Leb 2001; OCHA 14/08/2020</t>
  </si>
  <si>
    <t xml:space="preserve"> OCHA 14/08/2020</t>
  </si>
  <si>
    <t>OCHA 14/08/2020; World Vision 13/08/2020</t>
  </si>
  <si>
    <t>OCHA 14/08/2020</t>
  </si>
  <si>
    <t>Reuters 07/08/2020</t>
  </si>
  <si>
    <t>http://www.moe.gov.lb/ledo/soer2001pdf/appendix.pdf; https://reliefweb.int/sites/reliefweb.int/files/resources/Lebanon%20Flash%20Appeal%20FINAL%2014%20Aug%202020.pdf</t>
  </si>
  <si>
    <t>https://reliefweb.int/sites/reliefweb.int/files/resources/Beirut_MtLebanon_G-Profile_181108.pdf</t>
  </si>
  <si>
    <t>https://reliefweb.int/sites/reliefweb.int/files/resources/Lebanon%20Flash%20Appeal%20FINAL%2014%20Aug%202020.pdf; https://reliefweb.int/sites/reliefweb.int/files/resources/WV%20Lebanon%20Beirut%20Explosion%20Sitrep%202%20FINAL.pdf</t>
  </si>
  <si>
    <t>https://reliefweb.int/sites/reliefweb.int/files/resources/Lebanon%20Flash%20Appeal%20FINAL%2014%20Aug%202020.pdf</t>
  </si>
  <si>
    <t>https://www.reuters.com/article/us-lebanon-security-blast-insurance/insured-losses-from-beirut-blast-seen-around-3-billion-sources-idUSKCN2532IF#:~:text=The%20blast%20on%20Tuesday%2C%20the,economic%20losses%20of%20%2415%20billion.</t>
  </si>
  <si>
    <t xml:space="preserve">The explosion in Beirut affected Beirut Governorate,and Mount Lebanon to different extent. Note that not all Mount Lebanon is affected and therefore the figure is an overestimation. </t>
  </si>
  <si>
    <t xml:space="preserve">Total population in Beirut and Mount Lebanon Governorates. Note that not all Mount Lebanon is affected and therefore the figure is an overestimation. </t>
  </si>
  <si>
    <t>Up to 300,000 people have been displaced</t>
  </si>
  <si>
    <t>Total number of people injured by the explosion</t>
  </si>
  <si>
    <t>The latest figure of the total number of people killed by the explosion</t>
  </si>
  <si>
    <t xml:space="preserve">One million is the number of people in need according to the UN appeal to support relief and recovery efforts. All of which are placed in level 3. In Level 2, the number of people in level 3 subtracted from the total of people affected. These figures are based on early assessments. </t>
  </si>
  <si>
    <t>Host, non-host, refugees and asylum seekers, internally displaced people (IDP) are the main groups affected by the crisis.</t>
  </si>
  <si>
    <t>ACLED 28/08/2020</t>
  </si>
  <si>
    <t>ACLED 28/08/2020.</t>
  </si>
  <si>
    <t>This number includes fatalities recorded by both Cabo Delgado, food insecurity and other crisis related events between 28 Feb - 28 Aug 2020</t>
  </si>
  <si>
    <t>These are the number of people killed in Cabo Delgado in Ahl Sunna Wal Jammah related activities between 28 Feb - 28 Aug 2020</t>
  </si>
  <si>
    <t>ACLED 28/08/2020; Humanitarian Response 05/2020</t>
  </si>
  <si>
    <t xml:space="preserve">Figure represents the number of fatalities stemming from violence during the period 28 Feb - 28 Aug 2020. The actual number of violent fatalities is likely to be higher as a result of un-reported incidents. Fatalities from causes other than violence have not been included as a result of the lack of reliable and representative data. </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</si>
  <si>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</si>
  <si>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</si>
  <si>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</si>
  <si>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</si>
  <si>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</si>
  <si>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</si>
  <si>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</si>
  <si>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</si>
  <si>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</si>
  <si>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</si>
  <si>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</si>
  <si>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</si>
  <si>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</si>
  <si>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</si>
  <si>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</si>
  <si>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</si>
  <si>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Typhoon Vongfong (Ambo)</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</si>
  <si>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</si>
  <si>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</si>
  <si>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</si>
  <si>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</si>
  <si>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</si>
  <si>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</si>
  <si>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</si>
  <si>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</si>
  <si>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</si>
  <si>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</si>
  <si>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</si>
  <si>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</si>
  <si>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</si>
  <si>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</si>
  <si>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</si>
  <si>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</si>
  <si>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</si>
  <si>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</si>
  <si>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</si>
  <si>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</si>
  <si>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</si>
  <si>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</si>
  <si>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</si>
  <si>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</si>
  <si>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</si>
  <si>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</si>
  <si>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</si>
  <si>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</si>
  <si>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</si>
  <si>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</si>
  <si>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</si>
  <si>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</si>
  <si>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</si>
  <si>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</si>
  <si>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</si>
  <si>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</si>
  <si>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</si>
  <si>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</si>
  <si>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</si>
  <si>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</si>
  <si>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</si>
  <si>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</si>
  <si>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</si>
  <si>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</si>
  <si>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</si>
  <si>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</si>
  <si>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</si>
  <si>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</si>
  <si>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</si>
  <si>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</si>
  <si>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</si>
  <si>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</si>
  <si>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</si>
  <si>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</si>
  <si>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</si>
  <si>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</si>
  <si>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</si>
  <si>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</si>
  <si>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</si>
  <si>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</si>
  <si>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</si>
  <si>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</si>
  <si>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</si>
  <si>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</si>
  <si>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</si>
  <si>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</si>
  <si>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</si>
  <si>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</si>
  <si>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</si>
  <si>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</si>
  <si>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</si>
  <si>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</si>
  <si>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</si>
  <si>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</si>
  <si>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</si>
  <si>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</si>
  <si>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</si>
  <si>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</si>
  <si>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</si>
  <si>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</si>
  <si>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</si>
  <si>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</si>
  <si>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</si>
  <si>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</si>
  <si>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</si>
  <si>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</si>
  <si>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</si>
  <si>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</si>
  <si>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</si>
  <si>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</si>
  <si>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</si>
  <si>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</si>
  <si>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</si>
  <si>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</si>
  <si>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</si>
  <si>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</si>
  <si>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</si>
  <si>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</si>
  <si>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</si>
  <si>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</si>
  <si>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</si>
  <si>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</si>
  <si>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</si>
  <si>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</si>
  <si>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</si>
  <si>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</si>
  <si>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</si>
  <si>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</si>
  <si>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</si>
  <si>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</si>
  <si>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</si>
  <si>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</si>
  <si>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</si>
  <si>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</si>
  <si>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</si>
  <si>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</si>
  <si>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</si>
  <si>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</si>
  <si>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</si>
  <si>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</si>
  <si>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</si>
  <si>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</si>
  <si>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</si>
  <si>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</si>
  <si>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</si>
  <si>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</si>
  <si>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</si>
  <si>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</si>
  <si>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</si>
  <si>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</si>
  <si>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</si>
  <si>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</si>
  <si>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</si>
  <si>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</si>
  <si>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</si>
  <si>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</si>
  <si>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</si>
  <si>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</si>
  <si>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</si>
  <si>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</si>
  <si>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</si>
  <si>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</si>
  <si>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</si>
  <si>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</si>
  <si>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</si>
  <si>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</si>
  <si>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</si>
  <si>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</si>
  <si>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</si>
  <si>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</si>
  <si>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</si>
  <si>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</si>
  <si>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</si>
  <si>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</si>
  <si>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</si>
  <si>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</si>
  <si>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</si>
  <si>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</si>
  <si>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</si>
  <si>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</si>
  <si>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</si>
  <si>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</si>
  <si>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</si>
  <si>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</si>
  <si>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</si>
  <si>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</si>
  <si>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</si>
  <si>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</si>
  <si>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</si>
  <si>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</si>
  <si>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</si>
  <si>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</si>
  <si>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</si>
  <si>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</si>
  <si>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</si>
  <si>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</si>
  <si>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</si>
  <si>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</si>
  <si>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</si>
  <si>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</si>
  <si>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</si>
  <si>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</si>
  <si>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</si>
  <si>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</si>
  <si>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</si>
  <si>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</si>
  <si>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</si>
  <si>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</si>
  <si>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</si>
  <si>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</si>
  <si>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</si>
  <si>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</si>
  <si>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</si>
  <si>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</si>
  <si>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</si>
  <si>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</si>
  <si>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</si>
  <si>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</si>
  <si>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</si>
  <si>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</si>
  <si>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</si>
  <si>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</si>
  <si>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</si>
  <si>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</si>
  <si>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</si>
  <si>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</si>
  <si>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</si>
  <si>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</si>
  <si>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</si>
  <si>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</si>
  <si>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</si>
  <si>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</si>
  <si>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</si>
  <si>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</si>
  <si>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</si>
  <si>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</si>
  <si>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</si>
  <si>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</si>
  <si>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</si>
  <si>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</si>
  <si>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</si>
  <si>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</si>
  <si>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</si>
  <si>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</si>
  <si>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</si>
  <si>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</si>
  <si>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</si>
  <si>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</si>
  <si>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</si>
  <si>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</si>
  <si>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</si>
  <si>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</si>
  <si>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</si>
  <si>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</si>
  <si>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</si>
  <si>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</si>
  <si>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</si>
  <si>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</si>
  <si>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</si>
  <si>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</si>
  <si>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</si>
  <si>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</si>
  <si>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</si>
  <si>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</si>
  <si>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</si>
  <si>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</si>
  <si>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</si>
  <si>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</si>
  <si>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</si>
  <si>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</si>
  <si>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</si>
  <si>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</si>
  <si>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</si>
  <si>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</si>
  <si>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</si>
  <si>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</si>
  <si>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</si>
  <si>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</si>
  <si>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</si>
  <si>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</si>
  <si>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</si>
  <si>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</si>
  <si>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</si>
  <si>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</si>
  <si>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</si>
  <si>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</si>
  <si>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</si>
  <si>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</si>
  <si>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</si>
  <si>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</si>
  <si>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</si>
  <si>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</si>
  <si>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</si>
  <si>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</si>
  <si>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</si>
  <si>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</si>
  <si>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</si>
  <si>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</si>
  <si>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</si>
  <si>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</si>
  <si>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</si>
  <si>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</si>
  <si>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</si>
  <si>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</si>
  <si>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</si>
  <si>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</si>
  <si>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</si>
  <si>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</si>
  <si>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</si>
  <si>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</si>
  <si>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</si>
  <si>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</si>
  <si>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</si>
  <si>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</si>
  <si>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</si>
  <si>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</si>
  <si>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</si>
  <si>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</si>
  <si>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</si>
  <si>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</si>
  <si>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</si>
  <si>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</si>
  <si>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</si>
  <si>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</si>
  <si>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</si>
  <si>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</si>
  <si>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TC-2020-000137-BGD</t>
  </si>
  <si>
    <t>FL-2020-000147-CHN</t>
  </si>
  <si>
    <t>FL-2020-000052-COD</t>
  </si>
  <si>
    <t>FL-2020-000126-ETH</t>
  </si>
  <si>
    <t>FL-2020-000164-IND</t>
  </si>
  <si>
    <t>TC-2020-000135-IND</t>
  </si>
  <si>
    <t>DR-2019-000024-KEN</t>
  </si>
  <si>
    <t>FL-2020-000019-MDG</t>
  </si>
  <si>
    <t>TC-2020-000134-PHL</t>
  </si>
  <si>
    <t>EQ-2019-000129-PHL</t>
  </si>
  <si>
    <t>FL-2020-000176-SDN</t>
  </si>
  <si>
    <t>FL-2020-000132-UGA</t>
  </si>
  <si>
    <t>TC-2020-000049-VUT</t>
  </si>
  <si>
    <t>EP-2020-000127-ZWE</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</si>
  <si>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</si>
  <si>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</si>
  <si>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</si>
  <si>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</si>
  <si>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</si>
  <si>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</si>
  <si>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</si>
  <si>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</si>
  <si>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</si>
  <si>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</si>
  <si>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</si>
  <si>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</si>
  <si>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</si>
  <si>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</si>
  <si>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</si>
  <si>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</si>
  <si>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Country level </t>
  </si>
  <si>
    <t>Industrial Accidents</t>
  </si>
  <si>
    <t xml:space="preserve">Cross-border violence </t>
  </si>
  <si>
    <t>Floods in Niger</t>
  </si>
  <si>
    <t>NER005</t>
  </si>
  <si>
    <t>NAWG 03/08/2020</t>
  </si>
  <si>
    <t>Government of Bangladesh 2011; NAWG 03/08/2020</t>
  </si>
  <si>
    <t>ACAPS Access Methodology 09/2020</t>
  </si>
  <si>
    <t>OCHA 09/07/2019; INSD; UNHCR 31/08/2020; UNHCR 12/2019; UNHCR 29/02/2020</t>
  </si>
  <si>
    <t>OCHA 05/06/2020; UNHCR 31/08/2020</t>
  </si>
  <si>
    <t>ECHO 25/02/2020; UNHCR 31/08/2020; UNHCR 08/09/2020</t>
  </si>
  <si>
    <t>ACLED 01/03/2020-31/08/2020</t>
  </si>
  <si>
    <t>CONASUR OCHA 11/09/2020; Institut National de la Statistique et de la Démographie</t>
  </si>
  <si>
    <t>CONASUR OCHA 11/09/2020</t>
  </si>
  <si>
    <t>ACLED 01/03/2020 - 31/08/2020</t>
  </si>
  <si>
    <t>OCHA 04/2020 - 09/2020</t>
  </si>
  <si>
    <t>ACLED April-Sep 2020</t>
  </si>
  <si>
    <t>Jordanian Department of Statistics 2017
 UNHCR 04/09/2020</t>
  </si>
  <si>
    <t>UNHCR 04/09/2020; UNRWA 31/01/2020; JRP 23/06/2020</t>
  </si>
  <si>
    <t>UNHCR 04/09/2020; UNHCR,ACF, ILO 2019; UNRWA 31/01/2020; UNHCR 2017; UNHCR 31/01/2020; JRP 23/06/2020</t>
  </si>
  <si>
    <t>IOM DTM 23/09/2020; IOM DTM 30/04/2020; UNHCR 18/06/2020</t>
  </si>
  <si>
    <t>World Bank 2018; IOM DTM 23/09/2020</t>
  </si>
  <si>
    <t>IOM Round 32 23/09/2020</t>
  </si>
  <si>
    <t>HNO 2020; HRP 2020; IOM Round 32 23/09/2020; World Population Prospects 2019; REACH 10/2019; IOM 20/12/2019; MSF 23/12/2019; OHCHR 12/03/2020</t>
  </si>
  <si>
    <t>ACLED Apr-Sep 2020</t>
  </si>
  <si>
    <t>OCHA 01/2020; UNHCR 31/08/2020</t>
  </si>
  <si>
    <t>IOM 01/09/2020</t>
  </si>
  <si>
    <t>ESCWA 19/08/2020</t>
  </si>
  <si>
    <t>CIA World Factbook</t>
  </si>
  <si>
    <t>HNO 2020, HRP 2020, WorldPop 2018</t>
  </si>
  <si>
    <t>Joint Needs Assessment 31/05/2020; Government of Bangladesh 2011; JRP 02/2020; NAWG 03/08/2020</t>
  </si>
  <si>
    <t>Protection Cluster 30/08/2020; NDRRMC 28/08/2020</t>
  </si>
  <si>
    <t>Govt of Philippines 2015; Protection Cluster 30/08/2020; NDRRMC 28/08/2021</t>
  </si>
  <si>
    <t>Govt of Philippines 2015; Protection Cluster 30/08/2020; NDRRMC 28/08/2022</t>
  </si>
  <si>
    <t>Govt of Philippines 2015; Protection Cluster 30/08/2020; NDRRMC 28/08/2023</t>
  </si>
  <si>
    <t>Govt of Philippines 2015; Protection Cluster 30/08/2020; NDRRMC 28/08/2024</t>
  </si>
  <si>
    <t>Govt of Philippines 2015; Protection Cluster 30/08/2020; NDRRMC 28/08/2025</t>
  </si>
  <si>
    <t>Protection Cluster 30/08/2020</t>
  </si>
  <si>
    <t>Protection Cluster 30/08/2021</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</si>
  <si>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</si>
  <si>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</si>
  <si>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</si>
  <si>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</si>
  <si>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</si>
  <si>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</si>
  <si>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the individual crises</t>
  </si>
  <si>
    <t>See individual crises</t>
  </si>
  <si>
    <t>CFR 05/10/2020</t>
  </si>
  <si>
    <t>World bank 2017; UNHCR 22/09/2020</t>
  </si>
  <si>
    <t>UNHCR 22/09/2020</t>
  </si>
  <si>
    <t>UNHCR 22/09/2020; UNHCR 29/09/2020</t>
  </si>
  <si>
    <t>OCHA 24/01/2020; UNHCR 31/08/2020; UNHCR 31/08/2020; UNHCR 31/08/2020; UNHCR 31/07/2020; UNHCR 31/07/2020</t>
  </si>
  <si>
    <t>UNHCR 31/07/2020; UNHCR 31/08/2020; UNHCR 31/08/2020; UNHCR 31/08/2020</t>
  </si>
  <si>
    <t>World Bank 2019; UNHCR 31/08/2020</t>
  </si>
  <si>
    <t>Government of Niger, 2016</t>
  </si>
  <si>
    <t>OCHA 24/09/2020</t>
  </si>
  <si>
    <t>ACAPS Acces Methodology</t>
  </si>
  <si>
    <t>Statoids 2015; UN News 21/05/2020; GoI 2011</t>
  </si>
  <si>
    <t>Ministry of Home Affairs, Disaster Management Division 04/10/2026</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</si>
  <si>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</si>
  <si>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</si>
  <si>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</si>
  <si>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</si>
  <si>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</si>
  <si>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</si>
  <si>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</si>
  <si>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</si>
  <si>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 xml:space="preserve">OCHA HNO 2020 15/06/2020
</t>
  </si>
  <si>
    <t xml:space="preserve">IDMC Honduras 31/12/2019 </t>
  </si>
  <si>
    <t>PAHO 09/2020</t>
  </si>
  <si>
    <t>Instituto Nacional de Ciencias Forenses de Guatemala 09/2020</t>
  </si>
  <si>
    <t>PAHO (last accessed 05/10/2020)</t>
  </si>
  <si>
    <t xml:space="preserve">OCHA HNO 2020; R4V 31/05/2020; UNCHR 29/02/2020; Migracion Colombia 26/05/2020 </t>
  </si>
  <si>
    <t>Regional Response Plan 2020 31/10/2019; R4V Colombia 31/03/2020</t>
  </si>
  <si>
    <t>Regional Response Plan 2020 31/12/2019; R4V Colombia 05/2020; DANE</t>
  </si>
  <si>
    <t>IOM Missing Migrants Project April - September 2020</t>
  </si>
  <si>
    <t xml:space="preserve">R4V 03/08/2020, Regional Response Plan 2020
</t>
  </si>
  <si>
    <t>R4V 03/08/2020</t>
  </si>
  <si>
    <t>IOM Missing Migrants Project 2020 last accessed 05/10/2020</t>
  </si>
  <si>
    <t>OCHA, 2018; R4V Ecuador 19/08/2020</t>
  </si>
  <si>
    <t>R4V Ecuador 19/08/2020</t>
  </si>
  <si>
    <t xml:space="preserve">R4V Ecuador 19/08/2020; OCHA 2018; </t>
  </si>
  <si>
    <t>OCHA 05/2018; R4V 05/09/2020</t>
  </si>
  <si>
    <t>R4V 05/09/2020</t>
  </si>
  <si>
    <t>ENCOVI, 2018; OCHA; UNHCR; R4V 05/09/2020</t>
  </si>
  <si>
    <t>IBGE 2019; R4V 14/08/2020</t>
  </si>
  <si>
    <t>IBGE 2019; Regional Response Plan 2020; R4V 14/08/2020</t>
  </si>
  <si>
    <t>R4V 14/08/2020</t>
  </si>
  <si>
    <t>UNHCR 11/2019; R4V 14/08/2020; Regional Response Plan 2020; IBGE 2017</t>
  </si>
  <si>
    <t xml:space="preserve">INEC Costa Rica 2011; World Bank 2019 </t>
  </si>
  <si>
    <t>UNHCR 31/10/2019; INEC Costa Rica; Government of Costa Rica; UNHCR 28/08/2020</t>
  </si>
  <si>
    <t>UNHCR 28/08/2020</t>
  </si>
  <si>
    <t>World Bank 2019; UNCHCR 05/08/2020</t>
  </si>
  <si>
    <t>UNCHCR 05/08/2020</t>
  </si>
  <si>
    <t>PAHO last accessed 05/10/2019</t>
  </si>
  <si>
    <t xml:space="preserve">ACLED April - September 2020 </t>
  </si>
  <si>
    <t>OCHA HNO 09/01/2020</t>
  </si>
  <si>
    <t xml:space="preserve">IDMC 31/12/2019 </t>
  </si>
  <si>
    <t>ACLED April - September 2020</t>
  </si>
  <si>
    <t>IPC 31/08/202</t>
  </si>
  <si>
    <t>IPC 08/2020</t>
  </si>
  <si>
    <t>CIA 06/2020</t>
  </si>
  <si>
    <t>VEN: OCHA 05/2018; R4V 05/09/2020; ECU: OCHA, 2018; BRA:IBGE 2019; R4V 14/08/2020; COL: DANE, Projections for 2019; PER: OCHA, July 2015; TRI:World Bank 2018; R4V</t>
  </si>
  <si>
    <t>VEN: OCHA 05/2018; R4V 05/09/2020; ECU: OCHA, 2018; R4V Ecuador 19/08/2020; BRA: IBGE 2019;COL: OCHA HNO 2020; TRI: World Bank 2019; R4V</t>
  </si>
  <si>
    <t>VEN: OCHA 05/2018; R4V 05/09/2020; ECU: R4V Ecuador 19/08/2020; BRA: IBGE 2019; Reuters 11/2017; COL: Regional Response Plan 2020 31/10/2019; R4V Colombia 29/02/2020; PER: R4V 03/08/2020, Regional Response Plan 2020; TRI: UNICEF 27/03/2019 R4V December 2018 NRC 18/12/2018</t>
  </si>
  <si>
    <t>VEN: ENCOVI 2018; ECU: R4V Ecuador 19/08/2020; OCHA 2018; BRA: UNHCR 11/2019; COL: Regional Response Plan 2020 31/12/2019; R4V Colombia 05/2020; DANE; PER: Regional Response Plan  2020; R4V Factsheet 29/10/2019 
TRI: R4V March 2019 Update; UNICEF 27/03/2019; NPR 18/12/2018; IFRC 01/02/2019</t>
  </si>
  <si>
    <t>VEN: OCHA 05/2018; UNHCR 12/2018; ECU: R4V RPRM 01/04/2019; BRA: IBGE 2018; Reuters 11/2017; COL: HNO 15/01/2019, GIFFM 2019; PER:Regional Response Plan R4V; R4V March 2019 Update; UNICEF Situation Update January 2019; UNHCR January 2019; UNHCR 11/2019; T&amp;T: World Bank 2018; R4V March 2019 Update; UNICEF 27/03/2019; NPR 18/12/2018, IFRC 01/02/2019</t>
  </si>
  <si>
    <t>CIA 02/2020</t>
  </si>
  <si>
    <t>CIA 03/2020</t>
  </si>
  <si>
    <t>IFRC Online Portal</t>
  </si>
  <si>
    <t>Aljazeera 25/09/2020</t>
  </si>
  <si>
    <t>UNOCHA Flash Update 01/10/2020</t>
  </si>
  <si>
    <t>WFP 23/09/2020</t>
  </si>
  <si>
    <t>UNHCR 03/2020; OCHA 10/09/2020</t>
  </si>
  <si>
    <t>IPC June-September 2020</t>
  </si>
  <si>
    <t>UNOCHA and Government Response Team Situation Report, September 2020; IFRC Emergency Plan of Action 27/09/2020</t>
  </si>
  <si>
    <t>IPC February  to June 2020 projections; HNO 2021</t>
  </si>
  <si>
    <t>IPC February  to June 2020 projections; HNO 2022</t>
  </si>
  <si>
    <t>IPC February  to June 2020 projections; HNO 2023</t>
  </si>
  <si>
    <t>IPC February  to June 2020 projections; HNO 2024</t>
  </si>
  <si>
    <t>IPC 23/02/2018; USAID 28/09/2020;UNCHR 30/09/2019</t>
  </si>
  <si>
    <t>IPC 23/02/2018; USAID 28/09/2020;UNCHR 30/09/2020</t>
  </si>
  <si>
    <t>IPC 23/02/2018; USAID 28/09/2020;UNCHR 30/09/2021</t>
  </si>
  <si>
    <t>IPC 23/02/2018; USAID 28/09/2020;UNCHR 30/09/2022</t>
  </si>
  <si>
    <t>IPC 23/02/2018; USAID 28/09/2020;UNCHR 30/09/2023</t>
  </si>
  <si>
    <t>IPC 23/02/2018; USAID 28/09/2020;UNCHR 30/09/2024</t>
  </si>
  <si>
    <t>IPC 23/02/2018; UNCHR 30/09/2020</t>
  </si>
  <si>
    <t>IPC 23/02/2018; UNCHR 30/09/2021</t>
  </si>
  <si>
    <t>IPC 23/02/2018; UNCHR 30/09/2022</t>
  </si>
  <si>
    <t>IPC 23/02/2018; UNCHR 30/09/2023</t>
  </si>
  <si>
    <t>IPC 23/02/2018; UNCHR 30/09/2024</t>
  </si>
  <si>
    <t>World Bank accessed 27/10/2020</t>
  </si>
  <si>
    <t>World Bank 2014</t>
  </si>
  <si>
    <t xml:space="preserve">World Bank </t>
  </si>
  <si>
    <t>PIN distributed in Level 3 and 4.</t>
  </si>
  <si>
    <t>https://www.humanitarianresponse.info/sites/www.humanitarianresponse.info/files/documents/files/nawg_monsoon_flood_preliminary_impact_and_kin_20200802_final.pdf</t>
  </si>
  <si>
    <t>This number is taken from initial assessments of inundated and flooded areas across the country</t>
  </si>
  <si>
    <t>http://203.112.218.65:8008/WebTestApplication/userfiles/Image/PopCen2011/Com_Cox%27s%20Bazar.pdf; https://www.humanitarianresponse.info/sites/www.humanitarianresponse.info/files/documents/files/nawg_monsoon_flood_preliminary_impact_and_kin_20200802_final.pdf</t>
  </si>
  <si>
    <t xml:space="preserve">30 divisions across the country are affected to varying degrees. These include Habiganj, Sunamganj, Sylhet, Jamalpur, Mymensingh, Netrakona, Gaibandha, Kurigram, Lalmonirhat, Nilphamari, Rangpur, Dhaka, Faridpur, Gazipur, Gopalganj, Kishoreganj, Madaripur, Manikganj, Munshiganj, Rajbari, Shariatpur, Tangail, Bogura, Naogaeon, Natore, Pabna, Rajshahi, Sirajganj and Brahamnbaria Chandpur. The total number of people affected is the total population of each of these divisions. </t>
  </si>
  <si>
    <t xml:space="preserve">41 people have died as a result of the flooding as of 3 August. </t>
  </si>
  <si>
    <t xml:space="preserve">The PIN was calculated alongside the Global INFORM risk index which calculated a composite index score based on the flood impact of each of the districts affected using demographic and socio-economic variables. Level 1 is the total population exposed to the flooding minus the number of people affected minus the PIN. Level 2 is the number of people directly affected minus the PIN. Level 3 is those with moderate needs which is the displaced population. This was compared with states that had a composite index score of 7.1 and higher (Jamalpur and Kurigram) according to the Global INFORM risk index and displacement rates. No one was considered to be on level 4 or 5. The PIN is the summation of level 3, 4 and 5. </t>
  </si>
  <si>
    <t>https://www.humanitarianresponse.info/sites/www.humanitarianresponse.info/files/documents/files/sitrep_01_catastrophe_2020_11092020.pdf; http://www.insd.bf/n/contenu/Tableaux/T0316.htm</t>
  </si>
  <si>
    <t>All of the country is affected according to CONASUR SitRep 1</t>
  </si>
  <si>
    <t>https://www.humanitarianresponse.info/sites/www.humanitarianresponse.info/files/documents/files/sitrep_01_catastrophe_2020_11092020.pdf</t>
  </si>
  <si>
    <t>No information available on the amount people displaced by floods</t>
  </si>
  <si>
    <t>Houses that were damaged + IDP emergency shelters that were damaged or destroyed (no distinction made in source) according to CONASUR Sitrep 1</t>
  </si>
  <si>
    <t xml:space="preserve">Refugees, returnees, IDP, host and non host are affected by the floods </t>
  </si>
  <si>
    <t>https://data.worldbank.org/indicator/AG.LND.TOTL.K2?locations=MR</t>
  </si>
  <si>
    <t>Total number of fatalities resulting directly from conflict in the last six months (Israelis and Palestinians), reporting period 31/03/2020 to 21/09/2020</t>
  </si>
  <si>
    <t xml:space="preserve">Conflict displaced people including IDPs, returnees and Iraqi refugees and asylume seekers abroad + Syrian refugees registered in Iraq. A total of 2 million Iraqis left the country between 1990 and mid-2019, but as it was not possible to determine how many of these departures were related to the conflict, only global numbers of Iraqi refugees and asylum seekers were taken into account to avoid overestimation.
</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</si>
  <si>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http://data2.unhcr.org/en/situations/syria/location/5</t>
  </si>
  <si>
    <t>https://iraq.unfpa.org/sites/default/files/pub-pdf/KRSO%20IOM%20UNFPA%20Demographic%20Survey%20Kurdistan%20Region%20of%20Iraq_0.pdf; http://reporting.unhcr.org/node/2547?y=2014#year
http://data2.unhcr.org/en/situations/syria/location/5</t>
  </si>
  <si>
    <t>https://data2.unhcr.org/en/situations/syria/location/5
https://data2.unhcr.org/en/documents/download/74758
http://www.3rpsyriacrisis.org/wp-content/uploads/2020/03/rso2020_30.pdf</t>
  </si>
  <si>
    <t>https://reliefweb.int/sites/reliefweb.int/files/resources/65023-2.pdf; 
https://data2.unhcr.org/en/documents/download/69906;
https://data2.unhcr.org/en/documents/download/77192
http://data2.unhcr.org/en/situations/syria/location/5</t>
  </si>
  <si>
    <t>http://dosweb.dos.gov.jo/DataBank/JordanInFigures/JORINFIGDetails2017.pdf
https://data2.unhcr.org/en/documents/download/74619
https://data2.unhcr.org/en/situations/syria/location/36</t>
  </si>
  <si>
    <t>http://dosweb.dos.gov.jo/DataBank/Population_Estimares/PopulationEstimates.pdf   
https://data2.unhcr.org/en/documents/download/74619
https://data2.unhcr.org/en/situations/syria/location/36</t>
  </si>
  <si>
    <t>According to the Jordanian Department of Statistics immigration and emigration, including of Syrian refugees after 2011, are already taken into account in their annual propulation estimates. Therefore the number of people exposed is the sum of the estimated population of admin 1 governorates hosting more than 20,000 registered Syrian refugees: Irbid, Amman, Mafraq and Zarqa. To avoid double counting UNHCR refugee figures per admin level 1 are therefore not added. The figure might thus be an underestimation of the total number of people exposed.</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</si>
  <si>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Vulnerable Jordanians are also directly affected by the crisis, but a definitive figure for tihs category was not found and thus not included in the indicator. </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</si>
  <si>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t>
  </si>
  <si>
    <t>https://reliefweb.int/sites/reliefweb.int/files/resources/77177.pdf
http://dosweb.dos.gov.jo/DataBank/JordanInFigures/JORINFIGDetails2017.pdf 
https://www.unrwa.org/sites/default/files/content/resources/2020_syria_ea_eng_03_02_2020_final.pdf
https://data2.unhcr.org/en/documents/download/73116
https://reliefweb.int/sites/reliefweb.int/files/resources/68856.pdf
https://data2.unhcr.org/en/documents/download/77262
https://data2.unhcr.org/en/situations/syria/location/36</t>
  </si>
  <si>
    <t>Level 5: no refugees or members of the host communties reported to face extreme humanitarian conditions.
Level 4: 55% of registered Syrians are in the severe vulnerability category of the "Basic needs" indicator of the Vulnerability Assessment Framework (VAF) of 2019. The indicator is defined as "the financial and non-financial minimum standards a family needs to be able to maintain their welfare and dignity." It is calculated by a combination of per capita debt and minimum basket expenditure (MEB). (VAF 2019, p.39).
Level 3: 40% of  registered Syrians are in the high vulnerability category of the "Basic needs" indicator of the Vulnerability Assessment Framework (VAF) of 2019. On this level are also 90% of the Palestine Refugees from Syria (PRS) who are unable to meet their basic needs according to a 2017 assessment.
Level 2: 5% of registered Syrians are in the moderate vulnerability category of the "Basic needs" indicator of the Vulnerability Assessment Framework (VAF) of 2019.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but there is no clear data regarding their needs. The reamining 10% of PRS who are able to meet their basic needs are also considered affected.
Level 1: People exposed - people affected - PIN.
PIN: sum of people on levels 3,4, and 5.
The VAF is based on a sample of registered, urban Syrian refugees. It would be more accurate to make a distinction between the needs of camp-based and urban Syrians in Jordan. However, no definitive data was found on the basic need indicator of the camp population (which constitutes around 19% of the registered Syrian population in Jordan) and as such the total number of Syrian refugees registered by UNHCR, whether in camps or in cities, was divided according to VAF percentages.</t>
  </si>
  <si>
    <t xml:space="preserve">Acled data on conflict fatalities including all actors + MMF dead and missing migrants. </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</si>
  <si>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</si>
  <si>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</si>
  <si>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</si>
  <si>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</si>
  <si>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</si>
  <si>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https://data.worldbank.org/indicator/AG.LND.TOTL.K2?locations=SY</t>
  </si>
  <si>
    <t>The total country and population of Syria are affected by the crisis.</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</si>
  <si>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</si>
  <si>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 xml:space="preserve">This data includes the number of all deaths from conflict in the last 6 months as calculated by ACLED. Several cases of code 10, i.e. unknown fatalities number. Note: ACLED’s real-time data updates were paused from 2 August to 5 September.  </t>
  </si>
  <si>
    <t xml:space="preserve">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  </t>
  </si>
  <si>
    <t>https://data.worldbank.org/indicator/AG.LND.TOTL.K2?locations=IQ-MA</t>
  </si>
  <si>
    <t>https://data.worldbank.org/indicator/AG.LND.TOTL.K2?locations=PS</t>
  </si>
  <si>
    <t>Palestinian central bureau of statistics square kilometre of admin level 1 in the West Bank and Gaza and occupied East Jerusalem</t>
  </si>
  <si>
    <t>https://data.worldbank.org/indicator/AG.LND.TOTL.K2?locations=TN</t>
  </si>
  <si>
    <t>https://www.acleddata.com/data/; https://www.iom.int/news/nearly-120000-people-displaced-least-10-dead-after-flash-floods-chad</t>
  </si>
  <si>
    <t>https://www.iom.int/news/nearly-120000-people-displaced-least-10-dead-after-flash-floods-chad</t>
  </si>
  <si>
    <t>Number of people displaced by floods in August according to IOM press release. More recent data not available</t>
  </si>
  <si>
    <t>Number of deaths from floods in August according to IOM press release. More recent data not available</t>
  </si>
  <si>
    <t>Refugee, IDP, Host, non-host, returneees</t>
  </si>
  <si>
    <t>https://reliefweb.int/sites/reliefweb.int/files/resources/73118.pdf
https://data2.unhcr.org/en/situations/syria/location/71;
https://www.unrwa.org/resources/reports/lebanon-unrwa-humanitarian-snapshot-november-december-2019
https://www.unrwa.org/sites/default/files/content/resources/survey_on_the_economic_status_of_palestine_refugees_in_lebanon_2015.pdf
https://reliefweb.int/sites/reliefweb.int/files/resources/Beirut%20Port_SitRep%20No.7.pdf</t>
  </si>
  <si>
    <t xml:space="preserve">Level 5: No reports of catastrophic humanitarian conditions.
Level 4: 9.2% of the PRS population is extremely poor or "unable to meet essential food requirements",according to a 2015 study. While the data is old and the number of PRS has dramaticaly decreased, this is still one of the most authoritative sources on poverty assessment of PRS in Lebanon. 55% of registered Syrian refugee households live below the Survival Minimum Expenditure Basket (SMEB) of USD 87 per month. After having converted the household figures into number of individuals , the number was added to level 4.
Level 3: 89.1% of the PRS population lives in poverty or is "unable to meet basic food and non-food needs", according to a 2015 study. While the data is old and the number of PRS have dramaticaly decreased, this is still one of the most authoritative sources on poverty assessment of PRS in Lebanon. 18% of registered Syrian refugee households live below the Minimum Expenditure Basket of USD 114 per month, but above the SMEB of USD 87 per month.  Household figures were converted into number of individuals.
Level 2: around 10% of the PRS population does not live in poverty,according to a 2015 study. While the data is old and the number of PRS have dramaticaly decreased, this is still one of the most authoritative sources on poverty assessment of PRS in Lebanon. They are still affected by a precarious legal situation and difficult access to services and the labour market. Unregistered Syrians are included as affected population, as not enough information was found to categorise them according to needs, but can still be expected to face hardships. The host population has 1.5 million vulnerable individuals whose precarious situation was exacerbated by the crisis according to the 2020 LCRP. The figure was added to the number of people affected. 9.8% of registered Syrian refugee HHs living between the MEB and 125% MEB were considered affected as they still struggle with higher food prices and unemployment in the current economic crisis.
Level 1: people exposed- need levels 2-5 (including 17.2% of registered Syrian refugee households living above 125% MEB)
Syrian refugees are expected to be affected by the Beirut explosion (04 Aug), as refugees and migrant workers are particularly vulnerable as they have less resources to reconstruct damaged shelters and buy food and essential items. However, there is lack of data on the impact the explosion had on the Syrian refugees in Lebanon. </t>
  </si>
  <si>
    <t>https://www.unescwa.org/sites/www.unescwa.org/files/20-00268_pb15_beirut-explosion-rising-poverty-en.pdf</t>
  </si>
  <si>
    <t>Sum of individuals under humanitarian conditions level 2 to 5.</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</si>
  <si>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</si>
  <si>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https://www.cia.gov/library/publications/resources/the-world-factbook/geos/print_cd.html</t>
  </si>
  <si>
    <t>https://www.humanitarianresponse.info/en/operations/afghanistan/document/afghanistan-humanitarian-needs-overview-2020; https://www.humanitarianresponse.info/sites/www.humanitarianresponse.info/files/documents/files/afg_hrp_2020_revision_june_2020.pdf;  https://data.humdata.org/dataset/worldpop-afghanistan-population</t>
  </si>
  <si>
    <t>Total PiN according to HRP 2020 severity distribution is 14 million. There was a significant increase in PIN between 2020 and revised HRP due to methodological changes and the effects of COVID-19. The HNO redefined humanitarian action and needs to include emergency needs as well as vulnerabilities due to multiple shocks. This resulted in a widening of the scope of analysis and an increase in PIN.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Because no breakdown of the levels of need was given in the HRP 2020 report, Level 3-5 are PIN figures using the proportions identified in the HNO from December 2018. Level 3 = HNO levels 2-3. Level 4 = HNO level 4. This is based off qualitative analysis of the HNO data, which suggests the severity in the HNO does not correspond directly to ACAPS' severity levels. According to HNO data, there are no people in severity level 5. This is considered accurate according to ACAPS' distribution methodology.</t>
  </si>
  <si>
    <t>https://www.humanitarianresponse.info/sites/www.humanitarianresponse.info/files/documents/files/drc_hno_2020_final_web.pdf; https://data2.unhcr.org/en/situations/drc; https://data2.unhcr.org/en/documents/download/79258; https://reliefweb.int/sites/reliefweb.int/files/resources/rdc_hrp_revise_juin_2020_vf.pdf</t>
  </si>
  <si>
    <t>https://www.humanitarianresponse.info/sites/www.humanitarianresponse.info/files/documents/files/cyclone_amphan_joint_needs_assessment_final_draft_31052020.pdf https://www.humanitarianresponse.info/sites/www.humanitarianresponse.info/files/documents/files/jrp_2020_summary_2-pager_280220.pdf; https://www.humanitarianresponse.info/sites/www.humanitarianresponse.info/files/documents/files/nawg_monsoon_flood_preliminary_impact_and_kin_20200802_final.pdf</t>
  </si>
  <si>
    <t xml:space="preserve">Cyclone Amphan is believed to have heavily impacted 16 districts in southern and southwestern bangladesh. 8 of these districts were severely affected, with high levels of displacement, widespread destruction of homes, infrastructure, and agriculture. These 8 districts include: Khulna, Satkhira, Barguna, Patukhali, Pirojpur, Bagerhat, Bhola, Jashore. However, the entire population of all 16 districts that were impacted to any extent by Cyclone Amphan are considered to be exposed. Flooding affected different districts than that of the Cyclone, mainly Central, Northern and Eastern Bangladesh. </t>
  </si>
  <si>
    <t xml:space="preserve">The affected population is considered to be all people living in the districts most affected by the cyclone and flooding. Given the extent of the damage and displacement in these areas, it is assumed that anyone living in these districts was affected to a certain degree. However, this could be an overestimate and will be adjusted as information becomes available. </t>
  </si>
  <si>
    <t>https://reliefweb.int/sites/reliefweb.int/files/resources/31.05.2020_Final_draft_HCTT%20Cyclone%20Amphan%20Response%20Plan.pdf https://www.humanitarianresponse.info/sites/www.humanitarianresponse.info/files/documents/files/jrp_2020_summary_2-pager_280220.pdf; https://reliefweb.int/sites/reliefweb.int/files/resources/78231.pdf; https://www.humanitarianresponse.info/sites/www.humanitarianresponse.info/files/documents/files/nawg_monsoon_flood_preliminary_impact_and_kin_20200802_final.pdf</t>
  </si>
  <si>
    <t xml:space="preserve">According to initial impact analysis, Cyclone Amphan affected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This figure also includes the Rohingya regional crisis. For flooding, the initial estimates suggest some 94,000 people are displaced. </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</si>
  <si>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 https://www.humanitarianresponse.info/sites/www.humanitarianresponse.info/files/documents/files/nawg_monsoon_flood_preliminary_impact_and_kin_20200802_final.pdf; https://acleddata.com/data-export-tool/</t>
  </si>
  <si>
    <t xml:space="preserve">The cumulative population exposed (level 1), affected (level 2), and in need (Level 3 and 4) for Cyclone Amphan in southern and southwestern Bangladesh, the Rohingya refugee crisis in Cox's Bazar and flooding from the SouthWest monsoon. See country specific data for detailed information on distribution and population figures. These figures may overestimate the number of people affected and may have resulted in double counting. </t>
  </si>
  <si>
    <t>Cyclone Amphan is believed to have heavily impacted 16 districts in southern and southwestern bangladesh. 7 of these districts were targeted for humanitarian response, with high levels of displacement, widespread destruction of homes, infrastructure, and agriculture. These 7 districts include: Khulna, Satkhira, Barguna, Patukhali, Bagerhat, Bhola, Jashore. However, the entire population of all 16 districts that were impacted to any extent by Cyclone Amphan are considered to be exposed.</t>
  </si>
  <si>
    <t xml:space="preserve">The affected population is considered to be all people living in the districts targeted for humanitarian response as a result of the cyclone. This includes the 7 districts of: Khulna, Satkhira, Barguna, Patukhali, Bagerhat, Bhola, Jashore. Given the extent of the damage and displacement in these areas, it is assumed that anyone living in these districts was affected to a certain degree. However, this could be an overestimate and will be adjusted as information becomes available. </t>
  </si>
  <si>
    <t>http://www.protectionclusterphilippines.org/?p=2722; https://reliefweb.int/sites/reliefweb.int/files/resources/DSWD-DROMIC-Report-58-on-the-Ms-6.6-Earthquake-Incident-in-Tulunan-North-Cotabato-as-of-28-August-2020-6PM.pdf</t>
  </si>
  <si>
    <t>The total number of people affected by the conflict includes those displaced (152,541). The latest figures suggest that earthquake affected 78,758 people.</t>
  </si>
  <si>
    <t>The total number of people currently displaced in Mindanao. 152,541 people are displaced by conflict or violence and 78,758 due to the October earthquakes.</t>
  </si>
  <si>
    <t>http://www.psa.gov.ph/content/philippine-population-density-based-2015-census-population; http://www.protectionclusterphilippines.org/?p=2722; https://reliefweb.int/sites/reliefweb.int/files/resources/DSWD-DROMIC-Report-58-on-the-Ms-6.6-Earthquake-Incident-in-Tulunan-North-Cotabato-as-of-28-August-2020-6PM.pdf</t>
  </si>
  <si>
    <t xml:space="preserve">The PIN is the total number of people in need due to conflict and earthquakes in Mindano. Level 1 is the entire population of Mindanao, except for those considered directly affected by conflict and the Oct 2019 earthquakes.  Level 2 is number of affected people - PIN. Level 3 is all people currently displaced by conflict (152,154) and the earthquakes (78,758). There is no one considered to be on Level 4 or 5. </t>
  </si>
  <si>
    <t>http://www.protectionclusterphilippines.org/?p=2722</t>
  </si>
  <si>
    <t>http://www.protectionclusterphilippines.org/?p=2723</t>
  </si>
  <si>
    <t xml:space="preserve">http://www.protectionclusterphilippines.org/?p=2722;  https://data.humdata.org/dataset/philippines-2015-census-population-administrative-level-1-to-4 </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</si>
  <si>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</si>
  <si>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</si>
  <si>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</si>
  <si>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</si>
  <si>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 xml:space="preserve">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 </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</si>
  <si>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</si>
  <si>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</si>
  <si>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</si>
  <si>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http://www.ipcinfo.org/fileadmin/user_upload/ipcinfo/docs/IPC_Malawi_Acute_Food_Insecurity_July2020March2021_Report.pdf</t>
  </si>
  <si>
    <t>http://www.ipcinfo.org/fileadmin/user_upload/ipcinfo/docs/IPC_AcuteFoodInsecurity_2020AugDec_Report_French.pdf</t>
  </si>
  <si>
    <t>The sum of Burundian refugees and IDPs in Burundi.</t>
  </si>
  <si>
    <t>Total number of people killed in the country in the last six months (April to September 2020) due to the Boko Haram conflict, farmer-herder violence, riots, military forces, unidentified armed groups and other violence in country.</t>
  </si>
  <si>
    <t>Total number of fatalities (Boko Haram conflict in Adamawa, Borno, and Yobe) in the last six months (April to September 2020).</t>
  </si>
  <si>
    <t xml:space="preserve">Total number of people killed in the affected areas (Nassarawa, benue, taraba and Plateau states) in the last six months (April to September 2020). </t>
  </si>
  <si>
    <t>https://data.worldbank.org/indicator/SP.POP.TOTL?locations=GR; https://data2.unhcr.org/en/documents/download/79128</t>
  </si>
  <si>
    <t>https://data2.unhcr.org/en/documents/download/79128</t>
  </si>
  <si>
    <t>https://data2.unhcr.org/en/documents/download/79128; https://data2.unhcr.org/en/documents/download/79236</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</si>
  <si>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</si>
  <si>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</si>
  <si>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</si>
  <si>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</si>
  <si>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 xml:space="preserve">Total number of casualties country-wide from March - August '20. Total number of casualties is very likely to be an underestimation, some events go unreported. </t>
  </si>
  <si>
    <t>https://www.cia.gov/library/publications/the-world-factbook/attachments/summaries/CG-summary.pdf</t>
  </si>
  <si>
    <t>https://data2.unhcr.org/en/documents/download/78940</t>
  </si>
  <si>
    <t>UNHCR persons of concern in Niger</t>
  </si>
  <si>
    <t>https://www.acleddata.com/data/; https://reports.unocha.org/fr/country/niger/</t>
  </si>
  <si>
    <t xml:space="preserve">Estimation based on 2020 revised HRP PIN figure disgregated per status. IDPs and refugees (UNHCR figures) are considered facing severe humanitarian conditions while the rest of the PIN is considering facing moderate humanitarian conditions. </t>
  </si>
  <si>
    <t>Host population and displaced population</t>
  </si>
  <si>
    <t xml:space="preserve"> http://www.stat-niger.org/statistique/file/DSEDS/TBS_2016.pdf</t>
  </si>
  <si>
    <t>The whole country was affected. More precise data is not available as of yet</t>
  </si>
  <si>
    <t>https://reports.unocha.org/fr/country/niger/</t>
  </si>
  <si>
    <t>Affeccted population according to 24/09 OCHA SitRep</t>
  </si>
  <si>
    <t>No data on number of people displaced by floods</t>
  </si>
  <si>
    <t>People killed by floods according to 24/09 OCHA SitRep</t>
  </si>
  <si>
    <t>Collapsed houses according to 24/09 OCHA SitRep</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</si>
  <si>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</si>
  <si>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Refugees, returnees, IDPs, host and non host populations affected by the floods</t>
  </si>
  <si>
    <t>https://www.cia.gov/library/publications/the-world-factbook/attachments/summaries/SG-summary.pdf</t>
  </si>
  <si>
    <t>https://data2.unhcr.org/en/situations/syria/location/113; https://data2.unhcr.org/en/documents/download/79337</t>
  </si>
  <si>
    <t>Figure represents the number of fatilities from the Kurdish conflict from Mar-Aug '20 as recorded by ACLED and the the number of migrants and refugees who died in Turkey as recorded by IOM</t>
  </si>
  <si>
    <t>https://data2.unhcr.org/en/situations/syria/location/113; https://data2.unhcr.org/en/documents/download/79337; https://reliefweb.int/sites/reliefweb.int/files/resources/CVME5_03072020.pdf</t>
  </si>
  <si>
    <t>https://data2.unhcr.org/en/situations/syria/location/113; https://reliefweb.int/sites/reliefweb.int/files/resources/CVME5_03072020.pdf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</si>
  <si>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</si>
  <si>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 xml:space="preserve">https://www.census2011.co.in/states.php; http://indiapopulation2018.in/population-of-telangana-2018.html </t>
  </si>
  <si>
    <t>http://www.statoids.com/yin.html; https://news.un.org/en/story/2020/05/1064712; https://www.census2011.co.in/states.php</t>
  </si>
  <si>
    <t>https://reliefweb.int/sites/reliefweb.int/files/resources/Sitrep%20report%20as%20on%2004.10.2020%20at%201800%20Hrs.pdf</t>
  </si>
  <si>
    <t xml:space="preserve">This is the number of people affected according to the daily reports issued by the Disaster Management Division. The situation is constantly changing as the Mansoon season continues and likley more people will be exposed </t>
  </si>
  <si>
    <t xml:space="preserve">The number of people evacuated according to the daily reports issued by the Disaster Management Division. The situation is constantly changing as the Mansoon season continues and it is likely more people will be displaced. </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</si>
  <si>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</si>
  <si>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</si>
  <si>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 xml:space="preserve">No reliable data is available. However, we assume that the total number of crisis related fatalities is zero or negligible. </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</si>
  <si>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</si>
  <si>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</si>
  <si>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https://www.humanitarianresponse.info/sites/www.humanitarianresponse.info/files/documents/files/cyclone_amphan_joint_needs_assessment_final_draft_31052020.pdf; https://www.acleddata.com/data/</t>
  </si>
  <si>
    <t>https://myanmar.unfpa.org/en/publications/union-report-volume-3k-rakhine-state-report; https://reliefweb.int/report/myanmar/myanmar-humanitarian-needs-overview-2020-december-2019</t>
  </si>
  <si>
    <t>https://data.worldbank.org/indicator/AG.LND.TOTL.K2?locations=PK</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</si>
  <si>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</si>
  <si>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 xml:space="preserve">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 </t>
  </si>
  <si>
    <t>https://www.acleddata.com/data/; https://reliefweb.int/report/pakistan/pakistan-winter-emergency-2020-situation-report-no-04-21-23-january-2020; https://reliefweb.int/sites/reliefweb.int/files/resources/FINAL%20SITREP%20of%20Monsoon%20Season%20-%20NDMA%20Monsoon%20SITREP%20NO%2097%20-%2030%20Sep%202020.pdf</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</si>
  <si>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</si>
  <si>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 xml:space="preserve">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 </t>
  </si>
  <si>
    <t>https://www.acaps.org/sites/acaps/files/key-documents/files/hno_centroamerica_2020.pdf</t>
  </si>
  <si>
    <t>Total population in the country according to the latest OCHA HNO</t>
  </si>
  <si>
    <t xml:space="preserve">Number of people affected by the different crises in the country (food insecurity, violence, natural hazards: drought) according to the latest OCHA HNO </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</si>
  <si>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</si>
  <si>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</si>
  <si>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 xml:space="preserve">Updated suspected Dengue cases according to PAHO in the last 6 months (March - August 2020) 
</t>
  </si>
  <si>
    <t xml:space="preserve">http://www.transparencia.oj.gob.sv/es/mas-recientes </t>
  </si>
  <si>
    <t xml:space="preserve">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 </t>
  </si>
  <si>
    <t>http://www.ipcinfo.org/fileadmin/user_upload/ipcinfo/docs/IPC_ElSalvador_AFI_2019AprilJuly_Projection.pdf; https://www.acaps.org/sites/acaps/files/key-documents/files/hno_centroamerica_2020.pdf</t>
  </si>
  <si>
    <t xml:space="preserve">PIN number has been retrieved from the latest OCHA HNO. As there is a lack of classification by levels, level 4 numbers represent the number of people on IPC 4 levels. </t>
  </si>
  <si>
    <t xml:space="preserve">Total population in the country according to the latest HNO </t>
  </si>
  <si>
    <t xml:space="preserve">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 </t>
  </si>
  <si>
    <t xml:space="preserve">Number of people affected by the crisis according to the latest HNO published for the region </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</si>
  <si>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</si>
  <si>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 xml:space="preserve">IDP estimates from Internal Displacement Monitoring Centre. Just an estimate, does not account for the whole country. 
</t>
  </si>
  <si>
    <t>Dengue reported cases between March - August 2020</t>
  </si>
  <si>
    <t xml:space="preserve">PIN number has been substracted from the latest HNO for the region. People in IPC 4 have been placed in PIN Level 4 </t>
  </si>
  <si>
    <t xml:space="preserve">Total population according to the latest HNO </t>
  </si>
  <si>
    <t xml:space="preserve">The whole population is affected by the crisis </t>
  </si>
  <si>
    <t xml:space="preserve">Number of people affected by the crisis according to the latest HNO for the region </t>
  </si>
  <si>
    <t>Dengue cases between March - August 2020</t>
  </si>
  <si>
    <t>This is the total of homicides between March - August 2020 (latest month available) for the whole country.</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</si>
  <si>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</si>
  <si>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 xml:space="preserve">Number of confirmed cases of Dengue between April - September 2020. </t>
  </si>
  <si>
    <t>IDPs (530,000) + Venezuelans with intention to stay (1,764,883) + Colombian returnees (350,500) + Transit population (330,300) + Pendular population (501,100)</t>
  </si>
  <si>
    <t>It includes Venezuelans with intention to stay (1,764,883) + Transit population (500,000) + Colombian returnees (500,000) + Host communities (60,000)</t>
  </si>
  <si>
    <t>It includes Venezuelans with intention to stay (1,764,883) + Transit population (500,000) + Colombian returnees (500,000)</t>
  </si>
  <si>
    <t>https://r4v.info/es/situations/platform/location/7511; https://r4v.info/en/documents/details/72254; https://data.humdata.org/dataset/colombia-admin-level-4-boundaries</t>
  </si>
  <si>
    <t xml:space="preserve">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</si>
  <si>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1,394,973 local population + 60,000 Venezuelan refugees</t>
  </si>
  <si>
    <t>https://data2.unhcr.org/es/situations/platform/location/7416; https://reliefweb.int/sites/reliefweb.int/files/resources/72254.pdf</t>
  </si>
  <si>
    <t>Venezuelan refugees, migrants (829,708) + host communities estimated to be in need as per Regional Response Plan (268,000). Likely an underestimation given the added strain on education and health facilities in several parts of the country.</t>
  </si>
  <si>
    <t xml:space="preserve">According to  R4V  there are now 829,708 Venezuelans living in Peru, mostly in Lima. 
</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</si>
  <si>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</si>
  <si>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Population (14,483,499) + 362,862 Venezuelans in Ecuador as of August 2020</t>
  </si>
  <si>
    <t>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t>
  </si>
  <si>
    <t xml:space="preserve">As of August 2020, 362,862 Venezuelans were estimated to be in Ecuador, many of whom were in need of food, health and nutrition assistance. </t>
  </si>
  <si>
    <t xml:space="preserve">The total population living in the most affected regions of the country are considered to be affected and in Level 1 need. The estimated number of Venezuelan migrant and refugees currently in Ecuador 362,862 and around 209,000 people from the host communites considered to be in need of assitance are placed in Level 3 </t>
  </si>
  <si>
    <t xml:space="preserve">Number of Venezuelans who have left their country. 3.3m left after 2015 when the economic crisis started spiralling down. Out of the total 4.9m people displaced, 3.9 are in Latin American and Carribean countries (September 2020). </t>
  </si>
  <si>
    <t xml:space="preserve">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t>
  </si>
  <si>
    <t>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</si>
  <si>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</si>
  <si>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 xml:space="preserve">An estimated 264,157 Venezuelans have sought protection in Brazil.  </t>
  </si>
  <si>
    <t xml:space="preserve">https://reliefweb.int/sites/reliefweb.int/files/resources/72301.pdf; https://r4v.info/es/situations/platform/location/7509; https://data2.unhcr.org/es/documents/details/72332; https://www.ibge.gov.br/cidades-e-estados/rr.html       </t>
  </si>
  <si>
    <t xml:space="preserve">PIN and level 3: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Level 2: Affected population minus the PIN . 
Level 1: Exposed population minus the affected population (incl level 2 and 3 humanitarian conditions). No one is considered to be in level 4 and 5.  </t>
  </si>
  <si>
    <t>Projections of the 2019 population of Costa Rica based on 2011 Census data estimate that the population is of 5,058,007 people. The calculations already take into account migration flows. However, since the influx of 77,000 Nicaraguans since April 2018 is out of the ordinary, this figure was added to the projection. Reliability is set as high as the figure also comes  close to the 2019 estimation of the World Bank (5,047,561).</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</si>
  <si>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</si>
  <si>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</si>
  <si>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https://reliefweb.int/report/costa-rica/covid-19-driving-nicaraguan-refugees-hunger-and-desperation</t>
  </si>
  <si>
    <t>Since the start of the Nicaraguan socio-economic crisis in April 2018 an estimated 81,000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</si>
  <si>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Between April 2018 and March 2020 81,000 Nicaraguan refugees and asylum seekers entered Costa Rica. Hosting community is not really impacted by the number of Nicaraguans  residing in Costa Rica today. The actual number of Nicaraguans in the country might be higher as some might not be included in the refugee registration process.</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</si>
  <si>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</si>
  <si>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</si>
  <si>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</si>
  <si>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 xml:space="preserve">Total estimated population of Nicaragua according to the World Bank minus available figures for Nicaraguans abroad since April 2018 (102,000). This figure is subtracted as it constitutes an exceptional dynamic compared to previous emigration trends from Nicaragua. </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</si>
  <si>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</si>
  <si>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</si>
  <si>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</si>
  <si>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</si>
  <si>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 xml:space="preserve">Total population of the country according to OCHA latest HNO 2020 </t>
  </si>
  <si>
    <t xml:space="preserve">Number of people afected by the different crisis (political instability, economic crisis, violence) in the country according to OCHA latest HNO </t>
  </si>
  <si>
    <t>https://www.internal-displacement.org/countries/haiti</t>
  </si>
  <si>
    <t xml:space="preserve">Number of people displaced in Haiti in 2019 by natural disasters, conflict and violence </t>
  </si>
  <si>
    <t>Crisis-related fatalities (gangs, protests, violence against civilians) in the past six months.</t>
  </si>
  <si>
    <t>http://www.ipcinfo.org/fileadmin/user_upload/ipcinfo/docs/IPC%20Haiti%20AcuteFoodSec%202020Aug2021June%20English%20Summary.pdf</t>
  </si>
  <si>
    <t>IPC figures for August 2020 - February 2021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Haiti is a complex crisis thus food insecurity is just one of many drivers. Still, IPC information allows to stratify the number of people in need,affected and exposed best.</t>
  </si>
  <si>
    <t xml:space="preserve">https://www.citypopulation.de/Sudan.html </t>
  </si>
  <si>
    <t>Total population baseline estimated by IPC.</t>
  </si>
  <si>
    <t>http://www.ipcinfo.org/ipc-country-analysis/population-tracking-tool/en/</t>
  </si>
  <si>
    <t>https://www.cia.gov/library/publications/the-world-factbook/attachments/summaries/BY-summary.pdf</t>
  </si>
  <si>
    <t xml:space="preserve">Total country landmass without water area.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</si>
  <si>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t>
  </si>
  <si>
    <t xml:space="preserve">VEN: 27,756,473 - OCHA figures based on government data (the latest census in 2011) using projections for 2018. Substracted number of Venezuelans who left the country since 2015 when the crisis began.
ECU: 4816633 - Population living in the cities of the most affected regions: Tulcan, Quito, Santiago de Guayaquil, Huaquillas and Lago Agrio  
BRA: 869,918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T&amp;T:1,389,858 local population + 60,000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</si>
  <si>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COL:https://www.humanitarianresponse.info/sites/www.humanitarianresponse.info/files/documents/files/hno_2020_colombia_esp.pdf; T&amp;T: https://data.worldbank.org/country/trinidad-and-tobago</t>
  </si>
  <si>
    <t>VEN: 27,756,473 - OCHA figures based on government data (the latest census in 2011) using projections for 2018. Substracted number of Venezuelans who left the country since 2015 when the crisis began.
ECU: 14,483,499 + 362,862 Venezuelans in Ecuador as of August 2020
BRA: 210,147,125 - 2018 population estimate, according to Brazilian government
COL: 48,300,000 -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+ 60,000 Venezuelan refugees</t>
  </si>
  <si>
    <t xml:space="preserve">VEN:https://data.humdata.org/dataset/venezuela-administrative-level-0-1-2-and-3-population-statistics-and-gazeteer;https://r4v.info/es/situations/platform; ECU:https://data2.unhcr.org/es/situations/platform/location/7512; BRA: https://www.reuters.com/article/us-venezuela-crisis-brazil/venezuelan-migrants-pose-humanitarian-problem-in-brazil-idUSKBN1E51KV; https://www.ibge.gov.br/cidades-e-estados/rr/boa-vista.html; COL: https://r4v.info/es/situations/platform/location/7511; https://r4v.info/en/documents/details/72254; PER:https://data2.unhcr.org/es/situations/platform/location/7416; https://reliefweb.int/sites/reliefweb.int/files/resources/72254.pdf
</t>
  </si>
  <si>
    <t xml:space="preserve">VEN: 27,756,473 - OCHA figures based on government data (the latest census in 2011) using projections for 2018. Substracted number of Venezuelans who left the country since 2015 when the crisis began.
ECU: 571,862 - 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
BRA: 663,370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2,824,883 - It includes Venezuelans with intention to stay (1,764,883) + Transit population (500,000) + Colombian returnees (500,000) + Host communities (60,000)
PER: 1,097,708 - Venezuelan refugees, migrants (861,049) + host communities estimated to be in need as per Regional Response Plan (268,000). Likely an underestimation given the added strain on education and health facilities in several parts of the country.
T&amp;T: 1,389,858 local population + 60,000 Venezuelan refugees (+ ? number of Cubans and other migrants) 
</t>
  </si>
  <si>
    <t xml:space="preserve">All Venezuelans who have left the country as of September 2020. </t>
  </si>
  <si>
    <t>VEN: http://elucabista.com/wp-content/uploads/2019/02/Presentacion-Encovi-2018-y-Plan-Pa%C3%ADs-Def.pdf; ECU: https://data2.unhcr.org/es/situations/platform/location/7512; BRA: https://reliefweb.int/sites/reliefweb.int/files/resources/72301.pdf; COL: https://r4v.info/es/situations/platform/location/7511; https://r4v.info/en/documents/details/72254; https://data.humdata.org/dataset/colombia-admin-level-4-boundaries; PER: https://reliefweb.int/sites/reliefweb.int/files/resources/72254.pdf; https://data2.unhcr.org/en/documents/download/72314;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</si>
  <si>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 https://data.humdata.org/dataset/proyeccion-de-poblacion-por-distrito-y-edad-de-peru;https://reliefweb.int/sites/reliefweb.int/files/resources/72254.pdf; https://data2.unhcr.org/en/documents/download/72314
T&amp;T: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</si>
  <si>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 xml:space="preserve">VEN: 14,323,578 The total population is affected by the crisis. This figure is reached by subtracting the PIN from the total population.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BRA: 399,213 Level 2: The affected poplation minus the PIN .
COL: 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TRI: 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</si>
  <si>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 xml:space="preserve">VEN: 14,323,578 - 51% of the population is considered to be 'structurally' poor based on a multidimension perspective which included living standards, employment and social protection, education, access to services and shelter conditions.
ECU: 575596 -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224,102 PIN and level 3: Figure represents the number of Venezuelan refugees and migrants currently in Brazil. A detailed breakdown of severity of need is not available. Needs have been reported in the areas of shelter and nutrition.
COL: 2730903 -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885000 -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60,000 - Venezuelan population in TT facing largely modrate humanitarian conditions.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</si>
  <si>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https://www.cia.gov/library/publications/the-world-factbook/attachments/summaries/WZ-summary.pdf</t>
  </si>
  <si>
    <t>https://www.cia.gov/library/publications/the-world-factbook/attachments/summaries/ZI-summary.pdf</t>
  </si>
  <si>
    <t>The total population of Eswatini, Namibia, Malawi, Zambia, Zimbabwe, Lesotho, Mozambique and Madagascar.</t>
  </si>
  <si>
    <t>The total landmass of Eswatini, Namibia, Malawi, Zambia, Zimbabwe, Lesotho, Mozambique and Madagascar.</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</si>
  <si>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</si>
  <si>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</si>
  <si>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</si>
  <si>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</si>
  <si>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Total reported number of houses damaged (likely an underestimate).</t>
  </si>
  <si>
    <t>Total reported number of houses destroyed (likely an underestimate).</t>
  </si>
  <si>
    <t xml:space="preserve">https://reliefweb.int/report/mozambique/escalating-conflict-mozambique-forces-hundreds-thousands-flee-amidst-worsening </t>
  </si>
  <si>
    <t>Total number of people displaced by Cabo delgado since the strat of the crisis in 2017 to date.</t>
  </si>
  <si>
    <t>https://www.unhcr.org/news/briefing/2020/2/5e3d2d8f4/fresh-violence-northern-mozambique-forces-thousands-flee.html; file:///C:/Users/ParomaRayaGHOSE/Downloads/Situation%20Report%20-%20Mozambique%20-%2010%20Sep%202020.pdf</t>
  </si>
  <si>
    <t xml:space="preserve">http://www.ipcinfo.org/fileadmin/user_upload/ipcinfo/docs/IPC_Mozambique_AcuteFoodInsecurity_urban_2020JuneSept_English.pdf </t>
  </si>
  <si>
    <t>PIN figures are the combination of IPC figures 1-3 according to ACAPS methodology. IPC 1-5 data is based off IPC projections for April-November 2020. However, this latest IPC report only tallies estimates for 2 provinces in the country (Cabo Delgado and Tete) or 7 districts (Ibo, and Namuno (CD); Chiuta, Magoe, Maravia, Cahora-Bassa, Mutara (TT)). The total population analysed in this report is 1,067,057, which is approx. 3.7% of the total population. The sample size is therefore very small. Moreover, in the methodology of the report, it states that there were major issues in the data collection because of COVID-19 (thereofre it was done virtually),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this month.</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</si>
  <si>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</si>
  <si>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</si>
  <si>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</si>
  <si>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</si>
  <si>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</si>
  <si>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 xml:space="preserve">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</si>
  <si>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</si>
  <si>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Overall calculation across the multiple crises in the country.</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</si>
  <si>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</si>
  <si>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</si>
  <si>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</si>
  <si>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</si>
  <si>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</si>
  <si>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https://www.cia.gov/library/publications/the-world-factbook/geos/ke.html</t>
  </si>
  <si>
    <t>https://data.worldbank.org/indicator/AG.LND.TOTL.K2?view=map</t>
  </si>
  <si>
    <t xml:space="preserve">Affected people calculated by summing the admin 1 values for people affected on p.28 of the 2020 HNO. The figure includes those displaced therefore the remaining 1,067,571 of the displaced is added </t>
  </si>
  <si>
    <t xml:space="preserve">Level 1 is displaced people minus population of people living in affected area. Level 3 is the displaced population. </t>
  </si>
  <si>
    <t>Eswatini</t>
  </si>
  <si>
    <t>North Macedonia</t>
  </si>
  <si>
    <t>Food Security Crisis in Eswatini</t>
  </si>
  <si>
    <t>NMK001</t>
  </si>
  <si>
    <t>HNO 2019, WorldPop 2018</t>
  </si>
  <si>
    <t>HNO 2020, HRP 2020, WorldPop 2019</t>
  </si>
  <si>
    <t>HNO 2020, HRP 2020, WorldPop 2020</t>
  </si>
  <si>
    <t>HNO 2020, HRP 2020, WorldPop 2021</t>
  </si>
  <si>
    <t>HNO 2020, HRP 2020, WorldPop 2022</t>
  </si>
  <si>
    <t>HNO 2020, HRP 2020, WorldPop 2023</t>
  </si>
  <si>
    <t>OCHA 29/06/2020</t>
  </si>
  <si>
    <t>Protection Cluster 30/08/2020; Govt of Philippines 2016</t>
  </si>
  <si>
    <t>Protection Cluster 30/08/2020; Govt of Philippines 2017</t>
  </si>
  <si>
    <t>Protection Cluster 30/08/2020; Govt of Philippines 2018</t>
  </si>
  <si>
    <t>Protection Cluster 30/08/2020; Govt of Philippines 2019</t>
  </si>
  <si>
    <t>Protection Cluster 30/08/2020; Govt of Philippines 2020</t>
  </si>
  <si>
    <t>OCHA HNO 30/03/2020</t>
  </si>
  <si>
    <t>UNHCR 03/2020; OCHA 10/09/2020; IPC June-September 2020</t>
  </si>
  <si>
    <t>OCHA 13/08/2020; IFRC 14/08/2020</t>
  </si>
  <si>
    <t xml:space="preserve">The combination of conflict (HNO data) and int. displacement numbers (UNHCR data). The figure includes both affected Iraqis and affected Syrian refugees. The number of vulnerable Iraqis in host communities affected by the Syria crisis has been subtracted from the figure of the population affected reported in the Syrian refugee crisis to avoid double counting. Vulnerable Iraqis should already be accounted for in the affected figure from the conflict crisis (taken from the 2020 HNO). </t>
  </si>
  <si>
    <t>https://reliefweb.int/sites/reliefweb.int/files/resources/afg_2019_humanitarian_needs_overview.pdf https://data.humdata.org/dataset/worldpop-afghanistan-population</t>
  </si>
  <si>
    <t>The figure is the sum of the population living in the affected areas (Manicaland, Mashonaland East, and Masvingo)</t>
  </si>
  <si>
    <t>https://reliefweb.int/sites/reliefweb.int/files/resources/rdc_hrp_revise_juin_2020_vf.pdf</t>
  </si>
  <si>
    <t xml:space="preserve">The PIN are broken down into 5 levels in the revised HRP. In order to remain consistent with GCSI severity level methodology, the percentage is applied to the affected population. The resulting PIN is 2.2M less than the PIN stated in the revised HRP. L3 = 31%, L4 = 12%, L5 = 1%.
</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</si>
  <si>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</si>
  <si>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</si>
  <si>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https://www.humanitarianresponse.info/sites/www.humanitarianresponse.info; https://www.humanitarianresponse.info/sites/www.humanitarianresponse.info/files/documents/files/jrp_2020_summary_2-pager_280220.pdf</t>
  </si>
  <si>
    <t xml:space="preserve">http://www.ipcinfo.org/fileadmin/user_upload/ipcinfo/docs/1_IPC_Djibouti_CFI_20182023.pdf; https://reliefweb.int/sites/reliefweb.int/files/resources/RB_EHGL_RefAs_190930.pdf </t>
  </si>
  <si>
    <t>Recalculation of Level 1 as People Exposed-(sum of levels 2,3,4,5)</t>
  </si>
  <si>
    <t xml:space="preserve">https://www.unhcr.org/news/briefing/2020/2/5e3d2d8f4/fresh-violence-northern-mozambique-forces-thousands-flee.html; file:///C:/Users/ParomaRayaGHOSE/Downloads/Situation%20Report%20-%20Mozambique%20-%2010%20Sep%202020.pdf; http://www.ipcinfo.org/fileadmin/user_upload/ipcinfo/docs/IPC_Mozambique_AcuteFoodInsecurity_urban_2020JuneSept_English.pdf </t>
  </si>
  <si>
    <t>All figures are a summation of both crises currently open for Mozambique</t>
  </si>
  <si>
    <t>All 18 states are flooded, so technically the entire population is exposed.</t>
  </si>
  <si>
    <t xml:space="preserve">There was a miscalculation or at typo in the previous month's sheet (August). I did not have time to find the new figures for this month, but I reviewed the calculations and this one was wrong. </t>
  </si>
  <si>
    <t>file:///C:/Users/Analyst.ACAPSPC13.000/Documents/ACLED/POCs%20July%202020.pdf; https://fscluster.org/sites/default/files/documents/cadre_harmonise_march_2020_results_-_presentation_to_cameroon_government.pdf</t>
  </si>
  <si>
    <t>Level 1 includes the population of the affected 384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</si>
  <si>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There was a miscalculation in the original entry for this for the month of August.</t>
  </si>
  <si>
    <t xml:space="preserve"> IDMC 2020</t>
  </si>
  <si>
    <t>CIMP 10/2020</t>
  </si>
  <si>
    <t>EOC Yemen 10/2020</t>
  </si>
  <si>
    <t>ACLED 10/2020; EOC Yemen 10/2020; IOM 10/2020</t>
  </si>
  <si>
    <t xml:space="preserve">3.63 million displaced since March 2015 </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</si>
  <si>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</si>
  <si>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</si>
  <si>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</si>
  <si>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</si>
  <si>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</si>
  <si>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</si>
  <si>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</si>
  <si>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Myanmar National Census 2014,  HNO 2020</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</si>
  <si>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</si>
  <si>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</si>
  <si>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</si>
  <si>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</si>
  <si>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</si>
  <si>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</si>
  <si>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ACLED 27/10/2020; IOM 08/09/2020</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</si>
  <si>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</si>
  <si>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 xml:space="preserve">All casualties in previous 6 months (27 April 2020-27 October 2020).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</si>
  <si>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OCHA HNO 10/2019; UNHCR 31/08/2020; OCHA 27/10/2020</t>
  </si>
  <si>
    <t>ACLED 01/04/2020 - 30/09/2020</t>
  </si>
  <si>
    <t>https://www.humanitarianresponse.info/sites/www.humanitarianresponse.info/files/documents/files/ocha_car_11102019_hno_fr_0.pdf; https://data2.unhcr.org/en/situations/car/location/399; https://www.humanitarianresponse.info/sites/www.humanitarianresponse.info/files/documents/files/ocha_carte_deplacement_en_october_2020_vf.pdf</t>
  </si>
  <si>
    <t>OCHA HNO 20/10/2020</t>
  </si>
  <si>
    <t>https://www.humanitarianresponse.info/sites/www.humanitarianresponse.info/files/documents/files/hno_car_2021_final_fr.pdf</t>
  </si>
  <si>
    <t>Figure represents sum of IDPs (641,292 UNHCR) + returnees until 2019 (355,000 OCHA HNO) + CAR refugees abroad (622,000 UNHCR) + returnees jan-spe2020 (104,000 OCHA)</t>
  </si>
  <si>
    <t>Conflict-related fatalities April'20 - September'20. Fatalities eported include civilians, armed groups and peace keepers. Given the dynamic of the crisis, the number is likely to not be respresentative of the situation on the ground as many fatalities go unreported.</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</si>
  <si>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</si>
  <si>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Government of Bangladesh 2011; UNHCR 08/2019; JRP 28/02/2020; UNHCR 30/09/2020</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</si>
  <si>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t>
  </si>
  <si>
    <t>2011 Census data + 861,545 Rohingya refugees as of 30 September 2020</t>
  </si>
  <si>
    <t>Joint Needs Assessment 31/05/2020; UN RC Bangladesh 01/06/2020; BDRC 22/05/2020; Statoids 2020; Government of Bangladesh 2011; JRP 28/02/2020; ISCG MSNA 30/09/2019; REACH-UNHCR 26/01/2020; ACAPS 20/12/2020; NAWG 03/08/2020</t>
  </si>
  <si>
    <t>UN RC Bangladesh 01/06/2020; JRP 02/2020; UNHCR 06/2020; NAWG 03/08/2020</t>
  </si>
  <si>
    <t>Joint Needs Assessment 31/05/2020; ACLED 28/10/2020; NAWG 03/08/2020</t>
  </si>
  <si>
    <t>https://www.humanitarianresponse.info/sites/www.humanitarianresponse.info/files/documents/files/cyclone_amphan_joint_needs_assessment_final_draft_31052020.pdf; https://acleddata.com/data-export-tool/ https://www.humanitarianresponse.info/sites/www.humanitarianresponse.info/files/documents/files/nawg_monsoon_flood_preliminary_impact_and_kin_20200802_final.pdf</t>
  </si>
  <si>
    <t>Total fatalities caused by Cyclone Amphan (26), conflict-related fatalities in Cox's Bazar (4) and flooding (41) in the last 6 months 28 April - 28 October).  It is likely there are premature deaths related to the refugee camp conditions, especially related to health access, sanitation, or safety. However, it is challenging to verify this number. Thus, only 'conflict related' fatalities are considered.</t>
  </si>
  <si>
    <t>JRP 02/2020; UNHCR 30/09/2020</t>
  </si>
  <si>
    <t>ACLED 28/10/2020</t>
  </si>
  <si>
    <t>https://www.humanitarianresponse.info/sites/www.humanitarianresponse.info/files/documents/files/jrp_2020_summary_2-pager_280220.pdf; https://data2.unhcr.org/en/documents/details/79611</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</si>
  <si>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</si>
  <si>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Total amount of people living in Teknaf and Uknia Upazilia (471,768), in addition to Rohingya refugees (861,545) that are all living in the affected area. </t>
  </si>
  <si>
    <t>This includes host community (471,768), in addition to Rohingya refugees (861,545)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</si>
  <si>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30 September 2020. The publication of the 2020 JRP saw a significant decrease in number of registered refugees. This is likely to be related to new registration procedures by UNHCR in late 2019-early 2020.</t>
  </si>
  <si>
    <t>All fatalities in Cox's Bazar in the last 6 months (28 April - 28 October). Only conflict related. It is likely there are premature deaths related to the refugee camp conditions, especially related to health access, sanitation, or safety. However, it is challenging to verify this number. Thus, only 'conflict related' fatalities are considered.</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</si>
  <si>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The decrease was from approximately 915,000 to 861,545.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</si>
  <si>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Statoids 2015; UN News 21/05/2020; Ministry of Home Affairs, Disaster Management Division 26/10/2020</t>
  </si>
  <si>
    <t>ECHO 25/05/2020; Ministry of Home Affairs, Disaster Management Division 26/10/2020</t>
  </si>
  <si>
    <t>ACLED 28/10/2020; ECHO 25/05/2020; Ministry of Home Affairs, Disaster Management Division 26/10/2020</t>
  </si>
  <si>
    <t>Statoids 2015; ECHO 25/05/2020; UN News 21/05/2020; GoI 2011; Ministry of Home Affairs, Disaster Management Division 26/10/2020</t>
  </si>
  <si>
    <t>http://www.statoids.com/yin.html; https://news.un.org/en/story/2020/05/1064712; https://reliefweb.int/report/india/ministry-home-affairs-disaster-management-division-national-emergency-response-115</t>
  </si>
  <si>
    <t>https://erccportal.jrc.ec.europa.eu/ercmaps/ECDM_20200525_India_TC-AMPHAN.pdf; http://sdmassam.nic.in/reports.html ; https://reliefweb.int/report/india/ministry-home-affairs-disaster-management-division-national-emergency-response-115</t>
  </si>
  <si>
    <t>https://www.acleddata.com/data/; https://erccportal.jrc.ec.europa.eu/ercmaps/ECDM_20200525_India_TC-AMPHAN.pdf; http://sdmassam.nic.in/reports.html ; https://reliefweb.int/report/india/ministry-home-affairs-disaster-management-division-national-emergency-response-115</t>
  </si>
  <si>
    <t>https://erccportal.jrc.ec.europa.eu/ercmaps/ECDM_20200525_India_TC-AMPHAN.pdf; http://www.statoids.com/yin.html; https://news.un.org/en/story/2020/05/1064712; https://www.census2011.co.in/states.php; https://reliefweb.int/report/india/ministry-home-affairs-disaster-management-division-national-emergency-response-116</t>
  </si>
  <si>
    <t>https://erccportal.jrc.ec.europa.eu/ercmaps/ECDM_20200525_India_TC-AMPHAN.pdf; http://www.statoids.com/yin.html; https://news.un.org/en/story/2020/05/1064712; https://www.census2011.co.in/states.php; https://reliefweb.int/report/india/ministry-home-affairs-disaster-management-division-national-emergency-response-117</t>
  </si>
  <si>
    <t>https://erccportal.jrc.ec.europa.eu/ercmaps/ECDM_20200525_India_TC-AMPHAN.pdf; http://www.statoids.com/yin.html; https://news.un.org/en/story/2020/05/1064712; https://www.census2011.co.in/states.php; https://reliefweb.int/report/india/ministry-home-affairs-disaster-management-division-national-emergency-response-118</t>
  </si>
  <si>
    <t>https://erccportal.jrc.ec.europa.eu/ercmaps/ECDM_20200525_India_TC-AMPHAN.pdf; http://www.statoids.com/yin.html; https://news.un.org/en/story/2020/05/1064712; https://www.census2011.co.in/states.php; https://reliefweb.int/report/india/ministry-home-affairs-disaster-management-division-national-emergency-response-119</t>
  </si>
  <si>
    <t>https://erccportal.jrc.ec.europa.eu/ercmaps/ECDM_20200525_India_TC-AMPHAN.pdf; http://www.statoids.com/yin.html; https://news.un.org/en/story/2020/05/1064712; https://www.census2011.co.in/states.php; https://reliefweb.int/report/india/ministry-home-affairs-disaster-management-division-national-emergency-response-120</t>
  </si>
  <si>
    <t>Seven districts were particularly affected by Cyclone Amphan: South 24 Paraganas, North 24 Paraganas, East Medinipur, West Medinipur, Howrah, Hooghly and Kolkata, these districts were also affected by the flooding. To avoid double counting a total of 392 districts were included. In addition, for the conflict in Kashmir, the entire geographic area of Jammu and Kashmir is considered affected.</t>
  </si>
  <si>
    <t>Seven districts were particularly affected by Cyclone Amphan: South 24 Paraganas, North 24 Paraganas, East Medinipur, West Medinipur, Howrah, Hooghly and Kolkata, these districts were also affected by the flooding. To avoid double counting a total of 392 districts were included. In addition, for the conflict in Kashmir, the entire population of Jammu and Kashmir is considered affected.</t>
  </si>
  <si>
    <t xml:space="preserve">Over 392 districts across India were affected by flooding, these states also include those affected by Cyclone Amphan. Due to a lack of reliable data, the number of affected by the Kashmir conflict was not included. </t>
  </si>
  <si>
    <t xml:space="preserve">Approximately 660,000 people were evacuated from West Bengal and Odisha as a result of the Cyclone. As of late June 2020, they are all believed to be in evacuation centres still and it is unclear whether these same people were also affected by flooding and displaced a second time. The number of people in evacuation centres as a result of flooding is over 1.1. million as of 26/10.  The total may be an overestimate which is the result of double counting. Regarding the conflict in Kashmir, the number of displaced is unclear.  </t>
  </si>
  <si>
    <t xml:space="preserve">Jammu and Kashmir from 28 April - 28 October 2020. Likely an underestimate since reporting is now extremely restricted in the region (since the August 2019 communications blackout and additional restrictions on movement and information flow to and from the region). Also includes the 86 fatalities caused by Cyclone Amphan, and fatalities caused by floods. </t>
  </si>
  <si>
    <t>Level 1 includes all those exposed to the various crises. Levels 2-5 consider Cyclone Amphan and flooding. Level 2 includes the affected population of 392 districts which also includes the 7 which were the most affected by Cyclone Amphan minus those that were displaced in both crises. Level 3 includes all those displaced by Cyclone Amphan and flooding. The PIN is all those considered to be displaced by the cyclone and flooding. In this case, 660,000 and over 1.1 million people respectively were evacuated and are currently sheltering in evacuation centres. There is currently no one considered to be on levels 4 or 5 - though this will be evaluated as information becomes available.</t>
  </si>
  <si>
    <t xml:space="preserve">Jammu and Kashmir from 28 April - 28 October 2020. Likely an underestimate since reporting is now extremely restricted in the region (since the August 2019 communications blackout and additional restrictions on movement and information flow to and from the region). </t>
  </si>
  <si>
    <t>GoI 2011, India Population 2018: City Population 2011</t>
  </si>
  <si>
    <t>Ministry of Home Affairs, Disaster Management Division 26/10/2020</t>
  </si>
  <si>
    <t>https://reliefweb.int/report/india/ministry-home-affairs-disaster-management-division-national-emergency-response-115</t>
  </si>
  <si>
    <t xml:space="preserve">The sum of area of the 392 affected districts. Based on the 2011 Indian census. This information is likely outdated. Some states did not have a breakdown of the districts affected, in which case the total area for that state was used. </t>
  </si>
  <si>
    <t xml:space="preserve">The sum of population of the 392 affected districts. Based on the 2011 Indian census. This information is likely outdated. Some states did not have a breakdown of the districts affected, in which case the number of people in the whole state was used. </t>
  </si>
  <si>
    <t>The official death toll according to the Disaster Management Division asa result of flooding and landslides as of 26/10/2020</t>
  </si>
  <si>
    <t>Level 1 includes the population of the affected 392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</si>
  <si>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 xml:space="preserve">Total number of fatalities (Papua conflict) in the last six months (28 April - 28 October 2020). Numbers include all reported fatalities from Papua and West Papua. </t>
  </si>
  <si>
    <t>UNHCR 01/03/2020, Europa EU 21/10/2019; UNHCR 08/2020</t>
  </si>
  <si>
    <t>https://reporting.unhcr.org/sites/default/files/UNHCR%20Iran%20Fact%20Sheet%20-%20Jan-Mar%202020.pdf; http://ec.europa.eu/echo/printpdf/4437_en; https://reliefweb.int/sites/reliefweb.int/files/resources/IRN%20Population%20movement%20snapshot%202020%2020200914.pdf</t>
  </si>
  <si>
    <t>ACLED 28/10/2020; OCHA 23/01/2020; NDMA Pakistan 30/09/2020</t>
  </si>
  <si>
    <t>All conflict-related fatalities (391) in the last six months (28 April - 28 October 2020)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</si>
  <si>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All conflict-related fatalities (354) in the last six months (28 April - 28 October 2020)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Additionally, deaths caused by flooding (409) as of 30 September 2020 with heavy rain hitting the country since late July.</t>
  </si>
  <si>
    <t>All conflict-related fatalities in Azad Kashmir in the last six months (28 April - 28 October 2020) as counted by ACLED. Information gaps and access constraints make it very likely that not all casualties are being counted</t>
  </si>
  <si>
    <t>Total fatalities in the Philippines due to conflict in Mindanao (Bangsmoro, Caraga, Davao, Northern Mindanao, Soccskargen, Zamboanga Peninsula) in the last 6 months (28 April - 28 October 2020). The 23 deaths caused by the Mindanao Earthquake are no longer included because they do not fall within the 6 month period.</t>
  </si>
  <si>
    <t>Conflict fatalities in Mindanao (Bangsmoro, Caraga, Davao, Northern Mindanao, Soccskargen, Zamboanga Peninsula) in the last 6 months (28 April - 28 October).</t>
  </si>
  <si>
    <t>Government of Thailand 2010; UNHCR 09/10/2020; UN Thailand Migration Report 2019</t>
  </si>
  <si>
    <t>https://data2.unhcr.org/en/situations/thailand; https://www.citypopulation.de/php/thailand-admin.php; https://reliefweb.int/sites/reliefweb.int/files/resources/76174.pdf, https://www.theborderconsortium.org/media/119470/2018-12-december-map-tbc-unhcr.pdf</t>
  </si>
  <si>
    <t>Government of Thailand 2010; UNHCR 09/10/2020; Border Consortium 31/12/2018</t>
  </si>
  <si>
    <t>UNHCR 09/10/2020</t>
  </si>
  <si>
    <t>Deep South Watch 09/10/2020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</si>
  <si>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</si>
  <si>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</si>
  <si>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</si>
  <si>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Number of people killed as part of the conflict registered by the Deep South Watch organisation in last 6 months (April - September 2020 - October is not yet available). They are unlikely linked to deaths related to the refugee crisis along the Myanmar border.</t>
  </si>
  <si>
    <t>Number of people killed as part of the conflict registered by the Deep South Watch organisation in last 6 months (April to September 2020 - October is not yet available). They are unlikely linked to deaths related to the refugee crisis along the Myanmar border.</t>
  </si>
  <si>
    <t>UNHCR 09/10/2020; UN Thailand Migration Report 2019</t>
  </si>
  <si>
    <t>UNHCR 09/10/2020UNHCR 09/10/2020; UN Thailand Migration Report 2020</t>
  </si>
  <si>
    <t>UNHCR 09/10/2020; UN Thailand Migration Report 2020</t>
  </si>
  <si>
    <t>UNHCR 09/10/2020UNHCR 09/10/2020; UN Thailand Migration Report 2021</t>
  </si>
  <si>
    <t>UNHCR 09/10/2020; UN Thailand Migration Report 2021</t>
  </si>
  <si>
    <t>IDMC 31/12/2019; IOM 18/07/2020; UNHCR 14/02/2020; WHO 07/2020; OCHA 17/10/2020</t>
  </si>
  <si>
    <t>https://afghanistan.iom.int/pakistan-returns; https://www.internal-displacement.org/countries/afghanistan; https://data2.unhcr.org/en/country/pak; https://reliefweb.int/sites/reliefweb.int/files/resources/iom_afghanistan-return_of_undocumented_afghans-_situation_report_12-18_july_2020.pdf; https://reliefweb.int/sites/reliefweb.int/files/resources/situation-report-july2020-afg.pdf; https://reliefweb.int/sites/reliefweb.int/files/resources/afghanistan_humanitarian_weekly_25_october.pdf</t>
  </si>
  <si>
    <t>IDPs (natural disaster and conflict): 2,993,000 (IDMC 2020). Returnees from 1 January 2020 to 18 October 2020: 666950 from Iran, 6140 from Pakistan and 3190 from other countries.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(1,422,673). Does not consider refugees and asylum seekers in other countries because it is difficult to determine whether they fall within the 10 year period of inclusion.</t>
  </si>
  <si>
    <t>OCHA 31/08/2020; JRP 02/2020; CCCM 09/2019; UNHCR 12/2019; OCHA 04/10/2020; OCHA 2020</t>
  </si>
  <si>
    <t>https://reliefweb.int/sites/reliefweb.int/files/resources/MMR_Kachin_IDP_Site_A0_August_2020.pdf; https://reliefweb.int/sites/reliefweb.int/files/resources/MMR_northernShan_IDP_Site_A0_August_2020.pdf; 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t>
  </si>
  <si>
    <t>Total number of IDPs in Kachin and Shan as of August 2020 (105,315). Rohingya in Bangladesh (860,356) according to the 2020 Joint Response Plan, Rohingya in Malaysia (101,530) according to UNHCR, IDPs in Rakhine in camp settings since 2012 (126,000) and other IDPs in Rakhine and Chin (97,477). Since January 2020, there has been a 50% increase in displacement due to conflict escalation. This is an estimate with limited reliability given that access restrictions make it difficult to assess exact numbers and scale of displacement.</t>
  </si>
  <si>
    <t>Combined fatalities in Rakhine, Kachin, Shan, and Chin states overall in last 6 months (28 April - 28 October 2020). Likely an underestimate given restrictions in information and access, particularly in Rakhine state.</t>
  </si>
  <si>
    <t>JRP 02/2020; CCCM 09/2019; UNHCR 12/2019; OCHA 04/10/2020; OCHA 2020; UNHCR 06/2020</t>
  </si>
  <si>
    <t>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 https://reliefweb.int/sites/reliefweb.int/files/resources/78231.pdf</t>
  </si>
  <si>
    <t>Rohingya in Bangladesh (861,545) according to the 2020 Joint Response Plan, Rohingya in Malaysia (101,530) according to UNHCR, IDPs in Rakhine in camp settings since 2012 (126,000) and other IDPs in Rakhine and Chin (97,477).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</si>
  <si>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Myanmar National Census 2014 / HNO 2020</t>
  </si>
  <si>
    <t>OCHA 31/08/2020</t>
  </si>
  <si>
    <t>https://reliefweb.int/sites/reliefweb.int/files/resources/MMR_Kachin_IDP_Site_A0_August_2020.pdf; https://reliefweb.int/sites/reliefweb.int/files/resources/MMR_northernShan_IDP_Site_A0_August_2020.pdf</t>
  </si>
  <si>
    <t>ACLED data for fatalities in Kachin and Shan states in last 6 months (28 April - 28 October 2020). Information gaps and limited access due to insecurity are barriers to data collection - this is likely an underestimate.</t>
  </si>
  <si>
    <t>Total number of IDPs in Kachin (95,561) and Shan (9,754) as of 31 August 2020. This is an estimate with limited reliability given that access restrictions make it difficult to assess exact numbers and scale of displacement.</t>
  </si>
  <si>
    <t>ACLED data for fatalities in Rakhine and Chin states in last 6 month (28 April - 28 October 2020). Given the Myanmar government's restrictions surrounding the crisis, it is possible that not all casualties will be picked up by sources used by ACLED (i.e. government or media). This could be an underestimate.</t>
  </si>
  <si>
    <t>Worldbank 2017; UNHCR 09/10/2020</t>
  </si>
  <si>
    <t>https://data.worldbank.org/indicator/sp.pop.totl?page=2; https://www.unhcr.org/figures-at-a-glance-in-malaysia.html; https://reliefweb.int/sites/reliefweb.int/files/resources/78231.pdf; https://data2.unhcr.org/en/situations/thailand</t>
  </si>
  <si>
    <t>Worldbank population figure (53.3 million), minus 861,545 Rohingyas in Bangladesh, 153,430 MMR refugees in Malaysia, 91,777 MMR refugees in Thailand).</t>
  </si>
  <si>
    <t>Worldbank 2017; UNHCR 08/2019; Government of Bangladesh 2011; UNHCR 08/2019</t>
  </si>
  <si>
    <t>Myanmar National Census 2014; OCHA HNO 2020; Government of Bangladesh 2011; JRP 02/2020; UNHCR 06/2020</t>
  </si>
  <si>
    <t>Joint Needs Assessment 31/05/2020; ACLED 28/10/2020</t>
  </si>
  <si>
    <t>Myanmar National Census 2014; OCHA HNO 2020; Government of Bangladesh 2011; JRP 28/02/2020; ISCG MSNA 30/09/2019; REACH-UNHCR 26/01/2020; ACAPS 20/12/2019; UNHCR 30/09/2020</t>
  </si>
  <si>
    <t>Myanmar Worldbank population figure (53.3 million), minus 861,545 Rohingyas in Bangladesh, 153,430 MMR refugees in Malaysia, 91,777 MMR refugees in Thailand). Bangladesh population according to 2011 Census data (142.3 million)</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</si>
  <si>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(861,545) that are all living in the affected area. </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</si>
  <si>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(861,545)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</si>
  <si>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Rohingya in Bangladesh (861,545), Rohingya in Malaysia (153,430), Rohingya IDPs in Rakhine since 2012 (126,000) and recent displacement in Rakhine and Chin (97,477).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</si>
  <si>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All fatalities in Rakhine state and in Cox's Bazar in the last 6 months (28 April - 28 October 2020)</t>
  </si>
  <si>
    <t>All fatalities in Myanmar (Rakhine and Kachin and Shan states) and Bangladesh (Cox's Bazar, Cyclone Amphan and flooding) in the last 6 months (28 April - 28 October 2020)</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</si>
  <si>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population.There is no one considered to be in Level 5 severity.</t>
  </si>
  <si>
    <t>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 https://data2.unhcr.org/en/documents/details/79611</t>
  </si>
  <si>
    <t>ACLED 28/10/2020; ECHO 25/05/2020; OCHA 23/01/2020; Ministry of Home Affairs, Disaster Management Division 26/10/2020</t>
  </si>
  <si>
    <t xml:space="preserve">Casualties in last 6 month (28 April - 28 October). 37 in Pakistan and 271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</si>
  <si>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Casualties in last 6 months (28 April - 28 October). Pakistan: 800 total crisis related fatalities due to conflict and natural disasters. India; 2019 fatalities due to conflict in Jammu and Kashmir, Cyclone Amphan and flooding countrywide.</t>
  </si>
  <si>
    <t>https://www.acleddata.com/data/; https://erccportal.jrc.ec.europa.eu/ercmaps/ECDM_20200525_India_TC-AMPHAN.pdf; https://reliefweb.int/report/pakistan/pakistan-winter-emergency-2020-situation-report-no-04-21-23-january-2020; https://reliefweb.int/report/india/ministry-home-affairs-disaster-management-division-national-emergency-response-115</t>
  </si>
  <si>
    <t>Armenia, Azerbaijan</t>
  </si>
  <si>
    <t>Conflict in Nagorno-Karabakh</t>
  </si>
  <si>
    <t>Multiple crises in Burkina Faso</t>
  </si>
  <si>
    <t>REG013</t>
  </si>
  <si>
    <t>BFA004</t>
  </si>
  <si>
    <t>COG004</t>
  </si>
  <si>
    <t>ARM, AZE</t>
  </si>
  <si>
    <t>UNRWA 10/2020</t>
  </si>
  <si>
    <t>OCHA 05/2020 - 10/2020</t>
  </si>
  <si>
    <t>CH 08/2020; UNHCR 30/09/2020</t>
  </si>
  <si>
    <t>City population, UNHCR 30/09/2020</t>
  </si>
  <si>
    <t>UNHCR 30/09/2020, City Population</t>
  </si>
  <si>
    <t xml:space="preserve">UNHCR 14/10/2020; JRP 2020; UNRWA 03/02/2020; LCRP 2020 update; UNRWA 27/02/2020; BBC 11/09/2018, Pew Research Center 29/01/2018; </t>
  </si>
  <si>
    <t>ACLED May-October 2020</t>
  </si>
  <si>
    <t>OCHA 11/2019; UNHCR 30/09/2020; UNHCR 24/03/2020; UNHCR 22/12/2019</t>
  </si>
  <si>
    <t>IOM DTM 30/08/2020; UNHCR 18/06/2020; IOM Migration Data Portal 2020; UNHCR 31/05/2020</t>
  </si>
  <si>
    <t>OCHA 11/2019; UNHCR and WFP 2018; UNHCR and IMPACT 2019; UNHCR 30/09/2020</t>
  </si>
  <si>
    <t>IOM DTM 31/08/2020; UNHCR30/09/2020; IOM Migration Data Portal 2020</t>
  </si>
  <si>
    <t>UNFPA 2018; UNHCR 2014; UNHCR 30/09/2020</t>
  </si>
  <si>
    <t>UNHCR 30/09/2020; UNHCR 24/03/2020; UNHCR 22/12/2019</t>
  </si>
  <si>
    <t>UNHCR and WFP 2018; UNHCR and IMPACT 2019; UNHCR 30/09/2020</t>
  </si>
  <si>
    <t xml:space="preserve">ACLED May-October  2020 /  IOM May-October 2020 </t>
  </si>
  <si>
    <t>IOM May-October 2020</t>
  </si>
  <si>
    <t>ACLED May-Oct. 2020</t>
  </si>
  <si>
    <t>CARE, ESCWA, UN Women 28/10/2020; ACLED May-Oct. 2020</t>
  </si>
  <si>
    <t>VASyR 2019
UNHCR 30/09/2020
UNRWA 27/02/2020
UNRWA/AUB 2015
OCHA 25/08/2020</t>
  </si>
  <si>
    <t>CARE, ESCWA, UN Women 28/10/2020</t>
  </si>
  <si>
    <t>https://www.unrwa.org/what-we-do/relief-and-social-services/unrwa-registered-population-dashboard</t>
  </si>
  <si>
    <t>https://reliefweb.int/sites/reliefweb.int/files/resources/Rapid%20Gender%20Analysis_August%202020%20Beirut%20Port%20Explosion_October2020.pdf
https://www.acleddata.com/data/</t>
  </si>
  <si>
    <t>https://reliefweb.int/sites/reliefweb.int/files/resources/Rapid%20Gender%20Analysis_August%202020%20Beirut%20Port%20Explosion_October2020.pdf</t>
  </si>
  <si>
    <t xml:space="preserve">Total registered persons (including 5,685,711 registered refugees) in Jordan, Lebanon, Syria, West Bank and Gaza Strip + 679,537 Palestinian persons of concern receiving UNRWA assistance </t>
  </si>
  <si>
    <t>Total number of fatalities resulting directly from conflict in the last six months (Palestinians), reporting period from May to October</t>
  </si>
  <si>
    <t>People in IPC Cadre Harmonisé level 2, refugees and asylum seekers are considered to be affected</t>
  </si>
  <si>
    <t>The whole Syrian refugee population and part of the hosting population residing in the area is affected by the crisis as Syrian refugees strain local services and put additional pressure on the job markets etc. About 60% of Syrian refugees in Iraq live in non-camp/urban areas, with around 40% living in camps. 207,458 members of the host community have been identified as "impacted" by the refugee crisis and in need of humanitarian assistance based on poverty levels in districts hosting more than 1,000 refugees, as calculated by OCHA.  There is lack of information on PRS in Iraq.</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</si>
  <si>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</si>
  <si>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IOM Missing Migrants May-Oct 2020</t>
  </si>
  <si>
    <t>IOM Missing Migrants May-Oct. 2020: ACLED May-Oct. 2020</t>
  </si>
  <si>
    <t>xx</t>
  </si>
  <si>
    <t>OCHA 05/06/2020; UNHCR 31/08/2020; OCHA 23/09/2020</t>
  </si>
  <si>
    <t>ACLED 01/04/2020-30/09/2020; Fasozine 22/10/2020</t>
  </si>
  <si>
    <t>Sidwaya 22/09/2020</t>
  </si>
  <si>
    <t>OCHA 05/06/2020; Sidwaya 22/09/2020</t>
  </si>
  <si>
    <t>http://www.insd.bf/n/contenu/Tableaux/T0316.htm</t>
  </si>
  <si>
    <t>https://www.humanitarianresponse.info/sites/www.humanitarianresponse.info/files/documents/files/bfa_hno_2020_04062020_web.pdf; https://data2.unhcr.org/en/country/bfa; https://reliefweb.int/sites/reliefweb.int/files/resources/West%20and%20Central%20Africa%20-%20Flooding%20Situation%20As%20of%2023%20October%202020.pdf</t>
  </si>
  <si>
    <t>https://data.humdata.org/dataset/acled-data-for-burkina-faso; http://www.fasozine.com/actualite/societe/8867-inondations-au-burkina-41-deces-112-blesses-106-000-personnes-sinistrees.html</t>
  </si>
  <si>
    <t>https://www.sidwaya.info/blog/2020/09/22/inondations-au-burkina-faso-plus-de-50-000-personnes-a-assister-durgence/</t>
  </si>
  <si>
    <t>https://www.humanitarianresponse.info/sites/www.humanitarianresponse.info/files/documents/files/bfa_hno_2020_04062020_web.pdf; https://www.sidwaya.info/blog/2020/09/22/inondations-au-burkina-faso-plus-de-50-000-personnes-a-assister-durgence/</t>
  </si>
  <si>
    <t>Whole country is affected by floods</t>
  </si>
  <si>
    <t>Sum of people affected by conflict and floods, some double counting might occur for people affected by both conflicts</t>
  </si>
  <si>
    <t>No data available, however, health infrastructure and services have been impacted by the conflict</t>
  </si>
  <si>
    <t>No data available but injuries reported during attacks on civilians</t>
  </si>
  <si>
    <t>All casualties in the Boucle du Mouhoun, Centre-Nord, Est, Nord and Sahel in the last 6 months (01 April 20 - 30 September 20) + Deaths according to 22/09 government update</t>
  </si>
  <si>
    <t>Houses destroyed according to 22/09 government update</t>
  </si>
  <si>
    <t>Sum of PIN and needs levels from the Conflict and the Floods. Some double counting may occur for people affected by both crises. For more infromation, read justifictation in each crisis</t>
  </si>
  <si>
    <t xml:space="preserve">Refugees, returnees, IDP, host and non host are affected by the conflict </t>
  </si>
  <si>
    <t>ACLED 01/04/2020-30/09/2020</t>
  </si>
  <si>
    <t>All casualties in the Boucle du Mouhoun, Centre-Nord, Est, Nord and Sahel in the last 6 months (01 April 20 - 30 September 20)</t>
  </si>
  <si>
    <t>OCHA 23/09/2020</t>
  </si>
  <si>
    <t>https://reliefweb.int/sites/reliefweb.int/files/resources/West%20and%20Central%20Africa%20-%20Flooding%20Situation%20As%20of%2023%20October%202020.pdf</t>
  </si>
  <si>
    <t>Number of affected as of 23/09 according to OCHA</t>
  </si>
  <si>
    <t>Fasozine 22/10/2020</t>
  </si>
  <si>
    <t>http://www.fasozine.com/actualite/societe/8867-inondations-au-burkina-41-deces-112-blesses-106-000-personnes-sinistrees.html</t>
  </si>
  <si>
    <t>Injuries according to 22/09 government update</t>
  </si>
  <si>
    <t>Deaths according to 22/09 government update</t>
  </si>
  <si>
    <t>According to government update from 22/09, 50,000 people are in urgent need of help. There are no indications on the needs of the rest of the affected population, potential differences in severity in those 50,000. Therefore all 50,000 are considered L3</t>
  </si>
  <si>
    <t>OCHA 01/2020; UNHCR 30/09/2020</t>
  </si>
  <si>
    <t>ACLED 01/04/2020 - 30/09/2020; IOM 01/09/2020</t>
  </si>
  <si>
    <t xml:space="preserve">Number of casualties across Chad between April-September 2020. Figure is likely an under-estimation, as violent incidents often go unreported </t>
  </si>
  <si>
    <t>Number of casualties across Chad between April-September 2020. Figure is likely an under-estimation, as violent incidents often go unreported  + Number of deaths from floods in August according to IOM press release. More recent data not available</t>
  </si>
  <si>
    <t>Number of reported fatalities between April-September 2020 in Ennedi Est, Wadi Fira, Ouaddai and Sila.</t>
  </si>
  <si>
    <t>ACLED 01/04/2020-31/09/2020</t>
  </si>
  <si>
    <t xml:space="preserve">Total number of fatilities recorded by ACLED in Lac region, April - September 2020. Figure is likely an under-estimation, as violent incidents often go unreported.  </t>
  </si>
  <si>
    <t>ACLED 01/04/2020 - 31/09/2020</t>
  </si>
  <si>
    <t xml:space="preserve">Number of casualties in Tibesti region between April - September 2020. This figure is almost certainly an underestimation, due to attacks that go unreported, and the fact that very little information is available about the Tibesti conflict. </t>
  </si>
  <si>
    <t>WFP 23/10/2020; OCHA 10/09/2020; City Population</t>
  </si>
  <si>
    <t>https://reliefweb.int/sites/reliefweb.int/files/resources/WFP%20COUNTRY%20CHAD%20SEPTEMBER%202020.pdf; https://www.humanitarianresponse.info/sites/www.humanitarianresponse.info/files/documents/files/tcd_map_inondationszonesaffectees_a4p_20200906.pdf; http://www.citypopulation.de/en/chad/</t>
  </si>
  <si>
    <t>All provinces except for the 4 most northern ones (Tibesti, Borkou, Ennedi-Ouest and Ennedi-Est) have been affected by floods</t>
  </si>
  <si>
    <t>WFP 23/10/2020; OCHA 10/09/2020; OCHA 01/2020</t>
  </si>
  <si>
    <t>https://reliefweb.int/sites/reliefweb.int/files/resources/WFP%20COUNTRY%20CHAD%20SEPTEMBER%202020.pdf; https://www.humanitarianresponse.info/sites/www.humanitarianresponse.info/files/documents/files/tcd_map_inondationszonesaffectees_a4p_20200906.pdf; https://www.humanitarianresponse.info/sites/www.humanitarianresponse.info/files/documents/files/tcd_str_hno2020_20200210.pdf</t>
  </si>
  <si>
    <t>OCHA 02/10/2020</t>
  </si>
  <si>
    <t>https://www.unocha.org/story/daily-noon-briefing-highlights-chad-opt</t>
  </si>
  <si>
    <t>Number of people affected according to OCHA</t>
  </si>
  <si>
    <t>https://www.humanitarianresponse.info/sites/www.humanitarianresponse.info/files/documents/files/dou_20201002.pdf</t>
  </si>
  <si>
    <t>According to OCHA 02/10, 46,000 households "are in urgent need of food, WASH, NFIs and livelihoods"</t>
  </si>
  <si>
    <t>UNHCR 12/10/2020</t>
  </si>
  <si>
    <t>https://data2.unhcr.org/en/documents/download/79530</t>
  </si>
  <si>
    <t>ACLED 01/04/2020-30/09/2020; ACLED 01/04/2020-30/09/2020; OCHA 24/09/2020</t>
  </si>
  <si>
    <t>Figure represents the number of fatalities across Niger (April-September), according to ACLED. The daya may not reflect the reality on the ground, as attacks often go unreported + People killed by floods according to 24/09 OCHA SitRep</t>
  </si>
  <si>
    <t>OCHA 06/08/2020; UNHCR 12/10/2020</t>
  </si>
  <si>
    <t>https://www.humanitarianresponse.info/sites/www.humanitarianresponse.info/files/documents/files/06082020_ner_hrp_rev_2020.pdf; https://data2.unhcr.org/en/documents/download/79530</t>
  </si>
  <si>
    <t xml:space="preserve">Figure represents the number of fatalities in Diffa region (April-September), according to ACLED. The data may not reflect the reality on the ground, as attacks often go unreported. The increase in fatalities relative to last month can be attributed to an increase in violence, as well as an updated way of counting fatalities using ACLED data. </t>
  </si>
  <si>
    <t>OCHA 01/ 2020; UNHCR 12/10/2020</t>
  </si>
  <si>
    <t>https://reliefweb.int/report/niger/niger-aper-u-des-besoins-humanitaires-2020-janvier-2021; https://data2.unhcr.org/en/documents/download/79530</t>
  </si>
  <si>
    <t xml:space="preserve">Figure represents the number of fatalities in Taouha and Tillaberi (April-September),  according to ACLED. The data may not reflect the reality on the ground, as attacks often go unreported. The increase in fatalities relative to last month can be attributed to an increase in violence, as well as an updated way of counting fatalities using ACLED data. </t>
  </si>
  <si>
    <t>OCHA 01/2020; UNHCR 12/10/2020</t>
  </si>
  <si>
    <t>https://reliefweb.int/sites/reliefweb.int/files/resources/13012020_ner_hno_2020.pdf; https://data2.unhcr.org/en/documents/download/79535</t>
  </si>
  <si>
    <t>No available data on the number of fatalities related to food security.</t>
  </si>
  <si>
    <t>The total sum of levels 1-5 of humanitarian needs, as stated in the IPC projections.</t>
  </si>
  <si>
    <t>The total sum of levels 2-5 humanitarian needs, as stated in the IPC projections.</t>
  </si>
  <si>
    <t xml:space="preserve">Levels 1 to 5 of humanitarian needs are presented as stated in the IPC projections. </t>
  </si>
  <si>
    <t>No available data on the number of fatalities related to drought.</t>
  </si>
  <si>
    <t>https://data.worldbank.org/country/TZ</t>
  </si>
  <si>
    <t xml:space="preserve">Total population in the country based on the de facto definition of population. </t>
  </si>
  <si>
    <t xml:space="preserve">The sum of levels 2-5 of humanitarian needs. Level 3 is the number of people displaced. </t>
  </si>
  <si>
    <t xml:space="preserve">The sum of levels 1-5 of humanitarian needs. Level 3 is the number of people displaced. </t>
  </si>
  <si>
    <t>UNHCR 30/09/2020; National Statistics Office 2016</t>
  </si>
  <si>
    <t>https://data2.unhcr.org/en/country/tza; https://www.nbs.go.tz/nbs/takwimu/census2012/Tanzania_Total_Population_by_District-Regions-2016_2017r.pdf</t>
  </si>
  <si>
    <t xml:space="preserve">Total number of refugees and asylum seekers. </t>
  </si>
  <si>
    <t>Level 3 is the number of people displaced.</t>
  </si>
  <si>
    <t>Level 1 is the number of people living in the affected area minus the number of people displaced.</t>
  </si>
  <si>
    <t>The total sum of levels 1-5 humanitarian needs, as stated in the IPC projections.</t>
  </si>
  <si>
    <t>IPC 09/2020</t>
  </si>
  <si>
    <t>ACLED 24/10/2020</t>
  </si>
  <si>
    <t>This is the sum of fatalities related to political violence and protest events recorded in Malawi between May to October 2020.</t>
  </si>
  <si>
    <t xml:space="preserve">Number of people displaced due to floods. </t>
  </si>
  <si>
    <t>ACLED 24/10/2020; SADC 31/01/2020</t>
  </si>
  <si>
    <t xml:space="preserve">The sum of fatalities reported in the country between May and October 2020  plus the SADC report's figure. </t>
  </si>
  <si>
    <t>The fatalities reported in the country between May and October 2020</t>
  </si>
  <si>
    <t>No available data on the number of fatalities related to the crisis.</t>
  </si>
  <si>
    <t xml:space="preserve">The sum of refugees from DRC, Burundi and other countries. </t>
  </si>
  <si>
    <t>No one is considered to be in severity levels 2, 4 and 5.</t>
  </si>
  <si>
    <t>Level 1 includes the total population in  districts hosting refugees (OCHA based on 2012 Census) minus the people on level 3 of humanitarian needs.</t>
  </si>
  <si>
    <t>https://data2.unhcr.org/en/documents/details/77055</t>
  </si>
  <si>
    <t>https://data2.unhcr.org/en/documents/details/77056</t>
  </si>
  <si>
    <t>https://data2.unhcr.org/en/documents/details/77057</t>
  </si>
  <si>
    <t>https://data2.unhcr.org/en/documents/details/77058</t>
  </si>
  <si>
    <t>https://data2.unhcr.org/en/documents/details/77054</t>
  </si>
  <si>
    <t>https://data2.unhcr.org/en/documents/details/79632; https://displacement.iom.int/system/tdf/reports/DTM_Burundi_Dashboard_September_2020.pdf?file=1&amp;type=node&amp;id=9966</t>
  </si>
  <si>
    <t>UNHCR 30/09/2020; IOM DTM 09/2020</t>
  </si>
  <si>
    <t>The number of fatalities related to political violence and protest events recorded in Burundi between May to October 2020.</t>
  </si>
  <si>
    <t xml:space="preserve"> number of fatalities related to political violence and protest events recorded in Zimbabwe between May to October 2020.</t>
  </si>
  <si>
    <t>Zimbabwe Humanitarian Response Plan 03/2020</t>
  </si>
  <si>
    <t>https://reliefweb.int/sites/reliefweb.int/files/resources/Zimbabwe_HumanitarianResponsePlan_2020.pdf</t>
  </si>
  <si>
    <t xml:space="preserve">The crisis affects the whole territory of the country. The whole population is exposed. </t>
  </si>
  <si>
    <t>The total sum of levels 2-5 of humanitarian needs</t>
  </si>
  <si>
    <t>The sum of fatalities related to political violence and protest events plus the fatalities related to malaria.</t>
  </si>
  <si>
    <t>ACLED 24/10/2020; UNICEF 18/08/2020</t>
  </si>
  <si>
    <t>https://acleddata.com/data-export-tool/; https://reliefweb.int/sites/reliefweb.int/files/resources/UNICEF%20Zimbabwe%20Humanitarian%20Situation%20Report%20-%20Mid-year%202020_0.pdf</t>
  </si>
  <si>
    <t xml:space="preserve">Level 1 is the number of people exposed to the crisis. </t>
  </si>
  <si>
    <t xml:space="preserve">Levels 3 to 5 are presented as stated in the HRP. Level 3 represents the PIN as there is not a severity analysis. </t>
  </si>
  <si>
    <t>No one is considered to be in severity level 2.</t>
  </si>
  <si>
    <t>OCHA 02/2019, UNHCR 08/2019, OCHA ROSEA 10/2019</t>
  </si>
  <si>
    <t>UNICEF 18/08/2020</t>
  </si>
  <si>
    <t>Zimbabwe 2017 ICDS; OCHA 04/06/2020; UNICEF 18/08/2020</t>
  </si>
  <si>
    <t>https://reliefweb.int/report/zimbabwe/unicef-zimbabwe-humanitarian-situation-report-mid-year-2020</t>
  </si>
  <si>
    <t xml:space="preserve">Level 1 is assumed to be the total population of all 3 affected areas minus the number of affected persons. </t>
  </si>
  <si>
    <t>https://reliefweb.int/report/zimbabwe/unicef-zimbabwe-humanitarian-situation-report-mid-year-2021</t>
  </si>
  <si>
    <t>https://reliefweb.int/report/zimbabwe/unicef-zimbabwe-humanitarian-situation-report-mid-year-2022</t>
  </si>
  <si>
    <t>https://reliefweb.int/report/zimbabwe/unicef-zimbabwe-humanitarian-situation-report-mid-year-2023</t>
  </si>
  <si>
    <t>The total sum of levels 2-5 of humanitarian needs.</t>
  </si>
  <si>
    <t>The number of reported cases of malaria from 1 January to 7 June 2020.</t>
  </si>
  <si>
    <t>The number of fatalities recorded in the malaria outbreak from 1 January to 7 June 2020.</t>
  </si>
  <si>
    <t>Level 3 is the number of infected cases.</t>
  </si>
  <si>
    <t>Total fatalities reported by ACLED for all 4 crises between May to October 2020.</t>
  </si>
  <si>
    <t>Total fatalities reported by ACLED in the Far North region between May to October 2020.</t>
  </si>
  <si>
    <t>Total fatalities reported by ACLED in the Northwest and Southwest regions between May to October 2020.</t>
  </si>
  <si>
    <t>Cadre Harmonise (Harmonised Framework) 12/2019 for June to August 2020 Projections</t>
  </si>
  <si>
    <t>UNHCR 07/10/2020</t>
  </si>
  <si>
    <t>https://data2.unhcr.org/en/documents/details/79470</t>
  </si>
  <si>
    <t>https://data2.unhcr.org/en/documents/details/79470; http://www.fao.org/emergencies/resources/maps/detail/en/c/1253495/</t>
  </si>
  <si>
    <t>UNHCR 07/10/2020; UNHCR 30/09/2020; UNHCR 17/09/2020</t>
  </si>
  <si>
    <t>https://data2.unhcr.org/en/documents/details/79470; https://data2.unhcr.org/en/country/cmr; https://data2.unhcr.org/en/documents/details/79026</t>
  </si>
  <si>
    <t>The sum of IDPs and refugees displaced by the  Boko Haram insurgency in the Far North.</t>
  </si>
  <si>
    <t>UNHCR 30/09/2020; UNHCR 30/09/2020; UNHCR 22/10/2020</t>
  </si>
  <si>
    <t>https://data2.unhcr.org/en/country/nga; https://data2.unhcr.org/en/country/cmr; https://data2.unhcr.org/en/documents/details/82508</t>
  </si>
  <si>
    <t>UNHCR 30/09/2020; UNHCR 30/09/2020; UNHCR 22/10/2020; UNHCR 07/10/2020; UNHCR 30/09/2020; UNHCR 17/09/2020</t>
  </si>
  <si>
    <t>https://data2.unhcr.org/en/country/nga; https://data2.unhcr.org/en/country/cmr; https://data2.unhcr.org/en/documents/details/82508; https://data2.unhcr.org/en/documents/details/79470; https://data2.unhcr.org/en/country/cmr; https://data2.unhcr.org/en/documents/details/79026</t>
  </si>
  <si>
    <t>https://fscluster.org/sites/default/files/documents/fiche_communication_cmr_oct_2019_eng.pdf; https://data2.unhcr.org/en/documents/details/79470</t>
  </si>
  <si>
    <t>Total number of people displaced due to the three crises.</t>
  </si>
  <si>
    <t>The sum of levels 1-5 of humanitarian needs. Level 3 is the number of people displaced.</t>
  </si>
  <si>
    <t>The sum of levels 2-5 of humanitarian needs. Level 3 is the number of people displaced.</t>
  </si>
  <si>
    <t xml:space="preserve">Level 1 is the number of people exposed (populations of Adamaoua &amp; Est) minus CAR refugees. </t>
  </si>
  <si>
    <t xml:space="preserve">No available data on fatalities related to this crisis. </t>
  </si>
  <si>
    <t>CFR 28/10/2020</t>
  </si>
  <si>
    <t>Total number of people killed in the country in the last six months (16 May to 30 September 2020) due to the Boko Haram conflict, farmer-herder violence, riots, military forces, unidentified armed groups and other violence in country.</t>
  </si>
  <si>
    <t xml:space="preserve">Total number of people killed in the affected areas (Sokoto, Kebbi, Niger, Kaduna, Katsina and Zamfara states) in the last six months (16 May to 30 September 2020) due to banditry attacks. </t>
  </si>
  <si>
    <t>The total number of people exposed to drought and food insecurity across southern Africa.</t>
  </si>
  <si>
    <t>The total number of people affected to drought and food insecurity across southern Africa.</t>
  </si>
  <si>
    <t>The total number of fatalities in the countries that are affected by the crisis in the last six months.</t>
  </si>
  <si>
    <t>PIN figures and levels 1 to 5 are a combination of figures for all 8 affected countries.</t>
  </si>
  <si>
    <t>PIN figures and levels 1 to 5 are a combination of figures for all 4 affected countries.</t>
  </si>
  <si>
    <t>The number of the total population of all countries affected by the Boko Haram crisis (Cameroon, Chad, Niger and Cameroon).</t>
  </si>
  <si>
    <t>The total number of people exposed to the Boko Haram crisis in all 4 countries.</t>
  </si>
  <si>
    <t>The total number of people affected to the Boko Haram crisis in all 4 countries.</t>
  </si>
  <si>
    <t>The total number of IDPs and refugees displaced due to the Boko Haram crisis in all 4 countries.</t>
  </si>
  <si>
    <t>The total number of fatalities related to the crisis in the last six months.</t>
  </si>
  <si>
    <t>IOM Missing migrants May-October 2020</t>
  </si>
  <si>
    <t>IOM Missing Migrants Project May-October 2020</t>
  </si>
  <si>
    <t>Floods in central Vietnam</t>
  </si>
  <si>
    <t>VNM002</t>
  </si>
  <si>
    <t xml:space="preserve">Figure represents the number of fatalities in Maradi (April-September), according to ACLED. The data may not reflect the reality on the ground, as attacks often go unreported. Many of the recorded attakcs involve unknown armed groups, similar to those who have caused displacement in Nigeria. </t>
  </si>
  <si>
    <t>The whole country was affected. More precise data is not available</t>
  </si>
  <si>
    <t>Nagorno-Karabakh Conflict in Armenia</t>
  </si>
  <si>
    <t>ARM002</t>
  </si>
  <si>
    <t>Nagorno-Karabakh Conflict</t>
  </si>
  <si>
    <t>Regional conflict</t>
  </si>
  <si>
    <t>Nagorno-Karabakh conflict in Azerbaijan</t>
  </si>
  <si>
    <t>AZE002</t>
  </si>
  <si>
    <t>Conflcit</t>
  </si>
  <si>
    <t>Population of Armenia according to World Bank</t>
  </si>
  <si>
    <t>https://data.worldbank.org/country/AM</t>
  </si>
  <si>
    <t>While cities in Armenia-proper have not experienced shelling, the entire country is currently under marshal law and reservists have been mobilised. Spontaneous arrivals have been reported in Goris and Yerevan.</t>
  </si>
  <si>
    <t>OHCHR 02/11/2020; Council of Europe</t>
  </si>
  <si>
    <t>https://www.ohchr.org/EN/NewsEvents/Pages/DisplayNews.aspx?NewsID=26464&amp;LangID=E; https://pjp-eu.coe.int/comus/goris-armenia.html</t>
  </si>
  <si>
    <t>OHCHR 02/11/2020</t>
  </si>
  <si>
    <t>https://www.ohchr.org/EN/NewsEvents/Pages/DisplayNews.aspx?NewsID=26464&amp;LangID=E</t>
  </si>
  <si>
    <t>People killed within the internationally-recognized Armenian borders</t>
  </si>
  <si>
    <t>Information on the severity of needs is not available</t>
  </si>
  <si>
    <t>Host, non-host and IDPs have been affected by the conflict</t>
  </si>
  <si>
    <t>State Statistical Committee of the Republic of Azerbaijan; OHCHR 02/11/2020</t>
  </si>
  <si>
    <t>https://www.stat.gov.az/source/demoqraphy/ap/?lang=en</t>
  </si>
  <si>
    <t>Population within the international recognized borders of Azerbaijan minus displacements from Nagorno-Karabakh to Armenia</t>
  </si>
  <si>
    <t>State Statistical Committee of the Republic of Azerbaijan</t>
  </si>
  <si>
    <t>People displaced according to the Azeri authorities.</t>
  </si>
  <si>
    <t xml:space="preserve">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 </t>
  </si>
  <si>
    <t>Exposed population is considered affected due to shelling on population movements</t>
  </si>
  <si>
    <t>Regions affected:  	Ganja-Qazakh, Kalbajar-Lachin, Upper Karabakh. Districts/cities affected: Mingachevir, Yevlakh District, Yevlakh, Barda District, Aghjabadi District, Beylagan District</t>
  </si>
  <si>
    <t>State Statistical Committee of the Republic of Azerbaijan; OHCHR 02/11/2020; World Bank 2019</t>
  </si>
  <si>
    <t>https://www.stat.gov.az/source/demoqraphy/ap/?lang=en; https://www.ohchr.org/EN/NewsEvents/Pages/DisplayNews.aspx?NewsID=26464&amp;LangID=E; https://data.worldbank.org/country/AM</t>
  </si>
  <si>
    <t>Population of Armenia, Nagorno-Karabakh and surrounding Azeri regions</t>
  </si>
  <si>
    <t>People displaced according to Armenian and Azeri authorities.</t>
  </si>
  <si>
    <t>Civilian fatalities reported by Armenian and Azeri authorities</t>
  </si>
  <si>
    <t>World Bank 2019; UNHCR 30/08/2020; UNHCR 31/07/2020</t>
  </si>
  <si>
    <t>5,380,508 population estimate for 2019 + 20,700 refugees from CAR + 20,687 refugees from DRC</t>
  </si>
  <si>
    <t>Area of Likouala Department</t>
  </si>
  <si>
    <t>Population living in Likouala</t>
  </si>
  <si>
    <t>Journal de Brazza 04/11/2020</t>
  </si>
  <si>
    <t>https://www.journaldebrazza.com/congo-inondations-etat-durgence-humanitaire-decrete-dans-le-nord/</t>
  </si>
  <si>
    <t>People affected by the floods as of 04/11</t>
  </si>
  <si>
    <t>No information on the number of displaced by floods</t>
  </si>
  <si>
    <t>No reliable information on flood-related fatalities</t>
  </si>
  <si>
    <t>Journal de Brazza 04/11/2020; WFP 16/10/2020; FAO 24/09/2020; FAO 29/09/2020; WFP 20/10/2020</t>
  </si>
  <si>
    <t>https://www.journaldebrazza.com/congo-inondations-etat-durgence-humanitaire-decrete-dans-le-nord/; https://reliefweb.int/sites/reliefweb.int/files/resources/WFP%20RoC%20Country%20Brief%20-%20Sep%202020.pdf; https://twitter.com/FAOCongo/status/1309152963731095552; https://twitter.com/FAOCongo/status/1310882607786323968; https://twitter.com/PamCongo/status/1318500752516677634</t>
  </si>
  <si>
    <t>No specfic information on the number of people in need. The affected population is considered in need due to the potential for multi-sectoral needs to develop due to loss of crops, diseases, standing water</t>
  </si>
  <si>
    <t>IDPs, Returnees, Host, Non-Host</t>
  </si>
  <si>
    <t>OCHA 30/12/2019; UNHCR 30/09/2020; UNHCR 30/08/2020; OCHA 29/06/2020</t>
  </si>
  <si>
    <t>Council of Europe; Armstat</t>
  </si>
  <si>
    <t>https://pjp-eu.coe.int/comus/goris-armenia.html; https://www.armstat.am/file/Map/MARZ_01.pdf</t>
  </si>
  <si>
    <t>Spontaneous arrivals have been reported in Goris and Yerevan. Affected area may increasse if the confict spills over the Nagorno-Karabakh borders</t>
  </si>
  <si>
    <t>OHCHR 02/11/2020; Armstat 01/07/2020</t>
  </si>
  <si>
    <t>Population displaced + populations of Goris and Yerevan where spontaenous arrivals have been reported</t>
  </si>
  <si>
    <t>Population displaced + populations of Goris and Yerevan where spontaenous arrivals have been reported. All of the exposed population is considered affected</t>
  </si>
  <si>
    <t>Council of Europe; Armstat; State Statistical Committee of the Republic of Azerbaijan</t>
  </si>
  <si>
    <t>https://pjp-eu.coe.int/comus/goris-armenia.html; https://www.armstat.am/file/Map/MARZ_01.pdf; https://www.stat.gov.az/source/demoqraphy/ap/?lang=en</t>
  </si>
  <si>
    <t>Spontaneous arrivals have been reported in Goris and Yerevan. Affected area may increasse if the confict spills over the Nagorno-Karabakh borders. The following areas are affected in Azerbaijan: Regions:  Ganja-Qazakh, Kalbajar-Lachin, Upper Karabakh. Districts/cities: Mingachevir, Yevlakh District, Yevlakh, Barda District, Aghjabadi District, Beylagan District</t>
  </si>
  <si>
    <t>OHCHR 02/11/2020; Armstat 01/07/2020; State Statistical Committee of the Republic of Azerbaijan</t>
  </si>
  <si>
    <t>https://www.ohchr.org/EN/NewsEvents/Pages/DisplayNews.aspx?NewsID=26464&amp;LangID=E; https://www.armstat.am/file/article/nasel_01.07.2020.pdf; https://www.stat.gov.az/source/demoqraphy/ap/?lang=en</t>
  </si>
  <si>
    <t>Due to more granular data not being available, all of the exposed population is considered affected</t>
  </si>
  <si>
    <t>IOM April-September 2020</t>
  </si>
  <si>
    <t>People who are registered to have died or missing in Greece in the IOM missing persons database in the last 6 months (April-September)</t>
  </si>
  <si>
    <t>UNHCR 14/10/2020; UNHCR 02/10/2020</t>
  </si>
  <si>
    <t>IOM April-September '20; ACLED April-September 2020</t>
  </si>
  <si>
    <t>UNHCR 14/10/2020; UNHCR 02/10/2020; WFP 30/06/2020</t>
  </si>
  <si>
    <t>UNHCR 14/10/2020; WFP 30/06/2020</t>
  </si>
  <si>
    <t>UNHCR 14/10/2020</t>
  </si>
  <si>
    <t>IOM April-September '20</t>
  </si>
  <si>
    <t xml:space="preserve">Figure represents the number of fatalities and missing among migrants in Turkey during the past 6 months (April-September '20), according to IOM's Missing Migrant Database. The true number of fatalities may be higher as a result of unreported incidents. </t>
  </si>
  <si>
    <t>ACLED April-September 2020</t>
  </si>
  <si>
    <t xml:space="preserve">Figure represents the number of fatalities from the Kurdish conflict during the past 6 months (April-September '20) as recorded by ACLED. Includes both combatants and civilians. As a result of the  nature of the conflict and the data available, it is not possible to reliably distinguish combatants and civilians from one another. </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</si>
  <si>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</si>
  <si>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</si>
  <si>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</si>
  <si>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</si>
  <si>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</si>
  <si>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</si>
  <si>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</si>
  <si>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</si>
  <si>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</si>
  <si>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</si>
  <si>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People reported dead or missing according to 31/10/2020 UNCT Reponse Plan.</t>
  </si>
  <si>
    <t>Flooded, damaged or destroyed houses according to 31/10/2020 UNCT Response Plan</t>
  </si>
  <si>
    <t>PIN figure not available, number of people targetted by response plan used instead. There is no data to suggest that L4 and L5 needs are present</t>
  </si>
  <si>
    <t>Host and non-host populations are affected, no data to indicate that other groups are present in the area</t>
  </si>
  <si>
    <t>Protection Cluster Factsheet 22/10/2020</t>
  </si>
  <si>
    <t>https://www.humanitarianresponse.info/sites/www.humanitarianresponse.info/files/documents/files/2020_09_protection_cluster_factsheet_eng.pdf</t>
  </si>
  <si>
    <t>All conflict fatalities in Donetsk and Luhansk oblasts in ast 6 months (April-September). September Luhansk wildfire casualties were not included</t>
  </si>
  <si>
    <t>R4V 05/10/2020</t>
  </si>
  <si>
    <t xml:space="preserve">https://acleddata.com/data-export-tool/ </t>
  </si>
  <si>
    <t>ACLED 04/11/2020</t>
  </si>
  <si>
    <t>Total number of fatalities reported in the country in the last six months due to all the combined crises.</t>
  </si>
  <si>
    <t>ACLED 04/11/2021</t>
  </si>
  <si>
    <t>ACLED 04/11/2022</t>
  </si>
  <si>
    <t>ACLED 04/11/2023</t>
  </si>
  <si>
    <t>ACLED 04/11/2024</t>
  </si>
  <si>
    <t>ACLED 04/11/2025</t>
  </si>
  <si>
    <t>ACLED 04/11/2026</t>
  </si>
  <si>
    <t>ACLED 04/11/2027</t>
  </si>
  <si>
    <t>ACLED 04/11/2028</t>
  </si>
  <si>
    <t>Reported numbers and information in general is hard to come by for Eritrea and usually not reliable.</t>
  </si>
  <si>
    <t>This number is likely to increase in the coming weeks given the escalation of violence in the country in the last few days. Total number of fatalities reported in the country in the last six months due to all the combined crises.</t>
  </si>
  <si>
    <t>Numbers from Mozambique are unreliable given that most of the violence is concentrated in Cabo Delgado, under insurgent rule since 2017, where humanitarian organisations are not able currently to deliver much aid or access populations in need, and where both government forces and insurgents report constrasting numbers and deny humanitarian needs. Total number of fatalities reported in the country in the last six months due to all the combined crises.</t>
  </si>
  <si>
    <t>UN News 01/10/2020; UNOCHA Situation Report 08/10/2020</t>
  </si>
  <si>
    <t>https://news.un.org/en/story/2020/10/1074512; https://reliefweb.int/report/sudan/sudan-situation-report-8-oct-2020-enar</t>
  </si>
  <si>
    <t xml:space="preserve">Total number of fatalities reported in the country in the last six months due to the flooding crisis as of October 13 2020. The numbers have not changed since in humanitarian reporting. </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</si>
  <si>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</si>
  <si>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</si>
  <si>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</si>
  <si>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REG13</t>
  </si>
  <si>
    <t>October 2020</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</si>
  <si>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</si>
  <si>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</si>
  <si>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</si>
  <si>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</si>
  <si>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</si>
  <si>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</si>
  <si>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</si>
  <si>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</si>
  <si>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</si>
  <si>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</si>
  <si>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</si>
  <si>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</si>
  <si>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</si>
  <si>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</si>
  <si>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</si>
  <si>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</si>
  <si>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</si>
  <si>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</si>
  <si>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</si>
  <si>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</si>
  <si>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</si>
  <si>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</si>
  <si>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</si>
  <si>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</si>
  <si>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</si>
  <si>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</si>
  <si>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</si>
  <si>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</si>
  <si>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</si>
  <si>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</si>
  <si>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</si>
  <si>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</si>
  <si>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</si>
  <si>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</si>
  <si>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</si>
  <si>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</si>
  <si>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</si>
  <si>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</si>
  <si>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</si>
  <si>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</si>
  <si>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</si>
  <si>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</si>
  <si>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</si>
  <si>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</si>
  <si>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</si>
  <si>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</si>
  <si>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</si>
  <si>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</si>
  <si>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</si>
  <si>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</si>
  <si>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</si>
  <si>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</si>
  <si>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</si>
  <si>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</si>
  <si>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</si>
  <si>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</si>
  <si>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</si>
  <si>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</si>
  <si>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</si>
  <si>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</si>
  <si>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</si>
  <si>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</si>
  <si>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</si>
  <si>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</si>
  <si>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</si>
  <si>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</si>
  <si>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</si>
  <si>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</si>
  <si>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</si>
  <si>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</si>
  <si>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</si>
  <si>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</si>
  <si>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</si>
  <si>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</si>
  <si>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</si>
  <si>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</si>
  <si>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</si>
  <si>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</si>
  <si>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</si>
  <si>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</si>
  <si>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</si>
  <si>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</si>
  <si>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</si>
  <si>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</si>
  <si>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</si>
  <si>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</si>
  <si>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</si>
  <si>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</si>
  <si>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</si>
  <si>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</si>
  <si>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</si>
  <si>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</si>
  <si>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</si>
  <si>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</si>
  <si>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</si>
  <si>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</si>
  <si>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</si>
  <si>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</si>
  <si>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</si>
  <si>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</si>
  <si>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</si>
  <si>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</si>
  <si>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</si>
  <si>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</si>
  <si>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</si>
  <si>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</si>
  <si>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</si>
  <si>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</si>
  <si>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</si>
  <si>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</si>
  <si>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</si>
  <si>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</si>
  <si>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</si>
  <si>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</si>
  <si>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</si>
  <si>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</si>
  <si>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</si>
  <si>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</si>
  <si>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</si>
  <si>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</si>
  <si>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</si>
  <si>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</si>
  <si>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 xml:space="preserve">DZA004Presence of mines and improvised explosive devices </t>
  </si>
  <si>
    <t>DZA004Physical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</si>
  <si>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</si>
  <si>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</si>
  <si>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</si>
  <si>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</si>
  <si>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</si>
  <si>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</si>
  <si>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</si>
  <si>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</si>
  <si>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</si>
  <si>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</si>
  <si>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</si>
  <si>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</si>
  <si>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</si>
  <si>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</si>
  <si>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</si>
  <si>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</si>
  <si>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</si>
  <si>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</si>
  <si>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</si>
  <si>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</si>
  <si>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</si>
  <si>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</si>
  <si>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</si>
  <si>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</si>
  <si>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</si>
  <si>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</si>
  <si>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</si>
  <si>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</si>
  <si>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</si>
  <si>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</si>
  <si>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</si>
  <si>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</si>
  <si>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</si>
  <si>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</si>
  <si>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</si>
  <si>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</si>
  <si>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</si>
  <si>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</si>
  <si>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</si>
  <si>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</si>
  <si>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</si>
  <si>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</si>
  <si>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</si>
  <si>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</si>
  <si>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</si>
  <si>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</si>
  <si>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</si>
  <si>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</si>
  <si>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</si>
  <si>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</si>
  <si>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</si>
  <si>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</si>
  <si>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</si>
  <si>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</si>
  <si>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</si>
  <si>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</si>
  <si>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</si>
  <si>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</si>
  <si>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</si>
  <si>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</si>
  <si>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</si>
  <si>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</si>
  <si>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</si>
  <si>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</si>
  <si>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</si>
  <si>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</si>
  <si>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</si>
  <si>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</si>
  <si>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</si>
  <si>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</si>
  <si>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</si>
  <si>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</si>
  <si>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</si>
  <si>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</si>
  <si>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</si>
  <si>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</si>
  <si>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</si>
  <si>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</si>
  <si>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</si>
  <si>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</si>
  <si>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</si>
  <si>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</si>
  <si>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</si>
  <si>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</si>
  <si>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</si>
  <si>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</si>
  <si>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</si>
  <si>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</si>
  <si>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</si>
  <si>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</si>
  <si>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</si>
  <si>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 xml:space="preserve">ARM002Presence of mines and improvised explosive devices </t>
  </si>
  <si>
    <t>ARM002Physical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</si>
  <si>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</si>
  <si>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</si>
  <si>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</si>
  <si>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</si>
  <si>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</si>
  <si>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</si>
  <si>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</si>
  <si>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</si>
  <si>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</si>
  <si>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</si>
  <si>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</si>
  <si>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</si>
  <si>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</si>
  <si>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</si>
  <si>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</si>
  <si>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</si>
  <si>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</si>
  <si>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</si>
  <si>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</si>
  <si>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</si>
  <si>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</si>
  <si>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</si>
  <si>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</si>
  <si>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</si>
  <si>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</si>
  <si>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</si>
  <si>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</si>
  <si>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</si>
  <si>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</si>
  <si>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 xml:space="preserve">REG013Presence of mines and improvised explosive devices </t>
  </si>
  <si>
    <t>REG013Physical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</si>
  <si>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</si>
  <si>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</si>
  <si>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</si>
  <si>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</si>
  <si>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</si>
  <si>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</si>
  <si>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</si>
  <si>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</si>
  <si>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</si>
  <si>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</si>
  <si>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</si>
  <si>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</si>
  <si>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</si>
  <si>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</si>
  <si>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</si>
  <si>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</si>
  <si>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</si>
  <si>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</si>
  <si>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</si>
  <si>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</si>
  <si>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</si>
  <si>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</si>
  <si>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</si>
  <si>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</si>
  <si>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</si>
  <si>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</si>
  <si>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</si>
  <si>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</si>
  <si>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</si>
  <si>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 xml:space="preserve">AZE002Presence of mines and improvised explosive devices </t>
  </si>
  <si>
    <t>AZE002Physical constraints in the environment (obstacles related to terrain, climate, lack of infrastructure, etc.)</t>
  </si>
  <si>
    <t>BGD001Total population</t>
  </si>
  <si>
    <t>BGD001Landmass affected</t>
  </si>
  <si>
    <t>BGD001People exposed</t>
  </si>
  <si>
    <t>BGD001People affected</t>
  </si>
  <si>
    <t>BGD001People displaced</t>
  </si>
  <si>
    <t>BGD001Injuries reported</t>
  </si>
  <si>
    <t>BGD001Illness cases reported</t>
  </si>
  <si>
    <t>BGD001Fatalities reported</t>
  </si>
  <si>
    <t>BGD001Buildings damaged</t>
  </si>
  <si>
    <t>BGD001Buildings destroyed</t>
  </si>
  <si>
    <t>BGD001Buildings in the affected area</t>
  </si>
  <si>
    <t>BGD001Economic Losses</t>
  </si>
  <si>
    <t>BGD001People in Need</t>
  </si>
  <si>
    <t>BGD001Minimal humanitarian conditions - Level 1</t>
  </si>
  <si>
    <t>BGD001Stressed humanitarian conditions - Level 2</t>
  </si>
  <si>
    <t>BGD001Moderate humanitarian conditions - Level 3</t>
  </si>
  <si>
    <t>BGD001Severe humanitarian conditions - Level 4</t>
  </si>
  <si>
    <t>BGD001Extreme humanitarian conditions - Level 5</t>
  </si>
  <si>
    <t>BGD001Fatalities in all crises</t>
  </si>
  <si>
    <t>BGD001Crisis affected groups</t>
  </si>
  <si>
    <t>BGD001People facing limited access constraints</t>
  </si>
  <si>
    <t>BGD001People facing restricted access constraints</t>
  </si>
  <si>
    <t>BGD001Impediments to entry into country (bureaucratic and administrative)</t>
  </si>
  <si>
    <t>BGD001Restriction of movement (impediments to freedom of movement and/or administrative restrictions)</t>
  </si>
  <si>
    <t>BGD001Interference into implementation of humanitarian activities</t>
  </si>
  <si>
    <t>BGD001Violence against personnel, facilities and assets</t>
  </si>
  <si>
    <t>BGD001Denial of existence of humanitarian needs or entitlements to assistance</t>
  </si>
  <si>
    <t>BGD001Restriction and obstruction of access to services and assistance</t>
  </si>
  <si>
    <t>BGD001Ongoing insecurity/hostilities affecting humanitarian assistance</t>
  </si>
  <si>
    <t xml:space="preserve">BGD001Presence of mines and improvised explosive devices </t>
  </si>
  <si>
    <t>BGD001Physical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</si>
  <si>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</si>
  <si>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</si>
  <si>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</si>
  <si>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</si>
  <si>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</si>
  <si>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</si>
  <si>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</si>
  <si>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</si>
  <si>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</si>
  <si>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</si>
  <si>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</si>
  <si>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</si>
  <si>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</si>
  <si>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</si>
  <si>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</si>
  <si>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</si>
  <si>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</si>
  <si>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</si>
  <si>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</si>
  <si>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</si>
  <si>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</si>
  <si>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</si>
  <si>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</si>
  <si>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</si>
  <si>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</si>
  <si>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</si>
  <si>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</si>
  <si>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</si>
  <si>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</si>
  <si>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</si>
  <si>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</si>
  <si>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BGD003Total population</t>
  </si>
  <si>
    <t>BGD003Landmass affected</t>
  </si>
  <si>
    <t>BGD003People exposed</t>
  </si>
  <si>
    <t>BGD003People affected</t>
  </si>
  <si>
    <t>BGD003People displaced</t>
  </si>
  <si>
    <t>BGD003Injuries reported</t>
  </si>
  <si>
    <t>BGD003Illness cases reported</t>
  </si>
  <si>
    <t>BGD003Fatalities reported</t>
  </si>
  <si>
    <t>BGD003Buildings damaged</t>
  </si>
  <si>
    <t>BGD003Buildings destroyed</t>
  </si>
  <si>
    <t>BGD003Buildings in the affected area</t>
  </si>
  <si>
    <t>BGD003Economic Losses</t>
  </si>
  <si>
    <t>BGD003People in Need</t>
  </si>
  <si>
    <t>BGD003Minimal humanitarian conditions - Level 1</t>
  </si>
  <si>
    <t>BGD003Stressed humanitarian conditions - Level 2</t>
  </si>
  <si>
    <t>BGD003Moderate humanitarian conditions - Level 3</t>
  </si>
  <si>
    <t>BGD003Severe humanitarian conditions - Level 4</t>
  </si>
  <si>
    <t>BGD003Extreme humanitarian conditions - Level 5</t>
  </si>
  <si>
    <t>BGD003Fatalities in all crises</t>
  </si>
  <si>
    <t>BGD003Crisis affected groups</t>
  </si>
  <si>
    <t>BGD003People facing limited access constraints</t>
  </si>
  <si>
    <t>BGD003People facing restricted access constraints</t>
  </si>
  <si>
    <t>BGD003Impediments to entry into country (bureaucratic and administrative)</t>
  </si>
  <si>
    <t>BGD003Restriction of movement (impediments to freedom of movement and/or administrative restrictions)</t>
  </si>
  <si>
    <t>BGD003Interference into implementation of humanitarian activities</t>
  </si>
  <si>
    <t>BGD003Violence against personnel, facilities and assets</t>
  </si>
  <si>
    <t>BGD003Denial of existence of humanitarian needs or entitlements to assistance</t>
  </si>
  <si>
    <t>BGD003Restriction and obstruction of access to services and assistance</t>
  </si>
  <si>
    <t>BGD003Ongoing insecurity/hostilities affecting humanitarian assistance</t>
  </si>
  <si>
    <t xml:space="preserve">BGD003Presence of mines and improvised explosive devices </t>
  </si>
  <si>
    <t>BGD003Physical constraints in the environment (obstacles related to terrain, climate, lack of infrastructure, etc.)</t>
  </si>
  <si>
    <t>BGD006Total population</t>
  </si>
  <si>
    <t>BGD006Landmass affected</t>
  </si>
  <si>
    <t>BGD006People exposed</t>
  </si>
  <si>
    <t>BGD006People affected</t>
  </si>
  <si>
    <t>BGD006People displaced</t>
  </si>
  <si>
    <t>BGD006Injuries reported</t>
  </si>
  <si>
    <t>BGD006Illness cases reported</t>
  </si>
  <si>
    <t>BGD006Fatalities reported</t>
  </si>
  <si>
    <t>BGD006Buildings damaged</t>
  </si>
  <si>
    <t>BGD006Buildings destroyed</t>
  </si>
  <si>
    <t>BGD006Buildings in the affected area</t>
  </si>
  <si>
    <t>BGD006Economic Losses</t>
  </si>
  <si>
    <t>BGD006People in Need</t>
  </si>
  <si>
    <t>BGD006Minimal humanitarian conditions - Level 1</t>
  </si>
  <si>
    <t>BGD006Stressed humanitarian conditions - Level 2</t>
  </si>
  <si>
    <t>BGD006Moderate humanitarian conditions - Level 3</t>
  </si>
  <si>
    <t>BGD006Severe humanitarian conditions - Level 4</t>
  </si>
  <si>
    <t>BGD006Extreme humanitarian conditions - Level 5</t>
  </si>
  <si>
    <t>BGD006Fatalities in all crises</t>
  </si>
  <si>
    <t>BGD006Crisis affected groups</t>
  </si>
  <si>
    <t>BGD006People facing limited access constraints</t>
  </si>
  <si>
    <t>BGD006People facing restricted access constraints</t>
  </si>
  <si>
    <t>BGD006Impediments to entry into country (bureaucratic and administrative)</t>
  </si>
  <si>
    <t>BGD006Restriction of movement (impediments to freedom of movement and/or administrative restrictions)</t>
  </si>
  <si>
    <t>BGD006Interference into implementation of humanitarian activities</t>
  </si>
  <si>
    <t>BGD006Violence against personnel, facilities and assets</t>
  </si>
  <si>
    <t>BGD006Denial of existence of humanitarian needs or entitlements to assistance</t>
  </si>
  <si>
    <t>BGD006Restriction and obstruction of access to services and assistance</t>
  </si>
  <si>
    <t>BGD006Ongoing insecurity/hostilities affecting humanitarian assistance</t>
  </si>
  <si>
    <t xml:space="preserve">BGD006Presence of mines and improvised explosive devices </t>
  </si>
  <si>
    <t>BGD006Physical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</si>
  <si>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</si>
  <si>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</si>
  <si>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</si>
  <si>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</si>
  <si>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</si>
  <si>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</si>
  <si>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</si>
  <si>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</si>
  <si>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</si>
  <si>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</si>
  <si>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</si>
  <si>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</si>
  <si>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</si>
  <si>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</si>
  <si>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</si>
  <si>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</si>
  <si>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</si>
  <si>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</si>
  <si>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</si>
  <si>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</si>
  <si>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</si>
  <si>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</si>
  <si>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</si>
  <si>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</si>
  <si>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</si>
  <si>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</si>
  <si>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</si>
  <si>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</si>
  <si>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</si>
  <si>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</si>
  <si>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</si>
  <si>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</si>
  <si>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</si>
  <si>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</si>
  <si>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</si>
  <si>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</si>
  <si>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</si>
  <si>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</si>
  <si>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</si>
  <si>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</si>
  <si>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</si>
  <si>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</si>
  <si>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</si>
  <si>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</si>
  <si>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</si>
  <si>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</si>
  <si>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</si>
  <si>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</si>
  <si>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</si>
  <si>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</si>
  <si>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</si>
  <si>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</si>
  <si>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</si>
  <si>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</si>
  <si>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</si>
  <si>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</si>
  <si>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</si>
  <si>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</si>
  <si>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</si>
  <si>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</si>
  <si>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</si>
  <si>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</si>
  <si>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</si>
  <si>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</si>
  <si>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</si>
  <si>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</si>
  <si>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</si>
  <si>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</si>
  <si>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</si>
  <si>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</si>
  <si>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</si>
  <si>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</si>
  <si>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</si>
  <si>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</si>
  <si>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</si>
  <si>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</si>
  <si>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</si>
  <si>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</si>
  <si>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</si>
  <si>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</si>
  <si>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</si>
  <si>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</si>
  <si>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</si>
  <si>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</si>
  <si>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</si>
  <si>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</si>
  <si>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</si>
  <si>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</si>
  <si>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</si>
  <si>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</si>
  <si>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</si>
  <si>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</si>
  <si>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</si>
  <si>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BFA003Total population</t>
  </si>
  <si>
    <t>BFA003Landmass affected</t>
  </si>
  <si>
    <t>BFA003People exposed</t>
  </si>
  <si>
    <t>BFA003People affected</t>
  </si>
  <si>
    <t>BFA003People displaced</t>
  </si>
  <si>
    <t>BFA003Injuries reported</t>
  </si>
  <si>
    <t>BFA003Illness cases reported</t>
  </si>
  <si>
    <t>BFA003Fatalities reported</t>
  </si>
  <si>
    <t>BFA003Buildings damaged</t>
  </si>
  <si>
    <t>BFA003Buildings destroyed</t>
  </si>
  <si>
    <t>BFA003Buildings in the affected area</t>
  </si>
  <si>
    <t>BFA003Economic Losses</t>
  </si>
  <si>
    <t>BFA003People in Need</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</si>
  <si>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</si>
  <si>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</si>
  <si>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</si>
  <si>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</si>
  <si>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</si>
  <si>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</si>
  <si>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</si>
  <si>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</si>
  <si>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</si>
  <si>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</si>
  <si>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</si>
  <si>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</si>
  <si>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</si>
  <si>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</si>
  <si>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</si>
  <si>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</si>
  <si>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 xml:space="preserve">BFA003Presence of mines and improvised explosive devices </t>
  </si>
  <si>
    <t>BFA003Physical constraints in the environment (obstacles related to terrain, climate, lack of infrastructure, etc.)</t>
  </si>
  <si>
    <t>BFA004Total population</t>
  </si>
  <si>
    <t>BFA004Landmass affected</t>
  </si>
  <si>
    <t>BFA004People exposed</t>
  </si>
  <si>
    <t>BFA004People affected</t>
  </si>
  <si>
    <t>BFA004People displaced</t>
  </si>
  <si>
    <t>BFA004Injuries reported</t>
  </si>
  <si>
    <t>BFA004Illness cases reported</t>
  </si>
  <si>
    <t>BFA004Fatalities reported</t>
  </si>
  <si>
    <t>BFA004Buildings damaged</t>
  </si>
  <si>
    <t>BFA004Buildings destroyed</t>
  </si>
  <si>
    <t>BFA004Buildings in the affected area</t>
  </si>
  <si>
    <t>BFA004Economic Losses</t>
  </si>
  <si>
    <t>BFA004People in Need</t>
  </si>
  <si>
    <t>BFA004Minimal humanitarian conditions - Level 1</t>
  </si>
  <si>
    <t>BFA004Stressed humanitarian conditions - Level 2</t>
  </si>
  <si>
    <t>BFA004Moderate humanitarian conditions - Level 3</t>
  </si>
  <si>
    <t>BFA004Severe humanitarian conditions - Level 4</t>
  </si>
  <si>
    <t>BFA004Extreme humanitarian conditions - Level 5</t>
  </si>
  <si>
    <t>BFA004Fatalities in all crises</t>
  </si>
  <si>
    <t>BFA004Crisis affected groups</t>
  </si>
  <si>
    <t>BFA004People facing limited access constraints</t>
  </si>
  <si>
    <t>BFA004People facing restricted access constraints</t>
  </si>
  <si>
    <t>BFA004Impediments to entry into country (bureaucratic and administrative)</t>
  </si>
  <si>
    <t>BFA004Restriction of movement (impediments to freedom of movement and/or administrative restrictions)</t>
  </si>
  <si>
    <t>BFA004Interference into implementation of humanitarian activities</t>
  </si>
  <si>
    <t>BFA004Violence against personnel, facilities and assets</t>
  </si>
  <si>
    <t>BFA004Denial of existence of humanitarian needs or entitlements to assistance</t>
  </si>
  <si>
    <t>BFA004Restriction and obstruction of access to services and assistance</t>
  </si>
  <si>
    <t>BFA004Ongoing insecurity/hostilities affecting humanitarian assistance</t>
  </si>
  <si>
    <t xml:space="preserve">BFA004Presence of mines and improvised explosive devices </t>
  </si>
  <si>
    <t>BFA004Physical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</si>
  <si>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</si>
  <si>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</si>
  <si>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</si>
  <si>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</si>
  <si>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</si>
  <si>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</si>
  <si>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</si>
  <si>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</si>
  <si>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</si>
  <si>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</si>
  <si>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</si>
  <si>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</si>
  <si>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</si>
  <si>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</si>
  <si>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</si>
  <si>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</si>
  <si>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</si>
  <si>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</si>
  <si>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</si>
  <si>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</si>
  <si>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</si>
  <si>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</si>
  <si>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</si>
  <si>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</si>
  <si>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</si>
  <si>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</si>
  <si>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</si>
  <si>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</si>
  <si>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</si>
  <si>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</si>
  <si>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</si>
  <si>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</si>
  <si>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</si>
  <si>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</si>
  <si>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</si>
  <si>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</si>
  <si>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</si>
  <si>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</si>
  <si>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</si>
  <si>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</si>
  <si>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</si>
  <si>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</si>
  <si>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</si>
  <si>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</si>
  <si>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</si>
  <si>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</si>
  <si>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</si>
  <si>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</si>
  <si>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</si>
  <si>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</si>
  <si>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</si>
  <si>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</si>
  <si>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</si>
  <si>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</si>
  <si>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</si>
  <si>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</si>
  <si>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</si>
  <si>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</si>
  <si>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</si>
  <si>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</si>
  <si>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</si>
  <si>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</si>
  <si>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</si>
  <si>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</si>
  <si>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</si>
  <si>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</si>
  <si>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</si>
  <si>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</si>
  <si>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</si>
  <si>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</si>
  <si>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</si>
  <si>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</si>
  <si>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</si>
  <si>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</si>
  <si>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</si>
  <si>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</si>
  <si>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</si>
  <si>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</si>
  <si>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</si>
  <si>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</si>
  <si>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</si>
  <si>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</si>
  <si>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</si>
  <si>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</si>
  <si>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</si>
  <si>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</si>
  <si>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</si>
  <si>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</si>
  <si>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</si>
  <si>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</si>
  <si>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</si>
  <si>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</si>
  <si>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</si>
  <si>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</si>
  <si>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</si>
  <si>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</si>
  <si>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</si>
  <si>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</si>
  <si>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</si>
  <si>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</si>
  <si>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</si>
  <si>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</si>
  <si>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</si>
  <si>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</si>
  <si>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</si>
  <si>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</si>
  <si>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</si>
  <si>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</si>
  <si>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</si>
  <si>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</si>
  <si>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</si>
  <si>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</si>
  <si>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</si>
  <si>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</si>
  <si>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</si>
  <si>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</si>
  <si>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</si>
  <si>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</si>
  <si>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</si>
  <si>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</si>
  <si>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</si>
  <si>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</si>
  <si>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</si>
  <si>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</si>
  <si>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</si>
  <si>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</si>
  <si>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</si>
  <si>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</si>
  <si>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</si>
  <si>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</si>
  <si>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</si>
  <si>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</si>
  <si>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</si>
  <si>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</si>
  <si>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</si>
  <si>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</si>
  <si>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</si>
  <si>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</si>
  <si>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</si>
  <si>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</si>
  <si>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</si>
  <si>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</si>
  <si>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</si>
  <si>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</si>
  <si>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</si>
  <si>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</si>
  <si>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</si>
  <si>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</si>
  <si>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</si>
  <si>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</si>
  <si>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</si>
  <si>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</si>
  <si>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</si>
  <si>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</si>
  <si>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</si>
  <si>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</si>
  <si>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</si>
  <si>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</si>
  <si>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</si>
  <si>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</si>
  <si>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</si>
  <si>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</si>
  <si>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</si>
  <si>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</si>
  <si>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</si>
  <si>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</si>
  <si>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</si>
  <si>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</si>
  <si>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</si>
  <si>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</si>
  <si>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</si>
  <si>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</si>
  <si>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</si>
  <si>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</si>
  <si>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</si>
  <si>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</si>
  <si>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</si>
  <si>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</si>
  <si>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</si>
  <si>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</si>
  <si>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</si>
  <si>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</si>
  <si>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</si>
  <si>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</si>
  <si>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</si>
  <si>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</si>
  <si>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</si>
  <si>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</si>
  <si>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</si>
  <si>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</si>
  <si>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</si>
  <si>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</si>
  <si>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</si>
  <si>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</si>
  <si>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</si>
  <si>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</si>
  <si>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</si>
  <si>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</si>
  <si>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</si>
  <si>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</si>
  <si>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</si>
  <si>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</si>
  <si>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</si>
  <si>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</si>
  <si>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</si>
  <si>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</si>
  <si>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</si>
  <si>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</si>
  <si>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</si>
  <si>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</si>
  <si>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</si>
  <si>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</si>
  <si>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</si>
  <si>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</si>
  <si>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</si>
  <si>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</si>
  <si>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</si>
  <si>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</si>
  <si>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</si>
  <si>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</si>
  <si>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</si>
  <si>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</si>
  <si>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</si>
  <si>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</si>
  <si>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</si>
  <si>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</si>
  <si>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</si>
  <si>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</si>
  <si>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</si>
  <si>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</si>
  <si>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</si>
  <si>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</si>
  <si>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</si>
  <si>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</si>
  <si>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</si>
  <si>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</si>
  <si>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</si>
  <si>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</si>
  <si>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</si>
  <si>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</si>
  <si>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</si>
  <si>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</si>
  <si>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</si>
  <si>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</si>
  <si>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</si>
  <si>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</si>
  <si>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</si>
  <si>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</si>
  <si>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</si>
  <si>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</si>
  <si>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</si>
  <si>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</si>
  <si>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</si>
  <si>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</si>
  <si>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</si>
  <si>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</si>
  <si>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</si>
  <si>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</si>
  <si>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</si>
  <si>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</si>
  <si>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</si>
  <si>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</si>
  <si>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</si>
  <si>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</si>
  <si>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</si>
  <si>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</si>
  <si>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</si>
  <si>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</si>
  <si>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</si>
  <si>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</si>
  <si>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</si>
  <si>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</si>
  <si>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</si>
  <si>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</si>
  <si>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</si>
  <si>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</si>
  <si>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</si>
  <si>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</si>
  <si>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</si>
  <si>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</si>
  <si>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</si>
  <si>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</si>
  <si>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</si>
  <si>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</si>
  <si>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</si>
  <si>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</si>
  <si>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</si>
  <si>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</si>
  <si>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</si>
  <si>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</si>
  <si>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</si>
  <si>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</si>
  <si>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</si>
  <si>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</si>
  <si>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</si>
  <si>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</si>
  <si>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</si>
  <si>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</si>
  <si>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</si>
  <si>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</si>
  <si>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</si>
  <si>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</si>
  <si>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</si>
  <si>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</si>
  <si>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</si>
  <si>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</si>
  <si>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</si>
  <si>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</si>
  <si>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</si>
  <si>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</si>
  <si>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</si>
  <si>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</si>
  <si>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</si>
  <si>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</si>
  <si>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</si>
  <si>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</si>
  <si>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</si>
  <si>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</si>
  <si>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</si>
  <si>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</si>
  <si>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</si>
  <si>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</si>
  <si>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</si>
  <si>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</si>
  <si>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</si>
  <si>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</si>
  <si>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</si>
  <si>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</si>
  <si>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</si>
  <si>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</si>
  <si>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</si>
  <si>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</si>
  <si>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</si>
  <si>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</si>
  <si>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</si>
  <si>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</si>
  <si>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</si>
  <si>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</si>
  <si>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</si>
  <si>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</si>
  <si>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</si>
  <si>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TCD008Total population</t>
  </si>
  <si>
    <t>TCD008Landmass affected</t>
  </si>
  <si>
    <t>TCD008People exposed</t>
  </si>
  <si>
    <t>TCD008People affected</t>
  </si>
  <si>
    <t>TCD008People displaced</t>
  </si>
  <si>
    <t>TCD008Injuries reported</t>
  </si>
  <si>
    <t>TCD008Illness cases reported</t>
  </si>
  <si>
    <t>TCD008Fatalities reported</t>
  </si>
  <si>
    <t>TCD008Buildings damaged</t>
  </si>
  <si>
    <t>TCD008Buildings destroyed</t>
  </si>
  <si>
    <t>TCD008Buildings in the affected area</t>
  </si>
  <si>
    <t>TCD008Economic Losses</t>
  </si>
  <si>
    <t>TCD008People in Need</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</si>
  <si>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</si>
  <si>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</si>
  <si>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</si>
  <si>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</si>
  <si>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</si>
  <si>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</si>
  <si>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</si>
  <si>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</si>
  <si>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</si>
  <si>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</si>
  <si>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</si>
  <si>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</si>
  <si>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</si>
  <si>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</si>
  <si>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</si>
  <si>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</si>
  <si>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 xml:space="preserve">TCD008Presence of mines and improvised explosive devices </t>
  </si>
  <si>
    <t>TCD008Physical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</si>
  <si>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</si>
  <si>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</si>
  <si>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</si>
  <si>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</si>
  <si>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</si>
  <si>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</si>
  <si>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</si>
  <si>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</si>
  <si>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</si>
  <si>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</si>
  <si>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</si>
  <si>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</si>
  <si>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</si>
  <si>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</si>
  <si>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</si>
  <si>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</si>
  <si>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</si>
  <si>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</si>
  <si>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</si>
  <si>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</si>
  <si>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</si>
  <si>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</si>
  <si>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</si>
  <si>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</si>
  <si>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</si>
  <si>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</si>
  <si>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</si>
  <si>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</si>
  <si>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</si>
  <si>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</si>
  <si>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</si>
  <si>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</si>
  <si>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</si>
  <si>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</si>
  <si>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</si>
  <si>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</si>
  <si>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</si>
  <si>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</si>
  <si>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</si>
  <si>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</si>
  <si>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</si>
  <si>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</si>
  <si>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</si>
  <si>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</si>
  <si>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</si>
  <si>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</si>
  <si>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</si>
  <si>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</si>
  <si>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</si>
  <si>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</si>
  <si>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</si>
  <si>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</si>
  <si>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</si>
  <si>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</si>
  <si>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</si>
  <si>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</si>
  <si>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</si>
  <si>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</si>
  <si>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</si>
  <si>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</si>
  <si>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</si>
  <si>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</si>
  <si>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COG004Total population</t>
  </si>
  <si>
    <t>COG004Landmass affected</t>
  </si>
  <si>
    <t>COG004People exposed</t>
  </si>
  <si>
    <t>COG004People affected</t>
  </si>
  <si>
    <t>COG004People displaced</t>
  </si>
  <si>
    <t>COG004Injuries reported</t>
  </si>
  <si>
    <t>COG004Illness cases reported</t>
  </si>
  <si>
    <t>COG004Fatalities reported</t>
  </si>
  <si>
    <t>COG004Buildings damaged</t>
  </si>
  <si>
    <t>COG004Buildings destroyed</t>
  </si>
  <si>
    <t>COG004Buildings in the affected area</t>
  </si>
  <si>
    <t>COG004Economic Losses</t>
  </si>
  <si>
    <t>COG004People in Need</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</si>
  <si>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</si>
  <si>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</si>
  <si>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</si>
  <si>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</si>
  <si>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</si>
  <si>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</si>
  <si>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</si>
  <si>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</si>
  <si>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</si>
  <si>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</si>
  <si>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</si>
  <si>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</si>
  <si>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</si>
  <si>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</si>
  <si>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</si>
  <si>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</si>
  <si>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 xml:space="preserve">COG004Presence of mines and improvised explosive devices </t>
  </si>
  <si>
    <t>COG004Physical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</si>
  <si>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</si>
  <si>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</si>
  <si>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</si>
  <si>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</si>
  <si>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</si>
  <si>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</si>
  <si>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</si>
  <si>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</si>
  <si>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</si>
  <si>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</si>
  <si>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</si>
  <si>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</si>
  <si>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</si>
  <si>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</si>
  <si>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</si>
  <si>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</si>
  <si>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</si>
  <si>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</si>
  <si>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</si>
  <si>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</si>
  <si>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</si>
  <si>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</si>
  <si>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</si>
  <si>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</si>
  <si>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</si>
  <si>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</si>
  <si>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</si>
  <si>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</si>
  <si>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</si>
  <si>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</si>
  <si>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</si>
  <si>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</si>
  <si>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</si>
  <si>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</si>
  <si>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</si>
  <si>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</si>
  <si>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</si>
  <si>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</si>
  <si>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</si>
  <si>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</si>
  <si>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</si>
  <si>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</si>
  <si>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</si>
  <si>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</si>
  <si>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</si>
  <si>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</si>
  <si>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</si>
  <si>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</si>
  <si>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</si>
  <si>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</si>
  <si>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</si>
  <si>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</si>
  <si>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</si>
  <si>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</si>
  <si>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</si>
  <si>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</si>
  <si>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</si>
  <si>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</si>
  <si>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</si>
  <si>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</si>
  <si>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 xml:space="preserve">DJI001Presence of mines and improvised explosive devices </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</si>
  <si>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</si>
  <si>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</si>
  <si>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</si>
  <si>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</si>
  <si>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</si>
  <si>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</si>
  <si>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</si>
  <si>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</si>
  <si>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</si>
  <si>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</si>
  <si>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</si>
  <si>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</si>
  <si>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</si>
  <si>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</si>
  <si>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</si>
  <si>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</si>
  <si>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</si>
  <si>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</si>
  <si>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</si>
  <si>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</si>
  <si>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</si>
  <si>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</si>
  <si>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</si>
  <si>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</si>
  <si>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</si>
  <si>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</si>
  <si>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</si>
  <si>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</si>
  <si>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</si>
  <si>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</si>
  <si>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</si>
  <si>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</si>
  <si>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</si>
  <si>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</si>
  <si>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</si>
  <si>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</si>
  <si>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</si>
  <si>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</si>
  <si>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</si>
  <si>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</si>
  <si>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</si>
  <si>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</si>
  <si>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</si>
  <si>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</si>
  <si>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</si>
  <si>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</si>
  <si>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</si>
  <si>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</si>
  <si>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</si>
  <si>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</si>
  <si>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</si>
  <si>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</si>
  <si>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</si>
  <si>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</si>
  <si>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</si>
  <si>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</si>
  <si>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</si>
  <si>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</si>
  <si>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</si>
  <si>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</si>
  <si>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</si>
  <si>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</si>
  <si>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</si>
  <si>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</si>
  <si>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</si>
  <si>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</si>
  <si>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</si>
  <si>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</si>
  <si>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</si>
  <si>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</si>
  <si>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</si>
  <si>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</si>
  <si>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</si>
  <si>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</si>
  <si>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</si>
  <si>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</si>
  <si>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</si>
  <si>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</si>
  <si>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</si>
  <si>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</si>
  <si>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</si>
  <si>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</si>
  <si>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</si>
  <si>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</si>
  <si>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</si>
  <si>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</si>
  <si>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</si>
  <si>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</si>
  <si>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</si>
  <si>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</si>
  <si>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</si>
  <si>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</si>
  <si>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</si>
  <si>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</si>
  <si>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</si>
  <si>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</si>
  <si>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</si>
  <si>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</si>
  <si>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</si>
  <si>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</si>
  <si>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</si>
  <si>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</si>
  <si>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</si>
  <si>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</si>
  <si>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</si>
  <si>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</si>
  <si>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</si>
  <si>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</si>
  <si>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</si>
  <si>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</si>
  <si>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</si>
  <si>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</si>
  <si>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</si>
  <si>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</si>
  <si>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</si>
  <si>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</si>
  <si>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</si>
  <si>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</si>
  <si>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</si>
  <si>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</si>
  <si>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</si>
  <si>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</si>
  <si>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</si>
  <si>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</si>
  <si>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</si>
  <si>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COD003Total population</t>
  </si>
  <si>
    <t>COD003Landmass affected</t>
  </si>
  <si>
    <t>COD003People exposed</t>
  </si>
  <si>
    <t>COD003People affected</t>
  </si>
  <si>
    <t>COD003People displaced</t>
  </si>
  <si>
    <t>COD003Injuries reported</t>
  </si>
  <si>
    <t>COD003Illness cases reported</t>
  </si>
  <si>
    <t>COD003Fatalities reported</t>
  </si>
  <si>
    <t>COD003Buildings damaged</t>
  </si>
  <si>
    <t>COD003Buildings destroyed</t>
  </si>
  <si>
    <t>COD003Buildings in the affected area</t>
  </si>
  <si>
    <t>COD003Economic Losses</t>
  </si>
  <si>
    <t>COD003People in Need</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</si>
  <si>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</si>
  <si>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</si>
  <si>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</si>
  <si>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</si>
  <si>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</si>
  <si>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</si>
  <si>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COD003Crisis affected groups</t>
  </si>
  <si>
    <t>COD003People facing limited access constraints</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</si>
  <si>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</si>
  <si>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</si>
  <si>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</si>
  <si>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</si>
  <si>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</si>
  <si>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</si>
  <si>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</si>
  <si>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</si>
  <si>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 xml:space="preserve">COD003Presence of mines and improvised explosive devices </t>
  </si>
  <si>
    <t>COD003Physical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</si>
  <si>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</si>
  <si>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</si>
  <si>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</si>
  <si>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</si>
  <si>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</si>
  <si>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</si>
  <si>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</si>
  <si>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</si>
  <si>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</si>
  <si>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</si>
  <si>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</si>
  <si>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</si>
  <si>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</si>
  <si>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</si>
  <si>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</si>
  <si>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</si>
  <si>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</si>
  <si>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</si>
  <si>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</si>
  <si>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</si>
  <si>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</si>
  <si>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</si>
  <si>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</si>
  <si>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</si>
  <si>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</si>
  <si>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</si>
  <si>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</si>
  <si>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</si>
  <si>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</si>
  <si>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</si>
  <si>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</si>
  <si>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</si>
  <si>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</si>
  <si>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</si>
  <si>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</si>
  <si>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</si>
  <si>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</si>
  <si>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</si>
  <si>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</si>
  <si>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</si>
  <si>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</si>
  <si>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</si>
  <si>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</si>
  <si>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</si>
  <si>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</si>
  <si>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</si>
  <si>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</si>
  <si>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</si>
  <si>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</si>
  <si>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</si>
  <si>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</si>
  <si>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</si>
  <si>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</si>
  <si>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</si>
  <si>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</si>
  <si>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</si>
  <si>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</si>
  <si>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</si>
  <si>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</si>
  <si>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</si>
  <si>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</si>
  <si>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</si>
  <si>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</si>
  <si>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</si>
  <si>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</si>
  <si>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</si>
  <si>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</si>
  <si>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</si>
  <si>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</si>
  <si>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</si>
  <si>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</si>
  <si>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</si>
  <si>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</si>
  <si>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</si>
  <si>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</si>
  <si>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</si>
  <si>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</si>
  <si>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</si>
  <si>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</si>
  <si>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</si>
  <si>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</si>
  <si>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</si>
  <si>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</si>
  <si>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</si>
  <si>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</si>
  <si>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</si>
  <si>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</si>
  <si>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</si>
  <si>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</si>
  <si>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</si>
  <si>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</si>
  <si>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</si>
  <si>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</si>
  <si>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</si>
  <si>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</si>
  <si>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</si>
  <si>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</si>
  <si>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</si>
  <si>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</si>
  <si>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</si>
  <si>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</si>
  <si>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</si>
  <si>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</si>
  <si>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</si>
  <si>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</si>
  <si>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</si>
  <si>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</si>
  <si>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</si>
  <si>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</si>
  <si>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</si>
  <si>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</si>
  <si>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</si>
  <si>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</si>
  <si>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</si>
  <si>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</si>
  <si>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</si>
  <si>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</si>
  <si>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</si>
  <si>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</si>
  <si>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</si>
  <si>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</si>
  <si>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</si>
  <si>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</si>
  <si>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</si>
  <si>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</si>
  <si>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</si>
  <si>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</si>
  <si>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</si>
  <si>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</si>
  <si>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</si>
  <si>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</si>
  <si>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</si>
  <si>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</si>
  <si>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</si>
  <si>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</si>
  <si>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</si>
  <si>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</si>
  <si>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</si>
  <si>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</si>
  <si>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</si>
  <si>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</si>
  <si>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</si>
  <si>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</si>
  <si>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</si>
  <si>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</si>
  <si>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</si>
  <si>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</si>
  <si>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</si>
  <si>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</si>
  <si>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</si>
  <si>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</si>
  <si>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</si>
  <si>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</si>
  <si>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 xml:space="preserve">SWZ001Presence of mines and improvised explosive devices </t>
  </si>
  <si>
    <t>SWZ001Physical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</si>
  <si>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</si>
  <si>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</si>
  <si>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</si>
  <si>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</si>
  <si>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</si>
  <si>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</si>
  <si>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</si>
  <si>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</si>
  <si>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</si>
  <si>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</si>
  <si>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</si>
  <si>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</si>
  <si>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</si>
  <si>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</si>
  <si>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</si>
  <si>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</si>
  <si>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</si>
  <si>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</si>
  <si>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</si>
  <si>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</si>
  <si>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</si>
  <si>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</si>
  <si>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</si>
  <si>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</si>
  <si>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</si>
  <si>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</si>
  <si>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</si>
  <si>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</si>
  <si>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</si>
  <si>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</si>
  <si>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</si>
  <si>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</si>
  <si>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</si>
  <si>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</si>
  <si>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</si>
  <si>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</si>
  <si>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</si>
  <si>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</si>
  <si>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</si>
  <si>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</si>
  <si>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</si>
  <si>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</si>
  <si>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</si>
  <si>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</si>
  <si>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</si>
  <si>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</si>
  <si>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</si>
  <si>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</si>
  <si>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</si>
  <si>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</si>
  <si>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</si>
  <si>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</si>
  <si>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</si>
  <si>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</si>
  <si>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</si>
  <si>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</si>
  <si>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</si>
  <si>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</si>
  <si>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</si>
  <si>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</si>
  <si>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 xml:space="preserve">ETH002Presence of mines and improvised explosive devices </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</si>
  <si>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</si>
  <si>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</si>
  <si>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</si>
  <si>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</si>
  <si>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</si>
  <si>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</si>
  <si>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</si>
  <si>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</si>
  <si>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</si>
  <si>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</si>
  <si>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</si>
  <si>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</si>
  <si>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</si>
  <si>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</si>
  <si>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</si>
  <si>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</si>
  <si>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</si>
  <si>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</si>
  <si>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</si>
  <si>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</si>
  <si>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</si>
  <si>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</si>
  <si>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</si>
  <si>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</si>
  <si>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</si>
  <si>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</si>
  <si>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</si>
  <si>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</si>
  <si>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</si>
  <si>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</si>
  <si>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 xml:space="preserve">ETH003Presence of mines and improvised explosive devices </t>
  </si>
  <si>
    <t>ETH003Physical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</si>
  <si>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</si>
  <si>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</si>
  <si>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</si>
  <si>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</si>
  <si>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</si>
  <si>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</si>
  <si>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</si>
  <si>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</si>
  <si>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</si>
  <si>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</si>
  <si>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</si>
  <si>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</si>
  <si>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</si>
  <si>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</si>
  <si>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</si>
  <si>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</si>
  <si>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</si>
  <si>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</si>
  <si>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</si>
  <si>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</si>
  <si>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</si>
  <si>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</si>
  <si>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</si>
  <si>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</si>
  <si>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</si>
  <si>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</si>
  <si>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</si>
  <si>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</si>
  <si>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</si>
  <si>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</si>
  <si>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</si>
  <si>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</si>
  <si>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</si>
  <si>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</si>
  <si>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</si>
  <si>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</si>
  <si>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</si>
  <si>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</si>
  <si>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</si>
  <si>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</si>
  <si>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</si>
  <si>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</si>
  <si>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</si>
  <si>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</si>
  <si>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</si>
  <si>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</si>
  <si>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</si>
  <si>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</si>
  <si>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</si>
  <si>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</si>
  <si>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</si>
  <si>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</si>
  <si>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</si>
  <si>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</si>
  <si>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</si>
  <si>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</si>
  <si>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</si>
  <si>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</si>
  <si>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</si>
  <si>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</si>
  <si>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</si>
  <si>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</si>
  <si>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</si>
  <si>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</si>
  <si>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</si>
  <si>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</si>
  <si>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</si>
  <si>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</si>
  <si>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</si>
  <si>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</si>
  <si>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</si>
  <si>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</si>
  <si>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</si>
  <si>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</si>
  <si>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</si>
  <si>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</si>
  <si>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</si>
  <si>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</si>
  <si>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</si>
  <si>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</si>
  <si>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</si>
  <si>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</si>
  <si>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</si>
  <si>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</si>
  <si>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</si>
  <si>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</si>
  <si>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</si>
  <si>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</si>
  <si>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</si>
  <si>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</si>
  <si>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</si>
  <si>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</si>
  <si>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</si>
  <si>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</si>
  <si>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</si>
  <si>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</si>
  <si>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</si>
  <si>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</si>
  <si>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</si>
  <si>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</si>
  <si>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</si>
  <si>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</si>
  <si>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</si>
  <si>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</si>
  <si>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</si>
  <si>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</si>
  <si>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</si>
  <si>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</si>
  <si>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</si>
  <si>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</si>
  <si>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</si>
  <si>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</si>
  <si>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</si>
  <si>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</si>
  <si>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</si>
  <si>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</si>
  <si>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</si>
  <si>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</si>
  <si>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</si>
  <si>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</si>
  <si>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</si>
  <si>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</si>
  <si>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</si>
  <si>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</si>
  <si>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IND001Total population</t>
  </si>
  <si>
    <t>IND001Landmass affected</t>
  </si>
  <si>
    <t>IND001People exposed</t>
  </si>
  <si>
    <t>IND001People affected</t>
  </si>
  <si>
    <t>IND001People displaced</t>
  </si>
  <si>
    <t>IND001Injuries reported</t>
  </si>
  <si>
    <t>IND001Illness cases reported</t>
  </si>
  <si>
    <t>IND001Fatalities reported</t>
  </si>
  <si>
    <t>IND001Buildings damaged</t>
  </si>
  <si>
    <t>IND001Buildings destroyed</t>
  </si>
  <si>
    <t>IND001Buildings in the affected area</t>
  </si>
  <si>
    <t>IND001Economic Losses</t>
  </si>
  <si>
    <t>IND001People in Need</t>
  </si>
  <si>
    <t>IND001Minimal humanitarian conditions - Level 1</t>
  </si>
  <si>
    <t>IND001Stressed humanitarian conditions - Level 2</t>
  </si>
  <si>
    <t>IND001Moderate humanitarian conditions - Level 3</t>
  </si>
  <si>
    <t>IND001Severe humanitarian conditions - Level 4</t>
  </si>
  <si>
    <t>IND001Extreme humanitarian conditions - Level 5</t>
  </si>
  <si>
    <t>IND001Fatalities in all crises</t>
  </si>
  <si>
    <t>IND001Crisis affected groups</t>
  </si>
  <si>
    <t>IND001People facing limited access constraints</t>
  </si>
  <si>
    <t>IND001People facing restricted access constraints</t>
  </si>
  <si>
    <t>IND001Impediments to entry into country (bureaucratic and administrative)</t>
  </si>
  <si>
    <t>IND001Restriction of movement (impediments to freedom of movement and/or administrative restrictions)</t>
  </si>
  <si>
    <t>IND001Interference into implementation of humanitarian activities</t>
  </si>
  <si>
    <t>IND001Violence against personnel, facilities and assets</t>
  </si>
  <si>
    <t>IND001Denial of existence of humanitarian needs or entitlements to assistance</t>
  </si>
  <si>
    <t>IND001Restriction and obstruction of access to services and assistance</t>
  </si>
  <si>
    <t>IND001Ongoing insecurity/hostilities affecting humanitarian assistance</t>
  </si>
  <si>
    <t xml:space="preserve">IND001Presence of mines and improvised explosive devices </t>
  </si>
  <si>
    <t>IND001Physical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</si>
  <si>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</si>
  <si>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</si>
  <si>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</si>
  <si>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</si>
  <si>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</si>
  <si>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</si>
  <si>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</si>
  <si>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</si>
  <si>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</si>
  <si>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</si>
  <si>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</si>
  <si>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</si>
  <si>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</si>
  <si>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</si>
  <si>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</si>
  <si>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</si>
  <si>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</si>
  <si>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</si>
  <si>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</si>
  <si>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</si>
  <si>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</si>
  <si>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</si>
  <si>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</si>
  <si>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</si>
  <si>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</si>
  <si>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</si>
  <si>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</si>
  <si>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</si>
  <si>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</si>
  <si>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</si>
  <si>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</si>
  <si>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IND003Total population</t>
  </si>
  <si>
    <t>IND003Landmass affected</t>
  </si>
  <si>
    <t>IND003People exposed</t>
  </si>
  <si>
    <t>IND003People affected</t>
  </si>
  <si>
    <t>IND003People displaced</t>
  </si>
  <si>
    <t>IND003Injuries reported</t>
  </si>
  <si>
    <t>IND003Illness cases reported</t>
  </si>
  <si>
    <t>IND003Fatalities reported</t>
  </si>
  <si>
    <t>IND003Buildings damaged</t>
  </si>
  <si>
    <t>IND003Buildings destroyed</t>
  </si>
  <si>
    <t>IND003Buildings in the affected area</t>
  </si>
  <si>
    <t>IND003Economic Losses</t>
  </si>
  <si>
    <t>IND003People in Need</t>
  </si>
  <si>
    <t>IND003Minimal humanitarian conditions - Level 1</t>
  </si>
  <si>
    <t>IND003Stressed humanitarian conditions - Level 2</t>
  </si>
  <si>
    <t>IND003Moderate humanitarian conditions - Level 3</t>
  </si>
  <si>
    <t>IND003Severe humanitarian conditions - Level 4</t>
  </si>
  <si>
    <t>IND003Extreme humanitarian conditions - Level 5</t>
  </si>
  <si>
    <t>IND003Fatalities in all crises</t>
  </si>
  <si>
    <t>IND003Crisis affected groups</t>
  </si>
  <si>
    <t>IND003People facing limited access constraints</t>
  </si>
  <si>
    <t>IND003People facing restricted access constraints</t>
  </si>
  <si>
    <t>IND003Impediments to entry into country (bureaucratic and administrative)</t>
  </si>
  <si>
    <t>IND003Restriction of movement (impediments to freedom of movement and/or administrative restrictions)</t>
  </si>
  <si>
    <t>IND003Interference into implementation of humanitarian activities</t>
  </si>
  <si>
    <t>IND003Violence against personnel, facilities and assets</t>
  </si>
  <si>
    <t>IND003Denial of existence of humanitarian needs or entitlements to assistance</t>
  </si>
  <si>
    <t>IND003Restriction and obstruction of access to services and assistance</t>
  </si>
  <si>
    <t>IND003Ongoing insecurity/hostilities affecting humanitarian assistance</t>
  </si>
  <si>
    <t xml:space="preserve">IND003Presence of mines and improvised explosive devices </t>
  </si>
  <si>
    <t>IND003Physical constraints in the environment (obstacles related to terrain, climate, lack of infrastructure, etc.)</t>
  </si>
  <si>
    <t>IND005Total population</t>
  </si>
  <si>
    <t>IND005Landmass affected</t>
  </si>
  <si>
    <t>IND005People exposed</t>
  </si>
  <si>
    <t>IND005People affected</t>
  </si>
  <si>
    <t>IND005People displaced</t>
  </si>
  <si>
    <t>IND005Injuries reported</t>
  </si>
  <si>
    <t>IND005Illness cases reported</t>
  </si>
  <si>
    <t>IND005Fatalities reported</t>
  </si>
  <si>
    <t>IND005Buildings damaged</t>
  </si>
  <si>
    <t>IND005Buildings destroyed</t>
  </si>
  <si>
    <t>IND005Buildings in the affected area</t>
  </si>
  <si>
    <t>IND005Economic Losses</t>
  </si>
  <si>
    <t>IND005People in Need</t>
  </si>
  <si>
    <t>IND005Minimal humanitarian conditions - Level 1</t>
  </si>
  <si>
    <t>IND005Stressed humanitarian conditions - Level 2</t>
  </si>
  <si>
    <t>IND005Moderate humanitarian conditions - Level 3</t>
  </si>
  <si>
    <t>IND005Severe humanitarian conditions - Level 4</t>
  </si>
  <si>
    <t>IND005Extreme humanitarian conditions - Level 5</t>
  </si>
  <si>
    <t>IND005Fatalities in all crises</t>
  </si>
  <si>
    <t>IND005Crisis affected groups</t>
  </si>
  <si>
    <t>IND005People facing limited access constraints</t>
  </si>
  <si>
    <t>IND005People facing restricted access constraints</t>
  </si>
  <si>
    <t>IND005Impediments to entry into country (bureaucratic and administrative)</t>
  </si>
  <si>
    <t>IND005Restriction of movement (impediments to freedom of movement and/or administrative restrictions)</t>
  </si>
  <si>
    <t>IND005Interference into implementation of humanitarian activities</t>
  </si>
  <si>
    <t>IND005Violence against personnel, facilities and assets</t>
  </si>
  <si>
    <t>IND005Denial of existence of humanitarian needs or entitlements to assistance</t>
  </si>
  <si>
    <t>IND005Restriction and obstruction of access to services and assistance</t>
  </si>
  <si>
    <t>IND005Ongoing insecurity/hostilities affecting humanitarian assistance</t>
  </si>
  <si>
    <t xml:space="preserve">IND005Presence of mines and improvised explosive devices </t>
  </si>
  <si>
    <t>IND005Physical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</si>
  <si>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</si>
  <si>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</si>
  <si>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</si>
  <si>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</si>
  <si>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</si>
  <si>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</si>
  <si>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</si>
  <si>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</si>
  <si>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</si>
  <si>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</si>
  <si>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</si>
  <si>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</si>
  <si>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</si>
  <si>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</si>
  <si>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</si>
  <si>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</si>
  <si>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</si>
  <si>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</si>
  <si>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</si>
  <si>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</si>
  <si>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</si>
  <si>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</si>
  <si>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</si>
  <si>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</si>
  <si>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</si>
  <si>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</si>
  <si>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</si>
  <si>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</si>
  <si>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</si>
  <si>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</si>
  <si>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</si>
  <si>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</si>
  <si>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</si>
  <si>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</si>
  <si>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</si>
  <si>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</si>
  <si>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</si>
  <si>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</si>
  <si>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</si>
  <si>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</si>
  <si>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</si>
  <si>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</si>
  <si>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</si>
  <si>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</si>
  <si>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</si>
  <si>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</si>
  <si>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</si>
  <si>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</si>
  <si>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</si>
  <si>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</si>
  <si>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</si>
  <si>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</si>
  <si>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</si>
  <si>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</si>
  <si>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</si>
  <si>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</si>
  <si>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</si>
  <si>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</si>
  <si>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</si>
  <si>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</si>
  <si>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</si>
  <si>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</si>
  <si>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</si>
  <si>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</si>
  <si>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</si>
  <si>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</si>
  <si>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</si>
  <si>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</si>
  <si>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</si>
  <si>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</si>
  <si>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</si>
  <si>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</si>
  <si>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</si>
  <si>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</si>
  <si>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</si>
  <si>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</si>
  <si>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</si>
  <si>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</si>
  <si>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</si>
  <si>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</si>
  <si>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</si>
  <si>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</si>
  <si>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</si>
  <si>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</si>
  <si>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</si>
  <si>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</si>
  <si>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</si>
  <si>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</si>
  <si>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</si>
  <si>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</si>
  <si>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</si>
  <si>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 xml:space="preserve">IRN004Presence of mines and improvised explosive devices </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</si>
  <si>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</si>
  <si>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</si>
  <si>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</si>
  <si>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</si>
  <si>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</si>
  <si>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</si>
  <si>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</si>
  <si>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</si>
  <si>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</si>
  <si>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</si>
  <si>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</si>
  <si>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</si>
  <si>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</si>
  <si>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</si>
  <si>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</si>
  <si>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</si>
  <si>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</si>
  <si>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</si>
  <si>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</si>
  <si>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</si>
  <si>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</si>
  <si>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</si>
  <si>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</si>
  <si>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</si>
  <si>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</si>
  <si>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</si>
  <si>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</si>
  <si>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</si>
  <si>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</si>
  <si>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</si>
  <si>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</si>
  <si>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</si>
  <si>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</si>
  <si>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</si>
  <si>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</si>
  <si>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</si>
  <si>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</si>
  <si>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</si>
  <si>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</si>
  <si>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</si>
  <si>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</si>
  <si>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</si>
  <si>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</si>
  <si>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</si>
  <si>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</si>
  <si>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</si>
  <si>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</si>
  <si>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</si>
  <si>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</si>
  <si>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</si>
  <si>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</si>
  <si>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</si>
  <si>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</si>
  <si>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</si>
  <si>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</si>
  <si>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</si>
  <si>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</si>
  <si>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</si>
  <si>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</si>
  <si>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</si>
  <si>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</si>
  <si>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</si>
  <si>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</si>
  <si>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</si>
  <si>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</si>
  <si>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</si>
  <si>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</si>
  <si>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</si>
  <si>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</si>
  <si>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</si>
  <si>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</si>
  <si>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</si>
  <si>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</si>
  <si>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</si>
  <si>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</si>
  <si>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</si>
  <si>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</si>
  <si>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</si>
  <si>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</si>
  <si>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</si>
  <si>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</si>
  <si>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</si>
  <si>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</si>
  <si>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</si>
  <si>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</si>
  <si>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</si>
  <si>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</si>
  <si>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</si>
  <si>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</si>
  <si>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</si>
  <si>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</si>
  <si>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</si>
  <si>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</si>
  <si>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</si>
  <si>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</si>
  <si>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</si>
  <si>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</si>
  <si>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</si>
  <si>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</si>
  <si>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</si>
  <si>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</si>
  <si>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</si>
  <si>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</si>
  <si>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</si>
  <si>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</si>
  <si>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</si>
  <si>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</si>
  <si>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</si>
  <si>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</si>
  <si>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</si>
  <si>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</si>
  <si>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</si>
  <si>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</si>
  <si>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</si>
  <si>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</si>
  <si>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</si>
  <si>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</si>
  <si>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</si>
  <si>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</si>
  <si>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</si>
  <si>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</si>
  <si>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</si>
  <si>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</si>
  <si>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</si>
  <si>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</si>
  <si>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KEN001Total population</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</si>
  <si>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</si>
  <si>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</si>
  <si>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</si>
  <si>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</si>
  <si>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</si>
  <si>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</si>
  <si>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</si>
  <si>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</si>
  <si>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</si>
  <si>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</si>
  <si>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</si>
  <si>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</si>
  <si>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</si>
  <si>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</si>
  <si>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</si>
  <si>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</si>
  <si>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</si>
  <si>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</si>
  <si>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</si>
  <si>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</si>
  <si>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</si>
  <si>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</si>
  <si>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</si>
  <si>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</si>
  <si>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</si>
  <si>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</si>
  <si>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</si>
  <si>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</si>
  <si>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</si>
  <si>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</si>
  <si>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</si>
  <si>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</si>
  <si>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</si>
  <si>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</si>
  <si>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</si>
  <si>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</si>
  <si>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</si>
  <si>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</si>
  <si>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</si>
  <si>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</si>
  <si>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</si>
  <si>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</si>
  <si>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</si>
  <si>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</si>
  <si>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</si>
  <si>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</si>
  <si>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</si>
  <si>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</si>
  <si>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</si>
  <si>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</si>
  <si>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</si>
  <si>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</si>
  <si>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</si>
  <si>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</si>
  <si>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</si>
  <si>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</si>
  <si>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</si>
  <si>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</si>
  <si>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</si>
  <si>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</si>
  <si>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</si>
  <si>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KEN003Total population</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</si>
  <si>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</si>
  <si>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</si>
  <si>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</si>
  <si>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</si>
  <si>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</si>
  <si>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</si>
  <si>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</si>
  <si>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</si>
  <si>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</si>
  <si>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</si>
  <si>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</si>
  <si>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</si>
  <si>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</si>
  <si>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</si>
  <si>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</si>
  <si>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</si>
  <si>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</si>
  <si>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</si>
  <si>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</si>
  <si>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</si>
  <si>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</si>
  <si>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</si>
  <si>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</si>
  <si>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</si>
  <si>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</si>
  <si>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</si>
  <si>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</si>
  <si>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</si>
  <si>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</si>
  <si>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</si>
  <si>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KEN005Total population</t>
  </si>
  <si>
    <t>KEN005Landmass affected</t>
  </si>
  <si>
    <t>KEN005People exposed</t>
  </si>
  <si>
    <t>KEN005People affected</t>
  </si>
  <si>
    <t>KEN005People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</si>
  <si>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</si>
  <si>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</si>
  <si>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</si>
  <si>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</si>
  <si>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</si>
  <si>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</si>
  <si>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</si>
  <si>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</si>
  <si>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</si>
  <si>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</si>
  <si>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</si>
  <si>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</si>
  <si>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</si>
  <si>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</si>
  <si>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</si>
  <si>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</si>
  <si>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</si>
  <si>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</si>
  <si>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</si>
  <si>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</si>
  <si>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</si>
  <si>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</si>
  <si>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</si>
  <si>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</si>
  <si>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 xml:space="preserve">KEN005Presence of mines and improvised explosive devices </t>
  </si>
  <si>
    <t>KEN005Physical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</si>
  <si>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</si>
  <si>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</si>
  <si>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</si>
  <si>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</si>
  <si>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</si>
  <si>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</si>
  <si>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</si>
  <si>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</si>
  <si>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</si>
  <si>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</si>
  <si>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</si>
  <si>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</si>
  <si>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</si>
  <si>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</si>
  <si>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</si>
  <si>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</si>
  <si>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</si>
  <si>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</si>
  <si>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</si>
  <si>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</si>
  <si>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</si>
  <si>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</si>
  <si>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</si>
  <si>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</si>
  <si>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</si>
  <si>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</si>
  <si>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</si>
  <si>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</si>
  <si>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</si>
  <si>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</si>
  <si>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</si>
  <si>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</si>
  <si>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</si>
  <si>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</si>
  <si>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</si>
  <si>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</si>
  <si>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</si>
  <si>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</si>
  <si>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</si>
  <si>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</si>
  <si>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</si>
  <si>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</si>
  <si>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</si>
  <si>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</si>
  <si>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</si>
  <si>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</si>
  <si>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</si>
  <si>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</si>
  <si>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</si>
  <si>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</si>
  <si>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</si>
  <si>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</si>
  <si>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</si>
  <si>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</si>
  <si>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</si>
  <si>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</si>
  <si>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</si>
  <si>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</si>
  <si>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</si>
  <si>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</si>
  <si>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 xml:space="preserve">LBN004Presence of mines and improvised explosive devices </t>
  </si>
  <si>
    <t>LBN004Physical constraints in the environment (obstacles related to terrain, climate, lack of infrastructure, etc.)</t>
  </si>
  <si>
    <t>LBN005Total population</t>
  </si>
  <si>
    <t>LBN005Landmass affected</t>
  </si>
  <si>
    <t>LBN005People exposed</t>
  </si>
  <si>
    <t>LBN005People affected</t>
  </si>
  <si>
    <t>LBN005People displaced</t>
  </si>
  <si>
    <t>LBN005Injuries reported</t>
  </si>
  <si>
    <t>LBN005Illness cases reported</t>
  </si>
  <si>
    <t>LBN005Fatalities reported</t>
  </si>
  <si>
    <t>LBN005Buildings damaged</t>
  </si>
  <si>
    <t>LBN005Buildings destroyed</t>
  </si>
  <si>
    <t>LBN005Buildings in the affected area</t>
  </si>
  <si>
    <t>LBN005Economic Losses</t>
  </si>
  <si>
    <t>LBN005People in Need</t>
  </si>
  <si>
    <t>LBN005Minimal humanitarian conditions - Level 1</t>
  </si>
  <si>
    <t>LBN005Stressed humanitarian conditions - Level 2</t>
  </si>
  <si>
    <t>LBN005Moderate humanitarian conditions - Level 3</t>
  </si>
  <si>
    <t>LBN005Severe humanitarian conditions - Level 4</t>
  </si>
  <si>
    <t>LBN005Extreme humanitarian conditions - Level 5</t>
  </si>
  <si>
    <t>LBN005Fatalities in all crises</t>
  </si>
  <si>
    <t>LBN005Crisis affected groups</t>
  </si>
  <si>
    <t>LBN005People facing limited access constraints</t>
  </si>
  <si>
    <t>LBN005People facing restricted access constraints</t>
  </si>
  <si>
    <t>LBN005Impediments to entry into country (bureaucratic and administrative)</t>
  </si>
  <si>
    <t>LBN005Restriction of movement (impediments to freedom of movement and/or administrative restrictions)</t>
  </si>
  <si>
    <t>LBN005Interference into implementation of humanitarian activities</t>
  </si>
  <si>
    <t>LBN005Violence against personnel, facilities and assets</t>
  </si>
  <si>
    <t>LBN005Denial of existence of humanitarian needs or entitlements to assistance</t>
  </si>
  <si>
    <t>LBN005Restriction and obstruction of access to services and assistance</t>
  </si>
  <si>
    <t>LBN005Ongoing insecurity/hostilities affecting humanitarian assistance</t>
  </si>
  <si>
    <t xml:space="preserve">LBN005Presence of mines and improvised explosive devices </t>
  </si>
  <si>
    <t>LBN005Physical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</si>
  <si>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</si>
  <si>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</si>
  <si>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</si>
  <si>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</si>
  <si>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</si>
  <si>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</si>
  <si>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</si>
  <si>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</si>
  <si>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</si>
  <si>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</si>
  <si>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</si>
  <si>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</si>
  <si>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</si>
  <si>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</si>
  <si>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</si>
  <si>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</si>
  <si>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</si>
  <si>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</si>
  <si>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</si>
  <si>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</si>
  <si>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</si>
  <si>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</si>
  <si>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</si>
  <si>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</si>
  <si>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</si>
  <si>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</si>
  <si>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</si>
  <si>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</si>
  <si>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</si>
  <si>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</si>
  <si>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</si>
  <si>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</si>
  <si>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</si>
  <si>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</si>
  <si>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</si>
  <si>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</si>
  <si>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</si>
  <si>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</si>
  <si>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</si>
  <si>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</si>
  <si>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</si>
  <si>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</si>
  <si>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</si>
  <si>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</si>
  <si>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</si>
  <si>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</si>
  <si>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</si>
  <si>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</si>
  <si>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</si>
  <si>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</si>
  <si>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</si>
  <si>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</si>
  <si>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</si>
  <si>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</si>
  <si>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</si>
  <si>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</si>
  <si>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</si>
  <si>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</si>
  <si>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</si>
  <si>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</si>
  <si>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 xml:space="preserve">REG012Presence of mines and improvised explosive devices </t>
  </si>
  <si>
    <t>REG012Physical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</si>
  <si>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</si>
  <si>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</si>
  <si>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</si>
  <si>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</si>
  <si>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</si>
  <si>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</si>
  <si>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</si>
  <si>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</si>
  <si>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</si>
  <si>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</si>
  <si>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</si>
  <si>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</si>
  <si>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</si>
  <si>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</si>
  <si>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</si>
  <si>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</si>
  <si>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</si>
  <si>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</si>
  <si>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</si>
  <si>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</si>
  <si>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</si>
  <si>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</si>
  <si>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</si>
  <si>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</si>
  <si>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</si>
  <si>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</si>
  <si>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</si>
  <si>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</si>
  <si>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</si>
  <si>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</si>
  <si>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</si>
  <si>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</si>
  <si>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</si>
  <si>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</si>
  <si>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</si>
  <si>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</si>
  <si>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</si>
  <si>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</si>
  <si>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</si>
  <si>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</si>
  <si>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</si>
  <si>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</si>
  <si>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</si>
  <si>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</si>
  <si>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</si>
  <si>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</si>
  <si>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</si>
  <si>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</si>
  <si>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</si>
  <si>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</si>
  <si>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</si>
  <si>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</si>
  <si>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</si>
  <si>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</si>
  <si>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</si>
  <si>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</si>
  <si>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</si>
  <si>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</si>
  <si>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</si>
  <si>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</si>
  <si>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</si>
  <si>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</si>
  <si>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</si>
  <si>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</si>
  <si>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</si>
  <si>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</si>
  <si>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</si>
  <si>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</si>
  <si>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</si>
  <si>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</si>
  <si>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</si>
  <si>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</si>
  <si>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</si>
  <si>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</si>
  <si>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</si>
  <si>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</si>
  <si>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</si>
  <si>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</si>
  <si>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</si>
  <si>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</si>
  <si>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</si>
  <si>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</si>
  <si>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</si>
  <si>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</si>
  <si>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</si>
  <si>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</si>
  <si>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</si>
  <si>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</si>
  <si>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</si>
  <si>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</si>
  <si>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</si>
  <si>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</si>
  <si>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</si>
  <si>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MDG004Total population</t>
  </si>
  <si>
    <t>MDG004Landmass affected</t>
  </si>
  <si>
    <t>MDG004People exposed</t>
  </si>
  <si>
    <t>MDG004People affected</t>
  </si>
  <si>
    <t>MDG004People displaced</t>
  </si>
  <si>
    <t>MDG004Injuries reported</t>
  </si>
  <si>
    <t>MDG004Illness cases reported</t>
  </si>
  <si>
    <t>MDG004Fatalities reported</t>
  </si>
  <si>
    <t>MDG004Buildings damaged</t>
  </si>
  <si>
    <t>MDG004Buildings destroyed</t>
  </si>
  <si>
    <t>MDG004Buildings in the affected area</t>
  </si>
  <si>
    <t>MDG004Economic Losses</t>
  </si>
  <si>
    <t>MDG004People in Need</t>
  </si>
  <si>
    <t>MDG004Minimal humanitarian conditions - Level 1</t>
  </si>
  <si>
    <t>MDG004Stressed humanitarian conditions - Level 2</t>
  </si>
  <si>
    <t>MDG004Moderate humanitarian conditions - Level 3</t>
  </si>
  <si>
    <t>MDG004Severe humanitarian conditions - Level 4</t>
  </si>
  <si>
    <t>MDG004Extreme humanitarian conditions - Level 5</t>
  </si>
  <si>
    <t>MDG004Fatalities in all crises</t>
  </si>
  <si>
    <t>MDG004Crisis affected groups</t>
  </si>
  <si>
    <t>MDG004People facing limited access constraints</t>
  </si>
  <si>
    <t>MDG004People facing restricted access constraints</t>
  </si>
  <si>
    <t>MDG004Impediments to entry into country (bureaucratic and administrative)</t>
  </si>
  <si>
    <t>MDG004Restriction of movement (impediments to freedom of movement and/or administrative restrictions)</t>
  </si>
  <si>
    <t>MDG004Interference into implementation of humanitarian activities</t>
  </si>
  <si>
    <t>MDG004Violence against personnel, facilities and assets</t>
  </si>
  <si>
    <t>MDG004Denial of existence of humanitarian needs or entitlements to assistance</t>
  </si>
  <si>
    <t>MDG004Restriction and obstruction of access to services and assistance</t>
  </si>
  <si>
    <t>MDG004Ongoing insecurity/hostilities affecting humanitarian assistance</t>
  </si>
  <si>
    <t xml:space="preserve">MDG004Presence of mines and improvised explosive devices </t>
  </si>
  <si>
    <t>MDG004Physical constraints in the environment (obstacles related to terrain, climate, lack of infrastructure, etc.)</t>
  </si>
  <si>
    <t>MDG005Total population</t>
  </si>
  <si>
    <t>MDG005Landmass affected</t>
  </si>
  <si>
    <t>MDG005People exposed</t>
  </si>
  <si>
    <t>MDG005People affected</t>
  </si>
  <si>
    <t>MDG005People displaced</t>
  </si>
  <si>
    <t>MDG005Injuries reported</t>
  </si>
  <si>
    <t>MDG005Illness cases reported</t>
  </si>
  <si>
    <t>MDG005Fatalities reported</t>
  </si>
  <si>
    <t>MDG005Buildings damaged</t>
  </si>
  <si>
    <t>MDG005Buildings destroyed</t>
  </si>
  <si>
    <t>MDG005Buildings in the affected area</t>
  </si>
  <si>
    <t>MDG005Economic Losses</t>
  </si>
  <si>
    <t>MDG005People in Need</t>
  </si>
  <si>
    <t>MDG005Minimal humanitarian conditions - Level 1</t>
  </si>
  <si>
    <t>MDG005Stressed humanitarian conditions - Level 2</t>
  </si>
  <si>
    <t>MDG005Moderate humanitarian conditions - Level 3</t>
  </si>
  <si>
    <t>MDG005Severe humanitarian conditions - Level 4</t>
  </si>
  <si>
    <t>MDG005Extreme humanitarian conditions - Level 5</t>
  </si>
  <si>
    <t>MDG005Fatalities in all crises</t>
  </si>
  <si>
    <t>MDG005Crisis affected groups</t>
  </si>
  <si>
    <t>MDG005People facing limited access constraints</t>
  </si>
  <si>
    <t>MDG005People facing restricted access constraints</t>
  </si>
  <si>
    <t>MDG005Impediments to entry into country (bureaucratic and administrative)</t>
  </si>
  <si>
    <t>MDG005Restriction of movement (impediments to freedom of movement and/or administrative restrictions)</t>
  </si>
  <si>
    <t>MDG005Interference into implementation of humanitarian activities</t>
  </si>
  <si>
    <t>MDG005Violence against personnel, facilities and assets</t>
  </si>
  <si>
    <t>MDG005Denial of existence of humanitarian needs or entitlements to assistance</t>
  </si>
  <si>
    <t>MDG005Restriction and obstruction of access to services and assistance</t>
  </si>
  <si>
    <t>MDG005Ongoing insecurity/hostilities affecting humanitarian assistance</t>
  </si>
  <si>
    <t xml:space="preserve">MDG005Presence of mines and improvised explosive devices </t>
  </si>
  <si>
    <t>MDG005Physical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</si>
  <si>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</si>
  <si>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</si>
  <si>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</si>
  <si>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</si>
  <si>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</si>
  <si>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</si>
  <si>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</si>
  <si>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</si>
  <si>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</si>
  <si>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</si>
  <si>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</si>
  <si>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</si>
  <si>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</si>
  <si>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</si>
  <si>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</si>
  <si>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</si>
  <si>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</si>
  <si>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</si>
  <si>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</si>
  <si>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</si>
  <si>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</si>
  <si>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</si>
  <si>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</si>
  <si>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</si>
  <si>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</si>
  <si>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</si>
  <si>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</si>
  <si>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</si>
  <si>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</si>
  <si>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</si>
  <si>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</si>
  <si>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</si>
  <si>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</si>
  <si>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</si>
  <si>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</si>
  <si>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</si>
  <si>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</si>
  <si>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</si>
  <si>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</si>
  <si>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</si>
  <si>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</si>
  <si>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</si>
  <si>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</si>
  <si>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</si>
  <si>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</si>
  <si>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</si>
  <si>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</si>
  <si>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</si>
  <si>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</si>
  <si>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</si>
  <si>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</si>
  <si>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</si>
  <si>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</si>
  <si>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</si>
  <si>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</si>
  <si>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</si>
  <si>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</si>
  <si>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</si>
  <si>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</si>
  <si>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</si>
  <si>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</si>
  <si>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</si>
  <si>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</si>
  <si>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</si>
  <si>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</si>
  <si>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</si>
  <si>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</si>
  <si>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</si>
  <si>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</si>
  <si>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</si>
  <si>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</si>
  <si>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</si>
  <si>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</si>
  <si>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</si>
  <si>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</si>
  <si>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</si>
  <si>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</si>
  <si>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</si>
  <si>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</si>
  <si>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</si>
  <si>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</si>
  <si>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</si>
  <si>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</si>
  <si>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</si>
  <si>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</si>
  <si>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</si>
  <si>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</si>
  <si>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</si>
  <si>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</si>
  <si>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</si>
  <si>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</si>
  <si>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</si>
  <si>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</si>
  <si>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</si>
  <si>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</si>
  <si>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</si>
  <si>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</si>
  <si>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</si>
  <si>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</si>
  <si>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</si>
  <si>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</si>
  <si>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</si>
  <si>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</si>
  <si>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</si>
  <si>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</si>
  <si>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</si>
  <si>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</si>
  <si>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</si>
  <si>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</si>
  <si>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</si>
  <si>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</si>
  <si>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</si>
  <si>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</si>
  <si>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</si>
  <si>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</si>
  <si>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</si>
  <si>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</si>
  <si>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</si>
  <si>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</si>
  <si>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</si>
  <si>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</si>
  <si>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</si>
  <si>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</si>
  <si>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</si>
  <si>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</si>
  <si>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</si>
  <si>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</si>
  <si>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</si>
  <si>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</si>
  <si>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</si>
  <si>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</si>
  <si>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</si>
  <si>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</si>
  <si>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</si>
  <si>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</si>
  <si>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</si>
  <si>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</si>
  <si>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</si>
  <si>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</si>
  <si>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</si>
  <si>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</si>
  <si>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</si>
  <si>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</si>
  <si>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</si>
  <si>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</si>
  <si>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</si>
  <si>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</si>
  <si>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</si>
  <si>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</si>
  <si>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</si>
  <si>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</si>
  <si>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</si>
  <si>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</si>
  <si>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 xml:space="preserve">MEX001Presence of mines and improvised explosive devices </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</si>
  <si>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</si>
  <si>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</si>
  <si>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</si>
  <si>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</si>
  <si>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</si>
  <si>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</si>
  <si>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</si>
  <si>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</si>
  <si>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</si>
  <si>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</si>
  <si>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</si>
  <si>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</si>
  <si>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</si>
  <si>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</si>
  <si>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</si>
  <si>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</si>
  <si>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</si>
  <si>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</si>
  <si>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</si>
  <si>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</si>
  <si>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</si>
  <si>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</si>
  <si>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</si>
  <si>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</si>
  <si>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</si>
  <si>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</si>
  <si>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</si>
  <si>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</si>
  <si>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</si>
  <si>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</si>
  <si>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</si>
  <si>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</si>
  <si>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</si>
  <si>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</si>
  <si>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</si>
  <si>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</si>
  <si>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</si>
  <si>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</si>
  <si>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</si>
  <si>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</si>
  <si>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</si>
  <si>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</si>
  <si>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</si>
  <si>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</si>
  <si>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</si>
  <si>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</si>
  <si>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</si>
  <si>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</si>
  <si>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</si>
  <si>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</si>
  <si>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</si>
  <si>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</si>
  <si>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</si>
  <si>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</si>
  <si>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</si>
  <si>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</si>
  <si>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</si>
  <si>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</si>
  <si>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</si>
  <si>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</si>
  <si>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</si>
  <si>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 xml:space="preserve">MEX003Presence of mines and improvised explosive devices </t>
  </si>
  <si>
    <t>MEX003Physical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</si>
  <si>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</si>
  <si>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</si>
  <si>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</si>
  <si>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</si>
  <si>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</si>
  <si>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</si>
  <si>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</si>
  <si>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</si>
  <si>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</si>
  <si>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</si>
  <si>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</si>
  <si>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</si>
  <si>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</si>
  <si>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</si>
  <si>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</si>
  <si>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</si>
  <si>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</si>
  <si>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</si>
  <si>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</si>
  <si>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</si>
  <si>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</si>
  <si>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</si>
  <si>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</si>
  <si>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</si>
  <si>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</si>
  <si>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</si>
  <si>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</si>
  <si>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</si>
  <si>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</si>
  <si>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</si>
  <si>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</si>
  <si>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</si>
  <si>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</si>
  <si>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</si>
  <si>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</si>
  <si>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</si>
  <si>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</si>
  <si>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</si>
  <si>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</si>
  <si>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</si>
  <si>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</si>
  <si>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</si>
  <si>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</si>
  <si>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</si>
  <si>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</si>
  <si>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</si>
  <si>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</si>
  <si>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</si>
  <si>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</si>
  <si>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</si>
  <si>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</si>
  <si>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</si>
  <si>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</si>
  <si>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</si>
  <si>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</si>
  <si>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</si>
  <si>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</si>
  <si>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</si>
  <si>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</si>
  <si>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</si>
  <si>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</si>
  <si>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</si>
  <si>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</si>
  <si>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</si>
  <si>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</si>
  <si>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</si>
  <si>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</si>
  <si>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</si>
  <si>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</si>
  <si>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</si>
  <si>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</si>
  <si>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</si>
  <si>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</si>
  <si>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</si>
  <si>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</si>
  <si>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</si>
  <si>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</si>
  <si>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</si>
  <si>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</si>
  <si>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</si>
  <si>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</si>
  <si>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</si>
  <si>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</si>
  <si>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</si>
  <si>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</si>
  <si>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</si>
  <si>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</si>
  <si>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</si>
  <si>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</si>
  <si>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</si>
  <si>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</si>
  <si>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</si>
  <si>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</si>
  <si>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</si>
  <si>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</si>
  <si>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</si>
  <si>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</si>
  <si>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</si>
  <si>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</si>
  <si>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</si>
  <si>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</si>
  <si>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</si>
  <si>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</si>
  <si>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</si>
  <si>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</si>
  <si>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</si>
  <si>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</si>
  <si>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</si>
  <si>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</si>
  <si>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</si>
  <si>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</si>
  <si>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</si>
  <si>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</si>
  <si>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</si>
  <si>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</si>
  <si>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</si>
  <si>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</si>
  <si>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</si>
  <si>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</si>
  <si>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</si>
  <si>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</si>
  <si>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</si>
  <si>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 xml:space="preserve">MOZ006Presence of mines and improvised explosive devices </t>
  </si>
  <si>
    <t>MOZ006Physical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</si>
  <si>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</si>
  <si>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</si>
  <si>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</si>
  <si>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</si>
  <si>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</si>
  <si>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</si>
  <si>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</si>
  <si>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</si>
  <si>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</si>
  <si>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</si>
  <si>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</si>
  <si>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</si>
  <si>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</si>
  <si>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</si>
  <si>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</si>
  <si>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</si>
  <si>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</si>
  <si>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</si>
  <si>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</si>
  <si>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</si>
  <si>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</si>
  <si>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</si>
  <si>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</si>
  <si>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</si>
  <si>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</si>
  <si>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</si>
  <si>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</si>
  <si>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</si>
  <si>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</si>
  <si>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</si>
  <si>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</si>
  <si>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</si>
  <si>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</si>
  <si>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</si>
  <si>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</si>
  <si>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</si>
  <si>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</si>
  <si>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</si>
  <si>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</si>
  <si>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</si>
  <si>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</si>
  <si>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</si>
  <si>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</si>
  <si>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</si>
  <si>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</si>
  <si>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</si>
  <si>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</si>
  <si>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</si>
  <si>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</si>
  <si>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</si>
  <si>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</si>
  <si>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</si>
  <si>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</si>
  <si>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</si>
  <si>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</si>
  <si>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</si>
  <si>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</si>
  <si>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</si>
  <si>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</si>
  <si>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</si>
  <si>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</si>
  <si>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</si>
  <si>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</si>
  <si>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</si>
  <si>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</si>
  <si>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</si>
  <si>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</si>
  <si>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</si>
  <si>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</si>
  <si>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</si>
  <si>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</si>
  <si>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</si>
  <si>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</si>
  <si>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</si>
  <si>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</si>
  <si>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</si>
  <si>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</si>
  <si>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</si>
  <si>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</si>
  <si>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</si>
  <si>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</si>
  <si>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</si>
  <si>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</si>
  <si>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</si>
  <si>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</si>
  <si>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</si>
  <si>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</si>
  <si>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</si>
  <si>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</si>
  <si>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</si>
  <si>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</si>
  <si>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</si>
  <si>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</si>
  <si>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</si>
  <si>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</si>
  <si>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</si>
  <si>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</si>
  <si>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</si>
  <si>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</si>
  <si>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</si>
  <si>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</si>
  <si>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</si>
  <si>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</si>
  <si>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</si>
  <si>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</si>
  <si>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</si>
  <si>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</si>
  <si>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</si>
  <si>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</si>
  <si>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</si>
  <si>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</si>
  <si>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</si>
  <si>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</si>
  <si>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</si>
  <si>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</si>
  <si>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</si>
  <si>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</si>
  <si>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</si>
  <si>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</si>
  <si>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</si>
  <si>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</si>
  <si>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</si>
  <si>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 xml:space="preserve">NAM002Presence of mines and improvised explosive devices </t>
  </si>
  <si>
    <t>NAM002Physical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</si>
  <si>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</si>
  <si>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</si>
  <si>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</si>
  <si>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</si>
  <si>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</si>
  <si>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</si>
  <si>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</si>
  <si>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</si>
  <si>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</si>
  <si>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</si>
  <si>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</si>
  <si>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</si>
  <si>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</si>
  <si>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</si>
  <si>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</si>
  <si>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</si>
  <si>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</si>
  <si>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</si>
  <si>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</si>
  <si>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</si>
  <si>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</si>
  <si>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</si>
  <si>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</si>
  <si>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</si>
  <si>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</si>
  <si>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</si>
  <si>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</si>
  <si>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</si>
  <si>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</si>
  <si>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</si>
  <si>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</si>
  <si>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</si>
  <si>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</si>
  <si>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</si>
  <si>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</si>
  <si>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</si>
  <si>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</si>
  <si>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</si>
  <si>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</si>
  <si>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</si>
  <si>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</si>
  <si>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</si>
  <si>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</si>
  <si>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</si>
  <si>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</si>
  <si>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</si>
  <si>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</si>
  <si>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</si>
  <si>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</si>
  <si>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</si>
  <si>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</si>
  <si>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</si>
  <si>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</si>
  <si>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</si>
  <si>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</si>
  <si>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</si>
  <si>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</si>
  <si>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</si>
  <si>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</si>
  <si>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</si>
  <si>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</si>
  <si>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</si>
  <si>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</si>
  <si>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</si>
  <si>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</si>
  <si>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</si>
  <si>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</si>
  <si>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</si>
  <si>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</si>
  <si>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</si>
  <si>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</si>
  <si>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</si>
  <si>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</si>
  <si>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</si>
  <si>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</si>
  <si>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</si>
  <si>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</si>
  <si>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</si>
  <si>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</si>
  <si>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</si>
  <si>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</si>
  <si>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</si>
  <si>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</si>
  <si>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</si>
  <si>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</si>
  <si>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</si>
  <si>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</si>
  <si>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</si>
  <si>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</si>
  <si>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</si>
  <si>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</si>
  <si>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</si>
  <si>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</si>
  <si>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</si>
  <si>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</si>
  <si>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</si>
  <si>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</si>
  <si>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</si>
  <si>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</si>
  <si>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</si>
  <si>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</si>
  <si>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</si>
  <si>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</si>
  <si>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</si>
  <si>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</si>
  <si>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</si>
  <si>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</si>
  <si>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</si>
  <si>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</si>
  <si>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</si>
  <si>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</si>
  <si>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</si>
  <si>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</si>
  <si>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</si>
  <si>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</si>
  <si>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</si>
  <si>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</si>
  <si>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</si>
  <si>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</si>
  <si>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</si>
  <si>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</si>
  <si>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</si>
  <si>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</si>
  <si>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</si>
  <si>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</si>
  <si>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</si>
  <si>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</si>
  <si>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</si>
  <si>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</si>
  <si>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</si>
  <si>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</si>
  <si>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</si>
  <si>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</si>
  <si>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</si>
  <si>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</si>
  <si>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</si>
  <si>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</si>
  <si>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</si>
  <si>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</si>
  <si>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</si>
  <si>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</si>
  <si>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</si>
  <si>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</si>
  <si>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</si>
  <si>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</si>
  <si>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</si>
  <si>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</si>
  <si>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</si>
  <si>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</si>
  <si>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</si>
  <si>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</si>
  <si>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</si>
  <si>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</si>
  <si>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 xml:space="preserve">NER004Presence of mines and improvised explosive devices </t>
  </si>
  <si>
    <t>NER004Physical constraints in the environment (obstacles related to terrain, climate, lack of infrastructure, etc.)</t>
  </si>
  <si>
    <t>NER005Total population</t>
  </si>
  <si>
    <t>NER005Landmass affected</t>
  </si>
  <si>
    <t>NER005People exposed</t>
  </si>
  <si>
    <t>NER005People affected</t>
  </si>
  <si>
    <t>NER005People displaced</t>
  </si>
  <si>
    <t>NER005Injuries reported</t>
  </si>
  <si>
    <t>NER005Illness cases reported</t>
  </si>
  <si>
    <t>NER005Fatalities reported</t>
  </si>
  <si>
    <t>NER005Buildings damaged</t>
  </si>
  <si>
    <t>NER005Buildings destroyed</t>
  </si>
  <si>
    <t>NER005Buildings in the affected area</t>
  </si>
  <si>
    <t>NER005Economic Losses</t>
  </si>
  <si>
    <t>NER005People in Need</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</si>
  <si>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</si>
  <si>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</si>
  <si>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</si>
  <si>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</si>
  <si>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</si>
  <si>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</si>
  <si>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</si>
  <si>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</si>
  <si>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</si>
  <si>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</si>
  <si>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</si>
  <si>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</si>
  <si>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</si>
  <si>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</si>
  <si>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</si>
  <si>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</si>
  <si>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 xml:space="preserve">NER005Presence of mines and improvised explosive devices </t>
  </si>
  <si>
    <t>NER005Physical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</si>
  <si>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</si>
  <si>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</si>
  <si>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</si>
  <si>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</si>
  <si>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</si>
  <si>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</si>
  <si>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</si>
  <si>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</si>
  <si>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</si>
  <si>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</si>
  <si>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</si>
  <si>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</si>
  <si>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</si>
  <si>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</si>
  <si>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</si>
  <si>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</si>
  <si>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</si>
  <si>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</si>
  <si>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</si>
  <si>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</si>
  <si>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</si>
  <si>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</si>
  <si>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</si>
  <si>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</si>
  <si>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</si>
  <si>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</si>
  <si>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</si>
  <si>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</si>
  <si>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</si>
  <si>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</si>
  <si>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</si>
  <si>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</si>
  <si>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</si>
  <si>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</si>
  <si>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</si>
  <si>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</si>
  <si>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</si>
  <si>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</si>
  <si>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</si>
  <si>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</si>
  <si>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</si>
  <si>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</si>
  <si>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</si>
  <si>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</si>
  <si>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</si>
  <si>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</si>
  <si>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</si>
  <si>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</si>
  <si>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</si>
  <si>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</si>
  <si>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</si>
  <si>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</si>
  <si>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</si>
  <si>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</si>
  <si>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</si>
  <si>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</si>
  <si>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</si>
  <si>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</si>
  <si>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</si>
  <si>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</si>
  <si>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</si>
  <si>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</si>
  <si>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</si>
  <si>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</si>
  <si>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</si>
  <si>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</si>
  <si>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</si>
  <si>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</si>
  <si>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</si>
  <si>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</si>
  <si>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</si>
  <si>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</si>
  <si>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</si>
  <si>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</si>
  <si>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</si>
  <si>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</si>
  <si>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</si>
  <si>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</si>
  <si>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</si>
  <si>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</si>
  <si>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</si>
  <si>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</si>
  <si>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</si>
  <si>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</si>
  <si>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</si>
  <si>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</si>
  <si>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</si>
  <si>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</si>
  <si>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</si>
  <si>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</si>
  <si>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</si>
  <si>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</si>
  <si>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</si>
  <si>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</si>
  <si>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</si>
  <si>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</si>
  <si>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</si>
  <si>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</si>
  <si>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</si>
  <si>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</si>
  <si>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</si>
  <si>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</si>
  <si>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</si>
  <si>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</si>
  <si>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</si>
  <si>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</si>
  <si>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</si>
  <si>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</si>
  <si>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</si>
  <si>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</si>
  <si>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</si>
  <si>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</si>
  <si>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</si>
  <si>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</si>
  <si>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</si>
  <si>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</si>
  <si>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</si>
  <si>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</si>
  <si>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</si>
  <si>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</si>
  <si>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</si>
  <si>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</si>
  <si>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 xml:space="preserve">NGA007Presence of mines and improvised explosive devices </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</si>
  <si>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</si>
  <si>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</si>
  <si>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</si>
  <si>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</si>
  <si>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</si>
  <si>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</si>
  <si>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</si>
  <si>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</si>
  <si>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</si>
  <si>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</si>
  <si>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</si>
  <si>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</si>
  <si>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</si>
  <si>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</si>
  <si>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</si>
  <si>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</si>
  <si>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</si>
  <si>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</si>
  <si>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</si>
  <si>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</si>
  <si>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</si>
  <si>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</si>
  <si>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</si>
  <si>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</si>
  <si>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</si>
  <si>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</si>
  <si>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</si>
  <si>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</si>
  <si>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</si>
  <si>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</si>
  <si>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 xml:space="preserve">NGA008Presence of mines and improvised explosive devices </t>
  </si>
  <si>
    <t>NGA008Physical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</si>
  <si>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</si>
  <si>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</si>
  <si>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</si>
  <si>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</si>
  <si>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</si>
  <si>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</si>
  <si>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</si>
  <si>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</si>
  <si>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</si>
  <si>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</si>
  <si>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</si>
  <si>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</si>
  <si>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</si>
  <si>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</si>
  <si>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</si>
  <si>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</si>
  <si>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</si>
  <si>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</si>
  <si>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</si>
  <si>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</si>
  <si>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</si>
  <si>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</si>
  <si>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</si>
  <si>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</si>
  <si>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</si>
  <si>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</si>
  <si>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</si>
  <si>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</si>
  <si>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</si>
  <si>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</si>
  <si>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</si>
  <si>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</si>
  <si>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</si>
  <si>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</si>
  <si>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</si>
  <si>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</si>
  <si>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</si>
  <si>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</si>
  <si>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</si>
  <si>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</si>
  <si>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</si>
  <si>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</si>
  <si>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</si>
  <si>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</si>
  <si>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</si>
  <si>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</si>
  <si>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</si>
  <si>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</si>
  <si>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</si>
  <si>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</si>
  <si>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</si>
  <si>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</si>
  <si>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</si>
  <si>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</si>
  <si>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</si>
  <si>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</si>
  <si>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</si>
  <si>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</si>
  <si>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</si>
  <si>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</si>
  <si>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</si>
  <si>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</si>
  <si>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</si>
  <si>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</si>
  <si>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</si>
  <si>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</si>
  <si>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</si>
  <si>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</si>
  <si>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</si>
  <si>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</si>
  <si>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</si>
  <si>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</si>
  <si>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</si>
  <si>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</si>
  <si>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</si>
  <si>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</si>
  <si>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</si>
  <si>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</si>
  <si>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</si>
  <si>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</si>
  <si>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</si>
  <si>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</si>
  <si>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</si>
  <si>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</si>
  <si>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</si>
  <si>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</si>
  <si>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</si>
  <si>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</si>
  <si>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</si>
  <si>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</si>
  <si>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</si>
  <si>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</si>
  <si>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</si>
  <si>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</si>
  <si>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</si>
  <si>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</si>
  <si>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</si>
  <si>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</si>
  <si>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</si>
  <si>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</si>
  <si>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</si>
  <si>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</si>
  <si>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</si>
  <si>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</si>
  <si>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</si>
  <si>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</si>
  <si>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</si>
  <si>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</si>
  <si>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</si>
  <si>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</si>
  <si>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</si>
  <si>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</si>
  <si>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</si>
  <si>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</si>
  <si>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</si>
  <si>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</si>
  <si>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</si>
  <si>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</si>
  <si>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</si>
  <si>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</si>
  <si>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</si>
  <si>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</si>
  <si>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</si>
  <si>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</si>
  <si>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</si>
  <si>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</si>
  <si>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</si>
  <si>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</si>
  <si>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</si>
  <si>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</si>
  <si>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</si>
  <si>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</si>
  <si>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</si>
  <si>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</si>
  <si>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</si>
  <si>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</si>
  <si>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</si>
  <si>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</si>
  <si>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</si>
  <si>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</si>
  <si>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</si>
  <si>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</si>
  <si>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</si>
  <si>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</si>
  <si>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</si>
  <si>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</si>
  <si>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</si>
  <si>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</si>
  <si>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</si>
  <si>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</si>
  <si>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</si>
  <si>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</si>
  <si>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</si>
  <si>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</si>
  <si>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</si>
  <si>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</si>
  <si>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</si>
  <si>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</si>
  <si>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</si>
  <si>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</si>
  <si>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</si>
  <si>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</si>
  <si>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</si>
  <si>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</si>
  <si>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</si>
  <si>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</si>
  <si>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</si>
  <si>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</si>
  <si>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</si>
  <si>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</si>
  <si>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</si>
  <si>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</si>
  <si>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</si>
  <si>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</si>
  <si>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</si>
  <si>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</si>
  <si>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</si>
  <si>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</si>
  <si>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</si>
  <si>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</si>
  <si>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</si>
  <si>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</si>
  <si>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</si>
  <si>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</si>
  <si>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 xml:space="preserve">PHL001Presence of mines and improvised explosive devices </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</si>
  <si>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</si>
  <si>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</si>
  <si>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</si>
  <si>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</si>
  <si>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</si>
  <si>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</si>
  <si>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</si>
  <si>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</si>
  <si>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</si>
  <si>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</si>
  <si>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</si>
  <si>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</si>
  <si>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</si>
  <si>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</si>
  <si>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</si>
  <si>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</si>
  <si>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</si>
  <si>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</si>
  <si>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</si>
  <si>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</si>
  <si>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</si>
  <si>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</si>
  <si>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</si>
  <si>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</si>
  <si>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</si>
  <si>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</si>
  <si>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</si>
  <si>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</si>
  <si>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</si>
  <si>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</si>
  <si>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</si>
  <si>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</si>
  <si>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</si>
  <si>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</si>
  <si>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</si>
  <si>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</si>
  <si>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</si>
  <si>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</si>
  <si>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</si>
  <si>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</si>
  <si>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</si>
  <si>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</si>
  <si>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</si>
  <si>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</si>
  <si>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</si>
  <si>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</si>
  <si>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</si>
  <si>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</si>
  <si>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</si>
  <si>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</si>
  <si>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</si>
  <si>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</si>
  <si>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</si>
  <si>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</si>
  <si>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</si>
  <si>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</si>
  <si>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</si>
  <si>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</si>
  <si>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</si>
  <si>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</si>
  <si>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</si>
  <si>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 xml:space="preserve">PHL004Presence of mines and improvised explosive devices </t>
  </si>
  <si>
    <t>PHL004Physical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</si>
  <si>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</si>
  <si>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</si>
  <si>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</si>
  <si>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</si>
  <si>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</si>
  <si>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</si>
  <si>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</si>
  <si>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</si>
  <si>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</si>
  <si>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</si>
  <si>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</si>
  <si>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</si>
  <si>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</si>
  <si>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</si>
  <si>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</si>
  <si>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</si>
  <si>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</si>
  <si>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</si>
  <si>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</si>
  <si>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</si>
  <si>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</si>
  <si>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</si>
  <si>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</si>
  <si>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</si>
  <si>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</si>
  <si>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</si>
  <si>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</si>
  <si>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</si>
  <si>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</si>
  <si>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</si>
  <si>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</si>
  <si>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</si>
  <si>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</si>
  <si>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</si>
  <si>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</si>
  <si>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</si>
  <si>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</si>
  <si>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</si>
  <si>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</si>
  <si>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</si>
  <si>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</si>
  <si>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</si>
  <si>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</si>
  <si>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</si>
  <si>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</si>
  <si>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</si>
  <si>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</si>
  <si>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</si>
  <si>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</si>
  <si>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</si>
  <si>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</si>
  <si>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</si>
  <si>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</si>
  <si>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</si>
  <si>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</si>
  <si>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</si>
  <si>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</si>
  <si>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</si>
  <si>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</si>
  <si>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</si>
  <si>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</si>
  <si>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</si>
  <si>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</si>
  <si>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</si>
  <si>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</si>
  <si>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</si>
  <si>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</si>
  <si>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</si>
  <si>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</si>
  <si>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</si>
  <si>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</si>
  <si>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</si>
  <si>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</si>
  <si>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</si>
  <si>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</si>
  <si>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</si>
  <si>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</si>
  <si>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</si>
  <si>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</si>
  <si>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</si>
  <si>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</si>
  <si>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</si>
  <si>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</si>
  <si>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</si>
  <si>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</si>
  <si>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</si>
  <si>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</si>
  <si>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</si>
  <si>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</si>
  <si>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</si>
  <si>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</si>
  <si>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</si>
  <si>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</si>
  <si>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</si>
  <si>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</si>
  <si>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</si>
  <si>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</si>
  <si>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</si>
  <si>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</si>
  <si>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</si>
  <si>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</si>
  <si>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</si>
  <si>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</si>
  <si>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</si>
  <si>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</si>
  <si>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</si>
  <si>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</si>
  <si>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</si>
  <si>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</si>
  <si>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</si>
  <si>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</si>
  <si>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</si>
  <si>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</si>
  <si>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</si>
  <si>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</si>
  <si>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</si>
  <si>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</si>
  <si>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</si>
  <si>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</si>
  <si>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</si>
  <si>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</si>
  <si>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</si>
  <si>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</si>
  <si>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</si>
  <si>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</si>
  <si>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</si>
  <si>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</si>
  <si>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</si>
  <si>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</si>
  <si>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</si>
  <si>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</si>
  <si>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</si>
  <si>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</si>
  <si>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</si>
  <si>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</si>
  <si>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</si>
  <si>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</si>
  <si>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</si>
  <si>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</si>
  <si>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</si>
  <si>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</si>
  <si>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</si>
  <si>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</si>
  <si>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</si>
  <si>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</si>
  <si>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</si>
  <si>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</si>
  <si>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</si>
  <si>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</si>
  <si>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</si>
  <si>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</si>
  <si>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</si>
  <si>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</si>
  <si>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 xml:space="preserve">SOM004Presence of mines and improvised explosive devices </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</si>
  <si>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</si>
  <si>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</si>
  <si>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</si>
  <si>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</si>
  <si>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</si>
  <si>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</si>
  <si>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</si>
  <si>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</si>
  <si>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</si>
  <si>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</si>
  <si>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</si>
  <si>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</si>
  <si>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</si>
  <si>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</si>
  <si>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</si>
  <si>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</si>
  <si>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</si>
  <si>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</si>
  <si>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</si>
  <si>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</si>
  <si>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</si>
  <si>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</si>
  <si>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</si>
  <si>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</si>
  <si>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</si>
  <si>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</si>
  <si>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</si>
  <si>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</si>
  <si>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</si>
  <si>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</si>
  <si>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</si>
  <si>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</si>
  <si>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</si>
  <si>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</si>
  <si>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</si>
  <si>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</si>
  <si>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</si>
  <si>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</si>
  <si>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</si>
  <si>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</si>
  <si>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</si>
  <si>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</si>
  <si>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</si>
  <si>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</si>
  <si>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</si>
  <si>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</si>
  <si>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</si>
  <si>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</si>
  <si>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</si>
  <si>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</si>
  <si>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</si>
  <si>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</si>
  <si>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</si>
  <si>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</si>
  <si>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</si>
  <si>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</si>
  <si>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</si>
  <si>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</si>
  <si>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</si>
  <si>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</si>
  <si>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</si>
  <si>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</si>
  <si>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</si>
  <si>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</si>
  <si>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</si>
  <si>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</si>
  <si>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</si>
  <si>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</si>
  <si>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</si>
  <si>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</si>
  <si>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</si>
  <si>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</si>
  <si>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</si>
  <si>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</si>
  <si>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</si>
  <si>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</si>
  <si>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</si>
  <si>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</si>
  <si>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</si>
  <si>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</si>
  <si>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</si>
  <si>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</si>
  <si>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</si>
  <si>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</si>
  <si>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</si>
  <si>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</si>
  <si>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</si>
  <si>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</si>
  <si>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</si>
  <si>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</si>
  <si>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</si>
  <si>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</si>
  <si>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 xml:space="preserve">SDN005Presence of mines and improvised explosive devices </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</si>
  <si>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</si>
  <si>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</si>
  <si>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</si>
  <si>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</si>
  <si>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</si>
  <si>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</si>
  <si>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</si>
  <si>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</si>
  <si>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</si>
  <si>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</si>
  <si>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</si>
  <si>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</si>
  <si>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</si>
  <si>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</si>
  <si>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</si>
  <si>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</si>
  <si>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</si>
  <si>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</si>
  <si>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</si>
  <si>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</si>
  <si>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</si>
  <si>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</si>
  <si>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</si>
  <si>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</si>
  <si>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</si>
  <si>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</si>
  <si>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</si>
  <si>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</si>
  <si>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</si>
  <si>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</si>
  <si>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 xml:space="preserve">SDN006Presence of mines and improvised explosive devices </t>
  </si>
  <si>
    <t>SDN006Physical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</si>
  <si>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</si>
  <si>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</si>
  <si>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</si>
  <si>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</si>
  <si>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</si>
  <si>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</si>
  <si>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</si>
  <si>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</si>
  <si>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</si>
  <si>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</si>
  <si>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</si>
  <si>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</si>
  <si>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</si>
  <si>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</si>
  <si>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</si>
  <si>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</si>
  <si>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</si>
  <si>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</si>
  <si>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</si>
  <si>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</si>
  <si>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</si>
  <si>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</si>
  <si>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</si>
  <si>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</si>
  <si>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</si>
  <si>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</si>
  <si>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</si>
  <si>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</si>
  <si>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</si>
  <si>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</si>
  <si>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</si>
  <si>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</si>
  <si>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</si>
  <si>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</si>
  <si>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</si>
  <si>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</si>
  <si>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</si>
  <si>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</si>
  <si>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</si>
  <si>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</si>
  <si>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</si>
  <si>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</si>
  <si>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</si>
  <si>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</si>
  <si>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</si>
  <si>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</si>
  <si>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</si>
  <si>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</si>
  <si>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</si>
  <si>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</si>
  <si>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</si>
  <si>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</si>
  <si>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</si>
  <si>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</si>
  <si>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</si>
  <si>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</si>
  <si>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</si>
  <si>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</si>
  <si>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</si>
  <si>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</si>
  <si>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</si>
  <si>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</si>
  <si>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</si>
  <si>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</si>
  <si>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</si>
  <si>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</si>
  <si>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</si>
  <si>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</si>
  <si>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</si>
  <si>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</si>
  <si>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</si>
  <si>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</si>
  <si>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</si>
  <si>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</si>
  <si>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</si>
  <si>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</si>
  <si>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</si>
  <si>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</si>
  <si>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</si>
  <si>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</si>
  <si>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</si>
  <si>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</si>
  <si>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</si>
  <si>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</si>
  <si>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</si>
  <si>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</si>
  <si>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</si>
  <si>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</si>
  <si>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</si>
  <si>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</si>
  <si>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</si>
  <si>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</si>
  <si>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</si>
  <si>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</si>
  <si>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</si>
  <si>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</si>
  <si>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</si>
  <si>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</si>
  <si>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</si>
  <si>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</si>
  <si>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</si>
  <si>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</si>
  <si>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</si>
  <si>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</si>
  <si>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</si>
  <si>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</si>
  <si>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</si>
  <si>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</si>
  <si>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</si>
  <si>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</si>
  <si>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</si>
  <si>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</si>
  <si>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</si>
  <si>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</si>
  <si>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</si>
  <si>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</si>
  <si>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</si>
  <si>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</si>
  <si>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</si>
  <si>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</si>
  <si>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</si>
  <si>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</si>
  <si>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</si>
  <si>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</si>
  <si>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</si>
  <si>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</si>
  <si>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</si>
  <si>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</si>
  <si>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</si>
  <si>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</si>
  <si>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</si>
  <si>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</si>
  <si>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</si>
  <si>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</si>
  <si>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</si>
  <si>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</si>
  <si>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</si>
  <si>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</si>
  <si>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</si>
  <si>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</si>
  <si>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</si>
  <si>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</si>
  <si>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</si>
  <si>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</si>
  <si>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</si>
  <si>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</si>
  <si>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</si>
  <si>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</si>
  <si>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</si>
  <si>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</si>
  <si>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</si>
  <si>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</si>
  <si>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</si>
  <si>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</si>
  <si>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</si>
  <si>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</si>
  <si>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</si>
  <si>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</si>
  <si>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</si>
  <si>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</si>
  <si>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</si>
  <si>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</si>
  <si>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</si>
  <si>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</si>
  <si>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</si>
  <si>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</si>
  <si>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</si>
  <si>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</si>
  <si>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</si>
  <si>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</si>
  <si>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</si>
  <si>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</si>
  <si>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</si>
  <si>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</si>
  <si>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</si>
  <si>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</si>
  <si>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</si>
  <si>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</si>
  <si>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</si>
  <si>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</si>
  <si>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</si>
  <si>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</si>
  <si>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</si>
  <si>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</si>
  <si>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</si>
  <si>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</si>
  <si>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</si>
  <si>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</si>
  <si>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</si>
  <si>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</si>
  <si>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</si>
  <si>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</si>
  <si>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</si>
  <si>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</si>
  <si>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</si>
  <si>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</si>
  <si>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</si>
  <si>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</si>
  <si>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</si>
  <si>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</si>
  <si>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</si>
  <si>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</si>
  <si>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</si>
  <si>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</si>
  <si>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</si>
  <si>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</si>
  <si>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</si>
  <si>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</si>
  <si>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</si>
  <si>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</si>
  <si>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</si>
  <si>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</si>
  <si>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</si>
  <si>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</si>
  <si>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</si>
  <si>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</si>
  <si>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</si>
  <si>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</si>
  <si>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</si>
  <si>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</si>
  <si>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</si>
  <si>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</si>
  <si>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</si>
  <si>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</si>
  <si>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</si>
  <si>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</si>
  <si>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</si>
  <si>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</si>
  <si>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</si>
  <si>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</si>
  <si>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</si>
  <si>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</si>
  <si>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</si>
  <si>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</si>
  <si>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</si>
  <si>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</si>
  <si>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</si>
  <si>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</si>
  <si>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</si>
  <si>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</si>
  <si>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</si>
  <si>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</si>
  <si>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</si>
  <si>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</si>
  <si>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</si>
  <si>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</si>
  <si>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</si>
  <si>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</si>
  <si>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</si>
  <si>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</si>
  <si>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</si>
  <si>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</si>
  <si>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</si>
  <si>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</si>
  <si>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</si>
  <si>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</si>
  <si>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</si>
  <si>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</si>
  <si>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</si>
  <si>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</si>
  <si>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</si>
  <si>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</si>
  <si>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</si>
  <si>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</si>
  <si>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</si>
  <si>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</si>
  <si>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</si>
  <si>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</si>
  <si>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</si>
  <si>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</si>
  <si>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</si>
  <si>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</si>
  <si>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</si>
  <si>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</si>
  <si>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</si>
  <si>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</si>
  <si>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</si>
  <si>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</si>
  <si>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</si>
  <si>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</si>
  <si>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</si>
  <si>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</si>
  <si>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</si>
  <si>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</si>
  <si>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</si>
  <si>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</si>
  <si>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</si>
  <si>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</si>
  <si>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</si>
  <si>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</si>
  <si>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</si>
  <si>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</si>
  <si>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</si>
  <si>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</si>
  <si>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</si>
  <si>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</si>
  <si>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</si>
  <si>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</si>
  <si>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</si>
  <si>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</si>
  <si>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</si>
  <si>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</si>
  <si>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</si>
  <si>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</si>
  <si>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</si>
  <si>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</si>
  <si>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</si>
  <si>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</si>
  <si>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</si>
  <si>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</si>
  <si>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</si>
  <si>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</si>
  <si>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</si>
  <si>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</si>
  <si>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</si>
  <si>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</si>
  <si>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</si>
  <si>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</si>
  <si>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</si>
  <si>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</si>
  <si>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</si>
  <si>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</si>
  <si>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</si>
  <si>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</si>
  <si>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</si>
  <si>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</si>
  <si>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</si>
  <si>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</si>
  <si>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</si>
  <si>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</si>
  <si>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</si>
  <si>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</si>
  <si>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</si>
  <si>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</si>
  <si>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</si>
  <si>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</si>
  <si>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</si>
  <si>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</si>
  <si>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</si>
  <si>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</si>
  <si>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</si>
  <si>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</si>
  <si>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</si>
  <si>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</si>
  <si>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</si>
  <si>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</si>
  <si>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</si>
  <si>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</si>
  <si>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</si>
  <si>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</si>
  <si>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</si>
  <si>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</si>
  <si>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</si>
  <si>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</si>
  <si>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</si>
  <si>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</si>
  <si>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</si>
  <si>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</si>
  <si>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</si>
  <si>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</si>
  <si>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</si>
  <si>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</si>
  <si>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</si>
  <si>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</si>
  <si>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</si>
  <si>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</si>
  <si>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</si>
  <si>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</si>
  <si>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</si>
  <si>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</si>
  <si>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</si>
  <si>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</si>
  <si>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</si>
  <si>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</si>
  <si>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</si>
  <si>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</si>
  <si>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</si>
  <si>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</si>
  <si>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</si>
  <si>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</si>
  <si>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</si>
  <si>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</si>
  <si>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</si>
  <si>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</si>
  <si>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</si>
  <si>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</si>
  <si>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</si>
  <si>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</si>
  <si>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</si>
  <si>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</si>
  <si>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</si>
  <si>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</si>
  <si>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</si>
  <si>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</si>
  <si>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</si>
  <si>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</si>
  <si>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</si>
  <si>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</si>
  <si>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</si>
  <si>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</si>
  <si>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</si>
  <si>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</si>
  <si>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</si>
  <si>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</si>
  <si>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</si>
  <si>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</si>
  <si>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</si>
  <si>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</si>
  <si>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</si>
  <si>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</si>
  <si>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</si>
  <si>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</si>
  <si>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</si>
  <si>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</si>
  <si>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</si>
  <si>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</si>
  <si>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</si>
  <si>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</si>
  <si>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</si>
  <si>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</si>
  <si>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</si>
  <si>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</si>
  <si>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</si>
  <si>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</si>
  <si>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</si>
  <si>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</si>
  <si>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</si>
  <si>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</si>
  <si>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</si>
  <si>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</si>
  <si>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</si>
  <si>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</si>
  <si>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 xml:space="preserve">UGA001Presence of mines and improvised explosive devices </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</si>
  <si>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</si>
  <si>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</si>
  <si>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</si>
  <si>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</si>
  <si>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</si>
  <si>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</si>
  <si>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</si>
  <si>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</si>
  <si>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</si>
  <si>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</si>
  <si>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</si>
  <si>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</si>
  <si>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</si>
  <si>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</si>
  <si>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</si>
  <si>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</si>
  <si>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</si>
  <si>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</si>
  <si>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</si>
  <si>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</si>
  <si>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</si>
  <si>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</si>
  <si>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</si>
  <si>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</si>
  <si>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</si>
  <si>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</si>
  <si>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</si>
  <si>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</si>
  <si>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</si>
  <si>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</si>
  <si>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</si>
  <si>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</si>
  <si>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UGA006Total population</t>
  </si>
  <si>
    <t>UGA006Landmass affected</t>
  </si>
  <si>
    <t>UGA006People exposed</t>
  </si>
  <si>
    <t>UGA006People affected</t>
  </si>
  <si>
    <t>UGA006People displaced</t>
  </si>
  <si>
    <t>UGA006Injuries reported</t>
  </si>
  <si>
    <t>UGA006Illness cases reported</t>
  </si>
  <si>
    <t>UGA006Fatalities reported</t>
  </si>
  <si>
    <t>UGA006Buildings damaged</t>
  </si>
  <si>
    <t>UGA006Buildings destroyed</t>
  </si>
  <si>
    <t>UGA006Buildings in the affected area</t>
  </si>
  <si>
    <t>UGA006Economic Losses</t>
  </si>
  <si>
    <t>UGA006People in Need</t>
  </si>
  <si>
    <t>UGA006Minimal humanitarian conditions - Level 1</t>
  </si>
  <si>
    <t>UGA006Stressed humanitarian conditions - Level 2</t>
  </si>
  <si>
    <t>UGA006Moderate humanitarian conditions - Level 3</t>
  </si>
  <si>
    <t>UGA006Severe humanitarian conditions - Level 4</t>
  </si>
  <si>
    <t>UGA006Extreme humanitarian conditions - Level 5</t>
  </si>
  <si>
    <t>UGA006Fatalities in all crises</t>
  </si>
  <si>
    <t>UGA006Crisis affected groups</t>
  </si>
  <si>
    <t>UGA006People facing limited access constraints</t>
  </si>
  <si>
    <t>UGA006People facing restricted access constraints</t>
  </si>
  <si>
    <t>UGA006Impediments to entry into country (bureaucratic and administrative)</t>
  </si>
  <si>
    <t>UGA006Restriction of movement (impediments to freedom of movement and/or administrative restrictions)</t>
  </si>
  <si>
    <t>UGA006Interference into implementation of humanitarian activities</t>
  </si>
  <si>
    <t>UGA006Violence against personnel, facilities and assets</t>
  </si>
  <si>
    <t>UGA006Denial of existence of humanitarian needs or entitlements to assistance</t>
  </si>
  <si>
    <t>UGA006Restriction and obstruction of access to services and assistance</t>
  </si>
  <si>
    <t>UGA006Ongoing insecurity/hostilities affecting humanitarian assistance</t>
  </si>
  <si>
    <t xml:space="preserve">UGA006Presence of mines and improvised explosive devices </t>
  </si>
  <si>
    <t>UGA006Physical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</si>
  <si>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</si>
  <si>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</si>
  <si>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</si>
  <si>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</si>
  <si>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</si>
  <si>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</si>
  <si>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</si>
  <si>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</si>
  <si>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</si>
  <si>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</si>
  <si>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</si>
  <si>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</si>
  <si>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</si>
  <si>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</si>
  <si>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</si>
  <si>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</si>
  <si>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</si>
  <si>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</si>
  <si>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</si>
  <si>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</si>
  <si>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</si>
  <si>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</si>
  <si>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</si>
  <si>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</si>
  <si>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</si>
  <si>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</si>
  <si>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</si>
  <si>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</si>
  <si>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</si>
  <si>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</si>
  <si>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</si>
  <si>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</si>
  <si>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</si>
  <si>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</si>
  <si>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</si>
  <si>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</si>
  <si>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</si>
  <si>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</si>
  <si>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</si>
  <si>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</si>
  <si>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</si>
  <si>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</si>
  <si>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</si>
  <si>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</si>
  <si>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</si>
  <si>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</si>
  <si>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</si>
  <si>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</si>
  <si>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</si>
  <si>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</si>
  <si>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</si>
  <si>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</si>
  <si>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</si>
  <si>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</si>
  <si>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</si>
  <si>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</si>
  <si>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</si>
  <si>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</si>
  <si>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</si>
  <si>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</si>
  <si>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 xml:space="preserve">VUT002Presence of mines and improvised explosive devices </t>
  </si>
  <si>
    <t>VUT002Physical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</si>
  <si>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</si>
  <si>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</si>
  <si>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</si>
  <si>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</si>
  <si>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</si>
  <si>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</si>
  <si>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</si>
  <si>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</si>
  <si>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</si>
  <si>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</si>
  <si>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</si>
  <si>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</si>
  <si>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</si>
  <si>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</si>
  <si>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</si>
  <si>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</si>
  <si>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</si>
  <si>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</si>
  <si>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</si>
  <si>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</si>
  <si>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</si>
  <si>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</si>
  <si>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</si>
  <si>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</si>
  <si>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</si>
  <si>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</si>
  <si>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</si>
  <si>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</si>
  <si>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</si>
  <si>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</si>
  <si>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</si>
  <si>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</si>
  <si>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</si>
  <si>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</si>
  <si>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</si>
  <si>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</si>
  <si>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</si>
  <si>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</si>
  <si>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</si>
  <si>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</si>
  <si>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</si>
  <si>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</si>
  <si>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</si>
  <si>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</si>
  <si>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</si>
  <si>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</si>
  <si>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</si>
  <si>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</si>
  <si>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</si>
  <si>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</si>
  <si>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</si>
  <si>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</si>
  <si>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</si>
  <si>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</si>
  <si>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</si>
  <si>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</si>
  <si>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</si>
  <si>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</si>
  <si>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</si>
  <si>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</si>
  <si>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</si>
  <si>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</si>
  <si>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</si>
  <si>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</si>
  <si>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</si>
  <si>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</si>
  <si>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</si>
  <si>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</si>
  <si>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</si>
  <si>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</si>
  <si>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</si>
  <si>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</si>
  <si>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</si>
  <si>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</si>
  <si>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</si>
  <si>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</si>
  <si>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</si>
  <si>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</si>
  <si>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</si>
  <si>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</si>
  <si>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</si>
  <si>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</si>
  <si>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</si>
  <si>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</si>
  <si>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</si>
  <si>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</si>
  <si>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</si>
  <si>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</si>
  <si>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</si>
  <si>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</si>
  <si>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</si>
  <si>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 xml:space="preserve">VNM002Presence of mines and improvised explosive devices </t>
  </si>
  <si>
    <t>VNM002Physical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</si>
  <si>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</si>
  <si>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</si>
  <si>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</si>
  <si>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</si>
  <si>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</si>
  <si>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</si>
  <si>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</si>
  <si>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</si>
  <si>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</si>
  <si>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</si>
  <si>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</si>
  <si>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</si>
  <si>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</si>
  <si>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</si>
  <si>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</si>
  <si>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</si>
  <si>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</si>
  <si>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</si>
  <si>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</si>
  <si>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</si>
  <si>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</si>
  <si>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</si>
  <si>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</si>
  <si>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</si>
  <si>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</si>
  <si>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</si>
  <si>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</si>
  <si>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</si>
  <si>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</si>
  <si>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</si>
  <si>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</si>
  <si>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</si>
  <si>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</si>
  <si>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</si>
  <si>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</si>
  <si>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</si>
  <si>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</si>
  <si>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</si>
  <si>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</si>
  <si>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</si>
  <si>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</si>
  <si>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</si>
  <si>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</si>
  <si>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</si>
  <si>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</si>
  <si>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</si>
  <si>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</si>
  <si>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</si>
  <si>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</si>
  <si>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</si>
  <si>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</si>
  <si>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</si>
  <si>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</si>
  <si>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</si>
  <si>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</si>
  <si>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</si>
  <si>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</si>
  <si>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</si>
  <si>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</si>
  <si>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</si>
  <si>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</si>
  <si>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</si>
  <si>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</si>
  <si>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</si>
  <si>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</si>
  <si>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</si>
  <si>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</si>
  <si>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</si>
  <si>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</si>
  <si>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</si>
  <si>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</si>
  <si>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</si>
  <si>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</si>
  <si>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</si>
  <si>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</si>
  <si>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</si>
  <si>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</si>
  <si>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</si>
  <si>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</si>
  <si>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</si>
  <si>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</si>
  <si>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</si>
  <si>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</si>
  <si>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</si>
  <si>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</si>
  <si>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</si>
  <si>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</si>
  <si>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</si>
  <si>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</si>
  <si>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</si>
  <si>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</si>
  <si>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</si>
  <si>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</si>
  <si>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</si>
  <si>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</si>
  <si>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</si>
  <si>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</si>
  <si>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</si>
  <si>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</si>
  <si>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</si>
  <si>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</si>
  <si>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</si>
  <si>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</si>
  <si>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</si>
  <si>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</si>
  <si>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</si>
  <si>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</si>
  <si>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</si>
  <si>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</si>
  <si>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</si>
  <si>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</si>
  <si>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</si>
  <si>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</si>
  <si>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</si>
  <si>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</si>
  <si>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</si>
  <si>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</si>
  <si>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</si>
  <si>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</si>
  <si>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</si>
  <si>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</si>
  <si>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</si>
  <si>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</si>
  <si>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</si>
  <si>
    <t>ZWE003Total population</t>
  </si>
  <si>
    <t>ZWE003Landmass affected</t>
  </si>
  <si>
    <t>ZWE003People exposed</t>
  </si>
  <si>
    <t>ZWE003People affected</t>
  </si>
  <si>
    <t>ZWE003People displaced</t>
  </si>
  <si>
    <t>ZWE003Injuries reported</t>
  </si>
  <si>
    <t>ZWE003Illness cases reported</t>
  </si>
  <si>
    <t>ZWE003Fatalities reported</t>
  </si>
  <si>
    <t>ZWE003Buildings damaged</t>
  </si>
  <si>
    <t>ZWE003Buildings destroyed</t>
  </si>
  <si>
    <t>ZWE003Buildings in the affected area</t>
  </si>
  <si>
    <t>ZWE003Economic Losses</t>
  </si>
  <si>
    <t>ZWE003People in Need</t>
  </si>
  <si>
    <t>ZWE003Minimal humanitarian conditions - Level 1</t>
  </si>
  <si>
    <t>ZWE003Stressed humanitarian conditions - Level 2</t>
  </si>
  <si>
    <t>ZWE003Moderate humanitarian conditions - Level 3</t>
  </si>
  <si>
    <t>ZWE003Severe humanitarian conditions - Level 4</t>
  </si>
  <si>
    <t>ZWE003Extreme humanitarian conditions - Level 5</t>
  </si>
  <si>
    <t>ZWE003Fatalities in all crises</t>
  </si>
  <si>
    <t>ZWE003Crisis affected groups</t>
  </si>
  <si>
    <t>ZWE003People facing limited access constraints</t>
  </si>
  <si>
    <t>ZWE003People facing restricted access constraints</t>
  </si>
  <si>
    <t>ZWE003Impediments to entry into country (bureaucratic and administrative)</t>
  </si>
  <si>
    <t>ZWE003Restriction of movement (impediments to freedom of movement and/or administrative restrictions)</t>
  </si>
  <si>
    <t>ZWE003Interference into implementation of humanitarian activities</t>
  </si>
  <si>
    <t>ZWE003Violence against personnel, facilities and assets</t>
  </si>
  <si>
    <t>ZWE003Denial of existence of humanitarian needs or entitlements to assistance</t>
  </si>
  <si>
    <t>ZWE003Restriction and obstruction of access to services and assistance</t>
  </si>
  <si>
    <t>ZWE003Ongoing insecurity/hostilities affecting humanitarian assistance</t>
  </si>
  <si>
    <t xml:space="preserve">ZWE003Presence of mines and improvised explosive devices </t>
  </si>
  <si>
    <t>ZWE003Physical constraints in the environment (obstacles related to terrain, climate, lack of infrastructure,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</si>
</sst>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_(* \(#,##0.00\);_(* &quot;-&quot;??_);_(@_)"/>
    <numFmt numFmtId="165" formatCode="_-* #,##0.00_-;\-* #,##0.00_-;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39"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
      <sz val="10"/>
      <color theme="1"/>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FF00"/>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165"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165"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165" fontId="13" fillId="0" borderId="0" applyFont="0" applyFill="0" applyBorder="0" applyAlignment="0" applyProtection="0"/>
    <xf numFmtId="165"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5" fillId="0" borderId="0"/>
    <xf numFmtId="0" fontId="87" fillId="0" borderId="0" applyNumberFormat="0" applyFill="0" applyBorder="0" applyAlignment="0" applyProtection="0"/>
    <xf numFmtId="0" fontId="86" fillId="0" borderId="0"/>
    <xf numFmtId="0" fontId="88" fillId="0" borderId="0"/>
    <xf numFmtId="0" fontId="1" fillId="0" borderId="0"/>
    <xf numFmtId="0" fontId="12" fillId="8" borderId="0" applyNumberFormat="0" applyBorder="0" applyAlignment="0" applyProtection="0"/>
    <xf numFmtId="0" fontId="93" fillId="0" borderId="0"/>
    <xf numFmtId="43" fontId="93" fillId="0" borderId="0" applyFont="0" applyFill="0" applyBorder="0" applyAlignment="0" applyProtection="0"/>
    <xf numFmtId="0" fontId="85" fillId="0" borderId="0"/>
    <xf numFmtId="0" fontId="1" fillId="9" borderId="0" applyNumberFormat="0" applyBorder="0" applyAlignment="0" applyProtection="0"/>
    <xf numFmtId="43" fontId="13" fillId="0" borderId="0" applyFont="0" applyFill="0" applyBorder="0" applyAlignment="0" applyProtection="0"/>
    <xf numFmtId="43" fontId="15" fillId="0" borderId="0" applyFont="0" applyFill="0" applyBorder="0" applyAlignment="0" applyProtection="0"/>
    <xf numFmtId="0" fontId="85"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5" fillId="0" borderId="0" applyNumberFormat="0" applyFill="0" applyBorder="0" applyAlignment="0" applyProtection="0"/>
    <xf numFmtId="0" fontId="96" fillId="0" borderId="56" applyNumberFormat="0" applyFill="0" applyAlignment="0" applyProtection="0"/>
    <xf numFmtId="0" fontId="2" fillId="0" borderId="1" applyNumberFormat="0" applyFill="0" applyAlignment="0" applyProtection="0"/>
    <xf numFmtId="0" fontId="97" fillId="0" borderId="57" applyNumberFormat="0" applyFill="0" applyAlignment="0" applyProtection="0"/>
    <xf numFmtId="0" fontId="97" fillId="0" borderId="0" applyNumberFormat="0" applyFill="0" applyBorder="0" applyAlignment="0" applyProtection="0"/>
    <xf numFmtId="0" fontId="98" fillId="52" borderId="0" applyNumberFormat="0" applyBorder="0" applyAlignment="0" applyProtection="0"/>
    <xf numFmtId="0" fontId="99" fillId="0" borderId="0" applyNumberFormat="0" applyFill="0" applyBorder="0" applyAlignment="0" applyProtection="0"/>
    <xf numFmtId="0" fontId="11" fillId="0" borderId="58" applyNumberFormat="0" applyFill="0" applyAlignment="0" applyProtection="0"/>
    <xf numFmtId="0" fontId="1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2" fillId="9" borderId="0" applyNumberFormat="0" applyBorder="0" applyAlignment="0" applyProtection="0"/>
    <xf numFmtId="0" fontId="12"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2" fillId="74"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0" fillId="23" borderId="15" applyNumberFormat="0" applyAlignment="0" applyProtection="0"/>
    <xf numFmtId="0" fontId="26" fillId="0" borderId="59"/>
    <xf numFmtId="0" fontId="101" fillId="0" borderId="18" applyNumberFormat="0" applyFill="0" applyAlignment="0" applyProtection="0"/>
    <xf numFmtId="0" fontId="102"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3"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5" fillId="0" borderId="0"/>
    <xf numFmtId="43" fontId="85" fillId="0" borderId="0" applyFont="0" applyFill="0" applyBorder="0" applyAlignment="0" applyProtection="0"/>
    <xf numFmtId="0" fontId="26" fillId="34" borderId="65"/>
    <xf numFmtId="0" fontId="104" fillId="0" borderId="0"/>
    <xf numFmtId="0" fontId="105" fillId="52" borderId="0" applyNumberFormat="0" applyBorder="0" applyAlignment="0" applyProtection="0"/>
    <xf numFmtId="9" fontId="85"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0" fillId="23" borderId="69" applyNumberFormat="0" applyAlignment="0" applyProtection="0"/>
    <xf numFmtId="0" fontId="26" fillId="0" borderId="68"/>
    <xf numFmtId="0" fontId="102"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5" fillId="0" borderId="0"/>
    <xf numFmtId="0" fontId="11" fillId="0" borderId="67" applyNumberFormat="0" applyFill="0" applyAlignment="0" applyProtection="0"/>
    <xf numFmtId="165"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165" fontId="13" fillId="0" borderId="0" applyFont="0" applyFill="0" applyBorder="0" applyAlignment="0" applyProtection="0"/>
    <xf numFmtId="165"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0" fillId="23" borderId="69" applyNumberFormat="0" applyAlignment="0" applyProtection="0"/>
    <xf numFmtId="0" fontId="26" fillId="0" borderId="68"/>
    <xf numFmtId="0" fontId="102" fillId="36" borderId="70" applyNumberFormat="0" applyAlignment="0" applyProtection="0"/>
    <xf numFmtId="165" fontId="13" fillId="0" borderId="0" applyFont="0" applyFill="0" applyBorder="0" applyAlignment="0" applyProtection="0"/>
    <xf numFmtId="165"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5" fillId="0" borderId="0"/>
    <xf numFmtId="0" fontId="26" fillId="34" borderId="77"/>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26" fillId="34" borderId="77"/>
    <xf numFmtId="0" fontId="32" fillId="28" borderId="77" applyBorder="0">
      <protection locked="0"/>
    </xf>
  </cellStyleXfs>
  <cellXfs count="313">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vertical="center" indent="1"/>
    </xf>
    <xf numFmtId="0" fontId="0" fillId="0" borderId="0" xfId="0" applyAlignment="1">
      <alignment horizontal="center"/>
    </xf>
    <xf numFmtId="2" fontId="0" fillId="0" borderId="0" xfId="0" applyNumberFormat="1"/>
    <xf numFmtId="0" fontId="73" fillId="43" borderId="0" xfId="0" applyFont="1" applyFill="1" applyAlignment="1">
      <alignment horizontal="left" indent="1"/>
    </xf>
    <xf numFmtId="0" fontId="73" fillId="43" borderId="0" xfId="0" applyFont="1" applyFill="1" applyAlignment="1">
      <alignment horizontal="center"/>
    </xf>
    <xf numFmtId="0" fontId="73" fillId="43" borderId="0" xfId="70" applyFont="1" applyFill="1" applyAlignment="1">
      <alignment horizontal="center" textRotation="90" wrapText="1"/>
    </xf>
    <xf numFmtId="0" fontId="73" fillId="43" borderId="0" xfId="56" applyFont="1" applyFill="1" applyAlignment="1">
      <alignment horizontal="center" textRotation="90" wrapText="1"/>
    </xf>
    <xf numFmtId="0" fontId="79" fillId="43" borderId="0" xfId="84" applyFont="1" applyFill="1" applyAlignment="1">
      <alignment horizontal="center" textRotation="90" wrapText="1"/>
    </xf>
    <xf numFmtId="0" fontId="79" fillId="43"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2"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0"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4"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89" fillId="25" borderId="0" xfId="243" applyFont="1" applyFill="1"/>
    <xf numFmtId="0" fontId="91" fillId="44" borderId="0" xfId="36" applyFont="1" applyFill="1"/>
    <xf numFmtId="0" fontId="92" fillId="50"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6" fillId="25" borderId="11" xfId="243" applyFont="1" applyFill="1" applyBorder="1" applyAlignment="1">
      <alignment horizontal="left" indent="1"/>
    </xf>
    <xf numFmtId="1" fontId="107" fillId="26" borderId="66" xfId="243" applyNumberFormat="1" applyFont="1" applyFill="1" applyBorder="1" applyAlignment="1">
      <alignment horizontal="center" vertical="center"/>
    </xf>
    <xf numFmtId="166" fontId="107"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0" fillId="25" borderId="11" xfId="243" applyFont="1" applyFill="1" applyBorder="1" applyAlignment="1">
      <alignment horizontal="left" indent="1"/>
    </xf>
    <xf numFmtId="1" fontId="111" fillId="26" borderId="66" xfId="243" applyNumberFormat="1" applyFont="1" applyFill="1" applyBorder="1" applyAlignment="1">
      <alignment horizontal="center" vertical="center"/>
    </xf>
    <xf numFmtId="166" fontId="111" fillId="26" borderId="12" xfId="243" applyNumberFormat="1" applyFont="1" applyFill="1" applyBorder="1" applyAlignment="1">
      <alignment horizontal="center" vertical="center"/>
    </xf>
    <xf numFmtId="0" fontId="0" fillId="0" borderId="0" xfId="0" applyAlignment="1"/>
    <xf numFmtId="0" fontId="114" fillId="24" borderId="0" xfId="0" applyFont="1" applyFill="1" applyBorder="1" applyAlignment="1">
      <alignment horizontal="right" wrapText="1"/>
    </xf>
    <xf numFmtId="0" fontId="115"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4" fillId="24" borderId="0" xfId="0" applyNumberFormat="1" applyFont="1" applyFill="1" applyBorder="1" applyAlignment="1">
      <alignment horizontal="right" wrapText="1"/>
    </xf>
    <xf numFmtId="0" fontId="117" fillId="25" borderId="40" xfId="224" applyFont="1" applyFill="1" applyBorder="1" applyAlignment="1">
      <alignment horizontal="center" textRotation="90" wrapText="1"/>
    </xf>
    <xf numFmtId="0" fontId="117" fillId="75" borderId="40" xfId="224" applyFont="1" applyFill="1" applyBorder="1" applyAlignment="1">
      <alignment horizontal="center" textRotation="90" wrapText="1"/>
    </xf>
    <xf numFmtId="0" fontId="83" fillId="25" borderId="0" xfId="260" applyFont="1" applyFill="1" applyBorder="1" applyAlignment="1" applyProtection="1">
      <alignment horizontal="center" textRotation="90" wrapText="1"/>
      <protection locked="0"/>
    </xf>
    <xf numFmtId="0" fontId="119" fillId="25" borderId="40" xfId="225" applyFont="1" applyFill="1" applyBorder="1" applyAlignment="1">
      <alignment horizontal="center" textRotation="90" wrapText="1"/>
    </xf>
    <xf numFmtId="0" fontId="118" fillId="77" borderId="40" xfId="225" applyFont="1" applyFill="1" applyBorder="1" applyAlignment="1">
      <alignment horizontal="center" textRotation="90" wrapText="1"/>
    </xf>
    <xf numFmtId="0" fontId="120" fillId="25" borderId="40" xfId="225" applyFont="1" applyFill="1" applyBorder="1" applyAlignment="1">
      <alignment horizontal="center" textRotation="90" wrapText="1"/>
    </xf>
    <xf numFmtId="0" fontId="121" fillId="89" borderId="40" xfId="224"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79" fillId="90" borderId="34" xfId="109" applyFont="1" applyFill="1" applyBorder="1" applyAlignment="1">
      <alignment horizontal="center" textRotation="90" wrapText="1"/>
    </xf>
    <xf numFmtId="0" fontId="79" fillId="91" borderId="33" xfId="87"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9" fillId="83" borderId="32" xfId="111" applyFont="1" applyFill="1" applyBorder="1" applyAlignment="1">
      <alignment horizontal="center" textRotation="90" wrapText="1"/>
    </xf>
    <xf numFmtId="0" fontId="78" fillId="84" borderId="34" xfId="110" applyFont="1" applyFill="1" applyBorder="1" applyAlignment="1">
      <alignment horizontal="center" textRotation="90" wrapText="1"/>
    </xf>
    <xf numFmtId="0" fontId="13" fillId="85" borderId="32" xfId="88" applyFont="1" applyFill="1" applyBorder="1" applyAlignment="1">
      <alignment horizontal="center" textRotation="90" wrapText="1"/>
    </xf>
    <xf numFmtId="0" fontId="13" fillId="85" borderId="34" xfId="88" applyFont="1" applyFill="1" applyBorder="1" applyAlignment="1">
      <alignment horizontal="center" textRotation="90" wrapText="1"/>
    </xf>
    <xf numFmtId="0" fontId="13" fillId="85" borderId="38" xfId="88" applyFont="1" applyFill="1" applyBorder="1" applyAlignment="1">
      <alignment horizontal="center" textRotation="90" wrapText="1"/>
    </xf>
    <xf numFmtId="0" fontId="79" fillId="78" borderId="38" xfId="106" applyFont="1" applyFill="1" applyBorder="1" applyAlignment="1">
      <alignment horizontal="center" textRotation="90" wrapText="1"/>
    </xf>
    <xf numFmtId="0" fontId="78" fillId="79" borderId="38" xfId="70" applyFont="1" applyFill="1" applyBorder="1" applyAlignment="1">
      <alignment horizontal="center" textRotation="90" wrapText="1"/>
    </xf>
    <xf numFmtId="0" fontId="78" fillId="79" borderId="38" xfId="13" applyFont="1" applyFill="1" applyBorder="1" applyAlignment="1">
      <alignment horizontal="center" textRotation="90" wrapText="1"/>
    </xf>
    <xf numFmtId="0" fontId="73" fillId="80" borderId="38" xfId="13" applyFont="1" applyFill="1" applyBorder="1" applyAlignment="1">
      <alignment horizontal="center" textRotation="90" wrapText="1"/>
    </xf>
    <xf numFmtId="0" fontId="73" fillId="80" borderId="38" xfId="70" applyFont="1" applyFill="1" applyBorder="1" applyAlignment="1">
      <alignment horizontal="center" textRotation="90" wrapText="1"/>
    </xf>
    <xf numFmtId="0" fontId="73" fillId="81" borderId="41"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167" fontId="73" fillId="49" borderId="38" xfId="9" applyNumberFormat="1" applyFont="1" applyFill="1" applyBorder="1" applyAlignment="1">
      <alignment horizontal="center" textRotation="90" wrapText="1"/>
    </xf>
    <xf numFmtId="167" fontId="73" fillId="49"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6" borderId="23" xfId="0" applyFont="1" applyFill="1" applyBorder="1" applyAlignment="1">
      <alignment horizontal="left" vertical="top" wrapText="1" indent="1"/>
    </xf>
    <xf numFmtId="0" fontId="123"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4" borderId="78" xfId="0" applyFont="1" applyFill="1" applyBorder="1" applyAlignment="1">
      <alignment horizontal="center"/>
    </xf>
    <xf numFmtId="0" fontId="76" fillId="0" borderId="68" xfId="0" applyFont="1" applyBorder="1" applyAlignment="1">
      <alignment horizontal="left" vertical="top" wrapText="1" indent="1"/>
    </xf>
    <xf numFmtId="0" fontId="78" fillId="47" borderId="68" xfId="0" applyFont="1" applyFill="1" applyBorder="1" applyAlignment="1">
      <alignment horizontal="left" vertical="top" wrapText="1" indent="1"/>
    </xf>
    <xf numFmtId="0" fontId="78" fillId="86"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7" fillId="26" borderId="79" xfId="243" applyNumberFormat="1" applyFont="1" applyFill="1" applyBorder="1" applyAlignment="1">
      <alignment horizontal="center" vertical="center"/>
    </xf>
    <xf numFmtId="1" fontId="111" fillId="26" borderId="79" xfId="243" applyNumberFormat="1" applyFont="1" applyFill="1" applyBorder="1" applyAlignment="1">
      <alignment horizontal="center" vertical="center"/>
    </xf>
    <xf numFmtId="166" fontId="83" fillId="25" borderId="80" xfId="0" applyNumberFormat="1" applyFont="1" applyFill="1" applyBorder="1" applyAlignment="1" applyProtection="1">
      <alignment horizontal="center"/>
    </xf>
    <xf numFmtId="0" fontId="124" fillId="25" borderId="0" xfId="0" applyFont="1" applyFill="1" applyAlignment="1">
      <alignment horizontal="center" vertical="center"/>
    </xf>
    <xf numFmtId="0" fontId="0" fillId="25" borderId="0" xfId="0" applyFill="1" applyAlignment="1">
      <alignment vertical="top"/>
    </xf>
    <xf numFmtId="0" fontId="126" fillId="25" borderId="0" xfId="0" applyFont="1" applyFill="1"/>
    <xf numFmtId="0" fontId="133" fillId="25" borderId="0" xfId="225" applyFont="1" applyFill="1" applyBorder="1"/>
    <xf numFmtId="14" fontId="126"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2" fillId="44" borderId="0" xfId="36" applyFont="1" applyFill="1" applyAlignment="1">
      <alignment horizontal="left" indent="1"/>
    </xf>
    <xf numFmtId="0" fontId="40" fillId="96" borderId="59" xfId="225" applyFont="1" applyFill="1" applyBorder="1" applyAlignment="1">
      <alignment horizontal="center" textRotation="90" wrapText="1"/>
    </xf>
    <xf numFmtId="166" fontId="84"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3"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3" fillId="25" borderId="93" xfId="0" applyNumberFormat="1" applyFont="1" applyFill="1" applyBorder="1" applyAlignment="1" applyProtection="1">
      <alignment horizontal="center"/>
    </xf>
    <xf numFmtId="166" fontId="84"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08" fillId="25" borderId="81" xfId="56" applyNumberFormat="1" applyFont="1" applyFill="1" applyBorder="1" applyAlignment="1">
      <alignment horizontal="center" vertical="center"/>
    </xf>
    <xf numFmtId="167" fontId="112"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08" fillId="25" borderId="95" xfId="0" applyFont="1" applyFill="1" applyBorder="1" applyAlignment="1">
      <alignment horizontal="left" indent="1"/>
    </xf>
    <xf numFmtId="0" fontId="108" fillId="25" borderId="89" xfId="0" applyFont="1" applyFill="1" applyBorder="1" applyAlignment="1">
      <alignment horizontal="left" indent="1"/>
    </xf>
    <xf numFmtId="0" fontId="108" fillId="25" borderId="86" xfId="0" applyFont="1" applyFill="1" applyBorder="1" applyAlignment="1">
      <alignment horizontal="left" indent="1"/>
    </xf>
    <xf numFmtId="0" fontId="112" fillId="25" borderId="95" xfId="0" applyFont="1" applyFill="1" applyBorder="1" applyAlignment="1">
      <alignment horizontal="left" indent="1"/>
    </xf>
    <xf numFmtId="0" fontId="112" fillId="25" borderId="89" xfId="0" applyFont="1" applyFill="1" applyBorder="1" applyAlignment="1">
      <alignment horizontal="left" indent="1"/>
    </xf>
    <xf numFmtId="0" fontId="112"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6" fillId="25" borderId="0" xfId="0" applyFont="1" applyFill="1" applyAlignment="1">
      <alignment horizontal="left" vertical="top" wrapText="1" indent="1"/>
    </xf>
    <xf numFmtId="0" fontId="131"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09" fillId="25" borderId="96" xfId="88" applyNumberFormat="1" applyFont="1" applyFill="1" applyBorder="1" applyAlignment="1">
      <alignment horizontal="center" vertical="center"/>
    </xf>
    <xf numFmtId="2" fontId="113"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6" borderId="0" xfId="0" applyFont="1" applyFill="1" applyAlignment="1">
      <alignment horizontal="center" wrapText="1"/>
    </xf>
    <xf numFmtId="0" fontId="79" fillId="96" borderId="0" xfId="0" applyFont="1" applyFill="1" applyAlignment="1">
      <alignment horizontal="center" textRotation="90"/>
    </xf>
    <xf numFmtId="0" fontId="40" fillId="97" borderId="0" xfId="0" applyFont="1" applyFill="1" applyAlignment="1">
      <alignment horizontal="center" textRotation="90"/>
    </xf>
    <xf numFmtId="0" fontId="40" fillId="97" borderId="0" xfId="0" applyFont="1" applyFill="1" applyAlignment="1">
      <alignment horizontal="center" textRotation="90" wrapText="1"/>
    </xf>
    <xf numFmtId="0" fontId="73" fillId="95" borderId="0" xfId="0" applyFont="1" applyFill="1"/>
    <xf numFmtId="166" fontId="73" fillId="0" borderId="0" xfId="0" applyNumberFormat="1" applyFont="1"/>
    <xf numFmtId="1" fontId="73" fillId="0" borderId="0" xfId="0" applyNumberFormat="1" applyFont="1"/>
    <xf numFmtId="0" fontId="79" fillId="44" borderId="0" xfId="0" applyFont="1" applyFill="1" applyAlignment="1">
      <alignment horizontal="center"/>
    </xf>
    <xf numFmtId="0" fontId="79" fillId="47" borderId="0" xfId="0" applyFont="1" applyFill="1"/>
    <xf numFmtId="0" fontId="79" fillId="48" borderId="0" xfId="0" applyFont="1" applyFill="1" applyAlignment="1">
      <alignment horizontal="center"/>
    </xf>
    <xf numFmtId="0" fontId="135" fillId="44" borderId="0" xfId="0" applyFont="1" applyFill="1"/>
    <xf numFmtId="0" fontId="79" fillId="81" borderId="0" xfId="0" applyFont="1" applyFill="1" applyAlignment="1">
      <alignment horizontal="center"/>
    </xf>
    <xf numFmtId="0" fontId="79" fillId="81" borderId="43" xfId="0" applyFont="1" applyFill="1" applyBorder="1" applyAlignment="1">
      <alignment horizontal="center"/>
    </xf>
    <xf numFmtId="0" fontId="79" fillId="79" borderId="0" xfId="0" applyFont="1" applyFill="1" applyAlignment="1">
      <alignment horizontal="center"/>
    </xf>
    <xf numFmtId="0" fontId="79" fillId="79" borderId="43" xfId="0" applyFont="1" applyFill="1" applyBorder="1" applyAlignment="1">
      <alignment horizontal="center"/>
    </xf>
    <xf numFmtId="0" fontId="79" fillId="45" borderId="0" xfId="0" applyFont="1" applyFill="1" applyAlignment="1">
      <alignment horizontal="center"/>
    </xf>
    <xf numFmtId="0" fontId="79" fillId="45" borderId="43" xfId="0" applyFont="1" applyFill="1" applyBorder="1" applyAlignment="1">
      <alignment horizontal="center"/>
    </xf>
    <xf numFmtId="0" fontId="79" fillId="46"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47" borderId="0" xfId="0" applyFont="1" applyFill="1" applyAlignment="1">
      <alignment horizontal="center"/>
    </xf>
    <xf numFmtId="0" fontId="79" fillId="87" borderId="0" xfId="0" applyFont="1" applyFill="1" applyAlignment="1">
      <alignment horizontal="center"/>
    </xf>
    <xf numFmtId="0" fontId="79" fillId="87" borderId="43" xfId="0" applyFont="1" applyFill="1" applyBorder="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14" fontId="79" fillId="87"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14" fontId="73" fillId="51" borderId="51" xfId="0" applyNumberFormat="1" applyFont="1" applyFill="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6" borderId="59" xfId="0" applyFont="1" applyFill="1" applyBorder="1" applyAlignment="1">
      <alignment horizontal="center" wrapText="1"/>
    </xf>
    <xf numFmtId="0" fontId="40" fillId="96" borderId="59" xfId="0" applyFont="1" applyFill="1" applyBorder="1" applyAlignment="1">
      <alignment horizontal="center" textRotation="90"/>
    </xf>
    <xf numFmtId="0" fontId="73" fillId="97" borderId="0" xfId="0" applyFont="1" applyFill="1"/>
    <xf numFmtId="166" fontId="73" fillId="0" borderId="0" xfId="0" applyNumberFormat="1" applyFont="1" applyAlignment="1">
      <alignment horizontal="center"/>
    </xf>
    <xf numFmtId="1" fontId="73" fillId="97" borderId="0" xfId="0" applyNumberFormat="1" applyFont="1" applyFill="1" applyAlignment="1">
      <alignment horizontal="center"/>
    </xf>
    <xf numFmtId="0" fontId="136" fillId="95" borderId="0" xfId="0" applyFont="1" applyFill="1" applyAlignment="1">
      <alignment horizontal="center"/>
    </xf>
    <xf numFmtId="0" fontId="137" fillId="95" borderId="0" xfId="0" applyFont="1" applyFill="1"/>
    <xf numFmtId="0" fontId="137" fillId="0" borderId="0" xfId="0" applyNumberFormat="1" applyFont="1"/>
    <xf numFmtId="0" fontId="137" fillId="0" borderId="0" xfId="0" applyFont="1"/>
    <xf numFmtId="0" fontId="73" fillId="0" borderId="0" xfId="0" applyFont="1" applyAlignment="1">
      <alignment vertical="center" wrapText="1"/>
    </xf>
    <xf numFmtId="14" fontId="73" fillId="0" borderId="0" xfId="0" applyNumberFormat="1" applyFont="1"/>
    <xf numFmtId="0" fontId="83" fillId="0" borderId="0" xfId="0" applyFont="1"/>
    <xf numFmtId="17" fontId="83" fillId="0" borderId="0" xfId="0" applyNumberFormat="1" applyFont="1"/>
    <xf numFmtId="0" fontId="0" fillId="98" borderId="0" xfId="0" applyFill="1"/>
    <xf numFmtId="17" fontId="125" fillId="25" borderId="0" xfId="0" quotePrefix="1" applyNumberFormat="1" applyFont="1" applyFill="1" applyAlignment="1">
      <alignment horizontal="center" vertical="top"/>
    </xf>
    <xf numFmtId="14" fontId="73" fillId="0" borderId="0" xfId="0" applyNumberFormat="1" applyFont="1" applyFill="1"/>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138" fillId="0" borderId="0" xfId="0" applyFont="1"/>
    <xf numFmtId="0" fontId="91" fillId="44" borderId="0" xfId="36" applyFont="1" applyFill="1" applyAlignment="1">
      <alignment horizontal="center"/>
    </xf>
    <xf numFmtId="0" fontId="81" fillId="78" borderId="0" xfId="0" applyFont="1" applyFill="1" applyAlignment="1">
      <alignment horizontal="center"/>
    </xf>
    <xf numFmtId="0" fontId="0" fillId="83" borderId="0" xfId="0" applyFill="1" applyAlignment="1">
      <alignment horizontal="center"/>
    </xf>
    <xf numFmtId="0" fontId="73" fillId="90"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79" borderId="0" xfId="0" applyFont="1" applyFill="1" applyAlignment="1">
      <alignment horizontal="center" vertical="top"/>
    </xf>
    <xf numFmtId="0" fontId="79" fillId="81" borderId="0" xfId="0" applyFont="1" applyFill="1" applyAlignment="1">
      <alignment horizontal="center"/>
    </xf>
    <xf numFmtId="0" fontId="79" fillId="45" borderId="0" xfId="0" applyFont="1" applyFill="1" applyAlignment="1">
      <alignment horizontal="center" vertical="top"/>
    </xf>
    <xf numFmtId="0" fontId="79" fillId="46" borderId="0" xfId="0" applyFont="1" applyFill="1" applyAlignment="1">
      <alignment horizontal="center"/>
    </xf>
    <xf numFmtId="0" fontId="79" fillId="96" borderId="0" xfId="0" applyFont="1" applyFill="1" applyAlignment="1">
      <alignment horizontal="center" wrapText="1"/>
    </xf>
    <xf numFmtId="0" fontId="73" fillId="96" borderId="61" xfId="0" applyFont="1" applyFill="1" applyBorder="1" applyAlignment="1">
      <alignment horizontal="center"/>
    </xf>
    <xf numFmtId="0" fontId="9" fillId="96"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4">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6279401</xdr:colOff>
      <xdr:row>7</xdr:row>
      <xdr:rowOff>4100568</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3715</xdr:colOff>
      <xdr:row>1</xdr:row>
      <xdr:rowOff>14111</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4762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2.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zoomScale="70" zoomScaleNormal="70" zoomScalePageLayoutView="90" workbookViewId="0">
      <selection activeCell="E1" sqref="E1"/>
    </sheetView>
  </sheetViews>
  <sheetFormatPr defaultColWidth="9.21875" defaultRowHeight="14.4" x14ac:dyDescent="0.3"/>
  <cols>
    <col min="1" max="1" width="115.5546875" style="1" customWidth="1"/>
    <col min="2" max="16384" width="9.21875" style="1"/>
  </cols>
  <sheetData>
    <row r="1" spans="1:1" ht="122.1" customHeight="1" x14ac:dyDescent="0.3"/>
    <row r="2" spans="1:1" ht="20.85" customHeight="1" x14ac:dyDescent="0.3">
      <c r="A2" s="89" t="s">
        <v>2964</v>
      </c>
    </row>
    <row r="3" spans="1:1" ht="18.600000000000001" customHeight="1" x14ac:dyDescent="0.3">
      <c r="A3" s="104">
        <v>44140</v>
      </c>
    </row>
    <row r="4" spans="1:1" ht="60" customHeight="1" x14ac:dyDescent="0.3">
      <c r="A4" s="154" t="s">
        <v>2934</v>
      </c>
    </row>
    <row r="5" spans="1:1" ht="81" customHeight="1" x14ac:dyDescent="0.3">
      <c r="A5" s="288" t="s">
        <v>4115</v>
      </c>
    </row>
    <row r="6" spans="1:1" s="155" customFormat="1" ht="168" customHeight="1" x14ac:dyDescent="0.3">
      <c r="A6" s="202" t="s">
        <v>3220</v>
      </c>
    </row>
    <row r="7" spans="1:1" s="155" customFormat="1" ht="232.35" customHeight="1" x14ac:dyDescent="0.3">
      <c r="A7" s="202" t="s">
        <v>3221</v>
      </c>
    </row>
    <row r="8" spans="1:1" ht="344.55" customHeight="1" x14ac:dyDescent="0.3">
      <c r="A8" s="156"/>
    </row>
    <row r="9" spans="1:1" ht="213.6" customHeight="1" x14ac:dyDescent="0.3">
      <c r="A9" s="202" t="s">
        <v>3222</v>
      </c>
    </row>
    <row r="10" spans="1:1" ht="145.35" customHeight="1" x14ac:dyDescent="0.3">
      <c r="A10" s="202" t="s">
        <v>3227</v>
      </c>
    </row>
    <row r="11" spans="1:1" ht="30" customHeight="1" x14ac:dyDescent="0.3">
      <c r="A11" s="203" t="s">
        <v>3223</v>
      </c>
    </row>
    <row r="12" spans="1:1" ht="80.099999999999994" customHeight="1" x14ac:dyDescent="0.3">
      <c r="A12" s="203" t="s">
        <v>3224</v>
      </c>
    </row>
    <row r="13" spans="1:1" ht="46.35" customHeight="1" x14ac:dyDescent="0.3">
      <c r="A13" s="90" t="s">
        <v>2935</v>
      </c>
    </row>
    <row r="14" spans="1:1" ht="66.599999999999994" x14ac:dyDescent="0.3">
      <c r="A14" s="90" t="s">
        <v>3228</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190" activePane="bottomRight" state="frozen"/>
      <selection pane="topRight" activeCell="C1" sqref="C1"/>
      <selection pane="bottomLeft" activeCell="A5" sqref="A5"/>
      <selection pane="bottomRight" activeCell="I194" sqref="I194"/>
    </sheetView>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21875" style="1" bestFit="1" customWidth="1"/>
    <col min="17" max="16384" width="9.44140625" style="1"/>
  </cols>
  <sheetData>
    <row r="1" spans="1:16" s="5" customFormat="1" ht="117.6" customHeight="1" x14ac:dyDescent="0.25">
      <c r="A1" s="16" t="s">
        <v>399</v>
      </c>
      <c r="B1" s="11" t="s">
        <v>356</v>
      </c>
      <c r="C1" s="32" t="s">
        <v>405</v>
      </c>
      <c r="D1" s="32" t="s">
        <v>511</v>
      </c>
      <c r="E1" s="32" t="s">
        <v>492</v>
      </c>
      <c r="F1" s="32" t="s">
        <v>491</v>
      </c>
      <c r="G1" s="32" t="s">
        <v>368</v>
      </c>
      <c r="H1" s="32" t="s">
        <v>376</v>
      </c>
      <c r="I1" s="32" t="s">
        <v>403</v>
      </c>
      <c r="J1" s="32" t="s">
        <v>632</v>
      </c>
      <c r="K1" s="32" t="s">
        <v>407</v>
      </c>
      <c r="L1" s="32" t="s">
        <v>408</v>
      </c>
      <c r="M1" s="32" t="s">
        <v>427</v>
      </c>
      <c r="N1" s="32" t="s">
        <v>409</v>
      </c>
      <c r="O1" s="32" t="s">
        <v>392</v>
      </c>
      <c r="P1" s="32" t="s">
        <v>379</v>
      </c>
    </row>
    <row r="2" spans="1:16" s="5" customFormat="1" ht="26.4" x14ac:dyDescent="0.25">
      <c r="A2" s="16" t="s">
        <v>2937</v>
      </c>
      <c r="B2" s="11"/>
      <c r="C2" s="290">
        <v>2017</v>
      </c>
      <c r="D2" s="290">
        <v>2011</v>
      </c>
      <c r="E2" s="290" t="s">
        <v>3699</v>
      </c>
      <c r="F2" s="290">
        <v>2020</v>
      </c>
      <c r="G2" s="290">
        <v>2018</v>
      </c>
      <c r="H2" s="290" t="s">
        <v>3698</v>
      </c>
      <c r="I2" s="290">
        <v>2019</v>
      </c>
      <c r="J2" s="290">
        <v>2020</v>
      </c>
      <c r="K2" s="290">
        <v>2019</v>
      </c>
      <c r="L2" s="290">
        <v>2020</v>
      </c>
      <c r="M2" s="290">
        <v>2020</v>
      </c>
      <c r="N2" s="290">
        <v>2019</v>
      </c>
      <c r="O2" s="290">
        <v>2020</v>
      </c>
      <c r="P2" s="32"/>
    </row>
    <row r="3" spans="1:16" x14ac:dyDescent="0.3">
      <c r="A3" s="17" t="s">
        <v>373</v>
      </c>
      <c r="B3" s="11"/>
      <c r="C3" s="12" t="s">
        <v>375</v>
      </c>
      <c r="D3" s="12" t="s">
        <v>375</v>
      </c>
      <c r="E3" s="12" t="s">
        <v>490</v>
      </c>
      <c r="F3" s="12" t="s">
        <v>375</v>
      </c>
      <c r="G3" s="12" t="s">
        <v>375</v>
      </c>
      <c r="H3" s="12" t="s">
        <v>375</v>
      </c>
      <c r="I3" s="12" t="s">
        <v>375</v>
      </c>
      <c r="J3" s="12" t="s">
        <v>374</v>
      </c>
      <c r="K3" s="12" t="s">
        <v>375</v>
      </c>
      <c r="L3" s="12" t="s">
        <v>375</v>
      </c>
      <c r="M3" s="12" t="s">
        <v>375</v>
      </c>
      <c r="N3" s="12" t="s">
        <v>375</v>
      </c>
      <c r="O3" s="12" t="s">
        <v>374</v>
      </c>
      <c r="P3" s="12" t="s">
        <v>380</v>
      </c>
    </row>
    <row r="4" spans="1:16" x14ac:dyDescent="0.3">
      <c r="A4" s="16" t="s">
        <v>1</v>
      </c>
      <c r="B4" s="11" t="s">
        <v>0</v>
      </c>
      <c r="C4" s="31">
        <v>0.74978600339552948</v>
      </c>
      <c r="D4" s="27">
        <v>4</v>
      </c>
      <c r="E4" s="31">
        <v>0</v>
      </c>
      <c r="F4" s="31">
        <v>3.2833333333333337</v>
      </c>
      <c r="G4" s="31">
        <v>0.57474170605821917</v>
      </c>
      <c r="H4" s="31" t="s">
        <v>393</v>
      </c>
      <c r="I4" s="27">
        <v>5</v>
      </c>
      <c r="J4" s="10">
        <f>IFERROR(VLOOKUP($B4,'Core Indicators'!$E$3:$EU$906,147,FALSE),"x")</f>
        <v>11042</v>
      </c>
      <c r="K4" s="28">
        <v>-1.7135269641876221</v>
      </c>
      <c r="L4" s="31">
        <v>3</v>
      </c>
      <c r="M4" s="27">
        <v>27</v>
      </c>
      <c r="N4" s="27">
        <v>16</v>
      </c>
      <c r="O4" s="34">
        <f>IFERROR(VLOOKUP(B4,'Core Indicators'!$E$3:$G$9906,3,FALSE),"x")</f>
        <v>35700000</v>
      </c>
      <c r="P4" s="34">
        <v>652860</v>
      </c>
    </row>
    <row r="5" spans="1:16" x14ac:dyDescent="0.3">
      <c r="A5" s="16" t="s">
        <v>3</v>
      </c>
      <c r="B5" s="11" t="s">
        <v>2</v>
      </c>
      <c r="C5" s="31">
        <v>0.32080001203417774</v>
      </c>
      <c r="D5" s="27">
        <v>9</v>
      </c>
      <c r="E5" s="31">
        <v>0.04</v>
      </c>
      <c r="F5" s="31">
        <v>7.15</v>
      </c>
      <c r="G5" s="31">
        <v>0.23407785371782353</v>
      </c>
      <c r="H5" s="31">
        <v>33.200000762939503</v>
      </c>
      <c r="I5" s="27">
        <v>3</v>
      </c>
      <c r="J5" s="10" t="str">
        <f>IFERROR(VLOOKUP($B5,'Core Indicators'!$E$3:$EU$906,147,FALSE),"x")</f>
        <v>x</v>
      </c>
      <c r="K5" s="28">
        <v>-0.41117939352989197</v>
      </c>
      <c r="L5" s="31">
        <v>5.5</v>
      </c>
      <c r="M5" s="27">
        <v>67</v>
      </c>
      <c r="N5" s="27">
        <v>35</v>
      </c>
      <c r="O5" s="34" t="str">
        <f>IFERROR(VLOOKUP(B5,'Core Indicators'!$E$3:$G$9906,3,FALSE),"x")</f>
        <v>x</v>
      </c>
      <c r="P5" s="34">
        <v>27400</v>
      </c>
    </row>
    <row r="6" spans="1:16" x14ac:dyDescent="0.3">
      <c r="A6" s="16" t="s">
        <v>5</v>
      </c>
      <c r="B6" s="11" t="s">
        <v>4</v>
      </c>
      <c r="C6" s="31">
        <v>0.40319995813369669</v>
      </c>
      <c r="D6" s="27">
        <v>3</v>
      </c>
      <c r="E6" s="31">
        <v>0.27</v>
      </c>
      <c r="F6" s="31">
        <v>4.7</v>
      </c>
      <c r="G6" s="31">
        <v>0.44306804243657949</v>
      </c>
      <c r="H6" s="31">
        <v>27.600000381469702</v>
      </c>
      <c r="I6" s="27">
        <v>3</v>
      </c>
      <c r="J6" s="10">
        <f>IFERROR(VLOOKUP($B6,'Core Indicators'!$E$3:$EU$906,147,FALSE),"x")</f>
        <v>629</v>
      </c>
      <c r="K6" s="28">
        <v>-0.81546378135681152</v>
      </c>
      <c r="L6" s="31">
        <v>4.25</v>
      </c>
      <c r="M6" s="27">
        <v>34</v>
      </c>
      <c r="N6" s="27">
        <v>35</v>
      </c>
      <c r="O6" s="34">
        <f>IFERROR(VLOOKUP(B6,'Core Indicators'!$E$3:$G$9906,3,FALSE),"x")</f>
        <v>43100000</v>
      </c>
      <c r="P6" s="34">
        <v>2381741</v>
      </c>
    </row>
    <row r="7" spans="1:16" x14ac:dyDescent="0.3">
      <c r="A7" s="16" t="s">
        <v>7</v>
      </c>
      <c r="B7" s="11" t="s">
        <v>6</v>
      </c>
      <c r="C7" s="31">
        <v>0.76260000919699655</v>
      </c>
      <c r="D7" s="27">
        <v>4</v>
      </c>
      <c r="E7" s="31">
        <v>0.62</v>
      </c>
      <c r="F7" s="31">
        <v>4.6500000000000004</v>
      </c>
      <c r="G7" s="31">
        <v>0.57799890375238883</v>
      </c>
      <c r="H7" s="31">
        <v>51.299999237060497</v>
      </c>
      <c r="I7" s="27">
        <v>3</v>
      </c>
      <c r="J7" s="10" t="str">
        <f>IFERROR(VLOOKUP($B7,'Core Indicators'!$E$3:$EU$906,147,FALSE),"x")</f>
        <v>x</v>
      </c>
      <c r="K7" s="28">
        <v>-1.0543431043624878</v>
      </c>
      <c r="L7" s="31">
        <v>3.75</v>
      </c>
      <c r="M7" s="27">
        <v>32</v>
      </c>
      <c r="N7" s="27">
        <v>26</v>
      </c>
      <c r="O7" s="34" t="str">
        <f>IFERROR(VLOOKUP(B7,'Core Indicators'!$E$3:$G$9906,3,FALSE),"x")</f>
        <v>x</v>
      </c>
      <c r="P7" s="34">
        <v>1246700</v>
      </c>
    </row>
    <row r="8" spans="1:16" x14ac:dyDescent="0.3">
      <c r="A8" s="16" t="s">
        <v>9</v>
      </c>
      <c r="B8" s="11" t="s">
        <v>8</v>
      </c>
      <c r="C8" s="31">
        <v>0</v>
      </c>
      <c r="D8" s="27">
        <v>13</v>
      </c>
      <c r="E8" s="31">
        <v>0</v>
      </c>
      <c r="F8" s="31" t="s">
        <v>393</v>
      </c>
      <c r="G8" s="31" t="s">
        <v>393</v>
      </c>
      <c r="H8" s="31" t="s">
        <v>393</v>
      </c>
      <c r="I8" s="27">
        <v>0</v>
      </c>
      <c r="J8" s="10" t="str">
        <f>IFERROR(VLOOKUP($B8,'Core Indicators'!$E$3:$EU$906,147,FALSE),"x")</f>
        <v>x</v>
      </c>
      <c r="K8" s="28">
        <v>0.4052046537399292</v>
      </c>
      <c r="L8" s="31" t="s">
        <v>393</v>
      </c>
      <c r="M8" s="27">
        <v>85</v>
      </c>
      <c r="N8" s="27" t="s">
        <v>393</v>
      </c>
      <c r="O8" s="34" t="str">
        <f>IFERROR(VLOOKUP(B8,'Core Indicators'!$E$3:$G$9906,3,FALSE),"x")</f>
        <v>x</v>
      </c>
      <c r="P8" s="34">
        <v>440</v>
      </c>
    </row>
    <row r="9" spans="1:16" x14ac:dyDescent="0.3">
      <c r="A9" s="16" t="s">
        <v>11</v>
      </c>
      <c r="B9" s="11" t="s">
        <v>10</v>
      </c>
      <c r="C9" s="31">
        <v>5.8874944506212223E-2</v>
      </c>
      <c r="D9" s="27">
        <v>12</v>
      </c>
      <c r="E9" s="31">
        <v>0.01</v>
      </c>
      <c r="F9" s="31">
        <v>8.15</v>
      </c>
      <c r="G9" s="31">
        <v>0.35376096784432753</v>
      </c>
      <c r="H9" s="31">
        <v>41.400001525878899</v>
      </c>
      <c r="I9" s="27">
        <v>1</v>
      </c>
      <c r="J9" s="10" t="str">
        <f>IFERROR(VLOOKUP($B9,'Core Indicators'!$E$3:$EU$906,147,FALSE),"x")</f>
        <v>x</v>
      </c>
      <c r="K9" s="28">
        <v>-0.43072563409805298</v>
      </c>
      <c r="L9" s="31">
        <v>7.5</v>
      </c>
      <c r="M9" s="27">
        <v>85</v>
      </c>
      <c r="N9" s="27">
        <v>45</v>
      </c>
      <c r="O9" s="34" t="str">
        <f>IFERROR(VLOOKUP(B9,'Core Indicators'!$E$3:$G$9906,3,FALSE),"x")</f>
        <v>x</v>
      </c>
      <c r="P9" s="34">
        <v>2736690</v>
      </c>
    </row>
    <row r="10" spans="1:16" x14ac:dyDescent="0.3">
      <c r="A10" s="16" t="s">
        <v>13</v>
      </c>
      <c r="B10" s="11" t="s">
        <v>12</v>
      </c>
      <c r="C10" s="31">
        <v>4.1389244144588333E-2</v>
      </c>
      <c r="D10" s="27">
        <v>6</v>
      </c>
      <c r="E10" s="31">
        <v>1.7999999999999999E-2</v>
      </c>
      <c r="F10" s="31">
        <v>7.1</v>
      </c>
      <c r="G10" s="31">
        <v>0.2586943178917801</v>
      </c>
      <c r="H10" s="31">
        <v>34.400001525878899</v>
      </c>
      <c r="I10" s="27">
        <v>3</v>
      </c>
      <c r="J10" s="10">
        <f>IFERROR(VLOOKUP($B10,'Core Indicators'!$E$3:$EU$906,147,FALSE),"x")</f>
        <v>2</v>
      </c>
      <c r="K10" s="28">
        <v>-0.13127575814723969</v>
      </c>
      <c r="L10" s="31">
        <v>6</v>
      </c>
      <c r="M10" s="27">
        <v>53</v>
      </c>
      <c r="N10" s="27">
        <v>42</v>
      </c>
      <c r="O10" s="34">
        <f>IFERROR(VLOOKUP(B10,'Core Indicators'!$E$3:$G$9906,3,FALSE),"x")</f>
        <v>2958000</v>
      </c>
      <c r="P10" s="34">
        <v>28470</v>
      </c>
    </row>
    <row r="11" spans="1:16" x14ac:dyDescent="0.3">
      <c r="A11" s="16" t="s">
        <v>15</v>
      </c>
      <c r="B11" s="11" t="s">
        <v>14</v>
      </c>
      <c r="C11" s="31">
        <v>0.29240004414915977</v>
      </c>
      <c r="D11" s="27">
        <v>14</v>
      </c>
      <c r="E11" s="31">
        <v>0.02</v>
      </c>
      <c r="F11" s="31" t="s">
        <v>393</v>
      </c>
      <c r="G11" s="31">
        <v>0.10287730818702834</v>
      </c>
      <c r="H11" s="31">
        <v>34.400001525878899</v>
      </c>
      <c r="I11" s="27">
        <v>0</v>
      </c>
      <c r="J11" s="10" t="str">
        <f>IFERROR(VLOOKUP($B11,'Core Indicators'!$E$3:$EU$906,147,FALSE),"x")</f>
        <v>x</v>
      </c>
      <c r="K11" s="28">
        <v>1.7341445684432983</v>
      </c>
      <c r="L11" s="31" t="s">
        <v>393</v>
      </c>
      <c r="M11" s="27">
        <v>97</v>
      </c>
      <c r="N11" s="27">
        <v>77</v>
      </c>
      <c r="O11" s="34" t="str">
        <f>IFERROR(VLOOKUP(B11,'Core Indicators'!$E$3:$G$9906,3,FALSE),"x")</f>
        <v>x</v>
      </c>
      <c r="P11" s="34">
        <v>7682300</v>
      </c>
    </row>
    <row r="12" spans="1:16" x14ac:dyDescent="0.3">
      <c r="A12" s="16" t="s">
        <v>17</v>
      </c>
      <c r="B12" s="11" t="s">
        <v>16</v>
      </c>
      <c r="C12" s="31">
        <v>0.13506398669561737</v>
      </c>
      <c r="D12" s="27">
        <v>12</v>
      </c>
      <c r="E12" s="31">
        <v>7.7999999999999996E-3</v>
      </c>
      <c r="F12" s="31" t="s">
        <v>393</v>
      </c>
      <c r="G12" s="31">
        <v>7.3148202243740301E-2</v>
      </c>
      <c r="H12" s="31">
        <v>29.700000762939499</v>
      </c>
      <c r="I12" s="27">
        <v>0</v>
      </c>
      <c r="J12" s="10" t="str">
        <f>IFERROR(VLOOKUP($B12,'Core Indicators'!$E$3:$EU$906,147,FALSE),"x")</f>
        <v>x</v>
      </c>
      <c r="K12" s="28">
        <v>1.8830512762069702</v>
      </c>
      <c r="L12" s="31" t="s">
        <v>393</v>
      </c>
      <c r="M12" s="27">
        <v>93</v>
      </c>
      <c r="N12" s="27">
        <v>77</v>
      </c>
      <c r="O12" s="34" t="str">
        <f>IFERROR(VLOOKUP(B12,'Core Indicators'!$E$3:$G$9906,3,FALSE),"x")</f>
        <v>x</v>
      </c>
      <c r="P12" s="34">
        <v>82523</v>
      </c>
    </row>
    <row r="13" spans="1:16" x14ac:dyDescent="0.3">
      <c r="A13" s="16" t="s">
        <v>19</v>
      </c>
      <c r="B13" s="11" t="s">
        <v>18</v>
      </c>
      <c r="C13" s="31">
        <v>0.15286196929562068</v>
      </c>
      <c r="D13" s="27">
        <v>4</v>
      </c>
      <c r="E13" s="31">
        <v>5.5E-2</v>
      </c>
      <c r="F13" s="31">
        <v>3.4333333333333336</v>
      </c>
      <c r="G13" s="31">
        <v>0.32076538344344607</v>
      </c>
      <c r="H13" s="31" t="s">
        <v>393</v>
      </c>
      <c r="I13" s="27">
        <v>3</v>
      </c>
      <c r="J13" s="10">
        <f>IFERROR(VLOOKUP($B13,'Core Indicators'!$E$3:$EU$906,147,FALSE),"x")</f>
        <v>136</v>
      </c>
      <c r="K13" s="28">
        <v>-0.57727032899856567</v>
      </c>
      <c r="L13" s="31">
        <v>3</v>
      </c>
      <c r="M13" s="27">
        <v>10</v>
      </c>
      <c r="N13" s="27">
        <v>30</v>
      </c>
      <c r="O13" s="34">
        <f>IFERROR(VLOOKUP(B13,'Core Indicators'!$E$3:$G$9906,3,FALSE),"x")</f>
        <v>9977000</v>
      </c>
      <c r="P13" s="34">
        <v>82663</v>
      </c>
    </row>
    <row r="14" spans="1:16" x14ac:dyDescent="0.3">
      <c r="A14" s="16" t="s">
        <v>21</v>
      </c>
      <c r="B14" s="11" t="s">
        <v>20</v>
      </c>
      <c r="C14" s="31">
        <v>0.27529095962011763</v>
      </c>
      <c r="D14" s="27">
        <v>12</v>
      </c>
      <c r="E14" s="31">
        <v>0</v>
      </c>
      <c r="F14" s="31" t="s">
        <v>393</v>
      </c>
      <c r="G14" s="31">
        <v>0.35254190843729483</v>
      </c>
      <c r="H14" s="31" t="s">
        <v>393</v>
      </c>
      <c r="I14" s="27">
        <v>0</v>
      </c>
      <c r="J14" s="10" t="str">
        <f>IFERROR(VLOOKUP($B14,'Core Indicators'!$E$3:$EU$906,147,FALSE),"x")</f>
        <v>x</v>
      </c>
      <c r="K14" s="28">
        <v>7.6531879603862762E-2</v>
      </c>
      <c r="L14" s="31" t="s">
        <v>393</v>
      </c>
      <c r="M14" s="27">
        <v>91</v>
      </c>
      <c r="N14" s="27">
        <v>64</v>
      </c>
      <c r="O14" s="34" t="str">
        <f>IFERROR(VLOOKUP(B14,'Core Indicators'!$E$3:$G$9906,3,FALSE),"x")</f>
        <v>x</v>
      </c>
      <c r="P14" s="34">
        <v>10010</v>
      </c>
    </row>
    <row r="15" spans="1:16" x14ac:dyDescent="0.3">
      <c r="A15" s="16" t="s">
        <v>23</v>
      </c>
      <c r="B15" s="11" t="s">
        <v>22</v>
      </c>
      <c r="C15" s="31">
        <v>0.85500000238418572</v>
      </c>
      <c r="D15" s="27">
        <v>3</v>
      </c>
      <c r="E15" s="31">
        <v>0</v>
      </c>
      <c r="F15" s="31">
        <v>3</v>
      </c>
      <c r="G15" s="31">
        <v>0.20729597045930259</v>
      </c>
      <c r="H15" s="31" t="s">
        <v>393</v>
      </c>
      <c r="I15" s="27">
        <v>3</v>
      </c>
      <c r="J15" s="10" t="str">
        <f>IFERROR(VLOOKUP($B15,'Core Indicators'!$E$3:$EU$906,147,FALSE),"x")</f>
        <v>x</v>
      </c>
      <c r="K15" s="28">
        <v>0.49437779188156128</v>
      </c>
      <c r="L15" s="31">
        <v>2.75</v>
      </c>
      <c r="M15" s="27">
        <v>11</v>
      </c>
      <c r="N15" s="27">
        <v>42</v>
      </c>
      <c r="O15" s="34" t="str">
        <f>IFERROR(VLOOKUP(B15,'Core Indicators'!$E$3:$G$9906,3,FALSE),"x")</f>
        <v>x</v>
      </c>
      <c r="P15" s="34">
        <v>771</v>
      </c>
    </row>
    <row r="16" spans="1:16" x14ac:dyDescent="0.3">
      <c r="A16" s="16" t="s">
        <v>25</v>
      </c>
      <c r="B16" s="11" t="s">
        <v>24</v>
      </c>
      <c r="C16" s="31">
        <v>0.18887103384760728</v>
      </c>
      <c r="D16" s="27">
        <v>7</v>
      </c>
      <c r="E16" s="31">
        <v>0.122</v>
      </c>
      <c r="F16" s="31">
        <v>4.4166666666666661</v>
      </c>
      <c r="G16" s="31">
        <v>0.53584621352430872</v>
      </c>
      <c r="H16" s="31">
        <v>32.400001525878899</v>
      </c>
      <c r="I16" s="27">
        <v>3</v>
      </c>
      <c r="J16" s="10">
        <f>IFERROR(VLOOKUP($B16,'Core Indicators'!$E$3:$EU$906,147,FALSE),"x")</f>
        <v>71</v>
      </c>
      <c r="K16" s="28">
        <v>-0.63630837202072144</v>
      </c>
      <c r="L16" s="31">
        <v>3.5</v>
      </c>
      <c r="M16" s="27">
        <v>39</v>
      </c>
      <c r="N16" s="27">
        <v>26</v>
      </c>
      <c r="O16" s="34">
        <f>IFERROR(VLOOKUP(B16,'Core Indicators'!$E$3:$G$9906,3,FALSE),"x")</f>
        <v>143181000</v>
      </c>
      <c r="P16" s="34">
        <v>130170</v>
      </c>
    </row>
    <row r="17" spans="1:16" x14ac:dyDescent="0.3">
      <c r="A17" s="16" t="s">
        <v>27</v>
      </c>
      <c r="B17" s="11" t="s">
        <v>26</v>
      </c>
      <c r="C17" s="31">
        <v>0</v>
      </c>
      <c r="D17" s="27">
        <v>12</v>
      </c>
      <c r="E17" s="31">
        <v>0</v>
      </c>
      <c r="F17" s="31" t="s">
        <v>393</v>
      </c>
      <c r="G17" s="31">
        <v>0.25602427442033349</v>
      </c>
      <c r="H17" s="31" t="s">
        <v>393</v>
      </c>
      <c r="I17" s="27">
        <v>0</v>
      </c>
      <c r="J17" s="10" t="str">
        <f>IFERROR(VLOOKUP($B17,'Core Indicators'!$E$3:$EU$906,147,FALSE),"x")</f>
        <v>x</v>
      </c>
      <c r="K17" s="28">
        <v>0.35702922940254211</v>
      </c>
      <c r="L17" s="31" t="s">
        <v>393</v>
      </c>
      <c r="M17" s="27">
        <v>95</v>
      </c>
      <c r="N17" s="27">
        <v>62</v>
      </c>
      <c r="O17" s="34" t="str">
        <f>IFERROR(VLOOKUP(B17,'Core Indicators'!$E$3:$G$9906,3,FALSE),"x")</f>
        <v>x</v>
      </c>
      <c r="P17" s="34">
        <v>430</v>
      </c>
    </row>
    <row r="18" spans="1:16" x14ac:dyDescent="0.3">
      <c r="A18" s="16" t="s">
        <v>29</v>
      </c>
      <c r="B18" s="11" t="s">
        <v>28</v>
      </c>
      <c r="C18" s="31">
        <v>0.37249504472792072</v>
      </c>
      <c r="D18" s="27">
        <v>2</v>
      </c>
      <c r="E18" s="31">
        <v>4.1000000000000002E-2</v>
      </c>
      <c r="F18" s="31">
        <v>4.3833333333333337</v>
      </c>
      <c r="G18" s="31">
        <v>0.11907633972807941</v>
      </c>
      <c r="H18" s="31">
        <v>25.200000762939499</v>
      </c>
      <c r="I18" s="27">
        <v>2</v>
      </c>
      <c r="J18" s="10" t="str">
        <f>IFERROR(VLOOKUP($B18,'Core Indicators'!$E$3:$EU$906,147,FALSE),"x")</f>
        <v>x</v>
      </c>
      <c r="K18" s="28">
        <v>-0.79445779323577881</v>
      </c>
      <c r="L18" s="31">
        <v>4</v>
      </c>
      <c r="M18" s="27">
        <v>19</v>
      </c>
      <c r="N18" s="27">
        <v>45</v>
      </c>
      <c r="O18" s="34" t="str">
        <f>IFERROR(VLOOKUP(B18,'Core Indicators'!$E$3:$G$9906,3,FALSE),"x")</f>
        <v>x</v>
      </c>
      <c r="P18" s="34">
        <v>202910</v>
      </c>
    </row>
    <row r="19" spans="1:16" x14ac:dyDescent="0.3">
      <c r="A19" s="16" t="s">
        <v>31</v>
      </c>
      <c r="B19" s="11" t="s">
        <v>30</v>
      </c>
      <c r="C19" s="31">
        <v>0.49180002618282959</v>
      </c>
      <c r="D19" s="27">
        <v>12</v>
      </c>
      <c r="E19" s="31">
        <v>0.01</v>
      </c>
      <c r="F19" s="31" t="s">
        <v>393</v>
      </c>
      <c r="G19" s="31">
        <v>4.5443996695445077E-2</v>
      </c>
      <c r="H19" s="31">
        <v>27.399999618530298</v>
      </c>
      <c r="I19" s="27">
        <v>0</v>
      </c>
      <c r="J19" s="10" t="str">
        <f>IFERROR(VLOOKUP($B19,'Core Indicators'!$E$3:$EU$906,147,FALSE),"x")</f>
        <v>x</v>
      </c>
      <c r="K19" s="28">
        <v>1.3637149333953857</v>
      </c>
      <c r="L19" s="31" t="s">
        <v>393</v>
      </c>
      <c r="M19" s="27">
        <v>96</v>
      </c>
      <c r="N19" s="27">
        <v>75</v>
      </c>
      <c r="O19" s="34" t="str">
        <f>IFERROR(VLOOKUP(B19,'Core Indicators'!$E$3:$G$9906,3,FALSE),"x")</f>
        <v>x</v>
      </c>
      <c r="P19" s="34">
        <v>30280</v>
      </c>
    </row>
    <row r="20" spans="1:16" x14ac:dyDescent="0.3">
      <c r="A20" s="16" t="s">
        <v>33</v>
      </c>
      <c r="B20" s="11" t="s">
        <v>32</v>
      </c>
      <c r="C20" s="31">
        <v>0.63658801528018683</v>
      </c>
      <c r="D20" s="27">
        <v>14</v>
      </c>
      <c r="E20" s="31">
        <v>0</v>
      </c>
      <c r="F20" s="31" t="s">
        <v>393</v>
      </c>
      <c r="G20" s="31">
        <v>0.39140979422143429</v>
      </c>
      <c r="H20" s="31" t="s">
        <v>393</v>
      </c>
      <c r="I20" s="27">
        <v>2</v>
      </c>
      <c r="J20" s="10" t="str">
        <f>IFERROR(VLOOKUP($B20,'Core Indicators'!$E$3:$EU$906,147,FALSE),"x")</f>
        <v>x</v>
      </c>
      <c r="K20" s="28">
        <v>-0.7755124568939209</v>
      </c>
      <c r="L20" s="31" t="s">
        <v>393</v>
      </c>
      <c r="M20" s="27">
        <v>86</v>
      </c>
      <c r="N20" s="27" t="s">
        <v>393</v>
      </c>
      <c r="O20" s="34" t="str">
        <f>IFERROR(VLOOKUP(B20,'Core Indicators'!$E$3:$G$9906,3,FALSE),"x")</f>
        <v>x</v>
      </c>
      <c r="P20" s="34">
        <v>22810</v>
      </c>
    </row>
    <row r="21" spans="1:16" x14ac:dyDescent="0.3">
      <c r="A21" s="16" t="s">
        <v>35</v>
      </c>
      <c r="B21" s="11" t="s">
        <v>34</v>
      </c>
      <c r="C21" s="31">
        <v>0.8118749868869779</v>
      </c>
      <c r="D21" s="27">
        <v>9</v>
      </c>
      <c r="E21" s="31">
        <v>0.33</v>
      </c>
      <c r="F21" s="31">
        <v>7.75</v>
      </c>
      <c r="G21" s="31">
        <v>0.6125146689321419</v>
      </c>
      <c r="H21" s="31">
        <v>47.799999237060497</v>
      </c>
      <c r="I21" s="27">
        <v>0</v>
      </c>
      <c r="J21" s="10" t="str">
        <f>IFERROR(VLOOKUP($B21,'Core Indicators'!$E$3:$EU$906,147,FALSE),"x")</f>
        <v>x</v>
      </c>
      <c r="K21" s="28">
        <v>-0.66412585973739624</v>
      </c>
      <c r="L21" s="31">
        <v>6.5</v>
      </c>
      <c r="M21" s="27">
        <v>66</v>
      </c>
      <c r="N21" s="27">
        <v>41</v>
      </c>
      <c r="O21" s="34" t="str">
        <f>IFERROR(VLOOKUP(B21,'Core Indicators'!$E$3:$G$9906,3,FALSE),"x")</f>
        <v>x</v>
      </c>
      <c r="P21" s="34">
        <v>112760</v>
      </c>
    </row>
    <row r="22" spans="1:16" x14ac:dyDescent="0.3">
      <c r="A22" s="16" t="s">
        <v>37</v>
      </c>
      <c r="B22" s="11" t="s">
        <v>36</v>
      </c>
      <c r="C22" s="31">
        <v>0.75999999284744257</v>
      </c>
      <c r="D22" s="27">
        <v>6</v>
      </c>
      <c r="E22" s="31">
        <v>0</v>
      </c>
      <c r="F22" s="31">
        <v>6.85</v>
      </c>
      <c r="G22" s="31">
        <v>0.43637777083386109</v>
      </c>
      <c r="H22" s="31">
        <v>37.400001525878899</v>
      </c>
      <c r="I22" s="27">
        <v>0</v>
      </c>
      <c r="J22" s="10" t="str">
        <f>IFERROR(VLOOKUP($B22,'Core Indicators'!$E$3:$EU$906,147,FALSE),"x")</f>
        <v>x</v>
      </c>
      <c r="K22" s="28">
        <v>0.58970773220062256</v>
      </c>
      <c r="L22" s="31">
        <v>7.25</v>
      </c>
      <c r="M22" s="27">
        <v>58</v>
      </c>
      <c r="N22" s="27">
        <v>68</v>
      </c>
      <c r="O22" s="34" t="str">
        <f>IFERROR(VLOOKUP(B22,'Core Indicators'!$E$3:$G$9906,3,FALSE),"x")</f>
        <v>x</v>
      </c>
      <c r="P22" s="34">
        <v>38117</v>
      </c>
    </row>
    <row r="23" spans="1:16" x14ac:dyDescent="0.3">
      <c r="A23" s="16" t="s">
        <v>381</v>
      </c>
      <c r="B23" s="11" t="s">
        <v>38</v>
      </c>
      <c r="C23" s="31">
        <v>0.67240000149458645</v>
      </c>
      <c r="D23" s="27">
        <v>11</v>
      </c>
      <c r="E23" s="31">
        <v>3.5000000000000003E-2</v>
      </c>
      <c r="F23" s="31">
        <v>6.8</v>
      </c>
      <c r="G23" s="31">
        <v>0.44613712934639083</v>
      </c>
      <c r="H23" s="31">
        <v>42.200000762939503</v>
      </c>
      <c r="I23" s="27">
        <v>3</v>
      </c>
      <c r="J23" s="10" t="str">
        <f>IFERROR(VLOOKUP($B23,'Core Indicators'!$E$3:$EU$906,147,FALSE),"x")</f>
        <v>x</v>
      </c>
      <c r="K23" s="28">
        <v>-1.1213886737823486</v>
      </c>
      <c r="L23" s="31">
        <v>5.25</v>
      </c>
      <c r="M23" s="27">
        <v>63</v>
      </c>
      <c r="N23" s="27">
        <v>31</v>
      </c>
      <c r="O23" s="34" t="str">
        <f>IFERROR(VLOOKUP(B23,'Core Indicators'!$E$3:$G$9906,3,FALSE),"x")</f>
        <v>x</v>
      </c>
      <c r="P23" s="34">
        <v>1083300</v>
      </c>
    </row>
    <row r="24" spans="1:16" x14ac:dyDescent="0.3">
      <c r="A24" s="16" t="s">
        <v>40</v>
      </c>
      <c r="B24" s="11" t="s">
        <v>39</v>
      </c>
      <c r="C24" s="31">
        <v>0.63031901418989877</v>
      </c>
      <c r="D24" s="27">
        <v>6</v>
      </c>
      <c r="E24" s="31">
        <v>0.01</v>
      </c>
      <c r="F24" s="31">
        <v>5.75</v>
      </c>
      <c r="G24" s="31">
        <v>0.16208501030318867</v>
      </c>
      <c r="H24" s="31">
        <v>33</v>
      </c>
      <c r="I24" s="27">
        <v>2</v>
      </c>
      <c r="J24" s="10" t="str">
        <f>IFERROR(VLOOKUP($B24,'Core Indicators'!$E$3:$EU$906,147,FALSE),"x")</f>
        <v>x</v>
      </c>
      <c r="K24" s="28">
        <v>-0.23354159295558929</v>
      </c>
      <c r="L24" s="31">
        <v>6</v>
      </c>
      <c r="M24" s="27">
        <v>53</v>
      </c>
      <c r="N24" s="27">
        <v>36</v>
      </c>
      <c r="O24" s="34" t="str">
        <f>IFERROR(VLOOKUP(B24,'Core Indicators'!$E$3:$G$9906,3,FALSE),"x")</f>
        <v>x</v>
      </c>
      <c r="P24" s="34">
        <v>51200</v>
      </c>
    </row>
    <row r="25" spans="1:16" x14ac:dyDescent="0.3">
      <c r="A25" s="16" t="s">
        <v>42</v>
      </c>
      <c r="B25" s="11" t="s">
        <v>41</v>
      </c>
      <c r="C25" s="31">
        <v>0.66707900845087498</v>
      </c>
      <c r="D25" s="27">
        <v>10</v>
      </c>
      <c r="E25" s="31">
        <v>0.02</v>
      </c>
      <c r="F25" s="31">
        <v>8.35</v>
      </c>
      <c r="G25" s="31">
        <v>0.46426597224107335</v>
      </c>
      <c r="H25" s="31">
        <v>53.299999237060497</v>
      </c>
      <c r="I25" s="27">
        <v>0</v>
      </c>
      <c r="J25" s="10" t="str">
        <f>IFERROR(VLOOKUP($B25,'Core Indicators'!$E$3:$EU$906,147,FALSE),"x")</f>
        <v>x</v>
      </c>
      <c r="K25" s="28">
        <v>0.49843922257423401</v>
      </c>
      <c r="L25" s="31">
        <v>8</v>
      </c>
      <c r="M25" s="27">
        <v>72</v>
      </c>
      <c r="N25" s="27">
        <v>61</v>
      </c>
      <c r="O25" s="34" t="str">
        <f>IFERROR(VLOOKUP(B25,'Core Indicators'!$E$3:$G$9906,3,FALSE),"x")</f>
        <v>x</v>
      </c>
      <c r="P25" s="34">
        <v>566730</v>
      </c>
    </row>
    <row r="26" spans="1:16" x14ac:dyDescent="0.3">
      <c r="A26" s="16" t="s">
        <v>44</v>
      </c>
      <c r="B26" s="11" t="s">
        <v>43</v>
      </c>
      <c r="C26" s="31">
        <v>0.51540597232380425</v>
      </c>
      <c r="D26" s="27">
        <v>12</v>
      </c>
      <c r="E26" s="31">
        <v>6.6299999999999998E-2</v>
      </c>
      <c r="F26" s="31">
        <v>7.4</v>
      </c>
      <c r="G26" s="31">
        <v>0.38554076853660024</v>
      </c>
      <c r="H26" s="31">
        <v>53.900001525878899</v>
      </c>
      <c r="I26" s="27">
        <v>5</v>
      </c>
      <c r="J26" s="10">
        <f>IFERROR(VLOOKUP($B26,'Core Indicators'!$E$3:$EU$906,147,FALSE),"x")</f>
        <v>0</v>
      </c>
      <c r="K26" s="28">
        <v>-0.18090397119522095</v>
      </c>
      <c r="L26" s="31">
        <v>7.5</v>
      </c>
      <c r="M26" s="27">
        <v>75</v>
      </c>
      <c r="N26" s="27">
        <v>35</v>
      </c>
      <c r="O26" s="34">
        <f>IFERROR(VLOOKUP(B26,'Core Indicators'!$E$3:$G$9906,3,FALSE),"x")</f>
        <v>210147000</v>
      </c>
      <c r="P26" s="34">
        <v>8358140</v>
      </c>
    </row>
    <row r="27" spans="1:16" x14ac:dyDescent="0.3">
      <c r="A27" s="16" t="s">
        <v>366</v>
      </c>
      <c r="B27" s="11" t="s">
        <v>45</v>
      </c>
      <c r="C27" s="31">
        <v>0.6545000071376561</v>
      </c>
      <c r="D27" s="27">
        <v>3</v>
      </c>
      <c r="E27" s="31">
        <v>0</v>
      </c>
      <c r="F27" s="31" t="s">
        <v>393</v>
      </c>
      <c r="G27" s="31">
        <v>0.2335159326998707</v>
      </c>
      <c r="H27" s="31" t="s">
        <v>393</v>
      </c>
      <c r="I27" s="27">
        <v>0</v>
      </c>
      <c r="J27" s="10" t="str">
        <f>IFERROR(VLOOKUP($B27,'Core Indicators'!$E$3:$EU$906,147,FALSE),"x")</f>
        <v>x</v>
      </c>
      <c r="K27" s="28">
        <v>0.61426669359207153</v>
      </c>
      <c r="L27" s="31" t="s">
        <v>393</v>
      </c>
      <c r="M27" s="27">
        <v>28</v>
      </c>
      <c r="N27" s="27">
        <v>60</v>
      </c>
      <c r="O27" s="34" t="str">
        <f>IFERROR(VLOOKUP(B27,'Core Indicators'!$E$3:$G$9906,3,FALSE),"x")</f>
        <v>x</v>
      </c>
      <c r="P27" s="34">
        <v>5270</v>
      </c>
    </row>
    <row r="28" spans="1:16" x14ac:dyDescent="0.3">
      <c r="A28" s="16" t="s">
        <v>47</v>
      </c>
      <c r="B28" s="11" t="s">
        <v>46</v>
      </c>
      <c r="C28" s="31">
        <v>0.29830702729991798</v>
      </c>
      <c r="D28" s="27">
        <v>9</v>
      </c>
      <c r="E28" s="31">
        <v>0.05</v>
      </c>
      <c r="F28" s="31">
        <v>7.95</v>
      </c>
      <c r="G28" s="31">
        <v>0.21775610299281456</v>
      </c>
      <c r="H28" s="31">
        <v>40.400001525878899</v>
      </c>
      <c r="I28" s="27">
        <v>0</v>
      </c>
      <c r="J28" s="10" t="str">
        <f>IFERROR(VLOOKUP($B28,'Core Indicators'!$E$3:$EU$906,147,FALSE),"x")</f>
        <v>x</v>
      </c>
      <c r="K28" s="28">
        <v>3.5896573215723038E-2</v>
      </c>
      <c r="L28" s="31">
        <v>7.5</v>
      </c>
      <c r="M28" s="27">
        <v>80</v>
      </c>
      <c r="N28" s="27">
        <v>43</v>
      </c>
      <c r="O28" s="34" t="str">
        <f>IFERROR(VLOOKUP(B28,'Core Indicators'!$E$3:$G$9906,3,FALSE),"x")</f>
        <v>x</v>
      </c>
      <c r="P28" s="34">
        <v>108560</v>
      </c>
    </row>
    <row r="29" spans="1:16" x14ac:dyDescent="0.3">
      <c r="A29" s="16" t="s">
        <v>49</v>
      </c>
      <c r="B29" s="11" t="s">
        <v>48</v>
      </c>
      <c r="C29" s="31">
        <v>0.551099977636337</v>
      </c>
      <c r="D29" s="27">
        <v>11</v>
      </c>
      <c r="E29" s="31">
        <v>0</v>
      </c>
      <c r="F29" s="31">
        <v>6.2</v>
      </c>
      <c r="G29" s="31">
        <v>0.61156915873293016</v>
      </c>
      <c r="H29" s="31">
        <v>35.299999237060497</v>
      </c>
      <c r="I29" s="27">
        <v>3</v>
      </c>
      <c r="J29" s="10">
        <f>IFERROR(VLOOKUP($B29,'Core Indicators'!$E$3:$EU$906,147,FALSE),"x")</f>
        <v>1157</v>
      </c>
      <c r="K29" s="28">
        <v>-0.42625910043716431</v>
      </c>
      <c r="L29" s="31">
        <v>4.25</v>
      </c>
      <c r="M29" s="27">
        <v>56</v>
      </c>
      <c r="N29" s="27">
        <v>40</v>
      </c>
      <c r="O29" s="34">
        <f>IFERROR(VLOOKUP(B29,'Core Indicators'!$E$3:$G$9906,3,FALSE),"x")</f>
        <v>21138000</v>
      </c>
      <c r="P29" s="34">
        <v>273600</v>
      </c>
    </row>
    <row r="30" spans="1:16" x14ac:dyDescent="0.3">
      <c r="A30" s="16" t="s">
        <v>51</v>
      </c>
      <c r="B30" s="11" t="s">
        <v>50</v>
      </c>
      <c r="C30" s="31">
        <v>0.25789995930194798</v>
      </c>
      <c r="D30" s="27">
        <v>8</v>
      </c>
      <c r="E30" s="31">
        <v>0</v>
      </c>
      <c r="F30" s="31">
        <v>3.7</v>
      </c>
      <c r="G30" s="31">
        <v>0.51957781192410879</v>
      </c>
      <c r="H30" s="31">
        <v>38.599998474121101</v>
      </c>
      <c r="I30" s="27">
        <v>3</v>
      </c>
      <c r="J30" s="10">
        <f>IFERROR(VLOOKUP($B30,'Core Indicators'!$E$3:$EU$906,147,FALSE),"x")</f>
        <v>223</v>
      </c>
      <c r="K30" s="28">
        <v>-1.431904673576355</v>
      </c>
      <c r="L30" s="31">
        <v>2.5</v>
      </c>
      <c r="M30" s="27">
        <v>13</v>
      </c>
      <c r="N30" s="27">
        <v>19</v>
      </c>
      <c r="O30" s="34">
        <f>IFERROR(VLOOKUP(B30,'Core Indicators'!$E$3:$G$9906,3,FALSE),"x")</f>
        <v>11891000</v>
      </c>
      <c r="P30" s="34">
        <v>25680</v>
      </c>
    </row>
    <row r="31" spans="1:16" x14ac:dyDescent="0.3">
      <c r="A31" s="16" t="s">
        <v>382</v>
      </c>
      <c r="B31" s="11" t="s">
        <v>58</v>
      </c>
      <c r="C31" s="31">
        <v>0</v>
      </c>
      <c r="D31" s="27">
        <v>13</v>
      </c>
      <c r="E31" s="31">
        <v>0</v>
      </c>
      <c r="F31" s="31" t="s">
        <v>393</v>
      </c>
      <c r="G31" s="31">
        <v>0.37196926267332275</v>
      </c>
      <c r="H31" s="31">
        <v>42.400001525878899</v>
      </c>
      <c r="I31" s="27">
        <v>0</v>
      </c>
      <c r="J31" s="10" t="str">
        <f>IFERROR(VLOOKUP($B31,'Core Indicators'!$E$3:$EU$906,147,FALSE),"x")</f>
        <v>x</v>
      </c>
      <c r="K31" s="28">
        <v>0.51534461975097656</v>
      </c>
      <c r="L31" s="31" t="s">
        <v>393</v>
      </c>
      <c r="M31" s="27">
        <v>92</v>
      </c>
      <c r="N31" s="27">
        <v>58</v>
      </c>
      <c r="O31" s="34" t="str">
        <f>IFERROR(VLOOKUP(B31,'Core Indicators'!$E$3:$G$9906,3,FALSE),"x")</f>
        <v>x</v>
      </c>
      <c r="P31" s="34">
        <v>4030</v>
      </c>
    </row>
    <row r="32" spans="1:16" x14ac:dyDescent="0.3">
      <c r="A32" s="16" t="s">
        <v>53</v>
      </c>
      <c r="B32" s="11" t="s">
        <v>52</v>
      </c>
      <c r="C32" s="31">
        <v>9.6800022645667005E-2</v>
      </c>
      <c r="D32" s="27">
        <v>9</v>
      </c>
      <c r="E32" s="31">
        <v>3.5000000000000003E-2</v>
      </c>
      <c r="F32" s="31">
        <v>3.2833333333333337</v>
      </c>
      <c r="G32" s="31">
        <v>0.4741629460623521</v>
      </c>
      <c r="H32" s="31" t="s">
        <v>393</v>
      </c>
      <c r="I32" s="27">
        <v>2</v>
      </c>
      <c r="J32" s="10" t="str">
        <f>IFERROR(VLOOKUP($B32,'Core Indicators'!$E$3:$EU$906,147,FALSE),"x")</f>
        <v>x</v>
      </c>
      <c r="K32" s="28">
        <v>-0.93566834926605225</v>
      </c>
      <c r="L32" s="31">
        <v>2</v>
      </c>
      <c r="M32" s="27">
        <v>25</v>
      </c>
      <c r="N32" s="27">
        <v>20</v>
      </c>
      <c r="O32" s="34" t="str">
        <f>IFERROR(VLOOKUP(B32,'Core Indicators'!$E$3:$G$9906,3,FALSE),"x")</f>
        <v>x</v>
      </c>
      <c r="P32" s="34">
        <v>176520</v>
      </c>
    </row>
    <row r="33" spans="1:16" x14ac:dyDescent="0.3">
      <c r="A33" s="16" t="s">
        <v>55</v>
      </c>
      <c r="B33" s="11" t="s">
        <v>54</v>
      </c>
      <c r="C33" s="31">
        <v>0.85829999847412108</v>
      </c>
      <c r="D33" s="27">
        <v>5</v>
      </c>
      <c r="E33" s="31">
        <v>0</v>
      </c>
      <c r="F33" s="31">
        <v>3.55</v>
      </c>
      <c r="G33" s="31">
        <v>0.56645724553990451</v>
      </c>
      <c r="H33" s="31">
        <v>46.599998474121101</v>
      </c>
      <c r="I33" s="27">
        <v>4</v>
      </c>
      <c r="J33" s="10">
        <f>IFERROR(VLOOKUP($B33,'Core Indicators'!$E$3:$EU$906,147,FALSE),"x")</f>
        <v>519</v>
      </c>
      <c r="K33" s="28">
        <v>-1.1189085245132446</v>
      </c>
      <c r="L33" s="31">
        <v>3.25</v>
      </c>
      <c r="M33" s="27">
        <v>18</v>
      </c>
      <c r="N33" s="27">
        <v>25</v>
      </c>
      <c r="O33" s="34">
        <f>IFERROR(VLOOKUP(B33,'Core Indicators'!$E$3:$G$9906,3,FALSE),"x")</f>
        <v>25947000</v>
      </c>
      <c r="P33" s="34">
        <v>472710</v>
      </c>
    </row>
    <row r="34" spans="1:16" x14ac:dyDescent="0.3">
      <c r="A34" s="16" t="s">
        <v>57</v>
      </c>
      <c r="B34" s="11" t="s">
        <v>56</v>
      </c>
      <c r="C34" s="31">
        <v>0.59715102890187433</v>
      </c>
      <c r="D34" s="27">
        <v>12</v>
      </c>
      <c r="E34" s="31">
        <v>2.8000000000000001E-2</v>
      </c>
      <c r="F34" s="31" t="s">
        <v>393</v>
      </c>
      <c r="G34" s="31">
        <v>8.2716424657450216E-2</v>
      </c>
      <c r="H34" s="31">
        <v>33.799999237060497</v>
      </c>
      <c r="I34" s="27">
        <v>0</v>
      </c>
      <c r="J34" s="10" t="str">
        <f>IFERROR(VLOOKUP($B34,'Core Indicators'!$E$3:$EU$906,147,FALSE),"x")</f>
        <v>x</v>
      </c>
      <c r="K34" s="28">
        <v>1.7599397897720337</v>
      </c>
      <c r="L34" s="31" t="s">
        <v>393</v>
      </c>
      <c r="M34" s="27">
        <v>98</v>
      </c>
      <c r="N34" s="27">
        <v>77</v>
      </c>
      <c r="O34" s="34" t="str">
        <f>IFERROR(VLOOKUP(B34,'Core Indicators'!$E$3:$G$9906,3,FALSE),"x")</f>
        <v>x</v>
      </c>
      <c r="P34" s="34">
        <v>9093510</v>
      </c>
    </row>
    <row r="35" spans="1:16" x14ac:dyDescent="0.3">
      <c r="A35" s="16" t="s">
        <v>60</v>
      </c>
      <c r="B35" s="11" t="s">
        <v>59</v>
      </c>
      <c r="C35" s="31">
        <v>0.8778909911902768</v>
      </c>
      <c r="D35" s="27">
        <v>4</v>
      </c>
      <c r="E35" s="31">
        <v>0.183</v>
      </c>
      <c r="F35" s="31">
        <v>3.55</v>
      </c>
      <c r="G35" s="31">
        <v>0.68207866262751871</v>
      </c>
      <c r="H35" s="31">
        <v>56.200000762939503</v>
      </c>
      <c r="I35" s="27">
        <v>4</v>
      </c>
      <c r="J35" s="10">
        <f>IFERROR(VLOOKUP($B35,'Core Indicators'!$E$3:$EU$906,147,FALSE),"x")</f>
        <v>117</v>
      </c>
      <c r="K35" s="28">
        <v>-1.7283856868743896</v>
      </c>
      <c r="L35" s="31">
        <v>3.25</v>
      </c>
      <c r="M35" s="27">
        <v>10</v>
      </c>
      <c r="N35" s="27">
        <v>25</v>
      </c>
      <c r="O35" s="34">
        <f>IFERROR(VLOOKUP(B35,'Core Indicators'!$E$3:$G$9906,3,FALSE),"x")</f>
        <v>4900000</v>
      </c>
      <c r="P35" s="34">
        <v>622980</v>
      </c>
    </row>
    <row r="36" spans="1:16" x14ac:dyDescent="0.3">
      <c r="A36" s="16" t="s">
        <v>62</v>
      </c>
      <c r="B36" s="11" t="s">
        <v>61</v>
      </c>
      <c r="C36" s="31">
        <v>0.92045000246651465</v>
      </c>
      <c r="D36" s="27">
        <v>9</v>
      </c>
      <c r="E36" s="31">
        <v>0.185</v>
      </c>
      <c r="F36" s="31">
        <v>2.9333333333333331</v>
      </c>
      <c r="G36" s="31">
        <v>0.7006806671961634</v>
      </c>
      <c r="H36" s="31">
        <v>43.299999237060497</v>
      </c>
      <c r="I36" s="27">
        <v>3</v>
      </c>
      <c r="J36" s="10">
        <f>IFERROR(VLOOKUP($B36,'Core Indicators'!$E$3:$EU$906,147,FALSE),"x")</f>
        <v>380</v>
      </c>
      <c r="K36" s="28">
        <v>-1.2833583354949951</v>
      </c>
      <c r="L36" s="31">
        <v>1.75</v>
      </c>
      <c r="M36" s="27">
        <v>17</v>
      </c>
      <c r="N36" s="27">
        <v>20</v>
      </c>
      <c r="O36" s="34">
        <f>IFERROR(VLOOKUP(B36,'Core Indicators'!$E$3:$G$9906,3,FALSE),"x")</f>
        <v>16787000</v>
      </c>
      <c r="P36" s="34">
        <v>1259200</v>
      </c>
    </row>
    <row r="37" spans="1:16" x14ac:dyDescent="0.3">
      <c r="A37" s="16" t="s">
        <v>64</v>
      </c>
      <c r="B37" s="11" t="s">
        <v>63</v>
      </c>
      <c r="C37" s="31">
        <v>0.16604995183162319</v>
      </c>
      <c r="D37" s="27">
        <v>12</v>
      </c>
      <c r="E37" s="31">
        <v>0.04</v>
      </c>
      <c r="F37" s="31">
        <v>9.3000000000000007</v>
      </c>
      <c r="G37" s="31">
        <v>0.28785367480719526</v>
      </c>
      <c r="H37" s="31">
        <v>44.400001525878899</v>
      </c>
      <c r="I37" s="27">
        <v>3</v>
      </c>
      <c r="J37" s="10" t="str">
        <f>IFERROR(VLOOKUP($B37,'Core Indicators'!$E$3:$EU$906,147,FALSE),"x")</f>
        <v>x</v>
      </c>
      <c r="K37" s="28">
        <v>1.073613166809082</v>
      </c>
      <c r="L37" s="31">
        <v>9.5</v>
      </c>
      <c r="M37" s="27">
        <v>90</v>
      </c>
      <c r="N37" s="27">
        <v>67</v>
      </c>
      <c r="O37" s="34" t="str">
        <f>IFERROR(VLOOKUP(B37,'Core Indicators'!$E$3:$G$9906,3,FALSE),"x")</f>
        <v>x</v>
      </c>
      <c r="P37" s="34">
        <v>743532</v>
      </c>
    </row>
    <row r="38" spans="1:16" x14ac:dyDescent="0.3">
      <c r="A38" s="16" t="s">
        <v>363</v>
      </c>
      <c r="B38" s="11" t="s">
        <v>65</v>
      </c>
      <c r="C38" s="31">
        <v>0.16040162428675153</v>
      </c>
      <c r="D38" s="27">
        <v>0</v>
      </c>
      <c r="E38" s="31">
        <v>0.43429999999999996</v>
      </c>
      <c r="F38" s="31">
        <v>3.3333333333333335</v>
      </c>
      <c r="G38" s="31">
        <v>0.16264248044280027</v>
      </c>
      <c r="H38" s="31">
        <v>38.5</v>
      </c>
      <c r="I38" s="27">
        <v>3</v>
      </c>
      <c r="J38" s="10" t="str">
        <f>IFERROR(VLOOKUP($B38,'Core Indicators'!$E$3:$EU$906,147,FALSE),"x")</f>
        <v>x</v>
      </c>
      <c r="K38" s="28">
        <v>-0.27471861243247986</v>
      </c>
      <c r="L38" s="31">
        <v>2.5</v>
      </c>
      <c r="M38" s="27">
        <v>10</v>
      </c>
      <c r="N38" s="27">
        <v>41</v>
      </c>
      <c r="O38" s="34" t="str">
        <f>IFERROR(VLOOKUP(B38,'Core Indicators'!$E$3:$G$9906,3,FALSE),"x")</f>
        <v>x</v>
      </c>
      <c r="P38" s="34">
        <v>9388211</v>
      </c>
    </row>
    <row r="39" spans="1:16" x14ac:dyDescent="0.3">
      <c r="A39" s="16" t="s">
        <v>67</v>
      </c>
      <c r="B39" s="11" t="s">
        <v>66</v>
      </c>
      <c r="C39" s="31">
        <v>0.41304397010779348</v>
      </c>
      <c r="D39" s="27">
        <v>10</v>
      </c>
      <c r="E39" s="31">
        <v>0.247</v>
      </c>
      <c r="F39" s="31">
        <v>6.7</v>
      </c>
      <c r="G39" s="31">
        <v>0.41050226349077279</v>
      </c>
      <c r="H39" s="31">
        <v>50.400001525878899</v>
      </c>
      <c r="I39" s="27">
        <v>4</v>
      </c>
      <c r="J39" s="10" t="str">
        <f>IFERROR(VLOOKUP($B39,'Core Indicators'!$E$3:$EU$906,147,FALSE),"x")</f>
        <v>x</v>
      </c>
      <c r="K39" s="28">
        <v>-0.41692885756492615</v>
      </c>
      <c r="L39" s="31">
        <v>6.25</v>
      </c>
      <c r="M39" s="27">
        <v>66</v>
      </c>
      <c r="N39" s="27">
        <v>37</v>
      </c>
      <c r="O39" s="34">
        <f>IFERROR(VLOOKUP(B39,'Core Indicators'!$E$3:$G$9906,3,FALSE),"x")</f>
        <v>48300000</v>
      </c>
      <c r="P39" s="34">
        <v>1109500</v>
      </c>
    </row>
    <row r="40" spans="1:16" x14ac:dyDescent="0.3">
      <c r="A40" s="16" t="s">
        <v>69</v>
      </c>
      <c r="B40" s="11" t="s">
        <v>68</v>
      </c>
      <c r="C40" s="31">
        <v>0.54602201463270172</v>
      </c>
      <c r="D40" s="27">
        <v>10</v>
      </c>
      <c r="E40" s="31">
        <v>0</v>
      </c>
      <c r="F40" s="31" t="s">
        <v>393</v>
      </c>
      <c r="G40" s="31" t="s">
        <v>393</v>
      </c>
      <c r="H40" s="31">
        <v>45.299999237060497</v>
      </c>
      <c r="I40" s="27">
        <v>0</v>
      </c>
      <c r="J40" s="10" t="str">
        <f>IFERROR(VLOOKUP($B40,'Core Indicators'!$E$3:$EU$906,147,FALSE),"x")</f>
        <v>x</v>
      </c>
      <c r="K40" s="28">
        <v>-1.0875025987625122</v>
      </c>
      <c r="L40" s="31" t="s">
        <v>393</v>
      </c>
      <c r="M40" s="27">
        <v>44</v>
      </c>
      <c r="N40" s="27">
        <v>25</v>
      </c>
      <c r="O40" s="34" t="str">
        <f>IFERROR(VLOOKUP(B40,'Core Indicators'!$E$3:$G$9906,3,FALSE),"x")</f>
        <v>x</v>
      </c>
      <c r="P40" s="34">
        <v>1861</v>
      </c>
    </row>
    <row r="41" spans="1:16" x14ac:dyDescent="0.3">
      <c r="A41" s="16" t="s">
        <v>361</v>
      </c>
      <c r="B41" s="11" t="s">
        <v>71</v>
      </c>
      <c r="C41" s="31">
        <v>0.87909999344646916</v>
      </c>
      <c r="D41" s="27">
        <v>10</v>
      </c>
      <c r="E41" s="31">
        <v>0.72</v>
      </c>
      <c r="F41" s="31">
        <v>3.3</v>
      </c>
      <c r="G41" s="31">
        <v>0.57901026192942318</v>
      </c>
      <c r="H41" s="31">
        <v>48.900001525878899</v>
      </c>
      <c r="I41" s="27">
        <v>1</v>
      </c>
      <c r="J41" s="10" t="str">
        <f>IFERROR(VLOOKUP($B41,'Core Indicators'!$E$3:$EU$906,147,FALSE),"x")</f>
        <v>x</v>
      </c>
      <c r="K41" s="28">
        <v>-1.1497093439102173</v>
      </c>
      <c r="L41" s="31">
        <v>2.5</v>
      </c>
      <c r="M41" s="27">
        <v>20</v>
      </c>
      <c r="N41" s="27">
        <v>19</v>
      </c>
      <c r="O41" s="34">
        <f>IFERROR(VLOOKUP(B41,'Core Indicators'!$E$3:$G$9906,3,FALSE),"x")</f>
        <v>5423000</v>
      </c>
      <c r="P41" s="34">
        <v>341500</v>
      </c>
    </row>
    <row r="42" spans="1:16" x14ac:dyDescent="0.3">
      <c r="A42" s="16" t="s">
        <v>384</v>
      </c>
      <c r="B42" s="11" t="s">
        <v>70</v>
      </c>
      <c r="C42" s="31">
        <v>0.93415500103056426</v>
      </c>
      <c r="D42" s="27">
        <v>3</v>
      </c>
      <c r="E42" s="31">
        <v>0.61299999999999999</v>
      </c>
      <c r="F42" s="31">
        <v>3.5166666666666666</v>
      </c>
      <c r="G42" s="31">
        <v>0.65473159424704463</v>
      </c>
      <c r="H42" s="31">
        <v>42.099998474121101</v>
      </c>
      <c r="I42" s="27">
        <v>5</v>
      </c>
      <c r="J42" s="10">
        <f>IFERROR(VLOOKUP($B42,'Core Indicators'!$E$3:$EU$906,147,FALSE),"x")</f>
        <v>3614</v>
      </c>
      <c r="K42" s="28">
        <v>-1.7860875129699707</v>
      </c>
      <c r="L42" s="31">
        <v>2.75</v>
      </c>
      <c r="M42" s="27">
        <v>18</v>
      </c>
      <c r="N42" s="27">
        <v>18</v>
      </c>
      <c r="O42" s="34">
        <f>IFERROR(VLOOKUP(B42,'Core Indicators'!$E$3:$G$9906,3,FALSE),"x")</f>
        <v>99510000</v>
      </c>
      <c r="P42" s="34">
        <v>2267050</v>
      </c>
    </row>
    <row r="43" spans="1:16" x14ac:dyDescent="0.3">
      <c r="A43" s="16" t="s">
        <v>73</v>
      </c>
      <c r="B43" s="11" t="s">
        <v>72</v>
      </c>
      <c r="C43" s="31">
        <v>0.2927709789850711</v>
      </c>
      <c r="D43" s="27">
        <v>11</v>
      </c>
      <c r="E43" s="31">
        <v>0.02</v>
      </c>
      <c r="F43" s="31">
        <v>9.0500000000000007</v>
      </c>
      <c r="G43" s="31">
        <v>0.28514079649704971</v>
      </c>
      <c r="H43" s="31">
        <v>48</v>
      </c>
      <c r="I43" s="27">
        <v>0</v>
      </c>
      <c r="J43" s="10">
        <f>IFERROR(VLOOKUP($B43,'Core Indicators'!$E$3:$EU$906,147,FALSE),"x")</f>
        <v>0</v>
      </c>
      <c r="K43" s="28">
        <v>0.54409223794937134</v>
      </c>
      <c r="L43" s="31">
        <v>9.5</v>
      </c>
      <c r="M43" s="27">
        <v>91</v>
      </c>
      <c r="N43" s="27">
        <v>56</v>
      </c>
      <c r="O43" s="34">
        <f>IFERROR(VLOOKUP(B43,'Core Indicators'!$E$3:$G$9906,3,FALSE),"x")</f>
        <v>5135000</v>
      </c>
      <c r="P43" s="34">
        <v>51060</v>
      </c>
    </row>
    <row r="44" spans="1:16" x14ac:dyDescent="0.3">
      <c r="A44" s="16" t="s">
        <v>358</v>
      </c>
      <c r="B44" s="11" t="s">
        <v>74</v>
      </c>
      <c r="C44" s="31">
        <v>0.7738999967336655</v>
      </c>
      <c r="D44" s="27">
        <v>4</v>
      </c>
      <c r="E44" s="31">
        <v>0.34</v>
      </c>
      <c r="F44" s="31">
        <v>5.8</v>
      </c>
      <c r="G44" s="31">
        <v>0.65704813982203714</v>
      </c>
      <c r="H44" s="31">
        <v>41.5</v>
      </c>
      <c r="I44" s="27">
        <v>3</v>
      </c>
      <c r="J44" s="10" t="str">
        <f>IFERROR(VLOOKUP($B44,'Core Indicators'!$E$3:$EU$906,147,FALSE),"x")</f>
        <v>x</v>
      </c>
      <c r="K44" s="28">
        <v>-0.56690657138824463</v>
      </c>
      <c r="L44" s="31">
        <v>3.75</v>
      </c>
      <c r="M44" s="27">
        <v>51</v>
      </c>
      <c r="N44" s="27">
        <v>35</v>
      </c>
      <c r="O44" s="34" t="str">
        <f>IFERROR(VLOOKUP(B44,'Core Indicators'!$E$3:$G$9906,3,FALSE),"x")</f>
        <v>x</v>
      </c>
      <c r="P44" s="34">
        <v>318000</v>
      </c>
    </row>
    <row r="45" spans="1:16" x14ac:dyDescent="0.3">
      <c r="A45" s="16" t="s">
        <v>76</v>
      </c>
      <c r="B45" s="11" t="s">
        <v>75</v>
      </c>
      <c r="C45" s="31">
        <v>0.18083720832176831</v>
      </c>
      <c r="D45" s="27">
        <v>11</v>
      </c>
      <c r="E45" s="31">
        <v>1.6800000000000002E-2</v>
      </c>
      <c r="F45" s="31">
        <v>8.15</v>
      </c>
      <c r="G45" s="31">
        <v>0.1224165438386442</v>
      </c>
      <c r="H45" s="31">
        <v>30.399999618530298</v>
      </c>
      <c r="I45" s="27">
        <v>3</v>
      </c>
      <c r="J45" s="10" t="str">
        <f>IFERROR(VLOOKUP($B45,'Core Indicators'!$E$3:$EU$906,147,FALSE),"x")</f>
        <v>x</v>
      </c>
      <c r="K45" s="28">
        <v>0.36613461375236511</v>
      </c>
      <c r="L45" s="31">
        <v>7.25</v>
      </c>
      <c r="M45" s="27">
        <v>85</v>
      </c>
      <c r="N45" s="27">
        <v>47</v>
      </c>
      <c r="O45" s="34" t="str">
        <f>IFERROR(VLOOKUP(B45,'Core Indicators'!$E$3:$G$9906,3,FALSE),"x")</f>
        <v>x</v>
      </c>
      <c r="P45" s="34">
        <v>55960</v>
      </c>
    </row>
    <row r="46" spans="1:16" x14ac:dyDescent="0.3">
      <c r="A46" s="16" t="s">
        <v>78</v>
      </c>
      <c r="B46" s="11" t="s">
        <v>77</v>
      </c>
      <c r="C46" s="31">
        <v>0.46023803672742769</v>
      </c>
      <c r="D46" s="27">
        <v>0</v>
      </c>
      <c r="E46" s="31">
        <v>0</v>
      </c>
      <c r="F46" s="31">
        <v>3.5333333333333337</v>
      </c>
      <c r="G46" s="31">
        <v>0.31249158027420243</v>
      </c>
      <c r="H46" s="31" t="s">
        <v>393</v>
      </c>
      <c r="I46" s="27">
        <v>2</v>
      </c>
      <c r="J46" s="10" t="str">
        <f>IFERROR(VLOOKUP($B46,'Core Indicators'!$E$3:$EU$906,147,FALSE),"x")</f>
        <v>x</v>
      </c>
      <c r="K46" s="28">
        <v>-0.32248908281326294</v>
      </c>
      <c r="L46" s="31">
        <v>3.25</v>
      </c>
      <c r="M46" s="27">
        <v>14</v>
      </c>
      <c r="N46" s="27">
        <v>48</v>
      </c>
      <c r="O46" s="34" t="str">
        <f>IFERROR(VLOOKUP(B46,'Core Indicators'!$E$3:$G$9906,3,FALSE),"x")</f>
        <v>x</v>
      </c>
      <c r="P46" s="34">
        <v>104020</v>
      </c>
    </row>
    <row r="47" spans="1:16" x14ac:dyDescent="0.3">
      <c r="A47" s="16" t="s">
        <v>80</v>
      </c>
      <c r="B47" s="11" t="s">
        <v>79</v>
      </c>
      <c r="C47" s="31">
        <v>0.32759997835159282</v>
      </c>
      <c r="D47" s="27">
        <v>11</v>
      </c>
      <c r="E47" s="31">
        <v>0</v>
      </c>
      <c r="F47" s="31" t="s">
        <v>393</v>
      </c>
      <c r="G47" s="31">
        <v>8.6124699215239575E-2</v>
      </c>
      <c r="H47" s="31">
        <v>31.399999618530298</v>
      </c>
      <c r="I47" s="27">
        <v>2</v>
      </c>
      <c r="J47" s="10" t="str">
        <f>IFERROR(VLOOKUP($B47,'Core Indicators'!$E$3:$EU$906,147,FALSE),"x")</f>
        <v>x</v>
      </c>
      <c r="K47" s="28">
        <v>0.75989937782287598</v>
      </c>
      <c r="L47" s="31" t="s">
        <v>393</v>
      </c>
      <c r="M47" s="27">
        <v>94</v>
      </c>
      <c r="N47" s="27">
        <v>58</v>
      </c>
      <c r="O47" s="34" t="str">
        <f>IFERROR(VLOOKUP(B47,'Core Indicators'!$E$3:$G$9906,3,FALSE),"x")</f>
        <v>x</v>
      </c>
      <c r="P47" s="34">
        <v>9240</v>
      </c>
    </row>
    <row r="48" spans="1:16" x14ac:dyDescent="0.3">
      <c r="A48" s="16" t="s">
        <v>82</v>
      </c>
      <c r="B48" s="11" t="s">
        <v>81</v>
      </c>
      <c r="C48" s="31">
        <v>5.5215994438171379E-2</v>
      </c>
      <c r="D48" s="27">
        <v>11</v>
      </c>
      <c r="E48" s="31">
        <v>5.6999999999999995E-2</v>
      </c>
      <c r="F48" s="31">
        <v>9.35</v>
      </c>
      <c r="G48" s="31">
        <v>0.13741483554839629</v>
      </c>
      <c r="H48" s="31">
        <v>24.899999618530298</v>
      </c>
      <c r="I48" s="27">
        <v>0</v>
      </c>
      <c r="J48" s="10" t="str">
        <f>IFERROR(VLOOKUP($B48,'Core Indicators'!$E$3:$EU$906,147,FALSE),"x")</f>
        <v>x</v>
      </c>
      <c r="K48" s="28">
        <v>1.046504020690918</v>
      </c>
      <c r="L48" s="31">
        <v>9</v>
      </c>
      <c r="M48" s="27">
        <v>91</v>
      </c>
      <c r="N48" s="27">
        <v>56</v>
      </c>
      <c r="O48" s="34" t="str">
        <f>IFERROR(VLOOKUP(B48,'Core Indicators'!$E$3:$G$9906,3,FALSE),"x")</f>
        <v>x</v>
      </c>
      <c r="P48" s="34">
        <v>77210</v>
      </c>
    </row>
    <row r="49" spans="1:16" x14ac:dyDescent="0.3">
      <c r="A49" s="16" t="s">
        <v>84</v>
      </c>
      <c r="B49" s="11" t="s">
        <v>83</v>
      </c>
      <c r="C49" s="31">
        <v>0</v>
      </c>
      <c r="D49" s="27">
        <v>12</v>
      </c>
      <c r="E49" s="31">
        <v>0</v>
      </c>
      <c r="F49" s="31" t="s">
        <v>393</v>
      </c>
      <c r="G49" s="31">
        <v>3.9597173601869429E-2</v>
      </c>
      <c r="H49" s="31">
        <v>28.700000762939499</v>
      </c>
      <c r="I49" s="27">
        <v>0</v>
      </c>
      <c r="J49" s="10" t="str">
        <f>IFERROR(VLOOKUP($B49,'Core Indicators'!$E$3:$EU$906,147,FALSE),"x")</f>
        <v>x</v>
      </c>
      <c r="K49" s="28">
        <v>1.8984570503234863</v>
      </c>
      <c r="L49" s="31" t="s">
        <v>393</v>
      </c>
      <c r="M49" s="27">
        <v>97</v>
      </c>
      <c r="N49" s="27">
        <v>87</v>
      </c>
      <c r="O49" s="34" t="str">
        <f>IFERROR(VLOOKUP(B49,'Core Indicators'!$E$3:$G$9906,3,FALSE),"x")</f>
        <v>x</v>
      </c>
      <c r="P49" s="34">
        <v>42262</v>
      </c>
    </row>
    <row r="50" spans="1:16" x14ac:dyDescent="0.3">
      <c r="A50" s="16" t="s">
        <v>86</v>
      </c>
      <c r="B50" s="11" t="s">
        <v>85</v>
      </c>
      <c r="C50" s="31">
        <v>0.56789997658729519</v>
      </c>
      <c r="D50" s="27">
        <v>6</v>
      </c>
      <c r="E50" s="31">
        <v>0</v>
      </c>
      <c r="F50" s="31">
        <v>3.7833333333333337</v>
      </c>
      <c r="G50" s="31" t="s">
        <v>393</v>
      </c>
      <c r="H50" s="31">
        <v>41.599998474121101</v>
      </c>
      <c r="I50" s="27">
        <v>3</v>
      </c>
      <c r="J50" s="10">
        <f>IFERROR(VLOOKUP($B50,'Core Indicators'!$E$3:$EU$906,147,FALSE),"x")</f>
        <v>10</v>
      </c>
      <c r="K50" s="28">
        <v>-0.91440337896347046</v>
      </c>
      <c r="L50" s="31">
        <v>3</v>
      </c>
      <c r="M50" s="27">
        <v>24</v>
      </c>
      <c r="N50" s="27">
        <v>30</v>
      </c>
      <c r="O50" s="34">
        <f>IFERROR(VLOOKUP(B50,'Core Indicators'!$E$3:$G$9906,3,FALSE),"x")</f>
        <v>1011000</v>
      </c>
      <c r="P50" s="34">
        <v>23180</v>
      </c>
    </row>
    <row r="51" spans="1:16" x14ac:dyDescent="0.3">
      <c r="A51" s="16" t="s">
        <v>88</v>
      </c>
      <c r="B51" s="11" t="s">
        <v>87</v>
      </c>
      <c r="C51" s="31">
        <v>0</v>
      </c>
      <c r="D51" s="27">
        <v>13</v>
      </c>
      <c r="E51" s="31">
        <v>0</v>
      </c>
      <c r="F51" s="31" t="s">
        <v>393</v>
      </c>
      <c r="G51" s="31" t="s">
        <v>393</v>
      </c>
      <c r="H51" s="31" t="s">
        <v>393</v>
      </c>
      <c r="I51" s="27">
        <v>0</v>
      </c>
      <c r="J51" s="10" t="str">
        <f>IFERROR(VLOOKUP($B51,'Core Indicators'!$E$3:$EU$906,147,FALSE),"x")</f>
        <v>x</v>
      </c>
      <c r="K51" s="28">
        <v>0.68633824586868286</v>
      </c>
      <c r="L51" s="31" t="s">
        <v>393</v>
      </c>
      <c r="M51" s="27">
        <v>93</v>
      </c>
      <c r="N51" s="27">
        <v>55</v>
      </c>
      <c r="O51" s="34" t="str">
        <f>IFERROR(VLOOKUP(B51,'Core Indicators'!$E$3:$G$9906,3,FALSE),"x")</f>
        <v>x</v>
      </c>
      <c r="P51" s="34">
        <v>750</v>
      </c>
    </row>
    <row r="52" spans="1:16" x14ac:dyDescent="0.3">
      <c r="A52" s="16" t="s">
        <v>90</v>
      </c>
      <c r="B52" s="11" t="s">
        <v>89</v>
      </c>
      <c r="C52" s="31">
        <v>0</v>
      </c>
      <c r="D52" s="27">
        <v>7</v>
      </c>
      <c r="E52" s="31">
        <v>7.0000000000000007E-2</v>
      </c>
      <c r="F52" s="31">
        <v>6.8</v>
      </c>
      <c r="G52" s="31">
        <v>0.45327225148093653</v>
      </c>
      <c r="H52" s="31">
        <v>43.700000762939503</v>
      </c>
      <c r="I52" s="27">
        <v>3</v>
      </c>
      <c r="J52" s="10" t="str">
        <f>IFERROR(VLOOKUP($B52,'Core Indicators'!$E$3:$EU$906,147,FALSE),"x")</f>
        <v>x</v>
      </c>
      <c r="K52" s="28">
        <v>-0.34769749641418457</v>
      </c>
      <c r="L52" s="31">
        <v>5.25</v>
      </c>
      <c r="M52" s="27">
        <v>67</v>
      </c>
      <c r="N52" s="27">
        <v>28</v>
      </c>
      <c r="O52" s="34" t="str">
        <f>IFERROR(VLOOKUP(B52,'Core Indicators'!$E$3:$G$9906,3,FALSE),"x")</f>
        <v>x</v>
      </c>
      <c r="P52" s="34">
        <v>48310</v>
      </c>
    </row>
    <row r="53" spans="1:16" x14ac:dyDescent="0.3">
      <c r="A53" s="16" t="s">
        <v>93</v>
      </c>
      <c r="B53" s="11" t="s">
        <v>92</v>
      </c>
      <c r="C53" s="31">
        <v>0.32659999672472484</v>
      </c>
      <c r="D53" s="27">
        <v>9</v>
      </c>
      <c r="E53" s="31">
        <v>0.31</v>
      </c>
      <c r="F53" s="31">
        <v>7.2</v>
      </c>
      <c r="G53" s="31">
        <v>0.38886860005590296</v>
      </c>
      <c r="H53" s="31">
        <v>45.400001525878899</v>
      </c>
      <c r="I53" s="27">
        <v>3</v>
      </c>
      <c r="J53" s="10">
        <f>IFERROR(VLOOKUP($B53,'Core Indicators'!$E$3:$EU$906,147,FALSE),"x")</f>
        <v>1</v>
      </c>
      <c r="K53" s="28">
        <v>-0.57735705375671387</v>
      </c>
      <c r="L53" s="31">
        <v>6.5</v>
      </c>
      <c r="M53" s="27">
        <v>65</v>
      </c>
      <c r="N53" s="27">
        <v>38</v>
      </c>
      <c r="O53" s="34">
        <f>IFERROR(VLOOKUP(B53,'Core Indicators'!$E$3:$G$9906,3,FALSE),"x")</f>
        <v>14846000</v>
      </c>
      <c r="P53" s="34">
        <v>248360</v>
      </c>
    </row>
    <row r="54" spans="1:16" x14ac:dyDescent="0.3">
      <c r="A54" s="16" t="s">
        <v>95</v>
      </c>
      <c r="B54" s="11" t="s">
        <v>94</v>
      </c>
      <c r="C54" s="31">
        <v>0.1637999516248696</v>
      </c>
      <c r="D54" s="27">
        <v>3</v>
      </c>
      <c r="E54" s="31">
        <v>0.09</v>
      </c>
      <c r="F54" s="31">
        <v>3.5</v>
      </c>
      <c r="G54" s="31">
        <v>0.44973590693150411</v>
      </c>
      <c r="H54" s="31">
        <v>31.5</v>
      </c>
      <c r="I54" s="27">
        <v>5</v>
      </c>
      <c r="J54" s="10">
        <f>IFERROR(VLOOKUP($B54,'Core Indicators'!$E$3:$EU$906,147,FALSE),"x")</f>
        <v>0</v>
      </c>
      <c r="K54" s="28">
        <v>-0.42084598541259766</v>
      </c>
      <c r="L54" s="31">
        <v>3</v>
      </c>
      <c r="M54" s="27">
        <v>21</v>
      </c>
      <c r="N54" s="27">
        <v>35</v>
      </c>
      <c r="O54" s="34">
        <f>IFERROR(VLOOKUP(B54,'Core Indicators'!$E$3:$G$9906,3,FALSE),"x")</f>
        <v>100388000</v>
      </c>
      <c r="P54" s="34">
        <v>995450</v>
      </c>
    </row>
    <row r="55" spans="1:16" x14ac:dyDescent="0.3">
      <c r="A55" s="16" t="s">
        <v>97</v>
      </c>
      <c r="B55" s="11" t="s">
        <v>96</v>
      </c>
      <c r="C55" s="31">
        <v>0.1800000426173205</v>
      </c>
      <c r="D55" s="27">
        <v>12</v>
      </c>
      <c r="E55" s="31">
        <v>0</v>
      </c>
      <c r="F55" s="31">
        <v>7.2</v>
      </c>
      <c r="G55" s="31">
        <v>0.39709403481582384</v>
      </c>
      <c r="H55" s="31">
        <v>38.599998474121101</v>
      </c>
      <c r="I55" s="27">
        <v>3</v>
      </c>
      <c r="J55" s="10">
        <f>IFERROR(VLOOKUP($B55,'Core Indicators'!$E$3:$EU$906,147,FALSE),"x")</f>
        <v>399</v>
      </c>
      <c r="K55" s="28">
        <v>-0.76245963573455811</v>
      </c>
      <c r="L55" s="31">
        <v>6</v>
      </c>
      <c r="M55" s="27">
        <v>66</v>
      </c>
      <c r="N55" s="27">
        <v>34</v>
      </c>
      <c r="O55" s="34">
        <f>IFERROR(VLOOKUP(B55,'Core Indicators'!$E$3:$G$9906,3,FALSE),"x")</f>
        <v>6700000</v>
      </c>
      <c r="P55" s="34">
        <v>20720</v>
      </c>
    </row>
    <row r="56" spans="1:16" x14ac:dyDescent="0.3">
      <c r="A56" s="16" t="s">
        <v>99</v>
      </c>
      <c r="B56" s="11" t="s">
        <v>98</v>
      </c>
      <c r="C56" s="31">
        <v>0.25992401187179981</v>
      </c>
      <c r="D56" s="27">
        <v>4</v>
      </c>
      <c r="E56" s="31">
        <v>0</v>
      </c>
      <c r="F56" s="31">
        <v>2.8166666666666669</v>
      </c>
      <c r="G56" s="31" t="s">
        <v>393</v>
      </c>
      <c r="H56" s="31" t="s">
        <v>393</v>
      </c>
      <c r="I56" s="27">
        <v>0</v>
      </c>
      <c r="J56" s="10" t="str">
        <f>IFERROR(VLOOKUP($B56,'Core Indicators'!$E$3:$EU$906,147,FALSE),"x")</f>
        <v>x</v>
      </c>
      <c r="K56" s="28">
        <v>-1.4223147630691528</v>
      </c>
      <c r="L56" s="31">
        <v>1.75</v>
      </c>
      <c r="M56" s="27">
        <v>6</v>
      </c>
      <c r="N56" s="27">
        <v>16</v>
      </c>
      <c r="O56" s="34" t="str">
        <f>IFERROR(VLOOKUP(B56,'Core Indicators'!$E$3:$G$9906,3,FALSE),"x")</f>
        <v>x</v>
      </c>
      <c r="P56" s="34">
        <v>28050</v>
      </c>
    </row>
    <row r="57" spans="1:16" x14ac:dyDescent="0.3">
      <c r="A57" s="16" t="s">
        <v>101</v>
      </c>
      <c r="B57" s="11" t="s">
        <v>100</v>
      </c>
      <c r="C57" s="31">
        <v>0.61300002147257304</v>
      </c>
      <c r="D57" s="27">
        <v>0</v>
      </c>
      <c r="E57" s="31">
        <v>0</v>
      </c>
      <c r="F57" s="31">
        <v>2.1166666666666667</v>
      </c>
      <c r="G57" s="31" t="s">
        <v>393</v>
      </c>
      <c r="H57" s="31" t="s">
        <v>393</v>
      </c>
      <c r="I57" s="27">
        <v>1</v>
      </c>
      <c r="J57" s="10" t="str">
        <f>IFERROR(VLOOKUP($B57,'Core Indicators'!$E$3:$EU$906,147,FALSE),"x")</f>
        <v>x</v>
      </c>
      <c r="K57" s="28">
        <v>-1.5954957008361816</v>
      </c>
      <c r="L57" s="31">
        <v>1.25</v>
      </c>
      <c r="M57" s="27">
        <v>2</v>
      </c>
      <c r="N57" s="27">
        <v>23</v>
      </c>
      <c r="O57" s="34">
        <f>IFERROR(VLOOKUP(B57,'Core Indicators'!$E$3:$G$9906,3,FALSE),"x")</f>
        <v>3227000</v>
      </c>
      <c r="P57" s="34">
        <v>101000</v>
      </c>
    </row>
    <row r="58" spans="1:16" x14ac:dyDescent="0.3">
      <c r="A58" s="16" t="s">
        <v>103</v>
      </c>
      <c r="B58" s="11" t="s">
        <v>102</v>
      </c>
      <c r="C58" s="31">
        <v>0.47281296658244676</v>
      </c>
      <c r="D58" s="27">
        <v>13</v>
      </c>
      <c r="E58" s="31">
        <v>0.29000000000000004</v>
      </c>
      <c r="F58" s="31">
        <v>9.8000000000000007</v>
      </c>
      <c r="G58" s="31">
        <v>9.1257862431578407E-2</v>
      </c>
      <c r="H58" s="31">
        <v>30.399999618530298</v>
      </c>
      <c r="I58" s="27">
        <v>1</v>
      </c>
      <c r="J58" s="10" t="str">
        <f>IFERROR(VLOOKUP($B58,'Core Indicators'!$E$3:$EU$906,147,FALSE),"x")</f>
        <v>x</v>
      </c>
      <c r="K58" s="28">
        <v>1.281257152557373</v>
      </c>
      <c r="L58" s="31">
        <v>10</v>
      </c>
      <c r="M58" s="27">
        <v>94</v>
      </c>
      <c r="N58" s="27">
        <v>74</v>
      </c>
      <c r="O58" s="34" t="str">
        <f>IFERROR(VLOOKUP(B58,'Core Indicators'!$E$3:$G$9906,3,FALSE),"x")</f>
        <v>x</v>
      </c>
      <c r="P58" s="34">
        <v>42390</v>
      </c>
    </row>
    <row r="59" spans="1:16" x14ac:dyDescent="0.3">
      <c r="A59" s="16" t="s">
        <v>105</v>
      </c>
      <c r="B59" s="11" t="s">
        <v>104</v>
      </c>
      <c r="C59" s="31">
        <v>0.76015806066872704</v>
      </c>
      <c r="D59" s="27">
        <v>3</v>
      </c>
      <c r="E59" s="31">
        <v>0.27339999999999998</v>
      </c>
      <c r="F59" s="31">
        <v>4</v>
      </c>
      <c r="G59" s="31">
        <v>0.50796334651846753</v>
      </c>
      <c r="H59" s="31">
        <v>35</v>
      </c>
      <c r="I59" s="27">
        <v>3</v>
      </c>
      <c r="J59" s="10">
        <f>IFERROR(VLOOKUP($B59,'Core Indicators'!$E$3:$EU$906,147,FALSE),"x")</f>
        <v>379</v>
      </c>
      <c r="K59" s="28">
        <v>-0.47347819805145264</v>
      </c>
      <c r="L59" s="31">
        <v>3.25</v>
      </c>
      <c r="M59" s="27">
        <v>24</v>
      </c>
      <c r="N59" s="27">
        <v>37</v>
      </c>
      <c r="O59" s="34">
        <f>IFERROR(VLOOKUP(B59,'Core Indicators'!$E$3:$G$9906,3,FALSE),"x")</f>
        <v>109945000</v>
      </c>
      <c r="P59" s="34">
        <v>1000000</v>
      </c>
    </row>
    <row r="60" spans="1:16" x14ac:dyDescent="0.3">
      <c r="A60" s="16" t="s">
        <v>107</v>
      </c>
      <c r="B60" s="11" t="s">
        <v>106</v>
      </c>
      <c r="C60" s="31">
        <v>0.5323829677267069</v>
      </c>
      <c r="D60" s="27">
        <v>3</v>
      </c>
      <c r="E60" s="31">
        <v>0</v>
      </c>
      <c r="F60" s="31" t="s">
        <v>393</v>
      </c>
      <c r="G60" s="31">
        <v>0.3565591899276197</v>
      </c>
      <c r="H60" s="31">
        <v>36.700000762939503</v>
      </c>
      <c r="I60" s="27">
        <v>1</v>
      </c>
      <c r="J60" s="10" t="str">
        <f>IFERROR(VLOOKUP($B60,'Core Indicators'!$E$3:$EU$906,147,FALSE),"x")</f>
        <v>x</v>
      </c>
      <c r="K60" s="28">
        <v>-2.5758849456906319E-2</v>
      </c>
      <c r="L60" s="31" t="s">
        <v>393</v>
      </c>
      <c r="M60" s="27">
        <v>60</v>
      </c>
      <c r="N60" s="27" t="s">
        <v>393</v>
      </c>
      <c r="O60" s="34" t="str">
        <f>IFERROR(VLOOKUP(B60,'Core Indicators'!$E$3:$G$9906,3,FALSE),"x")</f>
        <v>x</v>
      </c>
      <c r="P60" s="34">
        <v>18270</v>
      </c>
    </row>
    <row r="61" spans="1:16" x14ac:dyDescent="0.3">
      <c r="A61" s="16" t="s">
        <v>109</v>
      </c>
      <c r="B61" s="11" t="s">
        <v>108</v>
      </c>
      <c r="C61" s="31">
        <v>0.13149998685717579</v>
      </c>
      <c r="D61" s="27">
        <v>11</v>
      </c>
      <c r="E61" s="31">
        <v>0</v>
      </c>
      <c r="F61" s="31" t="s">
        <v>393</v>
      </c>
      <c r="G61" s="31">
        <v>5.0395436864459242E-2</v>
      </c>
      <c r="H61" s="31">
        <v>27.399999618530298</v>
      </c>
      <c r="I61" s="27">
        <v>0</v>
      </c>
      <c r="J61" s="10" t="str">
        <f>IFERROR(VLOOKUP($B61,'Core Indicators'!$E$3:$EU$906,147,FALSE),"x")</f>
        <v>x</v>
      </c>
      <c r="K61" s="28">
        <v>2.0221455097198486</v>
      </c>
      <c r="L61" s="31" t="s">
        <v>393</v>
      </c>
      <c r="M61" s="27">
        <v>100</v>
      </c>
      <c r="N61" s="27">
        <v>86</v>
      </c>
      <c r="O61" s="34" t="str">
        <f>IFERROR(VLOOKUP(B61,'Core Indicators'!$E$3:$G$9906,3,FALSE),"x")</f>
        <v>x</v>
      </c>
      <c r="P61" s="34">
        <v>303890</v>
      </c>
    </row>
    <row r="62" spans="1:16" x14ac:dyDescent="0.3">
      <c r="A62" s="16" t="s">
        <v>111</v>
      </c>
      <c r="B62" s="11" t="s">
        <v>110</v>
      </c>
      <c r="C62" s="31">
        <v>4.7355978588253134E-2</v>
      </c>
      <c r="D62" s="27">
        <v>10</v>
      </c>
      <c r="E62" s="31">
        <v>2.3E-2</v>
      </c>
      <c r="F62" s="31" t="s">
        <v>393</v>
      </c>
      <c r="G62" s="31">
        <v>5.1375861018074342E-2</v>
      </c>
      <c r="H62" s="31">
        <v>31.600000381469702</v>
      </c>
      <c r="I62" s="27">
        <v>2</v>
      </c>
      <c r="J62" s="10" t="str">
        <f>IFERROR(VLOOKUP($B62,'Core Indicators'!$E$3:$EU$906,147,FALSE),"x")</f>
        <v>x</v>
      </c>
      <c r="K62" s="28">
        <v>1.4120583534240723</v>
      </c>
      <c r="L62" s="31" t="s">
        <v>393</v>
      </c>
      <c r="M62" s="27">
        <v>90</v>
      </c>
      <c r="N62" s="27">
        <v>69</v>
      </c>
      <c r="O62" s="34" t="str">
        <f>IFERROR(VLOOKUP(B62,'Core Indicators'!$E$3:$G$9906,3,FALSE),"x")</f>
        <v>x</v>
      </c>
      <c r="P62" s="34">
        <v>547557</v>
      </c>
    </row>
    <row r="63" spans="1:16" x14ac:dyDescent="0.3">
      <c r="A63" s="16" t="s">
        <v>113</v>
      </c>
      <c r="B63" s="11" t="s">
        <v>112</v>
      </c>
      <c r="C63" s="31">
        <v>0.77740000548064703</v>
      </c>
      <c r="D63" s="27">
        <v>9</v>
      </c>
      <c r="E63" s="31">
        <v>0.01</v>
      </c>
      <c r="F63" s="31">
        <v>4.7</v>
      </c>
      <c r="G63" s="31">
        <v>0.53430152106361684</v>
      </c>
      <c r="H63" s="31">
        <v>38</v>
      </c>
      <c r="I63" s="27">
        <v>3</v>
      </c>
      <c r="J63" s="10" t="str">
        <f>IFERROR(VLOOKUP($B63,'Core Indicators'!$E$3:$EU$906,147,FALSE),"x")</f>
        <v>x</v>
      </c>
      <c r="K63" s="28">
        <v>-0.73285096883773804</v>
      </c>
      <c r="L63" s="31">
        <v>3.75</v>
      </c>
      <c r="M63" s="27">
        <v>22</v>
      </c>
      <c r="N63" s="27">
        <v>31</v>
      </c>
      <c r="O63" s="34" t="str">
        <f>IFERROR(VLOOKUP(B63,'Core Indicators'!$E$3:$G$9906,3,FALSE),"x")</f>
        <v>x</v>
      </c>
      <c r="P63" s="34">
        <v>257670</v>
      </c>
    </row>
    <row r="64" spans="1:16" x14ac:dyDescent="0.3">
      <c r="A64" s="16" t="s">
        <v>115</v>
      </c>
      <c r="B64" s="11" t="s">
        <v>114</v>
      </c>
      <c r="C64" s="31">
        <v>0.77542499434649925</v>
      </c>
      <c r="D64" s="27">
        <v>8</v>
      </c>
      <c r="E64" s="31">
        <v>0</v>
      </c>
      <c r="F64" s="31">
        <v>6.9</v>
      </c>
      <c r="G64" s="31">
        <v>0.620445540313457</v>
      </c>
      <c r="H64" s="31">
        <v>35.900001525878899</v>
      </c>
      <c r="I64" s="27">
        <v>3</v>
      </c>
      <c r="J64" s="10" t="str">
        <f>IFERROR(VLOOKUP($B64,'Core Indicators'!$E$3:$EU$906,147,FALSE),"x")</f>
        <v>x</v>
      </c>
      <c r="K64" s="28">
        <v>-0.37157607078552246</v>
      </c>
      <c r="L64" s="31">
        <v>5.5</v>
      </c>
      <c r="M64" s="27">
        <v>46</v>
      </c>
      <c r="N64" s="27">
        <v>37</v>
      </c>
      <c r="O64" s="34" t="str">
        <f>IFERROR(VLOOKUP(B64,'Core Indicators'!$E$3:$G$9906,3,FALSE),"x")</f>
        <v>x</v>
      </c>
      <c r="P64" s="34">
        <v>10120</v>
      </c>
    </row>
    <row r="65" spans="1:16" x14ac:dyDescent="0.3">
      <c r="A65" s="16" t="s">
        <v>117</v>
      </c>
      <c r="B65" s="11" t="s">
        <v>116</v>
      </c>
      <c r="C65" s="31">
        <v>0.32528704606789272</v>
      </c>
      <c r="D65" s="27">
        <v>5</v>
      </c>
      <c r="E65" s="31">
        <v>0.30399999999999999</v>
      </c>
      <c r="F65" s="31">
        <v>6.6</v>
      </c>
      <c r="G65" s="31">
        <v>0.3507746480334113</v>
      </c>
      <c r="H65" s="31">
        <v>36.400001525878899</v>
      </c>
      <c r="I65" s="27">
        <v>3</v>
      </c>
      <c r="J65" s="10" t="str">
        <f>IFERROR(VLOOKUP($B65,'Core Indicators'!$E$3:$EU$906,147,FALSE),"x")</f>
        <v>x</v>
      </c>
      <c r="K65" s="28">
        <v>0.30997923016548157</v>
      </c>
      <c r="L65" s="31">
        <v>6.25</v>
      </c>
      <c r="M65" s="27">
        <v>61</v>
      </c>
      <c r="N65" s="27">
        <v>56</v>
      </c>
      <c r="O65" s="34" t="str">
        <f>IFERROR(VLOOKUP(B65,'Core Indicators'!$E$3:$G$9906,3,FALSE),"x")</f>
        <v>x</v>
      </c>
      <c r="P65" s="34">
        <v>69490</v>
      </c>
    </row>
    <row r="66" spans="1:16" x14ac:dyDescent="0.3">
      <c r="A66" s="16" t="s">
        <v>119</v>
      </c>
      <c r="B66" s="11" t="s">
        <v>118</v>
      </c>
      <c r="C66" s="31">
        <v>0</v>
      </c>
      <c r="D66" s="27">
        <v>11</v>
      </c>
      <c r="E66" s="31">
        <v>0</v>
      </c>
      <c r="F66" s="31" t="s">
        <v>393</v>
      </c>
      <c r="G66" s="31">
        <v>8.3537887449592563E-2</v>
      </c>
      <c r="H66" s="31">
        <v>31.899999618530298</v>
      </c>
      <c r="I66" s="27">
        <v>3</v>
      </c>
      <c r="J66" s="10" t="str">
        <f>IFERROR(VLOOKUP($B66,'Core Indicators'!$E$3:$EU$906,147,FALSE),"x")</f>
        <v>x</v>
      </c>
      <c r="K66" s="28">
        <v>1.6187732219696045</v>
      </c>
      <c r="L66" s="31" t="s">
        <v>393</v>
      </c>
      <c r="M66" s="27">
        <v>94</v>
      </c>
      <c r="N66" s="27">
        <v>80</v>
      </c>
      <c r="O66" s="34" t="str">
        <f>IFERROR(VLOOKUP(B66,'Core Indicators'!$E$3:$G$9906,3,FALSE),"x")</f>
        <v>x</v>
      </c>
      <c r="P66" s="34">
        <v>348900</v>
      </c>
    </row>
    <row r="67" spans="1:16" x14ac:dyDescent="0.3">
      <c r="A67" s="16" t="s">
        <v>121</v>
      </c>
      <c r="B67" s="11" t="s">
        <v>120</v>
      </c>
      <c r="C67" s="31">
        <v>0.77995000084042543</v>
      </c>
      <c r="D67" s="27">
        <v>11</v>
      </c>
      <c r="E67" s="31">
        <v>0</v>
      </c>
      <c r="F67" s="31">
        <v>7.85</v>
      </c>
      <c r="G67" s="31">
        <v>0.5410356041780362</v>
      </c>
      <c r="H67" s="31">
        <v>43.5</v>
      </c>
      <c r="I67" s="27">
        <v>0</v>
      </c>
      <c r="J67" s="10" t="str">
        <f>IFERROR(VLOOKUP($B67,'Core Indicators'!$E$3:$EU$906,147,FALSE),"x")</f>
        <v>x</v>
      </c>
      <c r="K67" s="28">
        <v>4.6889737248420715E-2</v>
      </c>
      <c r="L67" s="31">
        <v>7</v>
      </c>
      <c r="M67" s="27">
        <v>82</v>
      </c>
      <c r="N67" s="27">
        <v>41</v>
      </c>
      <c r="O67" s="34" t="str">
        <f>IFERROR(VLOOKUP(B67,'Core Indicators'!$E$3:$G$9906,3,FALSE),"x")</f>
        <v>x</v>
      </c>
      <c r="P67" s="34">
        <v>227540</v>
      </c>
    </row>
    <row r="68" spans="1:16" x14ac:dyDescent="0.3">
      <c r="A68" s="16" t="s">
        <v>123</v>
      </c>
      <c r="B68" s="11" t="s">
        <v>122</v>
      </c>
      <c r="C68" s="31">
        <v>7.7842041164814968E-2</v>
      </c>
      <c r="D68" s="27">
        <v>9</v>
      </c>
      <c r="E68" s="31">
        <v>2.7000000000000003E-2</v>
      </c>
      <c r="F68" s="31" t="s">
        <v>393</v>
      </c>
      <c r="G68" s="31">
        <v>0.12230173015000856</v>
      </c>
      <c r="H68" s="31">
        <v>34.400001525878899</v>
      </c>
      <c r="I68" s="27">
        <v>3</v>
      </c>
      <c r="J68" s="10">
        <f>IFERROR(VLOOKUP($B68,'Core Indicators'!$E$3:$EU$906,147,FALSE),"x")</f>
        <v>19</v>
      </c>
      <c r="K68" s="28">
        <v>0.19883795082569122</v>
      </c>
      <c r="L68" s="31" t="s">
        <v>393</v>
      </c>
      <c r="M68" s="27">
        <v>88</v>
      </c>
      <c r="N68" s="27">
        <v>48</v>
      </c>
      <c r="O68" s="34">
        <f>IFERROR(VLOOKUP(B68,'Core Indicators'!$E$3:$G$9906,3,FALSE),"x")</f>
        <v>10881000</v>
      </c>
      <c r="P68" s="34">
        <v>128900</v>
      </c>
    </row>
    <row r="69" spans="1:16" x14ac:dyDescent="0.3">
      <c r="A69" s="16" t="s">
        <v>125</v>
      </c>
      <c r="B69" s="11" t="s">
        <v>124</v>
      </c>
      <c r="C69" s="31">
        <v>0</v>
      </c>
      <c r="D69" s="27">
        <v>13</v>
      </c>
      <c r="E69" s="31">
        <v>0</v>
      </c>
      <c r="F69" s="31" t="s">
        <v>393</v>
      </c>
      <c r="G69" s="31" t="s">
        <v>393</v>
      </c>
      <c r="H69" s="31" t="s">
        <v>393</v>
      </c>
      <c r="I69" s="27">
        <v>0</v>
      </c>
      <c r="J69" s="10" t="str">
        <f>IFERROR(VLOOKUP($B69,'Core Indicators'!$E$3:$EU$906,147,FALSE),"x")</f>
        <v>x</v>
      </c>
      <c r="K69" s="28">
        <v>0.17586329579353333</v>
      </c>
      <c r="L69" s="31" t="s">
        <v>393</v>
      </c>
      <c r="M69" s="27">
        <v>89</v>
      </c>
      <c r="N69" s="27">
        <v>53</v>
      </c>
      <c r="O69" s="34" t="str">
        <f>IFERROR(VLOOKUP(B69,'Core Indicators'!$E$3:$G$9906,3,FALSE),"x")</f>
        <v>x</v>
      </c>
      <c r="P69" s="34">
        <v>340</v>
      </c>
    </row>
    <row r="70" spans="1:16" x14ac:dyDescent="0.3">
      <c r="A70" s="16" t="s">
        <v>127</v>
      </c>
      <c r="B70" s="11" t="s">
        <v>126</v>
      </c>
      <c r="C70" s="31">
        <v>0.50436202503341399</v>
      </c>
      <c r="D70" s="27">
        <v>11</v>
      </c>
      <c r="E70" s="31">
        <v>0.39200000000000002</v>
      </c>
      <c r="F70" s="31">
        <v>4.05</v>
      </c>
      <c r="G70" s="31">
        <v>0.4921464493275578</v>
      </c>
      <c r="H70" s="31">
        <v>48.299999237060497</v>
      </c>
      <c r="I70" s="27">
        <v>3</v>
      </c>
      <c r="J70" s="10">
        <f>IFERROR(VLOOKUP($B70,'Core Indicators'!$E$3:$EU$906,147,FALSE),"x")</f>
        <v>1661</v>
      </c>
      <c r="K70" s="28">
        <v>-1.0522887706756592</v>
      </c>
      <c r="L70" s="31">
        <v>3.25</v>
      </c>
      <c r="M70" s="27">
        <v>52</v>
      </c>
      <c r="N70" s="27">
        <v>26</v>
      </c>
      <c r="O70" s="34">
        <f>IFERROR(VLOOKUP(B70,'Core Indicators'!$E$3:$G$9906,3,FALSE),"x")</f>
        <v>14900000</v>
      </c>
      <c r="P70" s="34">
        <v>107160</v>
      </c>
    </row>
    <row r="71" spans="1:16" x14ac:dyDescent="0.3">
      <c r="A71" s="16" t="s">
        <v>129</v>
      </c>
      <c r="B71" s="11" t="s">
        <v>128</v>
      </c>
      <c r="C71" s="31">
        <v>0.70999998688697796</v>
      </c>
      <c r="D71" s="27">
        <v>6</v>
      </c>
      <c r="E71" s="31">
        <v>0.60000000000000009</v>
      </c>
      <c r="F71" s="31">
        <v>5.95</v>
      </c>
      <c r="G71" s="31" t="s">
        <v>393</v>
      </c>
      <c r="H71" s="31">
        <v>33.700000762939503</v>
      </c>
      <c r="I71" s="27">
        <v>3</v>
      </c>
      <c r="J71" s="10" t="str">
        <f>IFERROR(VLOOKUP($B71,'Core Indicators'!$E$3:$EU$906,147,FALSE),"x")</f>
        <v>x</v>
      </c>
      <c r="K71" s="28">
        <v>-1.2090275287628174</v>
      </c>
      <c r="L71" s="31">
        <v>4.75</v>
      </c>
      <c r="M71" s="27">
        <v>40</v>
      </c>
      <c r="N71" s="27">
        <v>29</v>
      </c>
      <c r="O71" s="34" t="str">
        <f>IFERROR(VLOOKUP(B71,'Core Indicators'!$E$3:$G$9906,3,FALSE),"x")</f>
        <v>x</v>
      </c>
      <c r="P71" s="34">
        <v>245720</v>
      </c>
    </row>
    <row r="72" spans="1:16" x14ac:dyDescent="0.3">
      <c r="A72" s="16" t="s">
        <v>359</v>
      </c>
      <c r="B72" s="11" t="s">
        <v>130</v>
      </c>
      <c r="C72" s="31">
        <v>0.84509999146461467</v>
      </c>
      <c r="D72" s="27">
        <v>11</v>
      </c>
      <c r="E72" s="31">
        <v>0.14000000000000001</v>
      </c>
      <c r="F72" s="31">
        <v>6.25</v>
      </c>
      <c r="G72" s="31" t="s">
        <v>393</v>
      </c>
      <c r="H72" s="31">
        <v>50.700000762939503</v>
      </c>
      <c r="I72" s="27">
        <v>3</v>
      </c>
      <c r="J72" s="10" t="str">
        <f>IFERROR(VLOOKUP($B72,'Core Indicators'!$E$3:$EU$906,147,FALSE),"x")</f>
        <v>x</v>
      </c>
      <c r="K72" s="28">
        <v>-1.2640448808670044</v>
      </c>
      <c r="L72" s="31">
        <v>5</v>
      </c>
      <c r="M72" s="27">
        <v>46</v>
      </c>
      <c r="N72" s="27">
        <v>18</v>
      </c>
      <c r="O72" s="34" t="str">
        <f>IFERROR(VLOOKUP(B72,'Core Indicators'!$E$3:$G$9906,3,FALSE),"x")</f>
        <v>x</v>
      </c>
      <c r="P72" s="34">
        <v>28120</v>
      </c>
    </row>
    <row r="73" spans="1:16" x14ac:dyDescent="0.3">
      <c r="A73" s="16" t="s">
        <v>132</v>
      </c>
      <c r="B73" s="11" t="s">
        <v>131</v>
      </c>
      <c r="C73" s="31">
        <v>0.71110700624513612</v>
      </c>
      <c r="D73" s="27">
        <v>10</v>
      </c>
      <c r="E73" s="31">
        <v>0</v>
      </c>
      <c r="F73" s="31" t="s">
        <v>393</v>
      </c>
      <c r="G73" s="31">
        <v>0.49233108459376951</v>
      </c>
      <c r="H73" s="31" t="s">
        <v>393</v>
      </c>
      <c r="I73" s="27">
        <v>2</v>
      </c>
      <c r="J73" s="10" t="str">
        <f>IFERROR(VLOOKUP($B73,'Core Indicators'!$E$3:$EU$906,147,FALSE),"x")</f>
        <v>x</v>
      </c>
      <c r="K73" s="28">
        <v>-0.43134814500808716</v>
      </c>
      <c r="L73" s="31" t="s">
        <v>393</v>
      </c>
      <c r="M73" s="27">
        <v>74</v>
      </c>
      <c r="N73" s="27">
        <v>40</v>
      </c>
      <c r="O73" s="34" t="str">
        <f>IFERROR(VLOOKUP(B73,'Core Indicators'!$E$3:$G$9906,3,FALSE),"x")</f>
        <v>x</v>
      </c>
      <c r="P73" s="34">
        <v>196850</v>
      </c>
    </row>
    <row r="74" spans="1:16" x14ac:dyDescent="0.3">
      <c r="A74" s="16" t="s">
        <v>134</v>
      </c>
      <c r="B74" s="11" t="s">
        <v>133</v>
      </c>
      <c r="C74" s="31">
        <v>0</v>
      </c>
      <c r="D74" s="27">
        <v>8</v>
      </c>
      <c r="E74" s="31">
        <v>0</v>
      </c>
      <c r="F74" s="31">
        <v>4.2166666666666668</v>
      </c>
      <c r="G74" s="31">
        <v>0.61954366889049139</v>
      </c>
      <c r="H74" s="31">
        <v>41.099998474121101</v>
      </c>
      <c r="I74" s="27">
        <v>3</v>
      </c>
      <c r="J74" s="10">
        <f>IFERROR(VLOOKUP($B74,'Core Indicators'!$E$3:$EU$906,147,FALSE),"x")</f>
        <v>222</v>
      </c>
      <c r="K74" s="28">
        <v>-0.97110140323638916</v>
      </c>
      <c r="L74" s="31">
        <v>3</v>
      </c>
      <c r="M74" s="27">
        <v>38</v>
      </c>
      <c r="N74" s="27">
        <v>18</v>
      </c>
      <c r="O74" s="34">
        <f>IFERROR(VLOOKUP(B74,'Core Indicators'!$E$3:$G$9906,3,FALSE),"x")</f>
        <v>10900000</v>
      </c>
      <c r="P74" s="34">
        <v>27560</v>
      </c>
    </row>
    <row r="75" spans="1:16" x14ac:dyDescent="0.3">
      <c r="A75" s="16" t="s">
        <v>136</v>
      </c>
      <c r="B75" s="11" t="s">
        <v>135</v>
      </c>
      <c r="C75" s="31">
        <v>0.16674395220255789</v>
      </c>
      <c r="D75" s="27">
        <v>9</v>
      </c>
      <c r="E75" s="31">
        <v>6.8000000000000005E-2</v>
      </c>
      <c r="F75" s="31">
        <v>4.6666666666666661</v>
      </c>
      <c r="G75" s="31">
        <v>0.47928705147751982</v>
      </c>
      <c r="H75" s="31">
        <v>52.099998474121101</v>
      </c>
      <c r="I75" s="27">
        <v>3</v>
      </c>
      <c r="J75" s="10">
        <f>IFERROR(VLOOKUP($B75,'Core Indicators'!$E$3:$EU$906,147,FALSE),"x")</f>
        <v>2078</v>
      </c>
      <c r="K75" s="28">
        <v>-1.0090796947479248</v>
      </c>
      <c r="L75" s="31">
        <v>3.25</v>
      </c>
      <c r="M75" s="27">
        <v>45</v>
      </c>
      <c r="N75" s="27">
        <v>26</v>
      </c>
      <c r="O75" s="34">
        <f>IFERROR(VLOOKUP(B75,'Core Indicators'!$E$3:$G$9906,3,FALSE),"x")</f>
        <v>9158000</v>
      </c>
      <c r="P75" s="34">
        <v>111890</v>
      </c>
    </row>
    <row r="76" spans="1:16" x14ac:dyDescent="0.3">
      <c r="A76" s="16" t="s">
        <v>138</v>
      </c>
      <c r="B76" s="11" t="s">
        <v>137</v>
      </c>
      <c r="C76" s="31">
        <v>0.18750004284083788</v>
      </c>
      <c r="D76" s="27">
        <v>11</v>
      </c>
      <c r="E76" s="31">
        <v>0.05</v>
      </c>
      <c r="F76" s="31">
        <v>6.8</v>
      </c>
      <c r="G76" s="31">
        <v>0.25845412975522852</v>
      </c>
      <c r="H76" s="31">
        <v>30.600000381469702</v>
      </c>
      <c r="I76" s="27">
        <v>2</v>
      </c>
      <c r="J76" s="10" t="str">
        <f>IFERROR(VLOOKUP($B76,'Core Indicators'!$E$3:$EU$906,147,FALSE),"x")</f>
        <v>x</v>
      </c>
      <c r="K76" s="28">
        <v>0.49313449859619141</v>
      </c>
      <c r="L76" s="31">
        <v>5.75</v>
      </c>
      <c r="M76" s="27">
        <v>70</v>
      </c>
      <c r="N76" s="27">
        <v>44</v>
      </c>
      <c r="O76" s="34" t="str">
        <f>IFERROR(VLOOKUP(B76,'Core Indicators'!$E$3:$G$9906,3,FALSE),"x")</f>
        <v>x</v>
      </c>
      <c r="P76" s="34">
        <v>90530</v>
      </c>
    </row>
    <row r="77" spans="1:16" x14ac:dyDescent="0.3">
      <c r="A77" s="16" t="s">
        <v>140</v>
      </c>
      <c r="B77" s="11" t="s">
        <v>139</v>
      </c>
      <c r="C77" s="31">
        <v>0</v>
      </c>
      <c r="D77" s="27">
        <v>12</v>
      </c>
      <c r="E77" s="31">
        <v>0</v>
      </c>
      <c r="F77" s="31" t="s">
        <v>393</v>
      </c>
      <c r="G77" s="31">
        <v>5.7485973673396251E-2</v>
      </c>
      <c r="H77" s="31">
        <v>26.799999237060501</v>
      </c>
      <c r="I77" s="27">
        <v>0</v>
      </c>
      <c r="J77" s="10" t="str">
        <f>IFERROR(VLOOKUP($B77,'Core Indicators'!$E$3:$EU$906,147,FALSE),"x")</f>
        <v>x</v>
      </c>
      <c r="K77" s="28">
        <v>1.7669236660003662</v>
      </c>
      <c r="L77" s="31" t="s">
        <v>393</v>
      </c>
      <c r="M77" s="27">
        <v>94</v>
      </c>
      <c r="N77" s="27">
        <v>78</v>
      </c>
      <c r="O77" s="34" t="str">
        <f>IFERROR(VLOOKUP(B77,'Core Indicators'!$E$3:$G$9906,3,FALSE),"x")</f>
        <v>x</v>
      </c>
      <c r="P77" s="34">
        <v>100250</v>
      </c>
    </row>
    <row r="78" spans="1:16" x14ac:dyDescent="0.3">
      <c r="A78" s="16" t="s">
        <v>142</v>
      </c>
      <c r="B78" s="11" t="s">
        <v>141</v>
      </c>
      <c r="C78" s="31">
        <v>0.87948376317634558</v>
      </c>
      <c r="D78" s="27">
        <v>7</v>
      </c>
      <c r="E78" s="31">
        <v>7.0000000000000001E-3</v>
      </c>
      <c r="F78" s="31">
        <v>7.25</v>
      </c>
      <c r="G78" s="31">
        <v>0.5010283036162595</v>
      </c>
      <c r="H78" s="31">
        <v>37.799999237060497</v>
      </c>
      <c r="I78" s="27">
        <v>4</v>
      </c>
      <c r="J78" s="10">
        <f>IFERROR(VLOOKUP($B78,'Core Indicators'!$E$3:$EU$906,147,FALSE),"x")</f>
        <v>2019</v>
      </c>
      <c r="K78" s="28">
        <v>-3.075839951634407E-2</v>
      </c>
      <c r="L78" s="31">
        <v>7</v>
      </c>
      <c r="M78" s="27">
        <v>71</v>
      </c>
      <c r="N78" s="27">
        <v>41</v>
      </c>
      <c r="O78" s="34">
        <f>IFERROR(VLOOKUP(B78,'Core Indicators'!$E$3:$G$9906,3,FALSE),"x")</f>
        <v>1353520000</v>
      </c>
      <c r="P78" s="34">
        <v>2973190</v>
      </c>
    </row>
    <row r="79" spans="1:16" x14ac:dyDescent="0.3">
      <c r="A79" s="16" t="s">
        <v>144</v>
      </c>
      <c r="B79" s="11" t="s">
        <v>143</v>
      </c>
      <c r="C79" s="31">
        <v>0.77484892203625111</v>
      </c>
      <c r="D79" s="27">
        <v>5</v>
      </c>
      <c r="E79" s="31">
        <v>0.10680000000000001</v>
      </c>
      <c r="F79" s="31">
        <v>6.45</v>
      </c>
      <c r="G79" s="31">
        <v>0.45129165372762914</v>
      </c>
      <c r="H79" s="31">
        <v>39</v>
      </c>
      <c r="I79" s="27">
        <v>4</v>
      </c>
      <c r="J79" s="10">
        <f>IFERROR(VLOOKUP($B79,'Core Indicators'!$E$3:$EU$906,147,FALSE),"x")</f>
        <v>36</v>
      </c>
      <c r="K79" s="28">
        <v>-0.34253022074699402</v>
      </c>
      <c r="L79" s="31">
        <v>6</v>
      </c>
      <c r="M79" s="27">
        <v>61</v>
      </c>
      <c r="N79" s="27">
        <v>40</v>
      </c>
      <c r="O79" s="34">
        <f>IFERROR(VLOOKUP(B79,'Core Indicators'!$E$3:$G$9906,3,FALSE),"x")</f>
        <v>237655000</v>
      </c>
      <c r="P79" s="34">
        <v>1811570</v>
      </c>
    </row>
    <row r="80" spans="1:16" x14ac:dyDescent="0.3">
      <c r="A80" s="16" t="s">
        <v>385</v>
      </c>
      <c r="B80" s="11" t="s">
        <v>145</v>
      </c>
      <c r="C80" s="31">
        <v>0.67411710266757552</v>
      </c>
      <c r="D80" s="27">
        <v>0</v>
      </c>
      <c r="E80" s="31">
        <v>0.1595</v>
      </c>
      <c r="F80" s="31">
        <v>2.8833333333333333</v>
      </c>
      <c r="G80" s="31">
        <v>0.4917870072501338</v>
      </c>
      <c r="H80" s="31">
        <v>40.799999237060497</v>
      </c>
      <c r="I80" s="27">
        <v>3</v>
      </c>
      <c r="J80" s="10">
        <f>IFERROR(VLOOKUP($B80,'Core Indicators'!$E$3:$EU$906,147,FALSE),"x")</f>
        <v>0</v>
      </c>
      <c r="K80" s="28">
        <v>-0.74937212467193604</v>
      </c>
      <c r="L80" s="31">
        <v>2.25</v>
      </c>
      <c r="M80" s="27">
        <v>17</v>
      </c>
      <c r="N80" s="27">
        <v>26</v>
      </c>
      <c r="O80" s="34">
        <f>IFERROR(VLOOKUP(B80,'Core Indicators'!$E$3:$G$9906,3,FALSE),"x")</f>
        <v>82926000</v>
      </c>
      <c r="P80" s="34">
        <v>1628760</v>
      </c>
    </row>
    <row r="81" spans="1:16" x14ac:dyDescent="0.3">
      <c r="A81" s="16" t="s">
        <v>147</v>
      </c>
      <c r="B81" s="11" t="s">
        <v>146</v>
      </c>
      <c r="C81" s="31">
        <v>0.54614899851425913</v>
      </c>
      <c r="D81" s="27">
        <v>2</v>
      </c>
      <c r="E81" s="31">
        <v>0</v>
      </c>
      <c r="F81" s="31">
        <v>3.9666666666666663</v>
      </c>
      <c r="G81" s="31">
        <v>0.54027282291844048</v>
      </c>
      <c r="H81" s="31">
        <v>29.5</v>
      </c>
      <c r="I81" s="27">
        <v>4</v>
      </c>
      <c r="J81" s="10">
        <f>IFERROR(VLOOKUP($B81,'Core Indicators'!$E$3:$EU$906,147,FALSE),"x")</f>
        <v>1438</v>
      </c>
      <c r="K81" s="28">
        <v>-1.7224633693695068</v>
      </c>
      <c r="L81" s="31">
        <v>3.75</v>
      </c>
      <c r="M81" s="27">
        <v>31</v>
      </c>
      <c r="N81" s="27">
        <v>20</v>
      </c>
      <c r="O81" s="34">
        <f>IFERROR(VLOOKUP(B81,'Core Indicators'!$E$3:$G$9906,3,FALSE),"x")</f>
        <v>38434000</v>
      </c>
      <c r="P81" s="34">
        <v>434320</v>
      </c>
    </row>
    <row r="82" spans="1:16" x14ac:dyDescent="0.3">
      <c r="A82" s="16" t="s">
        <v>149</v>
      </c>
      <c r="B82" s="11" t="s">
        <v>148</v>
      </c>
      <c r="C82" s="31">
        <v>0</v>
      </c>
      <c r="D82" s="27">
        <v>12</v>
      </c>
      <c r="E82" s="31">
        <v>0</v>
      </c>
      <c r="F82" s="31" t="s">
        <v>393</v>
      </c>
      <c r="G82" s="31">
        <v>9.2902528710027577E-2</v>
      </c>
      <c r="H82" s="31">
        <v>32.799999237060497</v>
      </c>
      <c r="I82" s="27">
        <v>0</v>
      </c>
      <c r="J82" s="10" t="str">
        <f>IFERROR(VLOOKUP($B82,'Core Indicators'!$E$3:$EU$906,147,FALSE),"x")</f>
        <v>x</v>
      </c>
      <c r="K82" s="28">
        <v>1.394229531288147</v>
      </c>
      <c r="L82" s="31" t="s">
        <v>393</v>
      </c>
      <c r="M82" s="27">
        <v>97</v>
      </c>
      <c r="N82" s="27">
        <v>74</v>
      </c>
      <c r="O82" s="34" t="str">
        <f>IFERROR(VLOOKUP(B82,'Core Indicators'!$E$3:$G$9906,3,FALSE),"x")</f>
        <v>x</v>
      </c>
      <c r="P82" s="34">
        <v>68890</v>
      </c>
    </row>
    <row r="83" spans="1:16" x14ac:dyDescent="0.3">
      <c r="A83" s="16" t="s">
        <v>151</v>
      </c>
      <c r="B83" s="11" t="s">
        <v>150</v>
      </c>
      <c r="C83" s="31">
        <v>0.77369999502897258</v>
      </c>
      <c r="D83" s="27">
        <v>4</v>
      </c>
      <c r="E83" s="31">
        <v>0.44</v>
      </c>
      <c r="F83" s="31" t="s">
        <v>393</v>
      </c>
      <c r="G83" s="31">
        <v>0.10028412475205606</v>
      </c>
      <c r="H83" s="31">
        <v>39</v>
      </c>
      <c r="I83" s="27">
        <v>4</v>
      </c>
      <c r="J83" s="10" t="str">
        <f>IFERROR(VLOOKUP($B83,'Core Indicators'!$E$3:$EU$906,147,FALSE),"x")</f>
        <v>x</v>
      </c>
      <c r="K83" s="28">
        <v>1.0475901365280151</v>
      </c>
      <c r="L83" s="31" t="s">
        <v>393</v>
      </c>
      <c r="M83" s="27">
        <v>76</v>
      </c>
      <c r="N83" s="27">
        <v>60</v>
      </c>
      <c r="O83" s="34" t="str">
        <f>IFERROR(VLOOKUP(B83,'Core Indicators'!$E$3:$G$9906,3,FALSE),"x")</f>
        <v>x</v>
      </c>
      <c r="P83" s="34">
        <v>21640</v>
      </c>
    </row>
    <row r="84" spans="1:16" x14ac:dyDescent="0.3">
      <c r="A84" s="16" t="s">
        <v>153</v>
      </c>
      <c r="B84" s="11" t="s">
        <v>152</v>
      </c>
      <c r="C84" s="31">
        <v>0.12520399555787831</v>
      </c>
      <c r="D84" s="27">
        <v>12</v>
      </c>
      <c r="E84" s="31">
        <v>5.4999999999999997E-3</v>
      </c>
      <c r="F84" s="31" t="s">
        <v>393</v>
      </c>
      <c r="G84" s="31">
        <v>6.9101684951984321E-2</v>
      </c>
      <c r="H84" s="31">
        <v>35.900001525878899</v>
      </c>
      <c r="I84" s="27">
        <v>0</v>
      </c>
      <c r="J84" s="10" t="str">
        <f>IFERROR(VLOOKUP($B84,'Core Indicators'!$E$3:$EU$906,147,FALSE),"x")</f>
        <v>x</v>
      </c>
      <c r="K84" s="28">
        <v>0.28019103407859802</v>
      </c>
      <c r="L84" s="31" t="s">
        <v>393</v>
      </c>
      <c r="M84" s="27">
        <v>89</v>
      </c>
      <c r="N84" s="27">
        <v>53</v>
      </c>
      <c r="O84" s="34" t="str">
        <f>IFERROR(VLOOKUP(B84,'Core Indicators'!$E$3:$G$9906,3,FALSE),"x")</f>
        <v>x</v>
      </c>
      <c r="P84" s="34">
        <v>294140</v>
      </c>
    </row>
    <row r="85" spans="1:16" x14ac:dyDescent="0.3">
      <c r="A85" s="16" t="s">
        <v>155</v>
      </c>
      <c r="B85" s="11" t="s">
        <v>154</v>
      </c>
      <c r="C85" s="31">
        <v>0</v>
      </c>
      <c r="D85" s="27">
        <v>13</v>
      </c>
      <c r="E85" s="31">
        <v>0</v>
      </c>
      <c r="F85" s="31">
        <v>8.25</v>
      </c>
      <c r="G85" s="31">
        <v>0.4046629992825167</v>
      </c>
      <c r="H85" s="31" t="s">
        <v>393</v>
      </c>
      <c r="I85" s="27">
        <v>3</v>
      </c>
      <c r="J85" s="10" t="str">
        <f>IFERROR(VLOOKUP($B85,'Core Indicators'!$E$3:$EU$906,147,FALSE),"x")</f>
        <v>x</v>
      </c>
      <c r="K85" s="28">
        <v>-0.31257364153862</v>
      </c>
      <c r="L85" s="31">
        <v>7.25</v>
      </c>
      <c r="M85" s="27">
        <v>78</v>
      </c>
      <c r="N85" s="27">
        <v>43</v>
      </c>
      <c r="O85" s="34" t="str">
        <f>IFERROR(VLOOKUP(B85,'Core Indicators'!$E$3:$G$9906,3,FALSE),"x")</f>
        <v>x</v>
      </c>
      <c r="P85" s="34">
        <v>10830</v>
      </c>
    </row>
    <row r="86" spans="1:16" x14ac:dyDescent="0.3">
      <c r="A86" s="16" t="s">
        <v>157</v>
      </c>
      <c r="B86" s="11" t="s">
        <v>156</v>
      </c>
      <c r="C86" s="31">
        <v>4.1406014152601589E-2</v>
      </c>
      <c r="D86" s="27">
        <v>12</v>
      </c>
      <c r="E86" s="31">
        <v>2.2020000000000001E-2</v>
      </c>
      <c r="F86" s="31" t="s">
        <v>393</v>
      </c>
      <c r="G86" s="31">
        <v>9.8649094381129454E-2</v>
      </c>
      <c r="H86" s="31">
        <v>32.900001525878899</v>
      </c>
      <c r="I86" s="27">
        <v>2</v>
      </c>
      <c r="J86" s="10" t="str">
        <f>IFERROR(VLOOKUP($B86,'Core Indicators'!$E$3:$EU$906,147,FALSE),"x")</f>
        <v>x</v>
      </c>
      <c r="K86" s="28">
        <v>1.537964940071106</v>
      </c>
      <c r="L86" s="31" t="s">
        <v>393</v>
      </c>
      <c r="M86" s="27">
        <v>96</v>
      </c>
      <c r="N86" s="27">
        <v>73</v>
      </c>
      <c r="O86" s="34" t="str">
        <f>IFERROR(VLOOKUP(B86,'Core Indicators'!$E$3:$G$9906,3,FALSE),"x")</f>
        <v>x</v>
      </c>
      <c r="P86" s="34">
        <v>364560</v>
      </c>
    </row>
    <row r="87" spans="1:16" x14ac:dyDescent="0.3">
      <c r="A87" s="16" t="s">
        <v>159</v>
      </c>
      <c r="B87" s="11" t="s">
        <v>158</v>
      </c>
      <c r="C87" s="31">
        <v>0.58639999539256094</v>
      </c>
      <c r="D87" s="27">
        <v>2</v>
      </c>
      <c r="E87" s="31">
        <v>0.57999999999999996</v>
      </c>
      <c r="F87" s="31">
        <v>4.3166666666666664</v>
      </c>
      <c r="G87" s="31">
        <v>0.46862760444181262</v>
      </c>
      <c r="H87" s="31">
        <v>33.700000762939503</v>
      </c>
      <c r="I87" s="27">
        <v>3</v>
      </c>
      <c r="J87" s="10">
        <f>IFERROR(VLOOKUP($B87,'Core Indicators'!$E$3:$EU$906,147,FALSE),"x")</f>
        <v>1</v>
      </c>
      <c r="K87" s="28">
        <v>0.14395745098590851</v>
      </c>
      <c r="L87" s="31">
        <v>4.25</v>
      </c>
      <c r="M87" s="27">
        <v>37</v>
      </c>
      <c r="N87" s="27">
        <v>48</v>
      </c>
      <c r="O87" s="34">
        <f>IFERROR(VLOOKUP(B87,'Core Indicators'!$E$3:$G$9906,3,FALSE),"x")</f>
        <v>10554000</v>
      </c>
      <c r="P87" s="34">
        <v>88780</v>
      </c>
    </row>
    <row r="88" spans="1:16" x14ac:dyDescent="0.3">
      <c r="A88" s="16" t="s">
        <v>161</v>
      </c>
      <c r="B88" s="11" t="s">
        <v>160</v>
      </c>
      <c r="C88" s="31">
        <v>0.53400502921163984</v>
      </c>
      <c r="D88" s="27">
        <v>4</v>
      </c>
      <c r="E88" s="31">
        <v>0.41700000000000004</v>
      </c>
      <c r="F88" s="31">
        <v>3.7833333333333337</v>
      </c>
      <c r="G88" s="31">
        <v>0.20262584823483387</v>
      </c>
      <c r="H88" s="31">
        <v>27.5</v>
      </c>
      <c r="I88" s="27">
        <v>2</v>
      </c>
      <c r="J88" s="10" t="str">
        <f>IFERROR(VLOOKUP($B88,'Core Indicators'!$E$3:$EU$906,147,FALSE),"x")</f>
        <v>x</v>
      </c>
      <c r="K88" s="28">
        <v>-0.43241328001022339</v>
      </c>
      <c r="L88" s="31">
        <v>3.5</v>
      </c>
      <c r="M88" s="27">
        <v>23</v>
      </c>
      <c r="N88" s="27">
        <v>34</v>
      </c>
      <c r="O88" s="34" t="str">
        <f>IFERROR(VLOOKUP(B88,'Core Indicators'!$E$3:$G$9906,3,FALSE),"x")</f>
        <v>x</v>
      </c>
      <c r="P88" s="34">
        <v>2699700</v>
      </c>
    </row>
    <row r="89" spans="1:16" x14ac:dyDescent="0.3">
      <c r="A89" s="16" t="s">
        <v>163</v>
      </c>
      <c r="B89" s="11" t="s">
        <v>162</v>
      </c>
      <c r="C89" s="31">
        <v>0.85199999313056463</v>
      </c>
      <c r="D89" s="27">
        <v>4</v>
      </c>
      <c r="E89" s="31">
        <v>0.08</v>
      </c>
      <c r="F89" s="31">
        <v>4.8499999999999996</v>
      </c>
      <c r="G89" s="31">
        <v>0.5445086125768992</v>
      </c>
      <c r="H89" s="31">
        <v>40.799999237060497</v>
      </c>
      <c r="I89" s="27">
        <v>3</v>
      </c>
      <c r="J89" s="10">
        <f>IFERROR(VLOOKUP($B89,'Core Indicators'!$E$3:$EU$906,147,FALSE),"x")</f>
        <v>237</v>
      </c>
      <c r="K89" s="28">
        <v>-0.45431771874427795</v>
      </c>
      <c r="L89" s="31">
        <v>5.5</v>
      </c>
      <c r="M89" s="27">
        <v>48</v>
      </c>
      <c r="N89" s="27">
        <v>28</v>
      </c>
      <c r="O89" s="34">
        <f>IFERROR(VLOOKUP(B89,'Core Indicators'!$E$3:$G$9906,3,FALSE),"x")</f>
        <v>51393000</v>
      </c>
      <c r="P89" s="34">
        <v>569140</v>
      </c>
    </row>
    <row r="90" spans="1:16" x14ac:dyDescent="0.3">
      <c r="A90" s="16" t="s">
        <v>165</v>
      </c>
      <c r="B90" s="11" t="s">
        <v>164</v>
      </c>
      <c r="C90" s="31">
        <v>0</v>
      </c>
      <c r="D90" s="27">
        <v>13</v>
      </c>
      <c r="E90" s="31">
        <v>0</v>
      </c>
      <c r="F90" s="31" t="s">
        <v>393</v>
      </c>
      <c r="G90" s="31" t="s">
        <v>393</v>
      </c>
      <c r="H90" s="31">
        <v>37</v>
      </c>
      <c r="I90" s="27">
        <v>0</v>
      </c>
      <c r="J90" s="10" t="str">
        <f>IFERROR(VLOOKUP($B90,'Core Indicators'!$E$3:$EU$906,147,FALSE),"x")</f>
        <v>x</v>
      </c>
      <c r="K90" s="28">
        <v>0.73770260810852051</v>
      </c>
      <c r="L90" s="31" t="s">
        <v>393</v>
      </c>
      <c r="M90" s="27">
        <v>93</v>
      </c>
      <c r="N90" s="27" t="s">
        <v>393</v>
      </c>
      <c r="O90" s="34" t="str">
        <f>IFERROR(VLOOKUP(B90,'Core Indicators'!$E$3:$G$9906,3,FALSE),"x")</f>
        <v>x</v>
      </c>
      <c r="P90" s="34">
        <v>810</v>
      </c>
    </row>
    <row r="91" spans="1:16" x14ac:dyDescent="0.3">
      <c r="A91" s="16" t="s">
        <v>383</v>
      </c>
      <c r="B91" s="11" t="s">
        <v>166</v>
      </c>
      <c r="C91" s="31">
        <v>0</v>
      </c>
      <c r="D91" s="27">
        <v>0</v>
      </c>
      <c r="E91" s="31">
        <v>0</v>
      </c>
      <c r="F91" s="31">
        <v>2.65</v>
      </c>
      <c r="G91" s="31" t="s">
        <v>393</v>
      </c>
      <c r="H91" s="31" t="s">
        <v>393</v>
      </c>
      <c r="I91" s="27">
        <v>3</v>
      </c>
      <c r="J91" s="10" t="str">
        <f>IFERROR(VLOOKUP($B91,'Core Indicators'!$E$3:$EU$906,147,FALSE),"x")</f>
        <v>x</v>
      </c>
      <c r="K91" s="28">
        <v>-1.6514610052108765</v>
      </c>
      <c r="L91" s="31">
        <v>1.25</v>
      </c>
      <c r="M91" s="27">
        <v>3</v>
      </c>
      <c r="N91" s="27">
        <v>17</v>
      </c>
      <c r="O91" s="34">
        <f>IFERROR(VLOOKUP(B91,'Core Indicators'!$E$3:$G$9906,3,FALSE),"x")</f>
        <v>25550000</v>
      </c>
      <c r="P91" s="34">
        <v>120410</v>
      </c>
    </row>
    <row r="92" spans="1:16" x14ac:dyDescent="0.3">
      <c r="A92" s="16" t="s">
        <v>386</v>
      </c>
      <c r="B92" s="11" t="s">
        <v>297</v>
      </c>
      <c r="C92" s="31">
        <v>0</v>
      </c>
      <c r="D92" s="27">
        <v>10</v>
      </c>
      <c r="E92" s="31">
        <v>0</v>
      </c>
      <c r="F92" s="31">
        <v>8.6</v>
      </c>
      <c r="G92" s="31">
        <v>5.7573633086494325E-2</v>
      </c>
      <c r="H92" s="31">
        <v>31.600000381469702</v>
      </c>
      <c r="I92" s="27">
        <v>0</v>
      </c>
      <c r="J92" s="10" t="str">
        <f>IFERROR(VLOOKUP($B92,'Core Indicators'!$E$3:$EU$906,147,FALSE),"x")</f>
        <v>x</v>
      </c>
      <c r="K92" s="28">
        <v>1.1940708160400391</v>
      </c>
      <c r="L92" s="31">
        <v>8.5</v>
      </c>
      <c r="M92" s="27">
        <v>83</v>
      </c>
      <c r="N92" s="27">
        <v>59</v>
      </c>
      <c r="O92" s="34" t="str">
        <f>IFERROR(VLOOKUP(B92,'Core Indicators'!$E$3:$G$9906,3,FALSE),"x")</f>
        <v>x</v>
      </c>
      <c r="P92" s="34">
        <v>97480</v>
      </c>
    </row>
    <row r="93" spans="1:16" x14ac:dyDescent="0.3">
      <c r="A93" s="16" t="s">
        <v>168</v>
      </c>
      <c r="B93" s="11" t="s">
        <v>167</v>
      </c>
      <c r="C93" s="31">
        <v>0.93409999825209378</v>
      </c>
      <c r="D93" s="27">
        <v>5</v>
      </c>
      <c r="E93" s="31">
        <v>0.15</v>
      </c>
      <c r="F93" s="31">
        <v>4.7</v>
      </c>
      <c r="G93" s="31">
        <v>0.24530015895983059</v>
      </c>
      <c r="H93" s="31" t="s">
        <v>393</v>
      </c>
      <c r="I93" s="27">
        <v>1</v>
      </c>
      <c r="J93" s="10" t="str">
        <f>IFERROR(VLOOKUP($B93,'Core Indicators'!$E$3:$EU$906,147,FALSE),"x")</f>
        <v>x</v>
      </c>
      <c r="K93" s="28">
        <v>0.21567395329475403</v>
      </c>
      <c r="L93" s="31">
        <v>5</v>
      </c>
      <c r="M93" s="27">
        <v>36</v>
      </c>
      <c r="N93" s="27">
        <v>40</v>
      </c>
      <c r="O93" s="34" t="str">
        <f>IFERROR(VLOOKUP(B93,'Core Indicators'!$E$3:$G$9906,3,FALSE),"x")</f>
        <v>x</v>
      </c>
      <c r="P93" s="34">
        <v>17820</v>
      </c>
    </row>
    <row r="94" spans="1:16" x14ac:dyDescent="0.3">
      <c r="A94" s="16" t="s">
        <v>170</v>
      </c>
      <c r="B94" s="11" t="s">
        <v>169</v>
      </c>
      <c r="C94" s="31">
        <v>0.54403001519411787</v>
      </c>
      <c r="D94" s="27">
        <v>6</v>
      </c>
      <c r="E94" s="31">
        <v>0.27300000000000002</v>
      </c>
      <c r="F94" s="31">
        <v>6.1</v>
      </c>
      <c r="G94" s="31">
        <v>0.38123403012213519</v>
      </c>
      <c r="H94" s="31">
        <v>27.700000762939499</v>
      </c>
      <c r="I94" s="27">
        <v>3</v>
      </c>
      <c r="J94" s="10" t="str">
        <f>IFERROR(VLOOKUP($B94,'Core Indicators'!$E$3:$EU$906,147,FALSE),"x")</f>
        <v>x</v>
      </c>
      <c r="K94" s="28">
        <v>-0.88630145788192749</v>
      </c>
      <c r="L94" s="31">
        <v>5</v>
      </c>
      <c r="M94" s="27">
        <v>38</v>
      </c>
      <c r="N94" s="27">
        <v>30</v>
      </c>
      <c r="O94" s="34" t="str">
        <f>IFERROR(VLOOKUP(B94,'Core Indicators'!$E$3:$G$9906,3,FALSE),"x")</f>
        <v>x</v>
      </c>
      <c r="P94" s="34">
        <v>191800</v>
      </c>
    </row>
    <row r="95" spans="1:16" x14ac:dyDescent="0.3">
      <c r="A95" s="16" t="s">
        <v>1552</v>
      </c>
      <c r="B95" s="11" t="s">
        <v>171</v>
      </c>
      <c r="C95" s="31">
        <v>0.64979998860955224</v>
      </c>
      <c r="D95" s="27">
        <v>2</v>
      </c>
      <c r="E95" s="31">
        <v>0.39699999999999996</v>
      </c>
      <c r="F95" s="31">
        <v>2.9666666666666668</v>
      </c>
      <c r="G95" s="31">
        <v>0.46313362471203112</v>
      </c>
      <c r="H95" s="31">
        <v>36.400001525878899</v>
      </c>
      <c r="I95" s="27">
        <v>2</v>
      </c>
      <c r="J95" s="10" t="str">
        <f>IFERROR(VLOOKUP($B95,'Core Indicators'!$E$3:$EU$906,147,FALSE),"x")</f>
        <v>x</v>
      </c>
      <c r="K95" s="28">
        <v>-0.94110077619552612</v>
      </c>
      <c r="L95" s="31">
        <v>2.25</v>
      </c>
      <c r="M95" s="27">
        <v>14</v>
      </c>
      <c r="N95" s="27">
        <v>29</v>
      </c>
      <c r="O95" s="34" t="str">
        <f>IFERROR(VLOOKUP(B95,'Core Indicators'!$E$3:$G$9906,3,FALSE),"x")</f>
        <v>x</v>
      </c>
      <c r="P95" s="34">
        <v>230800</v>
      </c>
    </row>
    <row r="96" spans="1:16" x14ac:dyDescent="0.3">
      <c r="A96" s="16" t="s">
        <v>365</v>
      </c>
      <c r="B96" s="11" t="s">
        <v>172</v>
      </c>
      <c r="C96" s="31">
        <v>0.57146297743123697</v>
      </c>
      <c r="D96" s="27">
        <v>10</v>
      </c>
      <c r="E96" s="31">
        <v>0.35299999999999998</v>
      </c>
      <c r="F96" s="31">
        <v>8.9</v>
      </c>
      <c r="G96" s="31">
        <v>0.16942693947807119</v>
      </c>
      <c r="H96" s="31">
        <v>35.599998474121101</v>
      </c>
      <c r="I96" s="27">
        <v>2</v>
      </c>
      <c r="J96" s="10" t="str">
        <f>IFERROR(VLOOKUP($B96,'Core Indicators'!$E$3:$EU$906,147,FALSE),"x")</f>
        <v>x</v>
      </c>
      <c r="K96" s="28">
        <v>1.013924241065979</v>
      </c>
      <c r="L96" s="31">
        <v>8.25</v>
      </c>
      <c r="M96" s="27">
        <v>89</v>
      </c>
      <c r="N96" s="27">
        <v>56</v>
      </c>
      <c r="O96" s="34" t="str">
        <f>IFERROR(VLOOKUP(B96,'Core Indicators'!$E$3:$G$9906,3,FALSE),"x")</f>
        <v>x</v>
      </c>
      <c r="P96" s="34">
        <v>62180</v>
      </c>
    </row>
    <row r="97" spans="1:16" x14ac:dyDescent="0.3">
      <c r="A97" s="16" t="s">
        <v>174</v>
      </c>
      <c r="B97" s="11" t="s">
        <v>173</v>
      </c>
      <c r="C97" s="31">
        <v>0.81310000444352626</v>
      </c>
      <c r="D97" s="27">
        <v>6</v>
      </c>
      <c r="E97" s="31">
        <v>0.1</v>
      </c>
      <c r="F97" s="31">
        <v>5.3</v>
      </c>
      <c r="G97" s="31">
        <v>0.36244894653984439</v>
      </c>
      <c r="H97" s="31">
        <v>31.799999237060501</v>
      </c>
      <c r="I97" s="27">
        <v>3</v>
      </c>
      <c r="J97" s="10">
        <f>IFERROR(VLOOKUP($B97,'Core Indicators'!$E$3:$EU$906,147,FALSE),"x")</f>
        <v>191</v>
      </c>
      <c r="K97" s="28">
        <v>-0.85828012228012085</v>
      </c>
      <c r="L97" s="31">
        <v>4.75</v>
      </c>
      <c r="M97" s="27">
        <v>44</v>
      </c>
      <c r="N97" s="27">
        <v>28</v>
      </c>
      <c r="O97" s="34">
        <f>IFERROR(VLOOKUP(B97,'Core Indicators'!$E$3:$G$9906,3,FALSE),"x")</f>
        <v>6849000</v>
      </c>
      <c r="P97" s="34">
        <v>10230</v>
      </c>
    </row>
    <row r="98" spans="1:16" x14ac:dyDescent="0.3">
      <c r="A98" s="16" t="s">
        <v>176</v>
      </c>
      <c r="B98" s="11" t="s">
        <v>175</v>
      </c>
      <c r="C98" s="31">
        <v>0</v>
      </c>
      <c r="D98" s="27">
        <v>11</v>
      </c>
      <c r="E98" s="31">
        <v>0</v>
      </c>
      <c r="F98" s="31">
        <v>5.45</v>
      </c>
      <c r="G98" s="31">
        <v>0.5460311448569698</v>
      </c>
      <c r="H98" s="31">
        <v>44.900001525878899</v>
      </c>
      <c r="I98" s="27">
        <v>0</v>
      </c>
      <c r="J98" s="10">
        <f>IFERROR(VLOOKUP($B98,'Core Indicators'!$E$3:$EU$906,147,FALSE),"x")</f>
        <v>0</v>
      </c>
      <c r="K98" s="28">
        <v>-0.38059708476066589</v>
      </c>
      <c r="L98" s="31">
        <v>5</v>
      </c>
      <c r="M98" s="27">
        <v>63</v>
      </c>
      <c r="N98" s="27">
        <v>40</v>
      </c>
      <c r="O98" s="34">
        <f>IFERROR(VLOOKUP(B98,'Core Indicators'!$E$3:$G$9906,3,FALSE),"x")</f>
        <v>2263000</v>
      </c>
      <c r="P98" s="34">
        <v>30360</v>
      </c>
    </row>
    <row r="99" spans="1:16" x14ac:dyDescent="0.3">
      <c r="A99" s="16" t="s">
        <v>178</v>
      </c>
      <c r="B99" s="11" t="s">
        <v>177</v>
      </c>
      <c r="C99" s="31">
        <v>0.98551100015634296</v>
      </c>
      <c r="D99" s="27">
        <v>11</v>
      </c>
      <c r="E99" s="31">
        <v>0</v>
      </c>
      <c r="F99" s="31">
        <v>6.6</v>
      </c>
      <c r="G99" s="31">
        <v>0.65102151684274645</v>
      </c>
      <c r="H99" s="31">
        <v>35.299999237060497</v>
      </c>
      <c r="I99" s="27">
        <v>0</v>
      </c>
      <c r="J99" s="10" t="str">
        <f>IFERROR(VLOOKUP($B99,'Core Indicators'!$E$3:$EU$906,147,FALSE),"x")</f>
        <v>x</v>
      </c>
      <c r="K99" s="28">
        <v>-0.99521124362945557</v>
      </c>
      <c r="L99" s="31">
        <v>5.5</v>
      </c>
      <c r="M99" s="27">
        <v>60</v>
      </c>
      <c r="N99" s="27">
        <v>28</v>
      </c>
      <c r="O99" s="34" t="str">
        <f>IFERROR(VLOOKUP(B99,'Core Indicators'!$E$3:$G$9906,3,FALSE),"x")</f>
        <v>x</v>
      </c>
      <c r="P99" s="34">
        <v>96320</v>
      </c>
    </row>
    <row r="100" spans="1:16" x14ac:dyDescent="0.3">
      <c r="A100" s="16" t="s">
        <v>180</v>
      </c>
      <c r="B100" s="11" t="s">
        <v>179</v>
      </c>
      <c r="C100" s="31">
        <v>0.27512803021308752</v>
      </c>
      <c r="D100" s="27">
        <v>1</v>
      </c>
      <c r="E100" s="31">
        <v>0</v>
      </c>
      <c r="F100" s="31">
        <v>2.4500000000000002</v>
      </c>
      <c r="G100" s="31">
        <v>0.1717677188582355</v>
      </c>
      <c r="H100" s="31" t="s">
        <v>393</v>
      </c>
      <c r="I100" s="27">
        <v>5</v>
      </c>
      <c r="J100" s="10">
        <f>IFERROR(VLOOKUP($B100,'Core Indicators'!$E$3:$EU$906,147,FALSE),"x")</f>
        <v>692</v>
      </c>
      <c r="K100" s="28">
        <v>-1.848054051399231</v>
      </c>
      <c r="L100" s="31">
        <v>2.75</v>
      </c>
      <c r="M100" s="27">
        <v>9</v>
      </c>
      <c r="N100" s="27">
        <v>18</v>
      </c>
      <c r="O100" s="34">
        <f>IFERROR(VLOOKUP(B100,'Core Indicators'!$E$3:$G$9906,3,FALSE),"x")</f>
        <v>6871000</v>
      </c>
      <c r="P100" s="34">
        <v>1759540</v>
      </c>
    </row>
    <row r="101" spans="1:16" x14ac:dyDescent="0.3">
      <c r="A101" s="16" t="s">
        <v>182</v>
      </c>
      <c r="B101" s="11" t="s">
        <v>181</v>
      </c>
      <c r="C101" s="31">
        <v>0</v>
      </c>
      <c r="D101" s="27">
        <v>12</v>
      </c>
      <c r="E101" s="31">
        <v>0</v>
      </c>
      <c r="F101" s="31" t="s">
        <v>393</v>
      </c>
      <c r="G101" s="31" t="s">
        <v>393</v>
      </c>
      <c r="H101" s="31" t="s">
        <v>393</v>
      </c>
      <c r="I101" s="27">
        <v>0</v>
      </c>
      <c r="J101" s="10" t="str">
        <f>IFERROR(VLOOKUP($B101,'Core Indicators'!$E$3:$EU$906,147,FALSE),"x")</f>
        <v>x</v>
      </c>
      <c r="K101" s="28">
        <v>1.679332971572876</v>
      </c>
      <c r="L101" s="31" t="s">
        <v>393</v>
      </c>
      <c r="M101" s="27">
        <v>90</v>
      </c>
      <c r="N101" s="27" t="s">
        <v>393</v>
      </c>
      <c r="O101" s="34" t="str">
        <f>IFERROR(VLOOKUP(B101,'Core Indicators'!$E$3:$G$9906,3,FALSE),"x")</f>
        <v>x</v>
      </c>
      <c r="P101" s="34">
        <v>160</v>
      </c>
    </row>
    <row r="102" spans="1:16" x14ac:dyDescent="0.3">
      <c r="A102" s="16" t="s">
        <v>184</v>
      </c>
      <c r="B102" s="11" t="s">
        <v>183</v>
      </c>
      <c r="C102" s="31">
        <v>0.28331598739290231</v>
      </c>
      <c r="D102" s="27">
        <v>9</v>
      </c>
      <c r="E102" s="31">
        <v>0.13</v>
      </c>
      <c r="F102" s="31">
        <v>9.5</v>
      </c>
      <c r="G102" s="31">
        <v>0.12419569598644076</v>
      </c>
      <c r="H102" s="31">
        <v>37.299999237060497</v>
      </c>
      <c r="I102" s="27">
        <v>0</v>
      </c>
      <c r="J102" s="10" t="str">
        <f>IFERROR(VLOOKUP($B102,'Core Indicators'!$E$3:$EU$906,147,FALSE),"x")</f>
        <v>x</v>
      </c>
      <c r="K102" s="28">
        <v>1.0228707790374756</v>
      </c>
      <c r="L102" s="31">
        <v>9.75</v>
      </c>
      <c r="M102" s="27">
        <v>91</v>
      </c>
      <c r="N102" s="27">
        <v>60</v>
      </c>
      <c r="O102" s="34" t="str">
        <f>IFERROR(VLOOKUP(B102,'Core Indicators'!$E$3:$G$9906,3,FALSE),"x")</f>
        <v>x</v>
      </c>
      <c r="P102" s="34">
        <v>62650</v>
      </c>
    </row>
    <row r="103" spans="1:16" x14ac:dyDescent="0.3">
      <c r="A103" s="16" t="s">
        <v>186</v>
      </c>
      <c r="B103" s="11" t="s">
        <v>185</v>
      </c>
      <c r="C103" s="31">
        <v>0</v>
      </c>
      <c r="D103" s="27">
        <v>14</v>
      </c>
      <c r="E103" s="31">
        <v>0</v>
      </c>
      <c r="F103" s="31" t="s">
        <v>393</v>
      </c>
      <c r="G103" s="31">
        <v>7.8352409215030061E-2</v>
      </c>
      <c r="H103" s="31">
        <v>34.900001525878899</v>
      </c>
      <c r="I103" s="27">
        <v>0</v>
      </c>
      <c r="J103" s="10" t="str">
        <f>IFERROR(VLOOKUP($B103,'Core Indicators'!$E$3:$EU$906,147,FALSE),"x")</f>
        <v>x</v>
      </c>
      <c r="K103" s="28">
        <v>1.7934256792068481</v>
      </c>
      <c r="L103" s="31" t="s">
        <v>393</v>
      </c>
      <c r="M103" s="27">
        <v>98</v>
      </c>
      <c r="N103" s="27">
        <v>80</v>
      </c>
      <c r="O103" s="34" t="str">
        <f>IFERROR(VLOOKUP(B103,'Core Indicators'!$E$3:$G$9906,3,FALSE),"x")</f>
        <v>x</v>
      </c>
      <c r="P103" s="34">
        <v>2590</v>
      </c>
    </row>
    <row r="104" spans="1:16" x14ac:dyDescent="0.3">
      <c r="A104" s="16" t="s">
        <v>189</v>
      </c>
      <c r="B104" s="11" t="s">
        <v>188</v>
      </c>
      <c r="C104" s="31">
        <v>0.6145339894685744</v>
      </c>
      <c r="D104" s="27">
        <v>6</v>
      </c>
      <c r="E104" s="31">
        <v>0</v>
      </c>
      <c r="F104" s="31">
        <v>5.4</v>
      </c>
      <c r="G104" s="31" t="s">
        <v>393</v>
      </c>
      <c r="H104" s="31">
        <v>42.599998474121101</v>
      </c>
      <c r="I104" s="27">
        <v>0</v>
      </c>
      <c r="J104" s="10">
        <f>IFERROR(VLOOKUP($B104,'Core Indicators'!$E$3:$EU$906,147,FALSE),"x")</f>
        <v>347</v>
      </c>
      <c r="K104" s="28">
        <v>-1.0088132619857788</v>
      </c>
      <c r="L104" s="31">
        <v>4.25</v>
      </c>
      <c r="M104" s="27">
        <v>61</v>
      </c>
      <c r="N104" s="27">
        <v>24</v>
      </c>
      <c r="O104" s="34">
        <f>IFERROR(VLOOKUP(B104,'Core Indicators'!$E$3:$G$9906,3,FALSE),"x")</f>
        <v>26700000</v>
      </c>
      <c r="P104" s="34">
        <v>581800</v>
      </c>
    </row>
    <row r="105" spans="1:16" x14ac:dyDescent="0.3">
      <c r="A105" s="16" t="s">
        <v>191</v>
      </c>
      <c r="B105" s="11" t="s">
        <v>190</v>
      </c>
      <c r="C105" s="31">
        <v>0.60879998738765706</v>
      </c>
      <c r="D105" s="27">
        <v>10</v>
      </c>
      <c r="E105" s="31">
        <v>0</v>
      </c>
      <c r="F105" s="31">
        <v>6.35</v>
      </c>
      <c r="G105" s="31">
        <v>0.61495508839939506</v>
      </c>
      <c r="H105" s="31">
        <v>44.700000762939503</v>
      </c>
      <c r="I105" s="27">
        <v>0</v>
      </c>
      <c r="J105" s="10">
        <f>IFERROR(VLOOKUP($B105,'Core Indicators'!$E$3:$EU$906,147,FALSE),"x")</f>
        <v>33</v>
      </c>
      <c r="K105" s="28">
        <v>-0.33112335205078125</v>
      </c>
      <c r="L105" s="31">
        <v>5.5</v>
      </c>
      <c r="M105" s="27">
        <v>62</v>
      </c>
      <c r="N105" s="27">
        <v>31</v>
      </c>
      <c r="O105" s="34">
        <f>IFERROR(VLOOKUP(B105,'Core Indicators'!$E$3:$G$9906,3,FALSE),"x")</f>
        <v>19130000</v>
      </c>
      <c r="P105" s="34">
        <v>94280</v>
      </c>
    </row>
    <row r="106" spans="1:16" x14ac:dyDescent="0.3">
      <c r="A106" s="16" t="s">
        <v>193</v>
      </c>
      <c r="B106" s="11" t="s">
        <v>192</v>
      </c>
      <c r="C106" s="31">
        <v>0.59559397110393586</v>
      </c>
      <c r="D106" s="27">
        <v>3</v>
      </c>
      <c r="E106" s="31">
        <v>5.8999999999999997E-2</v>
      </c>
      <c r="F106" s="31">
        <v>5.85</v>
      </c>
      <c r="G106" s="31">
        <v>0.27437398190136941</v>
      </c>
      <c r="H106" s="31">
        <v>41</v>
      </c>
      <c r="I106" s="27">
        <v>1</v>
      </c>
      <c r="J106" s="10" t="str">
        <f>IFERROR(VLOOKUP($B106,'Core Indicators'!$E$3:$EU$906,147,FALSE),"x")</f>
        <v>x</v>
      </c>
      <c r="K106" s="28">
        <v>0.59094518423080444</v>
      </c>
      <c r="L106" s="31">
        <v>5.5</v>
      </c>
      <c r="M106" s="27">
        <v>52</v>
      </c>
      <c r="N106" s="27">
        <v>53</v>
      </c>
      <c r="O106" s="34" t="str">
        <f>IFERROR(VLOOKUP(B106,'Core Indicators'!$E$3:$G$9906,3,FALSE),"x")</f>
        <v>x</v>
      </c>
      <c r="P106" s="34">
        <v>328550</v>
      </c>
    </row>
    <row r="107" spans="1:16" x14ac:dyDescent="0.3">
      <c r="A107" s="16" t="s">
        <v>195</v>
      </c>
      <c r="B107" s="11" t="s">
        <v>194</v>
      </c>
      <c r="C107" s="31">
        <v>1.9899981117248444E-2</v>
      </c>
      <c r="D107" s="27">
        <v>8</v>
      </c>
      <c r="E107" s="31">
        <v>0</v>
      </c>
      <c r="F107" s="31" t="s">
        <v>393</v>
      </c>
      <c r="G107" s="31">
        <v>0.36658249793434283</v>
      </c>
      <c r="H107" s="31">
        <v>31.299999237060501</v>
      </c>
      <c r="I107" s="27">
        <v>2</v>
      </c>
      <c r="J107" s="10" t="str">
        <f>IFERROR(VLOOKUP($B107,'Core Indicators'!$E$3:$EU$906,147,FALSE),"x")</f>
        <v>x</v>
      </c>
      <c r="K107" s="28">
        <v>-0.41108790040016174</v>
      </c>
      <c r="L107" s="31" t="s">
        <v>393</v>
      </c>
      <c r="M107" s="27">
        <v>40</v>
      </c>
      <c r="N107" s="27">
        <v>29</v>
      </c>
      <c r="O107" s="34" t="str">
        <f>IFERROR(VLOOKUP(B107,'Core Indicators'!$E$3:$G$9906,3,FALSE),"x")</f>
        <v>x</v>
      </c>
      <c r="P107" s="34">
        <v>300</v>
      </c>
    </row>
    <row r="108" spans="1:16" x14ac:dyDescent="0.3">
      <c r="A108" s="16" t="s">
        <v>197</v>
      </c>
      <c r="B108" s="11" t="s">
        <v>196</v>
      </c>
      <c r="C108" s="31">
        <v>0.18420004291385361</v>
      </c>
      <c r="D108" s="27">
        <v>12</v>
      </c>
      <c r="E108" s="31">
        <v>0</v>
      </c>
      <c r="F108" s="31">
        <v>5.8</v>
      </c>
      <c r="G108" s="31">
        <v>0.67610385107586835</v>
      </c>
      <c r="H108" s="31">
        <v>33</v>
      </c>
      <c r="I108" s="27">
        <v>5</v>
      </c>
      <c r="J108" s="10">
        <f>IFERROR(VLOOKUP($B108,'Core Indicators'!$E$3:$EU$906,147,FALSE),"x")</f>
        <v>1607</v>
      </c>
      <c r="K108" s="28">
        <v>-0.83423358201980591</v>
      </c>
      <c r="L108" s="31">
        <v>4.5</v>
      </c>
      <c r="M108" s="27">
        <v>41</v>
      </c>
      <c r="N108" s="27">
        <v>29</v>
      </c>
      <c r="O108" s="34">
        <f>IFERROR(VLOOKUP(B108,'Core Indicators'!$E$3:$G$9906,3,FALSE),"x")</f>
        <v>19801000</v>
      </c>
      <c r="P108" s="34">
        <v>1220190</v>
      </c>
    </row>
    <row r="109" spans="1:16" x14ac:dyDescent="0.3">
      <c r="A109" s="16" t="s">
        <v>199</v>
      </c>
      <c r="B109" s="11" t="s">
        <v>198</v>
      </c>
      <c r="C109" s="31">
        <v>0</v>
      </c>
      <c r="D109" s="27">
        <v>12</v>
      </c>
      <c r="E109" s="31">
        <v>0</v>
      </c>
      <c r="F109" s="31" t="s">
        <v>393</v>
      </c>
      <c r="G109" s="31">
        <v>0.19499821964839725</v>
      </c>
      <c r="H109" s="31">
        <v>29.200000762939499</v>
      </c>
      <c r="I109" s="27">
        <v>0</v>
      </c>
      <c r="J109" s="10" t="str">
        <f>IFERROR(VLOOKUP($B109,'Core Indicators'!$E$3:$EU$906,147,FALSE),"x")</f>
        <v>x</v>
      </c>
      <c r="K109" s="28">
        <v>0.95223230123519897</v>
      </c>
      <c r="L109" s="31" t="s">
        <v>393</v>
      </c>
      <c r="M109" s="27">
        <v>90</v>
      </c>
      <c r="N109" s="27">
        <v>54</v>
      </c>
      <c r="O109" s="34" t="str">
        <f>IFERROR(VLOOKUP(B109,'Core Indicators'!$E$3:$G$9906,3,FALSE),"x")</f>
        <v>x</v>
      </c>
      <c r="P109" s="34">
        <v>320</v>
      </c>
    </row>
    <row r="110" spans="1:16" x14ac:dyDescent="0.3">
      <c r="A110" s="16" t="s">
        <v>201</v>
      </c>
      <c r="B110" s="11" t="s">
        <v>200</v>
      </c>
      <c r="C110" s="31">
        <v>0</v>
      </c>
      <c r="D110" s="27">
        <v>12</v>
      </c>
      <c r="E110" s="31">
        <v>0</v>
      </c>
      <c r="F110" s="31" t="s">
        <v>393</v>
      </c>
      <c r="G110" s="31" t="s">
        <v>393</v>
      </c>
      <c r="H110" s="31" t="s">
        <v>393</v>
      </c>
      <c r="I110" s="27">
        <v>0</v>
      </c>
      <c r="J110" s="10" t="str">
        <f>IFERROR(VLOOKUP($B110,'Core Indicators'!$E$3:$EU$906,147,FALSE),"x")</f>
        <v>x</v>
      </c>
      <c r="K110" s="28">
        <v>-3.3094067126512527E-2</v>
      </c>
      <c r="L110" s="31" t="s">
        <v>393</v>
      </c>
      <c r="M110" s="27">
        <v>93</v>
      </c>
      <c r="N110" s="27" t="s">
        <v>393</v>
      </c>
      <c r="O110" s="34" t="str">
        <f>IFERROR(VLOOKUP(B110,'Core Indicators'!$E$3:$G$9906,3,FALSE),"x")</f>
        <v>x</v>
      </c>
      <c r="P110" s="34">
        <v>180</v>
      </c>
    </row>
    <row r="111" spans="1:16" x14ac:dyDescent="0.3">
      <c r="A111" s="16" t="s">
        <v>203</v>
      </c>
      <c r="B111" s="11" t="s">
        <v>202</v>
      </c>
      <c r="C111" s="31">
        <v>0.65999998092651335</v>
      </c>
      <c r="D111" s="27">
        <v>5</v>
      </c>
      <c r="E111" s="31">
        <v>0</v>
      </c>
      <c r="F111" s="31">
        <v>4.2666666666666666</v>
      </c>
      <c r="G111" s="31">
        <v>0.6199362936186219</v>
      </c>
      <c r="H111" s="31">
        <v>32.599998474121101</v>
      </c>
      <c r="I111" s="27">
        <v>2</v>
      </c>
      <c r="J111" s="10" t="str">
        <f>IFERROR(VLOOKUP($B111,'Core Indicators'!$E$3:$EU$906,147,FALSE),"x")</f>
        <v>x</v>
      </c>
      <c r="K111" s="28">
        <v>-0.5827178955078125</v>
      </c>
      <c r="L111" s="31">
        <v>4</v>
      </c>
      <c r="M111" s="27">
        <v>34</v>
      </c>
      <c r="N111" s="27">
        <v>28</v>
      </c>
      <c r="O111" s="34">
        <f>IFERROR(VLOOKUP(B111,'Core Indicators'!$E$3:$G$9906,3,FALSE),"x")</f>
        <v>4145000</v>
      </c>
      <c r="P111" s="34">
        <v>1030700</v>
      </c>
    </row>
    <row r="112" spans="1:16" x14ac:dyDescent="0.3">
      <c r="A112" s="16" t="s">
        <v>205</v>
      </c>
      <c r="B112" s="11" t="s">
        <v>204</v>
      </c>
      <c r="C112" s="31">
        <v>0.73069999032020561</v>
      </c>
      <c r="D112" s="27">
        <v>11</v>
      </c>
      <c r="E112" s="31">
        <v>0</v>
      </c>
      <c r="F112" s="31">
        <v>8.6</v>
      </c>
      <c r="G112" s="31">
        <v>0.36946207278888643</v>
      </c>
      <c r="H112" s="31">
        <v>36.799999237060497</v>
      </c>
      <c r="I112" s="27">
        <v>0</v>
      </c>
      <c r="J112" s="10" t="str">
        <f>IFERROR(VLOOKUP($B112,'Core Indicators'!$E$3:$EU$906,147,FALSE),"x")</f>
        <v>x</v>
      </c>
      <c r="K112" s="28">
        <v>0.76357662677764893</v>
      </c>
      <c r="L112" s="31">
        <v>8.25</v>
      </c>
      <c r="M112" s="27">
        <v>89</v>
      </c>
      <c r="N112" s="27">
        <v>52</v>
      </c>
      <c r="O112" s="34" t="str">
        <f>IFERROR(VLOOKUP(B112,'Core Indicators'!$E$3:$G$9906,3,FALSE),"x")</f>
        <v>x</v>
      </c>
      <c r="P112" s="34">
        <v>2030</v>
      </c>
    </row>
    <row r="113" spans="1:16" x14ac:dyDescent="0.3">
      <c r="A113" s="16" t="s">
        <v>207</v>
      </c>
      <c r="B113" s="11" t="s">
        <v>206</v>
      </c>
      <c r="C113" s="31">
        <v>0.33568600012989336</v>
      </c>
      <c r="D113" s="27">
        <v>10</v>
      </c>
      <c r="E113" s="31">
        <v>0.11</v>
      </c>
      <c r="F113" s="31">
        <v>6.05</v>
      </c>
      <c r="G113" s="31">
        <v>0.33424249198356437</v>
      </c>
      <c r="H113" s="31">
        <v>45.400001525878899</v>
      </c>
      <c r="I113" s="27">
        <v>5</v>
      </c>
      <c r="J113" s="10">
        <f>IFERROR(VLOOKUP($B113,'Core Indicators'!$E$3:$EU$906,147,FALSE),"x")</f>
        <v>173</v>
      </c>
      <c r="K113" s="28">
        <v>-0.6581035852432251</v>
      </c>
      <c r="L113" s="31">
        <v>5</v>
      </c>
      <c r="M113" s="27">
        <v>62</v>
      </c>
      <c r="N113" s="27">
        <v>29</v>
      </c>
      <c r="O113" s="34">
        <f>IFERROR(VLOOKUP(B113,'Core Indicators'!$E$3:$G$9906,3,FALSE),"x")</f>
        <v>114329000</v>
      </c>
      <c r="P113" s="34">
        <v>1943950</v>
      </c>
    </row>
    <row r="114" spans="1:16" x14ac:dyDescent="0.3">
      <c r="A114" s="16" t="s">
        <v>377</v>
      </c>
      <c r="B114" s="11" t="s">
        <v>208</v>
      </c>
      <c r="C114" s="31">
        <v>0</v>
      </c>
      <c r="D114" s="27">
        <v>11</v>
      </c>
      <c r="E114" s="31">
        <v>0</v>
      </c>
      <c r="F114" s="31" t="s">
        <v>393</v>
      </c>
      <c r="G114" s="31" t="s">
        <v>393</v>
      </c>
      <c r="H114" s="31">
        <v>40.099998474121101</v>
      </c>
      <c r="I114" s="27">
        <v>0</v>
      </c>
      <c r="J114" s="10" t="str">
        <f>IFERROR(VLOOKUP($B114,'Core Indicators'!$E$3:$EU$906,147,FALSE),"x")</f>
        <v>x</v>
      </c>
      <c r="K114" s="28">
        <v>2.4115653708577156E-2</v>
      </c>
      <c r="L114" s="31" t="s">
        <v>393</v>
      </c>
      <c r="M114" s="27">
        <v>92</v>
      </c>
      <c r="N114" s="27" t="s">
        <v>393</v>
      </c>
      <c r="O114" s="34" t="str">
        <f>IFERROR(VLOOKUP(B114,'Core Indicators'!$E$3:$G$9906,3,FALSE),"x")</f>
        <v>x</v>
      </c>
      <c r="P114" s="34">
        <v>700</v>
      </c>
    </row>
    <row r="115" spans="1:16" x14ac:dyDescent="0.3">
      <c r="A115" s="16" t="s">
        <v>387</v>
      </c>
      <c r="B115" s="11" t="s">
        <v>209</v>
      </c>
      <c r="C115" s="31">
        <v>0.42207301918682449</v>
      </c>
      <c r="D115" s="27">
        <v>7</v>
      </c>
      <c r="E115" s="31">
        <v>0.19400000000000001</v>
      </c>
      <c r="F115" s="31">
        <v>5.8</v>
      </c>
      <c r="G115" s="31">
        <v>0.22847758289976983</v>
      </c>
      <c r="H115" s="31">
        <v>25.700000762939499</v>
      </c>
      <c r="I115" s="27">
        <v>3</v>
      </c>
      <c r="J115" s="10" t="str">
        <f>IFERROR(VLOOKUP($B115,'Core Indicators'!$E$3:$EU$906,147,FALSE),"x")</f>
        <v>x</v>
      </c>
      <c r="K115" s="28">
        <v>-0.37302857637405396</v>
      </c>
      <c r="L115" s="31">
        <v>4.5</v>
      </c>
      <c r="M115" s="27">
        <v>60</v>
      </c>
      <c r="N115" s="27">
        <v>32</v>
      </c>
      <c r="O115" s="34" t="str">
        <f>IFERROR(VLOOKUP(B115,'Core Indicators'!$E$3:$G$9906,3,FALSE),"x")</f>
        <v>x</v>
      </c>
      <c r="P115" s="34">
        <v>32870</v>
      </c>
    </row>
    <row r="116" spans="1:16" x14ac:dyDescent="0.3">
      <c r="A116" s="16" t="s">
        <v>211</v>
      </c>
      <c r="B116" s="11" t="s">
        <v>210</v>
      </c>
      <c r="C116" s="31">
        <v>0.18750004284083788</v>
      </c>
      <c r="D116" s="27">
        <v>11</v>
      </c>
      <c r="E116" s="31">
        <v>7.0000000000000007E-2</v>
      </c>
      <c r="F116" s="31">
        <v>7.3</v>
      </c>
      <c r="G116" s="31">
        <v>0.32160517552390733</v>
      </c>
      <c r="H116" s="31">
        <v>32.700000762939503</v>
      </c>
      <c r="I116" s="27">
        <v>0</v>
      </c>
      <c r="J116" s="10" t="str">
        <f>IFERROR(VLOOKUP($B116,'Core Indicators'!$E$3:$EU$906,147,FALSE),"x")</f>
        <v>x</v>
      </c>
      <c r="K116" s="28">
        <v>-0.26629304885864258</v>
      </c>
      <c r="L116" s="31">
        <v>6.25</v>
      </c>
      <c r="M116" s="27">
        <v>84</v>
      </c>
      <c r="N116" s="27">
        <v>35</v>
      </c>
      <c r="O116" s="34" t="str">
        <f>IFERROR(VLOOKUP(B116,'Core Indicators'!$E$3:$G$9906,3,FALSE),"x")</f>
        <v>x</v>
      </c>
      <c r="P116" s="34">
        <v>1553560</v>
      </c>
    </row>
    <row r="117" spans="1:16" x14ac:dyDescent="0.3">
      <c r="A117" s="16" t="s">
        <v>213</v>
      </c>
      <c r="B117" s="11" t="s">
        <v>212</v>
      </c>
      <c r="C117" s="31">
        <v>0.69836900993710738</v>
      </c>
      <c r="D117" s="27">
        <v>10</v>
      </c>
      <c r="E117" s="31">
        <v>5.4200000000000005E-2</v>
      </c>
      <c r="F117" s="31">
        <v>7.35</v>
      </c>
      <c r="G117" s="31">
        <v>0.11906797135104308</v>
      </c>
      <c r="H117" s="31">
        <v>39</v>
      </c>
      <c r="I117" s="27">
        <v>0</v>
      </c>
      <c r="J117" s="10" t="str">
        <f>IFERROR(VLOOKUP($B117,'Core Indicators'!$E$3:$EU$906,147,FALSE),"x")</f>
        <v>x</v>
      </c>
      <c r="K117" s="28">
        <v>9.5744796097278595E-2</v>
      </c>
      <c r="L117" s="31">
        <v>6.75</v>
      </c>
      <c r="M117" s="27">
        <v>62</v>
      </c>
      <c r="N117" s="27">
        <v>45</v>
      </c>
      <c r="O117" s="34" t="str">
        <f>IFERROR(VLOOKUP(B117,'Core Indicators'!$E$3:$G$9906,3,FALSE),"x")</f>
        <v>x</v>
      </c>
      <c r="P117" s="34">
        <v>13450</v>
      </c>
    </row>
    <row r="118" spans="1:16" x14ac:dyDescent="0.3">
      <c r="A118" s="16" t="s">
        <v>215</v>
      </c>
      <c r="B118" s="11" t="s">
        <v>214</v>
      </c>
      <c r="C118" s="31">
        <v>0.49561599898004516</v>
      </c>
      <c r="D118" s="27">
        <v>5</v>
      </c>
      <c r="E118" s="31">
        <v>0.4</v>
      </c>
      <c r="F118" s="31">
        <v>3.6833333333333336</v>
      </c>
      <c r="G118" s="31">
        <v>0.49230993928033651</v>
      </c>
      <c r="H118" s="31">
        <v>39.5</v>
      </c>
      <c r="I118" s="27">
        <v>3</v>
      </c>
      <c r="J118" s="10">
        <f>IFERROR(VLOOKUP($B118,'Core Indicators'!$E$3:$EU$906,147,FALSE),"x")</f>
        <v>56</v>
      </c>
      <c r="K118" s="28">
        <v>-0.13564912974834442</v>
      </c>
      <c r="L118" s="31">
        <v>3.25</v>
      </c>
      <c r="M118" s="27">
        <v>37</v>
      </c>
      <c r="N118" s="27">
        <v>41</v>
      </c>
      <c r="O118" s="34">
        <f>IFERROR(VLOOKUP(B118,'Core Indicators'!$E$3:$G$9906,3,FALSE),"x")</f>
        <v>36472000</v>
      </c>
      <c r="P118" s="34">
        <v>446300</v>
      </c>
    </row>
    <row r="119" spans="1:16" x14ac:dyDescent="0.3">
      <c r="A119" s="16" t="s">
        <v>217</v>
      </c>
      <c r="B119" s="11" t="s">
        <v>216</v>
      </c>
      <c r="C119" s="31">
        <v>0.90353800000500684</v>
      </c>
      <c r="D119" s="27">
        <v>7</v>
      </c>
      <c r="E119" s="31">
        <v>0.16500000000000001</v>
      </c>
      <c r="F119" s="31">
        <v>4.4833333333333334</v>
      </c>
      <c r="G119" s="31">
        <v>0.56887839290737241</v>
      </c>
      <c r="H119" s="31">
        <v>54</v>
      </c>
      <c r="I119" s="27">
        <v>4</v>
      </c>
      <c r="J119" s="10">
        <f>IFERROR(VLOOKUP($B119,'Core Indicators'!$E$3:$EU$906,147,FALSE),"x")</f>
        <v>599</v>
      </c>
      <c r="K119" s="28">
        <v>-1.0201843976974487</v>
      </c>
      <c r="L119" s="31">
        <v>3</v>
      </c>
      <c r="M119" s="27">
        <v>45</v>
      </c>
      <c r="N119" s="27">
        <v>26</v>
      </c>
      <c r="O119" s="34">
        <f>IFERROR(VLOOKUP(B119,'Core Indicators'!$E$3:$G$9906,3,FALSE),"x")</f>
        <v>28862000</v>
      </c>
      <c r="P119" s="34">
        <v>786380</v>
      </c>
    </row>
    <row r="120" spans="1:16" x14ac:dyDescent="0.3">
      <c r="A120" s="16" t="s">
        <v>357</v>
      </c>
      <c r="B120" s="11" t="s">
        <v>218</v>
      </c>
      <c r="C120" s="31">
        <v>0.52228899021061514</v>
      </c>
      <c r="D120" s="27">
        <v>0</v>
      </c>
      <c r="E120" s="31">
        <v>0.30300000000000005</v>
      </c>
      <c r="F120" s="31">
        <v>3.3</v>
      </c>
      <c r="G120" s="31">
        <v>0.45849855369801595</v>
      </c>
      <c r="H120" s="31">
        <v>30.700000762939499</v>
      </c>
      <c r="I120" s="27">
        <v>4</v>
      </c>
      <c r="J120" s="10">
        <f>IFERROR(VLOOKUP($B120,'Core Indicators'!$E$3:$EU$906,147,FALSE),"x")</f>
        <v>234</v>
      </c>
      <c r="K120" s="28">
        <v>-1.0627838373184204</v>
      </c>
      <c r="L120" s="31">
        <v>2.75</v>
      </c>
      <c r="M120" s="27">
        <v>30</v>
      </c>
      <c r="N120" s="27">
        <v>29</v>
      </c>
      <c r="O120" s="34">
        <f>IFERROR(VLOOKUP(B120,'Core Indicators'!$E$3:$G$9906,3,FALSE),"x")</f>
        <v>52264000</v>
      </c>
      <c r="P120" s="34">
        <v>653080</v>
      </c>
    </row>
    <row r="121" spans="1:16" x14ac:dyDescent="0.3">
      <c r="A121" s="16" t="s">
        <v>220</v>
      </c>
      <c r="B121" s="11" t="s">
        <v>219</v>
      </c>
      <c r="C121" s="31">
        <v>0.72633300466892114</v>
      </c>
      <c r="D121" s="27">
        <v>11</v>
      </c>
      <c r="E121" s="31">
        <v>0.16099999999999998</v>
      </c>
      <c r="F121" s="31">
        <v>7.5</v>
      </c>
      <c r="G121" s="31">
        <v>0.46023062379596957</v>
      </c>
      <c r="H121" s="31">
        <v>59.099998474121101</v>
      </c>
      <c r="I121" s="27">
        <v>0</v>
      </c>
      <c r="J121" s="10" t="str">
        <f>IFERROR(VLOOKUP($B121,'Core Indicators'!$E$3:$EU$906,147,FALSE),"x")</f>
        <v>x</v>
      </c>
      <c r="K121" s="28">
        <v>0.3099801242351532</v>
      </c>
      <c r="L121" s="31">
        <v>6.75</v>
      </c>
      <c r="M121" s="27">
        <v>77</v>
      </c>
      <c r="N121" s="27">
        <v>52</v>
      </c>
      <c r="O121" s="34">
        <f>IFERROR(VLOOKUP(B121,'Core Indicators'!$E$3:$G$9906,3,FALSE),"x")</f>
        <v>2541000</v>
      </c>
      <c r="P121" s="34">
        <v>823290</v>
      </c>
    </row>
    <row r="122" spans="1:16" x14ac:dyDescent="0.3">
      <c r="A122" s="16" t="s">
        <v>222</v>
      </c>
      <c r="B122" s="11" t="s">
        <v>221</v>
      </c>
      <c r="C122" s="31">
        <v>0</v>
      </c>
      <c r="D122" s="27">
        <v>12</v>
      </c>
      <c r="E122" s="31">
        <v>0</v>
      </c>
      <c r="F122" s="31" t="s">
        <v>393</v>
      </c>
      <c r="G122" s="31" t="s">
        <v>393</v>
      </c>
      <c r="H122" s="31" t="s">
        <v>393</v>
      </c>
      <c r="I122" s="27">
        <v>0</v>
      </c>
      <c r="J122" s="10" t="str">
        <f>IFERROR(VLOOKUP($B122,'Core Indicators'!$E$3:$EU$906,147,FALSE),"x")</f>
        <v>x</v>
      </c>
      <c r="K122" s="28">
        <v>-0.7636907696723938</v>
      </c>
      <c r="L122" s="31" t="s">
        <v>393</v>
      </c>
      <c r="M122" s="27">
        <v>77</v>
      </c>
      <c r="N122" s="27" t="s">
        <v>393</v>
      </c>
      <c r="O122" s="34" t="str">
        <f>IFERROR(VLOOKUP(B122,'Core Indicators'!$E$3:$G$9906,3,FALSE),"x")</f>
        <v>x</v>
      </c>
      <c r="P122" s="34">
        <v>20</v>
      </c>
    </row>
    <row r="123" spans="1:16" x14ac:dyDescent="0.3">
      <c r="A123" s="16" t="s">
        <v>224</v>
      </c>
      <c r="B123" s="11" t="s">
        <v>223</v>
      </c>
      <c r="C123" s="31">
        <v>0.76569999613165851</v>
      </c>
      <c r="D123" s="27">
        <v>8</v>
      </c>
      <c r="E123" s="31">
        <v>0.09</v>
      </c>
      <c r="F123" s="31">
        <v>5.85</v>
      </c>
      <c r="G123" s="31">
        <v>0.47573758713876135</v>
      </c>
      <c r="H123" s="31">
        <v>32.799999237060497</v>
      </c>
      <c r="I123" s="27">
        <v>3</v>
      </c>
      <c r="J123" s="10" t="str">
        <f>IFERROR(VLOOKUP($B123,'Core Indicators'!$E$3:$EU$906,147,FALSE),"x")</f>
        <v>x</v>
      </c>
      <c r="K123" s="28">
        <v>-0.53553414344787598</v>
      </c>
      <c r="L123" s="31">
        <v>5</v>
      </c>
      <c r="M123" s="27">
        <v>56</v>
      </c>
      <c r="N123" s="27">
        <v>34</v>
      </c>
      <c r="O123" s="34" t="str">
        <f>IFERROR(VLOOKUP(B123,'Core Indicators'!$E$3:$G$9906,3,FALSE),"x")</f>
        <v>x</v>
      </c>
      <c r="P123" s="34">
        <v>143350</v>
      </c>
    </row>
    <row r="124" spans="1:16" x14ac:dyDescent="0.3">
      <c r="A124" s="16" t="s">
        <v>226</v>
      </c>
      <c r="B124" s="11" t="s">
        <v>225</v>
      </c>
      <c r="C124" s="31">
        <v>0</v>
      </c>
      <c r="D124" s="27">
        <v>13</v>
      </c>
      <c r="E124" s="31">
        <v>0</v>
      </c>
      <c r="F124" s="31" t="s">
        <v>393</v>
      </c>
      <c r="G124" s="31">
        <v>4.1109984385139575E-2</v>
      </c>
      <c r="H124" s="31">
        <v>28.5</v>
      </c>
      <c r="I124" s="27">
        <v>0</v>
      </c>
      <c r="J124" s="10" t="str">
        <f>IFERROR(VLOOKUP($B124,'Core Indicators'!$E$3:$EU$906,147,FALSE),"x")</f>
        <v>x</v>
      </c>
      <c r="K124" s="28">
        <v>1.8084671497344971</v>
      </c>
      <c r="L124" s="31" t="s">
        <v>393</v>
      </c>
      <c r="M124" s="27">
        <v>99</v>
      </c>
      <c r="N124" s="27">
        <v>82</v>
      </c>
      <c r="O124" s="34" t="str">
        <f>IFERROR(VLOOKUP(B124,'Core Indicators'!$E$3:$G$9906,3,FALSE),"x")</f>
        <v>x</v>
      </c>
      <c r="P124" s="34">
        <v>33690</v>
      </c>
    </row>
    <row r="125" spans="1:16" x14ac:dyDescent="0.3">
      <c r="A125" s="16" t="s">
        <v>228</v>
      </c>
      <c r="B125" s="11" t="s">
        <v>227</v>
      </c>
      <c r="C125" s="31">
        <v>0.50848300212156772</v>
      </c>
      <c r="D125" s="27">
        <v>13</v>
      </c>
      <c r="E125" s="31">
        <v>0</v>
      </c>
      <c r="F125" s="31" t="s">
        <v>393</v>
      </c>
      <c r="G125" s="31">
        <v>0.13293942293655325</v>
      </c>
      <c r="H125" s="31" t="s">
        <v>393</v>
      </c>
      <c r="I125" s="27">
        <v>0</v>
      </c>
      <c r="J125" s="10" t="str">
        <f>IFERROR(VLOOKUP($B125,'Core Indicators'!$E$3:$EU$906,147,FALSE),"x")</f>
        <v>x</v>
      </c>
      <c r="K125" s="28">
        <v>1.8847389221191406</v>
      </c>
      <c r="L125" s="31" t="s">
        <v>393</v>
      </c>
      <c r="M125" s="27">
        <v>97</v>
      </c>
      <c r="N125" s="27">
        <v>87</v>
      </c>
      <c r="O125" s="34" t="str">
        <f>IFERROR(VLOOKUP(B125,'Core Indicators'!$E$3:$G$9906,3,FALSE),"x")</f>
        <v>x</v>
      </c>
      <c r="P125" s="34">
        <v>263310</v>
      </c>
    </row>
    <row r="126" spans="1:16" x14ac:dyDescent="0.3">
      <c r="A126" s="16" t="s">
        <v>230</v>
      </c>
      <c r="B126" s="11" t="s">
        <v>229</v>
      </c>
      <c r="C126" s="31">
        <v>0.25107097474066142</v>
      </c>
      <c r="D126" s="27">
        <v>6</v>
      </c>
      <c r="E126" s="31">
        <v>0.13950000000000001</v>
      </c>
      <c r="F126" s="31">
        <v>4.0333333333333332</v>
      </c>
      <c r="G126" s="31">
        <v>0.45470245497493966</v>
      </c>
      <c r="H126" s="31">
        <v>46.200000762939503</v>
      </c>
      <c r="I126" s="27">
        <v>3</v>
      </c>
      <c r="J126" s="10">
        <f>IFERROR(VLOOKUP($B126,'Core Indicators'!$E$3:$EU$906,147,FALSE),"x")</f>
        <v>6</v>
      </c>
      <c r="K126" s="28">
        <v>-1.1756899356842041</v>
      </c>
      <c r="L126" s="31">
        <v>2.5</v>
      </c>
      <c r="M126" s="27">
        <v>31</v>
      </c>
      <c r="N126" s="27">
        <v>22</v>
      </c>
      <c r="O126" s="34">
        <f>IFERROR(VLOOKUP(B126,'Core Indicators'!$E$3:$G$9906,3,FALSE),"x")</f>
        <v>6444000</v>
      </c>
      <c r="P126" s="34">
        <v>120340</v>
      </c>
    </row>
    <row r="127" spans="1:16" x14ac:dyDescent="0.3">
      <c r="A127" s="16" t="s">
        <v>232</v>
      </c>
      <c r="B127" s="11" t="s">
        <v>231</v>
      </c>
      <c r="C127" s="31">
        <v>0.62954999798052014</v>
      </c>
      <c r="D127" s="27">
        <v>8</v>
      </c>
      <c r="E127" s="31">
        <v>8.5000000000000006E-2</v>
      </c>
      <c r="F127" s="31">
        <v>6.1</v>
      </c>
      <c r="G127" s="31">
        <v>0.64744784733237826</v>
      </c>
      <c r="H127" s="31">
        <v>34.299999237060497</v>
      </c>
      <c r="I127" s="27">
        <v>2</v>
      </c>
      <c r="J127" s="10">
        <f>IFERROR(VLOOKUP($B127,'Core Indicators'!$E$3:$EU$906,147,FALSE),"x")</f>
        <v>490</v>
      </c>
      <c r="K127" s="28">
        <v>-0.53293120861053467</v>
      </c>
      <c r="L127" s="31">
        <v>5.5</v>
      </c>
      <c r="M127" s="27">
        <v>48</v>
      </c>
      <c r="N127" s="27">
        <v>32</v>
      </c>
      <c r="O127" s="34">
        <f>IFERROR(VLOOKUP(B127,'Core Indicators'!$E$3:$G$9906,3,FALSE),"x")</f>
        <v>23578000</v>
      </c>
      <c r="P127" s="34">
        <v>1266700</v>
      </c>
    </row>
    <row r="128" spans="1:16" x14ac:dyDescent="0.3">
      <c r="A128" s="16" t="s">
        <v>234</v>
      </c>
      <c r="B128" s="11" t="s">
        <v>233</v>
      </c>
      <c r="C128" s="31">
        <v>0.82875000470317883</v>
      </c>
      <c r="D128" s="27">
        <v>3</v>
      </c>
      <c r="E128" s="31">
        <v>3.0000000000000002E-2</v>
      </c>
      <c r="F128" s="31">
        <v>5.45</v>
      </c>
      <c r="G128" s="31" t="s">
        <v>393</v>
      </c>
      <c r="H128" s="31">
        <v>43</v>
      </c>
      <c r="I128" s="27">
        <v>5</v>
      </c>
      <c r="J128" s="10">
        <f>IFERROR(VLOOKUP($B128,'Core Indicators'!$E$3:$EU$906,147,FALSE),"x")</f>
        <v>2180</v>
      </c>
      <c r="K128" s="28">
        <v>-0.89798212051391602</v>
      </c>
      <c r="L128" s="31">
        <v>5.25</v>
      </c>
      <c r="M128" s="27">
        <v>47</v>
      </c>
      <c r="N128" s="27">
        <v>26</v>
      </c>
      <c r="O128" s="34">
        <f>IFERROR(VLOOKUP(B128,'Core Indicators'!$E$3:$G$9906,3,FALSE),"x")</f>
        <v>195668000</v>
      </c>
      <c r="P128" s="34">
        <v>910770</v>
      </c>
    </row>
    <row r="129" spans="1:16" x14ac:dyDescent="0.3">
      <c r="A129" s="16" t="s">
        <v>236</v>
      </c>
      <c r="B129" s="11" t="s">
        <v>235</v>
      </c>
      <c r="C129" s="31">
        <v>0</v>
      </c>
      <c r="D129" s="27">
        <v>12</v>
      </c>
      <c r="E129" s="31">
        <v>0</v>
      </c>
      <c r="F129" s="31" t="s">
        <v>393</v>
      </c>
      <c r="G129" s="31">
        <v>4.4116419479600544E-2</v>
      </c>
      <c r="H129" s="31">
        <v>27</v>
      </c>
      <c r="I129" s="27">
        <v>2</v>
      </c>
      <c r="J129" s="10" t="str">
        <f>IFERROR(VLOOKUP($B129,'Core Indicators'!$E$3:$EU$906,147,FALSE),"x")</f>
        <v>x</v>
      </c>
      <c r="K129" s="28">
        <v>1.9849152565002441</v>
      </c>
      <c r="L129" s="31" t="s">
        <v>393</v>
      </c>
      <c r="M129" s="27">
        <v>100</v>
      </c>
      <c r="N129" s="27">
        <v>84</v>
      </c>
      <c r="O129" s="34" t="str">
        <f>IFERROR(VLOOKUP(B129,'Core Indicators'!$E$3:$G$9906,3,FALSE),"x")</f>
        <v>x</v>
      </c>
      <c r="P129" s="34">
        <v>365245</v>
      </c>
    </row>
    <row r="130" spans="1:16" x14ac:dyDescent="0.3">
      <c r="A130" s="16" t="s">
        <v>239</v>
      </c>
      <c r="B130" s="11" t="s">
        <v>238</v>
      </c>
      <c r="C130" s="31">
        <v>0.45239998588562003</v>
      </c>
      <c r="D130" s="27">
        <v>5</v>
      </c>
      <c r="E130" s="31">
        <v>0</v>
      </c>
      <c r="F130" s="31">
        <v>2.9</v>
      </c>
      <c r="G130" s="31">
        <v>0.30388778789047699</v>
      </c>
      <c r="H130" s="31" t="s">
        <v>393</v>
      </c>
      <c r="I130" s="27">
        <v>1</v>
      </c>
      <c r="J130" s="10" t="str">
        <f>IFERROR(VLOOKUP($B130,'Core Indicators'!$E$3:$EU$906,147,FALSE),"x")</f>
        <v>x</v>
      </c>
      <c r="K130" s="28">
        <v>0.55440390110015869</v>
      </c>
      <c r="L130" s="31">
        <v>1.75</v>
      </c>
      <c r="M130" s="27">
        <v>23</v>
      </c>
      <c r="N130" s="27">
        <v>52</v>
      </c>
      <c r="O130" s="34" t="str">
        <f>IFERROR(VLOOKUP(B130,'Core Indicators'!$E$3:$G$9906,3,FALSE),"x")</f>
        <v>x</v>
      </c>
      <c r="P130" s="34">
        <v>309500</v>
      </c>
    </row>
    <row r="131" spans="1:16" x14ac:dyDescent="0.3">
      <c r="A131" s="16" t="s">
        <v>241</v>
      </c>
      <c r="B131" s="11" t="s">
        <v>240</v>
      </c>
      <c r="C131" s="31">
        <v>0.63669099567329135</v>
      </c>
      <c r="D131" s="27">
        <v>3</v>
      </c>
      <c r="E131" s="31">
        <v>0.16</v>
      </c>
      <c r="F131" s="31">
        <v>3.75</v>
      </c>
      <c r="G131" s="31">
        <v>0.54718978068954316</v>
      </c>
      <c r="H131" s="31">
        <v>33.5</v>
      </c>
      <c r="I131" s="27">
        <v>3</v>
      </c>
      <c r="J131" s="10">
        <f>IFERROR(VLOOKUP($B131,'Core Indicators'!$E$3:$EU$906,147,FALSE),"x")</f>
        <v>800</v>
      </c>
      <c r="K131" s="28">
        <v>-0.66757869720458984</v>
      </c>
      <c r="L131" s="31">
        <v>3.25</v>
      </c>
      <c r="M131" s="27">
        <v>38</v>
      </c>
      <c r="N131" s="27">
        <v>32</v>
      </c>
      <c r="O131" s="34">
        <f>IFERROR(VLOOKUP(B131,'Core Indicators'!$E$3:$G$9906,3,FALSE),"x")</f>
        <v>209594000</v>
      </c>
      <c r="P131" s="34">
        <v>770880</v>
      </c>
    </row>
    <row r="132" spans="1:16" x14ac:dyDescent="0.3">
      <c r="A132" s="16" t="s">
        <v>243</v>
      </c>
      <c r="B132" s="11" t="s">
        <v>242</v>
      </c>
      <c r="C132" s="31">
        <v>0</v>
      </c>
      <c r="D132" s="27">
        <v>12</v>
      </c>
      <c r="E132" s="31">
        <v>0</v>
      </c>
      <c r="F132" s="31" t="s">
        <v>393</v>
      </c>
      <c r="G132" s="31" t="s">
        <v>393</v>
      </c>
      <c r="H132" s="31" t="s">
        <v>393</v>
      </c>
      <c r="I132" s="27">
        <v>0</v>
      </c>
      <c r="J132" s="10" t="str">
        <f>IFERROR(VLOOKUP($B132,'Core Indicators'!$E$3:$EU$906,147,FALSE),"x")</f>
        <v>x</v>
      </c>
      <c r="K132" s="28">
        <v>0.31445762515068054</v>
      </c>
      <c r="L132" s="31" t="s">
        <v>393</v>
      </c>
      <c r="M132" s="27">
        <v>92</v>
      </c>
      <c r="N132" s="27" t="s">
        <v>393</v>
      </c>
      <c r="O132" s="34" t="str">
        <f>IFERROR(VLOOKUP(B132,'Core Indicators'!$E$3:$G$9906,3,FALSE),"x")</f>
        <v>x</v>
      </c>
      <c r="P132" s="34">
        <v>460</v>
      </c>
    </row>
    <row r="133" spans="1:16" x14ac:dyDescent="0.3">
      <c r="A133" s="16" t="s">
        <v>372</v>
      </c>
      <c r="B133" s="11" t="s">
        <v>237</v>
      </c>
      <c r="C133" s="31">
        <v>0</v>
      </c>
      <c r="D133" s="27" t="s">
        <v>393</v>
      </c>
      <c r="E133" s="31">
        <v>0</v>
      </c>
      <c r="F133" s="31" t="s">
        <v>393</v>
      </c>
      <c r="G133" s="31" t="s">
        <v>393</v>
      </c>
      <c r="H133" s="31">
        <v>33.700000762939503</v>
      </c>
      <c r="I133" s="27">
        <v>3</v>
      </c>
      <c r="J133" s="10">
        <f>IFERROR(VLOOKUP($B133,'Core Indicators'!$E$3:$EU$906,147,FALSE),"x")</f>
        <v>9</v>
      </c>
      <c r="K133" s="28">
        <v>-0.48548009991645813</v>
      </c>
      <c r="L133" s="31" t="s">
        <v>393</v>
      </c>
      <c r="M133" s="27">
        <v>11</v>
      </c>
      <c r="N133" s="27" t="s">
        <v>393</v>
      </c>
      <c r="O133" s="34">
        <f>IFERROR(VLOOKUP(B133,'Core Indicators'!$E$3:$G$9906,3,FALSE),"x")</f>
        <v>5200000</v>
      </c>
      <c r="P133" s="34">
        <v>6020</v>
      </c>
    </row>
    <row r="134" spans="1:16" x14ac:dyDescent="0.3">
      <c r="A134" s="16" t="s">
        <v>245</v>
      </c>
      <c r="B134" s="11" t="s">
        <v>244</v>
      </c>
      <c r="C134" s="31">
        <v>0.33856598084104794</v>
      </c>
      <c r="D134" s="27">
        <v>12</v>
      </c>
      <c r="E134" s="31">
        <v>0.126</v>
      </c>
      <c r="F134" s="31">
        <v>7.05</v>
      </c>
      <c r="G134" s="31">
        <v>0.45966340732128419</v>
      </c>
      <c r="H134" s="31">
        <v>49.200000762939503</v>
      </c>
      <c r="I134" s="27">
        <v>0</v>
      </c>
      <c r="J134" s="10" t="str">
        <f>IFERROR(VLOOKUP($B134,'Core Indicators'!$E$3:$EU$906,147,FALSE),"x")</f>
        <v>x</v>
      </c>
      <c r="K134" s="28">
        <v>-0.11903498321771622</v>
      </c>
      <c r="L134" s="31">
        <v>6</v>
      </c>
      <c r="M134" s="27">
        <v>84</v>
      </c>
      <c r="N134" s="27">
        <v>36</v>
      </c>
      <c r="O134" s="34" t="str">
        <f>IFERROR(VLOOKUP(B134,'Core Indicators'!$E$3:$G$9906,3,FALSE),"x")</f>
        <v>x</v>
      </c>
      <c r="P134" s="34">
        <v>74340</v>
      </c>
    </row>
    <row r="135" spans="1:16" x14ac:dyDescent="0.3">
      <c r="A135" s="16" t="s">
        <v>247</v>
      </c>
      <c r="B135" s="11" t="s">
        <v>246</v>
      </c>
      <c r="C135" s="31">
        <v>6.5687960260629286E-2</v>
      </c>
      <c r="D135" s="27">
        <v>11</v>
      </c>
      <c r="E135" s="31">
        <v>0</v>
      </c>
      <c r="F135" s="31">
        <v>6</v>
      </c>
      <c r="G135" s="31">
        <v>0.74038999662986482</v>
      </c>
      <c r="H135" s="31">
        <v>41.900001525878899</v>
      </c>
      <c r="I135" s="27">
        <v>3</v>
      </c>
      <c r="J135" s="10" t="str">
        <f>IFERROR(VLOOKUP($B135,'Core Indicators'!$E$3:$EU$906,147,FALSE),"x")</f>
        <v>x</v>
      </c>
      <c r="K135" s="28">
        <v>-0.80097305774688721</v>
      </c>
      <c r="L135" s="31">
        <v>5.75</v>
      </c>
      <c r="M135" s="27">
        <v>62</v>
      </c>
      <c r="N135" s="27">
        <v>28</v>
      </c>
      <c r="O135" s="34" t="str">
        <f>IFERROR(VLOOKUP(B135,'Core Indicators'!$E$3:$G$9906,3,FALSE),"x")</f>
        <v>x</v>
      </c>
      <c r="P135" s="34">
        <v>452860</v>
      </c>
    </row>
    <row r="136" spans="1:16" x14ac:dyDescent="0.3">
      <c r="A136" s="16" t="s">
        <v>249</v>
      </c>
      <c r="B136" s="11" t="s">
        <v>248</v>
      </c>
      <c r="C136" s="31">
        <v>0.10657501353621479</v>
      </c>
      <c r="D136" s="27">
        <v>12</v>
      </c>
      <c r="E136" s="31">
        <v>1.7999999999999999E-2</v>
      </c>
      <c r="F136" s="31">
        <v>6.6</v>
      </c>
      <c r="G136" s="31">
        <v>0.48232451621984185</v>
      </c>
      <c r="H136" s="31">
        <v>46.200000762939503</v>
      </c>
      <c r="I136" s="27">
        <v>3</v>
      </c>
      <c r="J136" s="10" t="str">
        <f>IFERROR(VLOOKUP($B136,'Core Indicators'!$E$3:$EU$906,147,FALSE),"x")</f>
        <v>x</v>
      </c>
      <c r="K136" s="28">
        <v>-0.55640339851379395</v>
      </c>
      <c r="L136" s="31">
        <v>5.75</v>
      </c>
      <c r="M136" s="27">
        <v>65</v>
      </c>
      <c r="N136" s="27">
        <v>28</v>
      </c>
      <c r="O136" s="34" t="str">
        <f>IFERROR(VLOOKUP(B136,'Core Indicators'!$E$3:$G$9906,3,FALSE),"x")</f>
        <v>x</v>
      </c>
      <c r="P136" s="34">
        <v>397300</v>
      </c>
    </row>
    <row r="137" spans="1:16" x14ac:dyDescent="0.3">
      <c r="A137" s="16" t="s">
        <v>251</v>
      </c>
      <c r="B137" s="11" t="s">
        <v>250</v>
      </c>
      <c r="C137" s="31">
        <v>0.59663501872658697</v>
      </c>
      <c r="D137" s="27">
        <v>9</v>
      </c>
      <c r="E137" s="31">
        <v>0.45</v>
      </c>
      <c r="F137" s="31">
        <v>6.55</v>
      </c>
      <c r="G137" s="31">
        <v>0.3809247043772791</v>
      </c>
      <c r="H137" s="31">
        <v>42.799999237060497</v>
      </c>
      <c r="I137" s="27">
        <v>3</v>
      </c>
      <c r="J137" s="10">
        <f>IFERROR(VLOOKUP($B137,'Core Indicators'!$E$3:$EU$906,147,FALSE),"x")</f>
        <v>3</v>
      </c>
      <c r="K137" s="28">
        <v>-0.48720264434814453</v>
      </c>
      <c r="L137" s="31">
        <v>6.25</v>
      </c>
      <c r="M137" s="27">
        <v>72</v>
      </c>
      <c r="N137" s="27">
        <v>36</v>
      </c>
      <c r="O137" s="34">
        <f>IFERROR(VLOOKUP(B137,'Core Indicators'!$E$3:$G$9906,3,FALSE),"x")</f>
        <v>31989000</v>
      </c>
      <c r="P137" s="34">
        <v>1280000</v>
      </c>
    </row>
    <row r="138" spans="1:16" x14ac:dyDescent="0.3">
      <c r="A138" s="16" t="s">
        <v>253</v>
      </c>
      <c r="B138" s="11" t="s">
        <v>252</v>
      </c>
      <c r="C138" s="31">
        <v>0.2536679529655419</v>
      </c>
      <c r="D138" s="27">
        <v>9</v>
      </c>
      <c r="E138" s="31">
        <v>0.14100000000000001</v>
      </c>
      <c r="F138" s="31">
        <v>5.75</v>
      </c>
      <c r="G138" s="31">
        <v>0.425242087665054</v>
      </c>
      <c r="H138" s="31">
        <v>44.400001525878899</v>
      </c>
      <c r="I138" s="27">
        <v>4</v>
      </c>
      <c r="J138" s="10">
        <f>IFERROR(VLOOKUP($B138,'Core Indicators'!$E$3:$EU$906,147,FALSE),"x")</f>
        <v>339</v>
      </c>
      <c r="K138" s="28">
        <v>-0.47730070352554321</v>
      </c>
      <c r="L138" s="31">
        <v>4.75</v>
      </c>
      <c r="M138" s="27">
        <v>59</v>
      </c>
      <c r="N138" s="27">
        <v>34</v>
      </c>
      <c r="O138" s="34">
        <f>IFERROR(VLOOKUP(B138,'Core Indicators'!$E$3:$G$9906,3,FALSE),"x")</f>
        <v>100979000</v>
      </c>
      <c r="P138" s="34">
        <v>298170</v>
      </c>
    </row>
    <row r="139" spans="1:16" x14ac:dyDescent="0.3">
      <c r="A139" s="16" t="s">
        <v>255</v>
      </c>
      <c r="B139" s="11" t="s">
        <v>254</v>
      </c>
      <c r="C139" s="31">
        <v>7.8200951197046842E-2</v>
      </c>
      <c r="D139" s="27">
        <v>12</v>
      </c>
      <c r="E139" s="31">
        <v>1.15E-2</v>
      </c>
      <c r="F139" s="31">
        <v>7.95</v>
      </c>
      <c r="G139" s="31">
        <v>0.12005188897716246</v>
      </c>
      <c r="H139" s="31">
        <v>29.700000762939499</v>
      </c>
      <c r="I139" s="27">
        <v>0</v>
      </c>
      <c r="J139" s="10" t="str">
        <f>IFERROR(VLOOKUP($B139,'Core Indicators'!$E$3:$EU$906,147,FALSE),"x")</f>
        <v>x</v>
      </c>
      <c r="K139" s="28">
        <v>0.4520929753780365</v>
      </c>
      <c r="L139" s="31">
        <v>6.75</v>
      </c>
      <c r="M139" s="27">
        <v>84</v>
      </c>
      <c r="N139" s="27">
        <v>58</v>
      </c>
      <c r="O139" s="34" t="str">
        <f>IFERROR(VLOOKUP(B139,'Core Indicators'!$E$3:$G$9906,3,FALSE),"x")</f>
        <v>x</v>
      </c>
      <c r="P139" s="34">
        <v>306190</v>
      </c>
    </row>
    <row r="140" spans="1:16" x14ac:dyDescent="0.3">
      <c r="A140" s="16" t="s">
        <v>257</v>
      </c>
      <c r="B140" s="11" t="s">
        <v>256</v>
      </c>
      <c r="C140" s="31">
        <v>0</v>
      </c>
      <c r="D140" s="27">
        <v>13</v>
      </c>
      <c r="E140" s="31">
        <v>0</v>
      </c>
      <c r="F140" s="31" t="s">
        <v>393</v>
      </c>
      <c r="G140" s="31">
        <v>8.0794128901628182E-2</v>
      </c>
      <c r="H140" s="31">
        <v>33.799999237060497</v>
      </c>
      <c r="I140" s="27">
        <v>0</v>
      </c>
      <c r="J140" s="10" t="str">
        <f>IFERROR(VLOOKUP($B140,'Core Indicators'!$E$3:$EU$906,147,FALSE),"x")</f>
        <v>x</v>
      </c>
      <c r="K140" s="28">
        <v>1.1356768608093262</v>
      </c>
      <c r="L140" s="31" t="s">
        <v>393</v>
      </c>
      <c r="M140" s="27">
        <v>96</v>
      </c>
      <c r="N140" s="27">
        <v>62</v>
      </c>
      <c r="O140" s="34" t="str">
        <f>IFERROR(VLOOKUP(B140,'Core Indicators'!$E$3:$G$9906,3,FALSE),"x")</f>
        <v>x</v>
      </c>
      <c r="P140" s="34">
        <v>91605</v>
      </c>
    </row>
    <row r="141" spans="1:16" x14ac:dyDescent="0.3">
      <c r="A141" s="16" t="s">
        <v>259</v>
      </c>
      <c r="B141" s="11" t="s">
        <v>258</v>
      </c>
      <c r="C141" s="31">
        <v>0.98654400077438353</v>
      </c>
      <c r="D141" s="27">
        <v>2</v>
      </c>
      <c r="E141" s="31">
        <v>0</v>
      </c>
      <c r="F141" s="31">
        <v>3.9</v>
      </c>
      <c r="G141" s="31">
        <v>0.20243781868694255</v>
      </c>
      <c r="H141" s="31" t="s">
        <v>393</v>
      </c>
      <c r="I141" s="27">
        <v>1</v>
      </c>
      <c r="J141" s="10" t="str">
        <f>IFERROR(VLOOKUP($B141,'Core Indicators'!$E$3:$EU$906,147,FALSE),"x")</f>
        <v>x</v>
      </c>
      <c r="K141" s="28">
        <v>0.73431843519210815</v>
      </c>
      <c r="L141" s="31">
        <v>3.75</v>
      </c>
      <c r="M141" s="27">
        <v>25</v>
      </c>
      <c r="N141" s="27">
        <v>62</v>
      </c>
      <c r="O141" s="34" t="str">
        <f>IFERROR(VLOOKUP(B141,'Core Indicators'!$E$3:$G$9906,3,FALSE),"x")</f>
        <v>x</v>
      </c>
      <c r="P141" s="34">
        <v>11610</v>
      </c>
    </row>
    <row r="142" spans="1:16" x14ac:dyDescent="0.3">
      <c r="A142" s="16" t="s">
        <v>261</v>
      </c>
      <c r="B142" s="11" t="s">
        <v>260</v>
      </c>
      <c r="C142" s="31">
        <v>0.2980890357817183</v>
      </c>
      <c r="D142" s="27">
        <v>8</v>
      </c>
      <c r="E142" s="31">
        <v>2.7000000000000003E-2</v>
      </c>
      <c r="F142" s="31">
        <v>7.65</v>
      </c>
      <c r="G142" s="31">
        <v>0.31603010734093895</v>
      </c>
      <c r="H142" s="31">
        <v>36</v>
      </c>
      <c r="I142" s="27">
        <v>1</v>
      </c>
      <c r="J142" s="10" t="str">
        <f>IFERROR(VLOOKUP($B142,'Core Indicators'!$E$3:$EU$906,147,FALSE),"x")</f>
        <v>x</v>
      </c>
      <c r="K142" s="28">
        <v>0.36400461196899414</v>
      </c>
      <c r="L142" s="31">
        <v>6.75</v>
      </c>
      <c r="M142" s="27">
        <v>83</v>
      </c>
      <c r="N142" s="27">
        <v>44</v>
      </c>
      <c r="O142" s="34" t="str">
        <f>IFERROR(VLOOKUP(B142,'Core Indicators'!$E$3:$G$9906,3,FALSE),"x")</f>
        <v>x</v>
      </c>
      <c r="P142" s="34">
        <v>230080</v>
      </c>
    </row>
    <row r="143" spans="1:16" x14ac:dyDescent="0.3">
      <c r="A143" s="16" t="s">
        <v>364</v>
      </c>
      <c r="B143" s="11" t="s">
        <v>262</v>
      </c>
      <c r="C143" s="31">
        <v>0.34628793000398261</v>
      </c>
      <c r="D143" s="27">
        <v>2</v>
      </c>
      <c r="E143" s="31">
        <v>0.16450000000000006</v>
      </c>
      <c r="F143" s="31">
        <v>4.5</v>
      </c>
      <c r="G143" s="31">
        <v>0.25525934654430249</v>
      </c>
      <c r="H143" s="31">
        <v>37.5</v>
      </c>
      <c r="I143" s="27">
        <v>3</v>
      </c>
      <c r="J143" s="10" t="str">
        <f>IFERROR(VLOOKUP($B143,'Core Indicators'!$E$3:$EU$906,147,FALSE),"x")</f>
        <v>x</v>
      </c>
      <c r="K143" s="28">
        <v>-0.72368854284286499</v>
      </c>
      <c r="L143" s="31">
        <v>4</v>
      </c>
      <c r="M143" s="27">
        <v>20</v>
      </c>
      <c r="N143" s="27">
        <v>28</v>
      </c>
      <c r="O143" s="34" t="str">
        <f>IFERROR(VLOOKUP(B143,'Core Indicators'!$E$3:$G$9906,3,FALSE),"x")</f>
        <v>x</v>
      </c>
      <c r="P143" s="34">
        <v>16376870</v>
      </c>
    </row>
    <row r="144" spans="1:16" x14ac:dyDescent="0.3">
      <c r="A144" s="16" t="s">
        <v>264</v>
      </c>
      <c r="B144" s="11" t="s">
        <v>263</v>
      </c>
      <c r="C144" s="31">
        <v>0.27190004227161335</v>
      </c>
      <c r="D144" s="27">
        <v>5</v>
      </c>
      <c r="E144" s="31">
        <v>0.84</v>
      </c>
      <c r="F144" s="31">
        <v>3.9833333333333334</v>
      </c>
      <c r="G144" s="31">
        <v>0.41238544774649744</v>
      </c>
      <c r="H144" s="31">
        <v>43.700000762939503</v>
      </c>
      <c r="I144" s="27">
        <v>2</v>
      </c>
      <c r="J144" s="10" t="str">
        <f>IFERROR(VLOOKUP($B144,'Core Indicators'!$E$3:$EU$906,147,FALSE),"x")</f>
        <v>x</v>
      </c>
      <c r="K144" s="28">
        <v>7.6188184320926666E-2</v>
      </c>
      <c r="L144" s="31">
        <v>3.75</v>
      </c>
      <c r="M144" s="27">
        <v>22</v>
      </c>
      <c r="N144" s="27">
        <v>53</v>
      </c>
      <c r="O144" s="34">
        <f>IFERROR(VLOOKUP(B144,'Core Indicators'!$E$3:$G$9906,3,FALSE),"x")</f>
        <v>9661000</v>
      </c>
      <c r="P144" s="34">
        <v>24670</v>
      </c>
    </row>
    <row r="145" spans="1:16" x14ac:dyDescent="0.3">
      <c r="A145" s="16" t="s">
        <v>266</v>
      </c>
      <c r="B145" s="11" t="s">
        <v>265</v>
      </c>
      <c r="C145" s="31">
        <v>0</v>
      </c>
      <c r="D145" s="27">
        <v>13</v>
      </c>
      <c r="E145" s="31">
        <v>0</v>
      </c>
      <c r="F145" s="31" t="s">
        <v>393</v>
      </c>
      <c r="G145" s="31" t="s">
        <v>393</v>
      </c>
      <c r="H145" s="31" t="s">
        <v>393</v>
      </c>
      <c r="I145" s="27">
        <v>0</v>
      </c>
      <c r="J145" s="10" t="str">
        <f>IFERROR(VLOOKUP($B145,'Core Indicators'!$E$3:$EU$906,147,FALSE),"x")</f>
        <v>x</v>
      </c>
      <c r="K145" s="28">
        <v>0.47979530692100525</v>
      </c>
      <c r="L145" s="31" t="s">
        <v>393</v>
      </c>
      <c r="M145" s="27">
        <v>89</v>
      </c>
      <c r="N145" s="27" t="s">
        <v>393</v>
      </c>
      <c r="O145" s="34" t="str">
        <f>IFERROR(VLOOKUP(B145,'Core Indicators'!$E$3:$G$9906,3,FALSE),"x")</f>
        <v>x</v>
      </c>
      <c r="P145" s="34">
        <v>260</v>
      </c>
    </row>
    <row r="146" spans="1:16" x14ac:dyDescent="0.3">
      <c r="A146" s="16" t="s">
        <v>268</v>
      </c>
      <c r="B146" s="11" t="s">
        <v>267</v>
      </c>
      <c r="C146" s="31">
        <v>0</v>
      </c>
      <c r="D146" s="27">
        <v>12</v>
      </c>
      <c r="E146" s="31">
        <v>0</v>
      </c>
      <c r="F146" s="31" t="s">
        <v>393</v>
      </c>
      <c r="G146" s="31">
        <v>0.33299378596726803</v>
      </c>
      <c r="H146" s="31">
        <v>51.200000762939503</v>
      </c>
      <c r="I146" s="27">
        <v>0</v>
      </c>
      <c r="J146" s="10" t="str">
        <f>IFERROR(VLOOKUP($B146,'Core Indicators'!$E$3:$EU$906,147,FALSE),"x")</f>
        <v>x</v>
      </c>
      <c r="K146" s="28">
        <v>0.56912946701049805</v>
      </c>
      <c r="L146" s="31" t="s">
        <v>393</v>
      </c>
      <c r="M146" s="27">
        <v>92</v>
      </c>
      <c r="N146" s="27">
        <v>55</v>
      </c>
      <c r="O146" s="34" t="str">
        <f>IFERROR(VLOOKUP(B146,'Core Indicators'!$E$3:$G$9906,3,FALSE),"x")</f>
        <v>x</v>
      </c>
      <c r="P146" s="34">
        <v>610</v>
      </c>
    </row>
    <row r="147" spans="1:16" x14ac:dyDescent="0.3">
      <c r="A147" s="16" t="s">
        <v>270</v>
      </c>
      <c r="B147" s="11" t="s">
        <v>269</v>
      </c>
      <c r="C147" s="31">
        <v>0</v>
      </c>
      <c r="D147" s="27">
        <v>12</v>
      </c>
      <c r="E147" s="31">
        <v>0</v>
      </c>
      <c r="F147" s="31" t="s">
        <v>393</v>
      </c>
      <c r="G147" s="31" t="s">
        <v>393</v>
      </c>
      <c r="H147" s="31" t="s">
        <v>393</v>
      </c>
      <c r="I147" s="27">
        <v>0</v>
      </c>
      <c r="J147" s="10" t="str">
        <f>IFERROR(VLOOKUP($B147,'Core Indicators'!$E$3:$EU$906,147,FALSE),"x")</f>
        <v>x</v>
      </c>
      <c r="K147" s="28">
        <v>0.44635623693466187</v>
      </c>
      <c r="L147" s="31" t="s">
        <v>393</v>
      </c>
      <c r="M147" s="27">
        <v>91</v>
      </c>
      <c r="N147" s="27">
        <v>59</v>
      </c>
      <c r="O147" s="34" t="str">
        <f>IFERROR(VLOOKUP(B147,'Core Indicators'!$E$3:$G$9906,3,FALSE),"x")</f>
        <v>x</v>
      </c>
      <c r="P147" s="34">
        <v>390</v>
      </c>
    </row>
    <row r="148" spans="1:16" x14ac:dyDescent="0.3">
      <c r="A148" s="16" t="s">
        <v>272</v>
      </c>
      <c r="B148" s="11" t="s">
        <v>271</v>
      </c>
      <c r="C148" s="31">
        <v>0</v>
      </c>
      <c r="D148" s="27">
        <v>11</v>
      </c>
      <c r="E148" s="31">
        <v>0</v>
      </c>
      <c r="F148" s="31" t="s">
        <v>393</v>
      </c>
      <c r="G148" s="31">
        <v>0.36440432933980704</v>
      </c>
      <c r="H148" s="31">
        <v>38.700000762939503</v>
      </c>
      <c r="I148" s="27">
        <v>0</v>
      </c>
      <c r="J148" s="10" t="str">
        <f>IFERROR(VLOOKUP($B148,'Core Indicators'!$E$3:$EU$906,147,FALSE),"x")</f>
        <v>x</v>
      </c>
      <c r="K148" s="28">
        <v>1.0770641565322876</v>
      </c>
      <c r="L148" s="31" t="s">
        <v>393</v>
      </c>
      <c r="M148" s="27">
        <v>81</v>
      </c>
      <c r="N148" s="27" t="s">
        <v>393</v>
      </c>
      <c r="O148" s="34" t="str">
        <f>IFERROR(VLOOKUP(B148,'Core Indicators'!$E$3:$G$9906,3,FALSE),"x")</f>
        <v>x</v>
      </c>
      <c r="P148" s="34">
        <v>2830</v>
      </c>
    </row>
    <row r="149" spans="1:16" x14ac:dyDescent="0.3">
      <c r="A149" s="16" t="s">
        <v>274</v>
      </c>
      <c r="B149" s="11" t="s">
        <v>273</v>
      </c>
      <c r="C149" s="31">
        <v>0</v>
      </c>
      <c r="D149" s="27">
        <v>13</v>
      </c>
      <c r="E149" s="31">
        <v>0</v>
      </c>
      <c r="F149" s="31" t="s">
        <v>393</v>
      </c>
      <c r="G149" s="31">
        <v>0.546544797509109</v>
      </c>
      <c r="H149" s="31">
        <v>56.299999237060497</v>
      </c>
      <c r="I149" s="27">
        <v>0</v>
      </c>
      <c r="J149" s="10" t="str">
        <f>IFERROR(VLOOKUP($B149,'Core Indicators'!$E$3:$EU$906,147,FALSE),"x")</f>
        <v>x</v>
      </c>
      <c r="K149" s="28">
        <v>-0.67970234155654907</v>
      </c>
      <c r="L149" s="31" t="s">
        <v>393</v>
      </c>
      <c r="M149" s="27">
        <v>84</v>
      </c>
      <c r="N149" s="27">
        <v>46</v>
      </c>
      <c r="O149" s="34" t="str">
        <f>IFERROR(VLOOKUP(B149,'Core Indicators'!$E$3:$G$9906,3,FALSE),"x")</f>
        <v>x</v>
      </c>
      <c r="P149" s="34">
        <v>960</v>
      </c>
    </row>
    <row r="150" spans="1:16" x14ac:dyDescent="0.3">
      <c r="A150" s="16" t="s">
        <v>276</v>
      </c>
      <c r="B150" s="11" t="s">
        <v>275</v>
      </c>
      <c r="C150" s="31">
        <v>0.77989999288916556</v>
      </c>
      <c r="D150" s="27">
        <v>0</v>
      </c>
      <c r="E150" s="31">
        <v>0.16999999999999998</v>
      </c>
      <c r="F150" s="31">
        <v>2.4500000000000002</v>
      </c>
      <c r="G150" s="31">
        <v>0.22353421915394123</v>
      </c>
      <c r="H150" s="31" t="s">
        <v>393</v>
      </c>
      <c r="I150" s="27">
        <v>3</v>
      </c>
      <c r="J150" s="10" t="str">
        <f>IFERROR(VLOOKUP($B150,'Core Indicators'!$E$3:$EU$906,147,FALSE),"x")</f>
        <v>x</v>
      </c>
      <c r="K150" s="28">
        <v>0.16855593025684357</v>
      </c>
      <c r="L150" s="31">
        <v>2.25</v>
      </c>
      <c r="M150" s="27">
        <v>7</v>
      </c>
      <c r="N150" s="27">
        <v>53</v>
      </c>
      <c r="O150" s="34" t="str">
        <f>IFERROR(VLOOKUP(B150,'Core Indicators'!$E$3:$G$9906,3,FALSE),"x")</f>
        <v>x</v>
      </c>
      <c r="P150" s="34">
        <v>2149690</v>
      </c>
    </row>
    <row r="151" spans="1:16" x14ac:dyDescent="0.3">
      <c r="A151" s="16" t="s">
        <v>278</v>
      </c>
      <c r="B151" s="11" t="s">
        <v>277</v>
      </c>
      <c r="C151" s="31">
        <v>0.7259499945372343</v>
      </c>
      <c r="D151" s="27">
        <v>9</v>
      </c>
      <c r="E151" s="31">
        <v>0</v>
      </c>
      <c r="F151" s="31">
        <v>6.95</v>
      </c>
      <c r="G151" s="31">
        <v>0.52272520758571139</v>
      </c>
      <c r="H151" s="31">
        <v>40.299999237060497</v>
      </c>
      <c r="I151" s="27">
        <v>2</v>
      </c>
      <c r="J151" s="10">
        <f>IFERROR(VLOOKUP($B151,'Core Indicators'!$E$3:$EU$906,147,FALSE),"x")</f>
        <v>0</v>
      </c>
      <c r="K151" s="28">
        <v>-0.19076031446456909</v>
      </c>
      <c r="L151" s="31">
        <v>6</v>
      </c>
      <c r="M151" s="27">
        <v>71</v>
      </c>
      <c r="N151" s="27">
        <v>45</v>
      </c>
      <c r="O151" s="34">
        <f>IFERROR(VLOOKUP(B151,'Core Indicators'!$E$3:$G$9906,3,FALSE),"x")</f>
        <v>16303000</v>
      </c>
      <c r="P151" s="34">
        <v>192530</v>
      </c>
    </row>
    <row r="152" spans="1:16" x14ac:dyDescent="0.3">
      <c r="A152" s="16" t="s">
        <v>280</v>
      </c>
      <c r="B152" s="11" t="s">
        <v>279</v>
      </c>
      <c r="C152" s="31">
        <v>0.29583300077413033</v>
      </c>
      <c r="D152" s="27">
        <v>8</v>
      </c>
      <c r="E152" s="31">
        <v>0</v>
      </c>
      <c r="F152" s="31">
        <v>6.95</v>
      </c>
      <c r="G152" s="31">
        <v>0.16149411563078331</v>
      </c>
      <c r="H152" s="31">
        <v>36.200000762939503</v>
      </c>
      <c r="I152" s="27">
        <v>0</v>
      </c>
      <c r="J152" s="10" t="str">
        <f>IFERROR(VLOOKUP($B152,'Core Indicators'!$E$3:$EU$906,147,FALSE),"x")</f>
        <v>x</v>
      </c>
      <c r="K152" s="28">
        <v>-0.11906975507736206</v>
      </c>
      <c r="L152" s="31">
        <v>6</v>
      </c>
      <c r="M152" s="27">
        <v>66</v>
      </c>
      <c r="N152" s="27">
        <v>39</v>
      </c>
      <c r="O152" s="34" t="str">
        <f>IFERROR(VLOOKUP(B152,'Core Indicators'!$E$3:$G$9906,3,FALSE),"x")</f>
        <v>x</v>
      </c>
      <c r="P152" s="34">
        <v>87460</v>
      </c>
    </row>
    <row r="153" spans="1:16" x14ac:dyDescent="0.3">
      <c r="A153" s="16" t="s">
        <v>282</v>
      </c>
      <c r="B153" s="11" t="s">
        <v>281</v>
      </c>
      <c r="C153" s="31">
        <v>0</v>
      </c>
      <c r="D153" s="27">
        <v>8</v>
      </c>
      <c r="E153" s="31">
        <v>0</v>
      </c>
      <c r="F153" s="31" t="s">
        <v>393</v>
      </c>
      <c r="G153" s="31" t="s">
        <v>393</v>
      </c>
      <c r="H153" s="31">
        <v>46.799999237060497</v>
      </c>
      <c r="I153" s="27">
        <v>0</v>
      </c>
      <c r="J153" s="10" t="str">
        <f>IFERROR(VLOOKUP($B153,'Core Indicators'!$E$3:$EU$906,147,FALSE),"x")</f>
        <v>x</v>
      </c>
      <c r="K153" s="28">
        <v>0.17143608629703522</v>
      </c>
      <c r="L153" s="31" t="s">
        <v>393</v>
      </c>
      <c r="M153" s="27">
        <v>72</v>
      </c>
      <c r="N153" s="27">
        <v>66</v>
      </c>
      <c r="O153" s="34" t="str">
        <f>IFERROR(VLOOKUP(B153,'Core Indicators'!$E$3:$G$9906,3,FALSE),"x")</f>
        <v>x</v>
      </c>
      <c r="P153" s="34">
        <v>460</v>
      </c>
    </row>
    <row r="154" spans="1:16" x14ac:dyDescent="0.3">
      <c r="A154" s="16" t="s">
        <v>284</v>
      </c>
      <c r="B154" s="11" t="s">
        <v>283</v>
      </c>
      <c r="C154" s="31">
        <v>0.81109998609274592</v>
      </c>
      <c r="D154" s="27">
        <v>7</v>
      </c>
      <c r="E154" s="31">
        <v>0.37</v>
      </c>
      <c r="F154" s="31">
        <v>6.25</v>
      </c>
      <c r="G154" s="31">
        <v>0.64374360081377979</v>
      </c>
      <c r="H154" s="31">
        <v>35.700000762939503</v>
      </c>
      <c r="I154" s="27">
        <v>3</v>
      </c>
      <c r="J154" s="10" t="str">
        <f>IFERROR(VLOOKUP($B154,'Core Indicators'!$E$3:$EU$906,147,FALSE),"x")</f>
        <v>x</v>
      </c>
      <c r="K154" s="28">
        <v>-0.76636308431625366</v>
      </c>
      <c r="L154" s="31">
        <v>4.75</v>
      </c>
      <c r="M154" s="27">
        <v>65</v>
      </c>
      <c r="N154" s="27">
        <v>33</v>
      </c>
      <c r="O154" s="34" t="str">
        <f>IFERROR(VLOOKUP(B154,'Core Indicators'!$E$3:$G$9906,3,FALSE),"x")</f>
        <v>x</v>
      </c>
      <c r="P154" s="34">
        <v>72180</v>
      </c>
    </row>
    <row r="155" spans="1:16" x14ac:dyDescent="0.3">
      <c r="A155" s="16" t="s">
        <v>286</v>
      </c>
      <c r="B155" s="11" t="s">
        <v>285</v>
      </c>
      <c r="C155" s="31">
        <v>0.42649998652189958</v>
      </c>
      <c r="D155" s="27">
        <v>6</v>
      </c>
      <c r="E155" s="31">
        <v>0</v>
      </c>
      <c r="F155" s="31">
        <v>5.3166666666666664</v>
      </c>
      <c r="G155" s="31">
        <v>6.49076863827589E-2</v>
      </c>
      <c r="H155" s="31" t="s">
        <v>393</v>
      </c>
      <c r="I155" s="27">
        <v>0</v>
      </c>
      <c r="J155" s="10" t="str">
        <f>IFERROR(VLOOKUP($B155,'Core Indicators'!$E$3:$EU$906,147,FALSE),"x")</f>
        <v>x</v>
      </c>
      <c r="K155" s="28">
        <v>1.878558874130249</v>
      </c>
      <c r="L155" s="31">
        <v>5.75</v>
      </c>
      <c r="M155" s="27">
        <v>50</v>
      </c>
      <c r="N155" s="27">
        <v>85</v>
      </c>
      <c r="O155" s="34" t="str">
        <f>IFERROR(VLOOKUP(B155,'Core Indicators'!$E$3:$G$9906,3,FALSE),"x")</f>
        <v>x</v>
      </c>
      <c r="P155" s="34">
        <v>709</v>
      </c>
    </row>
    <row r="156" spans="1:16" x14ac:dyDescent="0.3">
      <c r="A156" s="16" t="s">
        <v>288</v>
      </c>
      <c r="B156" s="11" t="s">
        <v>287</v>
      </c>
      <c r="C156" s="31">
        <v>0.34016300851356984</v>
      </c>
      <c r="D156" s="27">
        <v>10</v>
      </c>
      <c r="E156" s="31">
        <v>0.19400000000000001</v>
      </c>
      <c r="F156" s="31">
        <v>8.65</v>
      </c>
      <c r="G156" s="31">
        <v>0.18995812399222112</v>
      </c>
      <c r="H156" s="31">
        <v>25.200000762939499</v>
      </c>
      <c r="I156" s="27">
        <v>0</v>
      </c>
      <c r="J156" s="10" t="str">
        <f>IFERROR(VLOOKUP($B156,'Core Indicators'!$E$3:$EU$906,147,FALSE),"x")</f>
        <v>x</v>
      </c>
      <c r="K156" s="28">
        <v>0.55673569440841675</v>
      </c>
      <c r="L156" s="31">
        <v>8</v>
      </c>
      <c r="M156" s="27">
        <v>88</v>
      </c>
      <c r="N156" s="27">
        <v>50</v>
      </c>
      <c r="O156" s="34" t="str">
        <f>IFERROR(VLOOKUP(B156,'Core Indicators'!$E$3:$G$9906,3,FALSE),"x")</f>
        <v>x</v>
      </c>
      <c r="P156" s="34">
        <v>48086</v>
      </c>
    </row>
    <row r="157" spans="1:16" x14ac:dyDescent="0.3">
      <c r="A157" s="16" t="s">
        <v>290</v>
      </c>
      <c r="B157" s="11" t="s">
        <v>289</v>
      </c>
      <c r="C157" s="31">
        <v>0.30942659913564274</v>
      </c>
      <c r="D157" s="27">
        <v>13</v>
      </c>
      <c r="E157" s="31">
        <v>5.33E-2</v>
      </c>
      <c r="F157" s="31">
        <v>9.15</v>
      </c>
      <c r="G157" s="31">
        <v>6.860341454226615E-2</v>
      </c>
      <c r="H157" s="31">
        <v>24.200000762939499</v>
      </c>
      <c r="I157" s="27">
        <v>0</v>
      </c>
      <c r="J157" s="10" t="str">
        <f>IFERROR(VLOOKUP($B157,'Core Indicators'!$E$3:$EU$906,147,FALSE),"x")</f>
        <v>x</v>
      </c>
      <c r="K157" s="28">
        <v>1.1184208393096924</v>
      </c>
      <c r="L157" s="31">
        <v>9</v>
      </c>
      <c r="M157" s="27">
        <v>94</v>
      </c>
      <c r="N157" s="27">
        <v>60</v>
      </c>
      <c r="O157" s="34" t="str">
        <f>IFERROR(VLOOKUP(B157,'Core Indicators'!$E$3:$G$9906,3,FALSE),"x")</f>
        <v>x</v>
      </c>
      <c r="P157" s="34">
        <v>20140</v>
      </c>
    </row>
    <row r="158" spans="1:16" x14ac:dyDescent="0.3">
      <c r="A158" s="16" t="s">
        <v>292</v>
      </c>
      <c r="B158" s="11" t="s">
        <v>291</v>
      </c>
      <c r="C158" s="31">
        <v>0</v>
      </c>
      <c r="D158" s="27">
        <v>12</v>
      </c>
      <c r="E158" s="31">
        <v>0</v>
      </c>
      <c r="F158" s="31" t="s">
        <v>393</v>
      </c>
      <c r="G158" s="31" t="s">
        <v>393</v>
      </c>
      <c r="H158" s="31">
        <v>37.099998474121101</v>
      </c>
      <c r="I158" s="27">
        <v>0</v>
      </c>
      <c r="J158" s="10" t="str">
        <f>IFERROR(VLOOKUP($B158,'Core Indicators'!$E$3:$EU$906,147,FALSE),"x")</f>
        <v>x</v>
      </c>
      <c r="K158" s="28">
        <v>-0.13986755907535553</v>
      </c>
      <c r="L158" s="31" t="s">
        <v>393</v>
      </c>
      <c r="M158" s="27">
        <v>79</v>
      </c>
      <c r="N158" s="27">
        <v>42</v>
      </c>
      <c r="O158" s="34" t="str">
        <f>IFERROR(VLOOKUP(B158,'Core Indicators'!$E$3:$G$9906,3,FALSE),"x")</f>
        <v>x</v>
      </c>
      <c r="P158" s="34">
        <v>27990</v>
      </c>
    </row>
    <row r="159" spans="1:16" x14ac:dyDescent="0.3">
      <c r="A159" s="16" t="s">
        <v>294</v>
      </c>
      <c r="B159" s="11" t="s">
        <v>293</v>
      </c>
      <c r="C159" s="31">
        <v>0</v>
      </c>
      <c r="D159" s="27" t="s">
        <v>393</v>
      </c>
      <c r="E159" s="31">
        <v>0</v>
      </c>
      <c r="F159" s="31">
        <v>1.4833333333333334</v>
      </c>
      <c r="G159" s="31" t="s">
        <v>393</v>
      </c>
      <c r="H159" s="31" t="s">
        <v>393</v>
      </c>
      <c r="I159" s="27">
        <v>5</v>
      </c>
      <c r="J159" s="10">
        <f>IFERROR(VLOOKUP($B159,'Core Indicators'!$E$3:$EU$906,147,FALSE),"x")</f>
        <v>1301</v>
      </c>
      <c r="K159" s="28">
        <v>-2.350358247756958</v>
      </c>
      <c r="L159" s="31">
        <v>1</v>
      </c>
      <c r="M159" s="27">
        <v>7</v>
      </c>
      <c r="N159" s="27">
        <v>9</v>
      </c>
      <c r="O159" s="34">
        <f>IFERROR(VLOOKUP(B159,'Core Indicators'!$E$3:$G$9906,3,FALSE),"x")</f>
        <v>12300000</v>
      </c>
      <c r="P159" s="34">
        <v>627340</v>
      </c>
    </row>
    <row r="160" spans="1:16" x14ac:dyDescent="0.3">
      <c r="A160" s="16" t="s">
        <v>296</v>
      </c>
      <c r="B160" s="11" t="s">
        <v>295</v>
      </c>
      <c r="C160" s="31">
        <v>0.87572495594427835</v>
      </c>
      <c r="D160" s="27">
        <v>11</v>
      </c>
      <c r="E160" s="31">
        <v>0</v>
      </c>
      <c r="F160" s="31">
        <v>7.45</v>
      </c>
      <c r="G160" s="31">
        <v>0.421547312943652</v>
      </c>
      <c r="H160" s="31">
        <v>63</v>
      </c>
      <c r="I160" s="27">
        <v>3</v>
      </c>
      <c r="J160" s="10" t="str">
        <f>IFERROR(VLOOKUP($B160,'Core Indicators'!$E$3:$EU$906,147,FALSE),"x")</f>
        <v>x</v>
      </c>
      <c r="K160" s="28">
        <v>-7.6407678425312042E-2</v>
      </c>
      <c r="L160" s="31">
        <v>7.25</v>
      </c>
      <c r="M160" s="27">
        <v>79</v>
      </c>
      <c r="N160" s="27">
        <v>44</v>
      </c>
      <c r="O160" s="34" t="str">
        <f>IFERROR(VLOOKUP(B160,'Core Indicators'!$E$3:$G$9906,3,FALSE),"x")</f>
        <v>x</v>
      </c>
      <c r="P160" s="34">
        <v>1213090</v>
      </c>
    </row>
    <row r="161" spans="1:16" x14ac:dyDescent="0.3">
      <c r="A161" s="16" t="s">
        <v>299</v>
      </c>
      <c r="B161" s="11" t="s">
        <v>298</v>
      </c>
      <c r="C161" s="31">
        <v>0.77907274404359417</v>
      </c>
      <c r="D161" s="27">
        <v>10</v>
      </c>
      <c r="E161" s="31">
        <v>0</v>
      </c>
      <c r="F161" s="31">
        <v>2.666666666666667</v>
      </c>
      <c r="G161" s="31" t="s">
        <v>393</v>
      </c>
      <c r="H161" s="31">
        <v>46.299999237060497</v>
      </c>
      <c r="I161" s="27">
        <v>4</v>
      </c>
      <c r="J161" s="10">
        <f>IFERROR(VLOOKUP($B161,'Core Indicators'!$E$3:$EU$906,147,FALSE),"x")</f>
        <v>1470</v>
      </c>
      <c r="K161" s="28">
        <v>-1.9697244167327881</v>
      </c>
      <c r="L161" s="31">
        <v>2.25</v>
      </c>
      <c r="M161" s="27">
        <v>-2</v>
      </c>
      <c r="N161" s="27">
        <v>12</v>
      </c>
      <c r="O161" s="34">
        <f>IFERROR(VLOOKUP(B161,'Core Indicators'!$E$3:$G$9906,3,FALSE),"x")</f>
        <v>11685000</v>
      </c>
      <c r="P161" s="34">
        <v>644329</v>
      </c>
    </row>
    <row r="162" spans="1:16" x14ac:dyDescent="0.3">
      <c r="A162" s="16" t="s">
        <v>301</v>
      </c>
      <c r="B162" s="11" t="s">
        <v>300</v>
      </c>
      <c r="C162" s="31">
        <v>0.50216199038597931</v>
      </c>
      <c r="D162" s="27">
        <v>11</v>
      </c>
      <c r="E162" s="31">
        <v>0.30200000000000005</v>
      </c>
      <c r="F162" s="31" t="s">
        <v>393</v>
      </c>
      <c r="G162" s="31">
        <v>7.4110250826202595E-2</v>
      </c>
      <c r="H162" s="31">
        <v>34.700000762939503</v>
      </c>
      <c r="I162" s="27">
        <v>3</v>
      </c>
      <c r="J162" s="10" t="str">
        <f>IFERROR(VLOOKUP($B162,'Core Indicators'!$E$3:$EU$906,147,FALSE),"x")</f>
        <v>x</v>
      </c>
      <c r="K162" s="28">
        <v>0.97905218601226807</v>
      </c>
      <c r="L162" s="31" t="s">
        <v>393</v>
      </c>
      <c r="M162" s="27">
        <v>92</v>
      </c>
      <c r="N162" s="27">
        <v>62</v>
      </c>
      <c r="O162" s="34" t="str">
        <f>IFERROR(VLOOKUP(B162,'Core Indicators'!$E$3:$G$9906,3,FALSE),"x")</f>
        <v>x</v>
      </c>
      <c r="P162" s="34">
        <v>500210</v>
      </c>
    </row>
    <row r="163" spans="1:16" x14ac:dyDescent="0.3">
      <c r="A163" s="16" t="s">
        <v>303</v>
      </c>
      <c r="B163" s="11" t="s">
        <v>302</v>
      </c>
      <c r="C163" s="31">
        <v>0.41569999955892567</v>
      </c>
      <c r="D163" s="27">
        <v>5</v>
      </c>
      <c r="E163" s="31">
        <v>0.11</v>
      </c>
      <c r="F163" s="31">
        <v>6.65</v>
      </c>
      <c r="G163" s="31">
        <v>0.37970115972501295</v>
      </c>
      <c r="H163" s="31">
        <v>39.799999237060497</v>
      </c>
      <c r="I163" s="27">
        <v>3</v>
      </c>
      <c r="J163" s="10" t="str">
        <f>IFERROR(VLOOKUP($B163,'Core Indicators'!$E$3:$EU$906,147,FALSE),"x")</f>
        <v>x</v>
      </c>
      <c r="K163" s="28">
        <v>-1.1983425356447697E-2</v>
      </c>
      <c r="L163" s="31">
        <v>6.5</v>
      </c>
      <c r="M163" s="27">
        <v>55</v>
      </c>
      <c r="N163" s="27">
        <v>38</v>
      </c>
      <c r="O163" s="34" t="str">
        <f>IFERROR(VLOOKUP(B163,'Core Indicators'!$E$3:$G$9906,3,FALSE),"x")</f>
        <v>x</v>
      </c>
      <c r="P163" s="34">
        <v>62710</v>
      </c>
    </row>
    <row r="164" spans="1:16" x14ac:dyDescent="0.3">
      <c r="A164" s="16" t="s">
        <v>305</v>
      </c>
      <c r="B164" s="11" t="s">
        <v>304</v>
      </c>
      <c r="C164" s="31">
        <v>0.79894100537394719</v>
      </c>
      <c r="D164" s="27">
        <v>4</v>
      </c>
      <c r="E164" s="31">
        <v>0.55000000000000004</v>
      </c>
      <c r="F164" s="31">
        <v>2.0166666666666666</v>
      </c>
      <c r="G164" s="31">
        <v>0.56036181188802303</v>
      </c>
      <c r="H164" s="31">
        <v>34.200000762939503</v>
      </c>
      <c r="I164" s="27">
        <v>4</v>
      </c>
      <c r="J164" s="10">
        <f>IFERROR(VLOOKUP($B164,'Core Indicators'!$E$3:$EU$906,147,FALSE),"x")</f>
        <v>588</v>
      </c>
      <c r="K164" s="28">
        <v>-1.140473484992981</v>
      </c>
      <c r="L164" s="31">
        <v>1</v>
      </c>
      <c r="M164" s="27">
        <v>12</v>
      </c>
      <c r="N164" s="27">
        <v>16</v>
      </c>
      <c r="O164" s="34">
        <f>IFERROR(VLOOKUP(B164,'Core Indicators'!$E$3:$G$9906,3,FALSE),"x")</f>
        <v>43000000</v>
      </c>
      <c r="P164" s="34">
        <v>2376000</v>
      </c>
    </row>
    <row r="165" spans="1:16" x14ac:dyDescent="0.3">
      <c r="A165" s="16" t="s">
        <v>307</v>
      </c>
      <c r="B165" s="11" t="s">
        <v>306</v>
      </c>
      <c r="C165" s="31">
        <v>0.77306485168536343</v>
      </c>
      <c r="D165" s="27">
        <v>12</v>
      </c>
      <c r="E165" s="31">
        <v>0</v>
      </c>
      <c r="F165" s="31" t="s">
        <v>393</v>
      </c>
      <c r="G165" s="31">
        <v>0.46510644942163415</v>
      </c>
      <c r="H165" s="31" t="s">
        <v>393</v>
      </c>
      <c r="I165" s="27">
        <v>0</v>
      </c>
      <c r="J165" s="10" t="str">
        <f>IFERROR(VLOOKUP($B165,'Core Indicators'!$E$3:$EU$906,147,FALSE),"x")</f>
        <v>x</v>
      </c>
      <c r="K165" s="28">
        <v>-5.9651225805282593E-2</v>
      </c>
      <c r="L165" s="31" t="s">
        <v>393</v>
      </c>
      <c r="M165" s="27">
        <v>75</v>
      </c>
      <c r="N165" s="27">
        <v>44</v>
      </c>
      <c r="O165" s="34" t="str">
        <f>IFERROR(VLOOKUP(B165,'Core Indicators'!$E$3:$G$9906,3,FALSE),"x")</f>
        <v>x</v>
      </c>
      <c r="P165" s="34">
        <v>156000</v>
      </c>
    </row>
    <row r="166" spans="1:16" x14ac:dyDescent="0.3">
      <c r="A166" s="16" t="s">
        <v>3649</v>
      </c>
      <c r="B166" s="11" t="s">
        <v>308</v>
      </c>
      <c r="C166" s="31">
        <v>0</v>
      </c>
      <c r="D166" s="27">
        <v>5</v>
      </c>
      <c r="E166" s="31">
        <v>0</v>
      </c>
      <c r="F166" s="31">
        <v>3.5833333333333335</v>
      </c>
      <c r="G166" s="31">
        <v>0.57860936753852954</v>
      </c>
      <c r="H166" s="31">
        <v>54.599998474121101</v>
      </c>
      <c r="I166" s="27">
        <v>3</v>
      </c>
      <c r="J166" s="10" t="str">
        <f>IFERROR(VLOOKUP($B166,'Core Indicators'!$E$3:$EU$906,147,FALSE),"x")</f>
        <v>x</v>
      </c>
      <c r="K166" s="28">
        <v>-0.50188273191452026</v>
      </c>
      <c r="L166" s="31">
        <v>2.5</v>
      </c>
      <c r="M166" s="27">
        <v>19</v>
      </c>
      <c r="N166" s="27">
        <v>34</v>
      </c>
      <c r="O166" s="34">
        <f>IFERROR(VLOOKUP(B166,'Core Indicators'!$E$3:$G$9906,3,FALSE),"x")</f>
        <v>1136000</v>
      </c>
      <c r="P166" s="34">
        <v>17200</v>
      </c>
    </row>
    <row r="167" spans="1:16" x14ac:dyDescent="0.3">
      <c r="A167" s="16" t="s">
        <v>310</v>
      </c>
      <c r="B167" s="11" t="s">
        <v>309</v>
      </c>
      <c r="C167" s="31">
        <v>0</v>
      </c>
      <c r="D167" s="27">
        <v>12</v>
      </c>
      <c r="E167" s="31">
        <v>0</v>
      </c>
      <c r="F167" s="31" t="s">
        <v>393</v>
      </c>
      <c r="G167" s="31">
        <v>4.0217716587950703E-2</v>
      </c>
      <c r="H167" s="31">
        <v>28.799999237060501</v>
      </c>
      <c r="I167" s="27">
        <v>3</v>
      </c>
      <c r="J167" s="10" t="str">
        <f>IFERROR(VLOOKUP($B167,'Core Indicators'!$E$3:$EU$906,147,FALSE),"x")</f>
        <v>x</v>
      </c>
      <c r="K167" s="28">
        <v>1.9065259695053101</v>
      </c>
      <c r="L167" s="31" t="s">
        <v>393</v>
      </c>
      <c r="M167" s="27">
        <v>100</v>
      </c>
      <c r="N167" s="27">
        <v>85</v>
      </c>
      <c r="O167" s="34" t="str">
        <f>IFERROR(VLOOKUP(B167,'Core Indicators'!$E$3:$G$9906,3,FALSE),"x")</f>
        <v>x</v>
      </c>
      <c r="P167" s="34">
        <v>407310</v>
      </c>
    </row>
    <row r="168" spans="1:16" x14ac:dyDescent="0.3">
      <c r="A168" s="16" t="s">
        <v>312</v>
      </c>
      <c r="B168" s="11" t="s">
        <v>311</v>
      </c>
      <c r="C168" s="31">
        <v>0.54501000683546064</v>
      </c>
      <c r="D168" s="27">
        <v>11</v>
      </c>
      <c r="E168" s="31">
        <v>0</v>
      </c>
      <c r="F168" s="31" t="s">
        <v>393</v>
      </c>
      <c r="G168" s="31">
        <v>3.6718722187391362E-2</v>
      </c>
      <c r="H168" s="31">
        <v>32.700000762939503</v>
      </c>
      <c r="I168" s="27">
        <v>0</v>
      </c>
      <c r="J168" s="10" t="str">
        <f>IFERROR(VLOOKUP($B168,'Core Indicators'!$E$3:$EU$906,147,FALSE),"x")</f>
        <v>x</v>
      </c>
      <c r="K168" s="28">
        <v>1.9066414833068848</v>
      </c>
      <c r="L168" s="31" t="s">
        <v>393</v>
      </c>
      <c r="M168" s="27">
        <v>96</v>
      </c>
      <c r="N168" s="27">
        <v>85</v>
      </c>
      <c r="O168" s="34" t="str">
        <f>IFERROR(VLOOKUP(B168,'Core Indicators'!$E$3:$G$9906,3,FALSE),"x")</f>
        <v>x</v>
      </c>
      <c r="P168" s="34">
        <v>39516</v>
      </c>
    </row>
    <row r="169" spans="1:16" x14ac:dyDescent="0.3">
      <c r="A169" s="16" t="s">
        <v>388</v>
      </c>
      <c r="B169" s="11" t="s">
        <v>313</v>
      </c>
      <c r="C169" s="31">
        <v>0.54330003226250345</v>
      </c>
      <c r="D169" s="27">
        <v>1</v>
      </c>
      <c r="E169" s="31">
        <v>0.85</v>
      </c>
      <c r="F169" s="31">
        <v>1.8</v>
      </c>
      <c r="G169" s="31">
        <v>0.54677704068565247</v>
      </c>
      <c r="H169" s="31" t="s">
        <v>393</v>
      </c>
      <c r="I169" s="27">
        <v>5</v>
      </c>
      <c r="J169" s="10">
        <f>IFERROR(VLOOKUP($B169,'Core Indicators'!$E$3:$EU$906,147,FALSE),"x")</f>
        <v>2887</v>
      </c>
      <c r="K169" s="28">
        <v>-2.0760633945465088</v>
      </c>
      <c r="L169" s="31">
        <v>1.5</v>
      </c>
      <c r="M169" s="27">
        <v>0</v>
      </c>
      <c r="N169" s="27">
        <v>13</v>
      </c>
      <c r="O169" s="34">
        <f>IFERROR(VLOOKUP(B169,'Core Indicators'!$E$3:$G$9906,3,FALSE),"x")</f>
        <v>17070000</v>
      </c>
      <c r="P169" s="34">
        <v>183630</v>
      </c>
    </row>
    <row r="170" spans="1:16" x14ac:dyDescent="0.3">
      <c r="A170" s="16" t="s">
        <v>315</v>
      </c>
      <c r="B170" s="11" t="s">
        <v>314</v>
      </c>
      <c r="C170" s="31">
        <v>0.31050103255028438</v>
      </c>
      <c r="D170" s="27">
        <v>5</v>
      </c>
      <c r="E170" s="31">
        <v>0.21300000000000002</v>
      </c>
      <c r="F170" s="31">
        <v>2.916666666666667</v>
      </c>
      <c r="G170" s="31">
        <v>0.37746660953615396</v>
      </c>
      <c r="H170" s="31">
        <v>34</v>
      </c>
      <c r="I170" s="27">
        <v>3</v>
      </c>
      <c r="J170" s="10" t="str">
        <f>IFERROR(VLOOKUP($B170,'Core Indicators'!$E$3:$EU$906,147,FALSE),"x")</f>
        <v>x</v>
      </c>
      <c r="K170" s="28">
        <v>-1.2279412746429443</v>
      </c>
      <c r="L170" s="31">
        <v>2</v>
      </c>
      <c r="M170" s="27">
        <v>9</v>
      </c>
      <c r="N170" s="27">
        <v>25</v>
      </c>
      <c r="O170" s="34" t="str">
        <f>IFERROR(VLOOKUP(B170,'Core Indicators'!$E$3:$G$9906,3,FALSE),"x")</f>
        <v>x</v>
      </c>
      <c r="P170" s="34">
        <v>138786</v>
      </c>
    </row>
    <row r="171" spans="1:16" x14ac:dyDescent="0.3">
      <c r="A171" s="16" t="s">
        <v>389</v>
      </c>
      <c r="B171" s="11" t="s">
        <v>316</v>
      </c>
      <c r="C171" s="31">
        <v>0.50555201681624329</v>
      </c>
      <c r="D171" s="27">
        <v>7</v>
      </c>
      <c r="E171" s="31">
        <v>0</v>
      </c>
      <c r="F171" s="31">
        <v>6.05</v>
      </c>
      <c r="G171" s="31">
        <v>0.53851305935162097</v>
      </c>
      <c r="H171" s="31">
        <v>40.5</v>
      </c>
      <c r="I171" s="27">
        <v>0</v>
      </c>
      <c r="J171" s="10">
        <f>IFERROR(VLOOKUP($B171,'Core Indicators'!$E$3:$EU$906,147,FALSE),"x")</f>
        <v>0</v>
      </c>
      <c r="K171" s="28">
        <v>-0.57793134450912476</v>
      </c>
      <c r="L171" s="31">
        <v>5</v>
      </c>
      <c r="M171" s="27">
        <v>40</v>
      </c>
      <c r="N171" s="27">
        <v>37</v>
      </c>
      <c r="O171" s="34">
        <f>IFERROR(VLOOKUP(B171,'Core Indicators'!$E$3:$G$9906,3,FALSE),"x")</f>
        <v>58005000</v>
      </c>
      <c r="P171" s="34">
        <v>885800</v>
      </c>
    </row>
    <row r="172" spans="1:16" x14ac:dyDescent="0.3">
      <c r="A172" s="16" t="s">
        <v>318</v>
      </c>
      <c r="B172" s="11" t="s">
        <v>317</v>
      </c>
      <c r="C172" s="31">
        <v>0.31875000446103519</v>
      </c>
      <c r="D172" s="27">
        <v>8</v>
      </c>
      <c r="E172" s="31">
        <v>0.05</v>
      </c>
      <c r="F172" s="31">
        <v>3.3</v>
      </c>
      <c r="G172" s="31">
        <v>0.3767229000991229</v>
      </c>
      <c r="H172" s="31">
        <v>36.400001525878899</v>
      </c>
      <c r="I172" s="27">
        <v>3</v>
      </c>
      <c r="J172" s="10">
        <f>IFERROR(VLOOKUP($B172,'Core Indicators'!$E$3:$EU$906,147,FALSE),"x")</f>
        <v>49</v>
      </c>
      <c r="K172" s="28">
        <v>0.10288157314062119</v>
      </c>
      <c r="L172" s="31">
        <v>3.25</v>
      </c>
      <c r="M172" s="27">
        <v>32</v>
      </c>
      <c r="N172" s="27">
        <v>36</v>
      </c>
      <c r="O172" s="34">
        <f>IFERROR(VLOOKUP(B172,'Core Indicators'!$E$3:$G$9906,3,FALSE),"x")</f>
        <v>66141000</v>
      </c>
      <c r="P172" s="34">
        <v>510890</v>
      </c>
    </row>
    <row r="173" spans="1:16" x14ac:dyDescent="0.3">
      <c r="A173" s="16" t="s">
        <v>3650</v>
      </c>
      <c r="B173" s="11" t="s">
        <v>187</v>
      </c>
      <c r="C173" s="31">
        <v>0.52166897277696389</v>
      </c>
      <c r="D173" s="27">
        <v>10</v>
      </c>
      <c r="E173" s="31">
        <v>0.06</v>
      </c>
      <c r="F173" s="31">
        <v>7.2</v>
      </c>
      <c r="G173" s="31">
        <v>0.1450303838490612</v>
      </c>
      <c r="H173" s="31">
        <v>34.200000762939503</v>
      </c>
      <c r="I173" s="27">
        <v>2</v>
      </c>
      <c r="J173" s="10" t="str">
        <f>IFERROR(VLOOKUP($B173,'Core Indicators'!$E$3:$EU$906,147,FALSE),"x")</f>
        <v>x</v>
      </c>
      <c r="K173" s="28">
        <v>-0.24343633651733398</v>
      </c>
      <c r="L173" s="31">
        <v>6.5</v>
      </c>
      <c r="M173" s="27">
        <v>63</v>
      </c>
      <c r="N173" s="27">
        <v>35</v>
      </c>
      <c r="O173" s="34" t="str">
        <f>IFERROR(VLOOKUP(B173,'Core Indicators'!$E$3:$G$9906,3,FALSE),"x")</f>
        <v>x</v>
      </c>
      <c r="P173" s="34">
        <v>25220</v>
      </c>
    </row>
    <row r="174" spans="1:16" x14ac:dyDescent="0.3">
      <c r="A174" s="16" t="s">
        <v>360</v>
      </c>
      <c r="B174" s="11" t="s">
        <v>91</v>
      </c>
      <c r="C174" s="31">
        <v>0</v>
      </c>
      <c r="D174" s="27">
        <v>13</v>
      </c>
      <c r="E174" s="31">
        <v>0</v>
      </c>
      <c r="F174" s="31">
        <v>7.55</v>
      </c>
      <c r="G174" s="31" t="s">
        <v>393</v>
      </c>
      <c r="H174" s="31">
        <v>28.700000762939499</v>
      </c>
      <c r="I174" s="27">
        <v>0</v>
      </c>
      <c r="J174" s="10" t="str">
        <f>IFERROR(VLOOKUP($B174,'Core Indicators'!$E$3:$EU$906,147,FALSE),"x")</f>
        <v>x</v>
      </c>
      <c r="K174" s="28">
        <v>-1.1110148429870605</v>
      </c>
      <c r="L174" s="31">
        <v>7</v>
      </c>
      <c r="M174" s="27">
        <v>71</v>
      </c>
      <c r="N174" s="27">
        <v>38</v>
      </c>
      <c r="O174" s="34" t="str">
        <f>IFERROR(VLOOKUP(B174,'Core Indicators'!$E$3:$G$9906,3,FALSE),"x")</f>
        <v>x</v>
      </c>
      <c r="P174" s="34">
        <v>14870</v>
      </c>
    </row>
    <row r="175" spans="1:16" x14ac:dyDescent="0.3">
      <c r="A175" s="16" t="s">
        <v>320</v>
      </c>
      <c r="B175" s="11" t="s">
        <v>319</v>
      </c>
      <c r="C175" s="31">
        <v>0.7334999963045119</v>
      </c>
      <c r="D175" s="27">
        <v>5</v>
      </c>
      <c r="E175" s="31">
        <v>0</v>
      </c>
      <c r="F175" s="31">
        <v>4.8666666666666663</v>
      </c>
      <c r="G175" s="31">
        <v>0.56568342780511738</v>
      </c>
      <c r="H175" s="31">
        <v>43.099998474121101</v>
      </c>
      <c r="I175" s="27">
        <v>3</v>
      </c>
      <c r="J175" s="10" t="str">
        <f>IFERROR(VLOOKUP($B175,'Core Indicators'!$E$3:$EU$906,147,FALSE),"x")</f>
        <v>x</v>
      </c>
      <c r="K175" s="28">
        <v>-0.58879667520523071</v>
      </c>
      <c r="L175" s="31">
        <v>4</v>
      </c>
      <c r="M175" s="27">
        <v>44</v>
      </c>
      <c r="N175" s="27">
        <v>29</v>
      </c>
      <c r="O175" s="34" t="str">
        <f>IFERROR(VLOOKUP(B175,'Core Indicators'!$E$3:$G$9906,3,FALSE),"x")</f>
        <v>x</v>
      </c>
      <c r="P175" s="34">
        <v>54390</v>
      </c>
    </row>
    <row r="176" spans="1:16" x14ac:dyDescent="0.3">
      <c r="A176" s="16" t="s">
        <v>322</v>
      </c>
      <c r="B176" s="11" t="s">
        <v>321</v>
      </c>
      <c r="C176" s="31">
        <v>0</v>
      </c>
      <c r="D176" s="27">
        <v>11</v>
      </c>
      <c r="E176" s="31">
        <v>0</v>
      </c>
      <c r="F176" s="31" t="s">
        <v>393</v>
      </c>
      <c r="G176" s="31">
        <v>0.41808821128065377</v>
      </c>
      <c r="H176" s="31">
        <v>37.599998474121101</v>
      </c>
      <c r="I176" s="27">
        <v>0</v>
      </c>
      <c r="J176" s="10" t="str">
        <f>IFERROR(VLOOKUP($B176,'Core Indicators'!$E$3:$EU$906,147,FALSE),"x")</f>
        <v>x</v>
      </c>
      <c r="K176" s="28">
        <v>0.45866918563842773</v>
      </c>
      <c r="L176" s="31" t="s">
        <v>393</v>
      </c>
      <c r="M176" s="27">
        <v>79</v>
      </c>
      <c r="N176" s="27" t="s">
        <v>393</v>
      </c>
      <c r="O176" s="34" t="str">
        <f>IFERROR(VLOOKUP(B176,'Core Indicators'!$E$3:$G$9906,3,FALSE),"x")</f>
        <v>x</v>
      </c>
      <c r="P176" s="34">
        <v>720</v>
      </c>
    </row>
    <row r="177" spans="1:16" x14ac:dyDescent="0.3">
      <c r="A177" s="16" t="s">
        <v>324</v>
      </c>
      <c r="B177" s="11" t="s">
        <v>323</v>
      </c>
      <c r="C177" s="31">
        <v>0.75771999326229089</v>
      </c>
      <c r="D177" s="27">
        <v>12</v>
      </c>
      <c r="E177" s="31">
        <v>0.40300000000000002</v>
      </c>
      <c r="F177" s="31">
        <v>8.4499999999999993</v>
      </c>
      <c r="G177" s="31">
        <v>0.32349148619565815</v>
      </c>
      <c r="H177" s="31" t="s">
        <v>393</v>
      </c>
      <c r="I177" s="27">
        <v>0</v>
      </c>
      <c r="J177" s="10">
        <f>IFERROR(VLOOKUP($B177,'Core Indicators'!$E$3:$EU$906,147,FALSE),"x")</f>
        <v>0</v>
      </c>
      <c r="K177" s="28">
        <v>-0.1202659085392952</v>
      </c>
      <c r="L177" s="31">
        <v>7.25</v>
      </c>
      <c r="M177" s="27">
        <v>82</v>
      </c>
      <c r="N177" s="27">
        <v>40</v>
      </c>
      <c r="O177" s="34">
        <f>IFERROR(VLOOKUP(B177,'Core Indicators'!$E$3:$G$9906,3,FALSE),"x")</f>
        <v>1455000</v>
      </c>
      <c r="P177" s="34">
        <v>5130</v>
      </c>
    </row>
    <row r="178" spans="1:16" x14ac:dyDescent="0.3">
      <c r="A178" s="16" t="s">
        <v>326</v>
      </c>
      <c r="B178" s="11" t="s">
        <v>325</v>
      </c>
      <c r="C178" s="31">
        <v>3.9599962615966433E-2</v>
      </c>
      <c r="D178" s="27">
        <v>7</v>
      </c>
      <c r="E178" s="31">
        <v>0</v>
      </c>
      <c r="F178" s="31">
        <v>6.55</v>
      </c>
      <c r="G178" s="31">
        <v>0.30031952806041373</v>
      </c>
      <c r="H178" s="31">
        <v>32.799999237060497</v>
      </c>
      <c r="I178" s="27">
        <v>3</v>
      </c>
      <c r="J178" s="10">
        <f>IFERROR(VLOOKUP($B178,'Core Indicators'!$E$3:$EU$906,147,FALSE),"x")</f>
        <v>123</v>
      </c>
      <c r="K178" s="28">
        <v>6.2218688428401947E-2</v>
      </c>
      <c r="L178" s="31">
        <v>5.5</v>
      </c>
      <c r="M178" s="27">
        <v>70</v>
      </c>
      <c r="N178" s="27">
        <v>43</v>
      </c>
      <c r="O178" s="34">
        <f>IFERROR(VLOOKUP(B178,'Core Indicators'!$E$3:$G$9906,3,FALSE),"x")</f>
        <v>11718000</v>
      </c>
      <c r="P178" s="34">
        <v>155360</v>
      </c>
    </row>
    <row r="179" spans="1:16" x14ac:dyDescent="0.3">
      <c r="A179" s="16" t="s">
        <v>328</v>
      </c>
      <c r="B179" s="11" t="s">
        <v>327</v>
      </c>
      <c r="C179" s="31">
        <v>0.40505643742555142</v>
      </c>
      <c r="D179" s="27">
        <v>7</v>
      </c>
      <c r="E179" s="31">
        <v>0.34</v>
      </c>
      <c r="F179" s="31">
        <v>4.9166666666666661</v>
      </c>
      <c r="G179" s="31">
        <v>0.30502492162551387</v>
      </c>
      <c r="H179" s="31">
        <v>41.900001525878899</v>
      </c>
      <c r="I179" s="27">
        <v>5</v>
      </c>
      <c r="J179" s="10">
        <f>IFERROR(VLOOKUP($B179,'Core Indicators'!$E$3:$EU$906,147,FALSE),"x")</f>
        <v>493</v>
      </c>
      <c r="K179" s="28">
        <v>-0.28296324610710144</v>
      </c>
      <c r="L179" s="31">
        <v>3.5</v>
      </c>
      <c r="M179" s="27">
        <v>32</v>
      </c>
      <c r="N179" s="27">
        <v>39</v>
      </c>
      <c r="O179" s="34">
        <f>IFERROR(VLOOKUP(B179,'Core Indicators'!$E$3:$G$9906,3,FALSE),"x")</f>
        <v>83430000</v>
      </c>
      <c r="P179" s="34">
        <v>769630</v>
      </c>
    </row>
    <row r="180" spans="1:16" x14ac:dyDescent="0.3">
      <c r="A180" s="16" t="s">
        <v>330</v>
      </c>
      <c r="B180" s="11" t="s">
        <v>329</v>
      </c>
      <c r="C180" s="31">
        <v>0.27369995945244974</v>
      </c>
      <c r="D180" s="27">
        <v>1</v>
      </c>
      <c r="E180" s="31">
        <v>0.1</v>
      </c>
      <c r="F180" s="31">
        <v>2.75</v>
      </c>
      <c r="G180" s="31" t="s">
        <v>393</v>
      </c>
      <c r="H180" s="31" t="s">
        <v>393</v>
      </c>
      <c r="I180" s="27">
        <v>0</v>
      </c>
      <c r="J180" s="10" t="str">
        <f>IFERROR(VLOOKUP($B180,'Core Indicators'!$E$3:$EU$906,147,FALSE),"x")</f>
        <v>x</v>
      </c>
      <c r="K180" s="28">
        <v>-1.4147845506668091</v>
      </c>
      <c r="L180" s="31">
        <v>1.75</v>
      </c>
      <c r="M180" s="27">
        <v>2</v>
      </c>
      <c r="N180" s="27">
        <v>19</v>
      </c>
      <c r="O180" s="34" t="str">
        <f>IFERROR(VLOOKUP(B180,'Core Indicators'!$E$3:$G$9906,3,FALSE),"x")</f>
        <v>x</v>
      </c>
      <c r="P180" s="34">
        <v>469930</v>
      </c>
    </row>
    <row r="181" spans="1:16" x14ac:dyDescent="0.3">
      <c r="A181" s="16" t="s">
        <v>332</v>
      </c>
      <c r="B181" s="11" t="s">
        <v>331</v>
      </c>
      <c r="C181" s="31">
        <v>0</v>
      </c>
      <c r="D181" s="27">
        <v>11</v>
      </c>
      <c r="E181" s="31">
        <v>0</v>
      </c>
      <c r="F181" s="31" t="s">
        <v>393</v>
      </c>
      <c r="G181" s="31" t="s">
        <v>393</v>
      </c>
      <c r="H181" s="31">
        <v>39.099998474121101</v>
      </c>
      <c r="I181" s="27">
        <v>0</v>
      </c>
      <c r="J181" s="10" t="str">
        <f>IFERROR(VLOOKUP($B181,'Core Indicators'!$E$3:$EU$906,147,FALSE),"x")</f>
        <v>x</v>
      </c>
      <c r="K181" s="28">
        <v>0.4812893271446228</v>
      </c>
      <c r="L181" s="31" t="s">
        <v>393</v>
      </c>
      <c r="M181" s="27">
        <v>93</v>
      </c>
      <c r="N181" s="27" t="s">
        <v>393</v>
      </c>
      <c r="O181" s="34" t="str">
        <f>IFERROR(VLOOKUP(B181,'Core Indicators'!$E$3:$G$9906,3,FALSE),"x")</f>
        <v>x</v>
      </c>
      <c r="P181" s="34">
        <v>30</v>
      </c>
    </row>
    <row r="182" spans="1:16" x14ac:dyDescent="0.3">
      <c r="A182" s="16" t="s">
        <v>334</v>
      </c>
      <c r="B182" s="11" t="s">
        <v>333</v>
      </c>
      <c r="C182" s="31">
        <v>0.92157200008134543</v>
      </c>
      <c r="D182" s="27">
        <v>7</v>
      </c>
      <c r="E182" s="31">
        <v>0.23900000000000002</v>
      </c>
      <c r="F182" s="31">
        <v>5.1666666666666661</v>
      </c>
      <c r="G182" s="31">
        <v>0.53064898669177052</v>
      </c>
      <c r="H182" s="31">
        <v>42.799999237060497</v>
      </c>
      <c r="I182" s="27">
        <v>3</v>
      </c>
      <c r="J182" s="10">
        <f>IFERROR(VLOOKUP($B182,'Core Indicators'!$E$3:$EU$906,147,FALSE),"x")</f>
        <v>14</v>
      </c>
      <c r="K182" s="28">
        <v>-0.31461122632026672</v>
      </c>
      <c r="L182" s="31">
        <v>5.25</v>
      </c>
      <c r="M182" s="27">
        <v>34</v>
      </c>
      <c r="N182" s="27">
        <v>28</v>
      </c>
      <c r="O182" s="34">
        <f>IFERROR(VLOOKUP(B182,'Core Indicators'!$E$3:$G$9906,3,FALSE),"x")</f>
        <v>40234000</v>
      </c>
      <c r="P182" s="34">
        <v>200520</v>
      </c>
    </row>
    <row r="183" spans="1:16" x14ac:dyDescent="0.3">
      <c r="A183" s="16" t="s">
        <v>336</v>
      </c>
      <c r="B183" s="11" t="s">
        <v>335</v>
      </c>
      <c r="C183" s="31">
        <v>0.32836996866618207</v>
      </c>
      <c r="D183" s="27">
        <v>10</v>
      </c>
      <c r="E183" s="31">
        <v>1.6E-2</v>
      </c>
      <c r="F183" s="31">
        <v>6.9</v>
      </c>
      <c r="G183" s="31">
        <v>0.28448561896598867</v>
      </c>
      <c r="H183" s="31">
        <v>26.100000381469702</v>
      </c>
      <c r="I183" s="27">
        <v>4</v>
      </c>
      <c r="J183" s="10">
        <f>IFERROR(VLOOKUP($B183,'Core Indicators'!$E$3:$EU$906,147,FALSE),"x")</f>
        <v>13</v>
      </c>
      <c r="K183" s="28">
        <v>-0.69835144281387329</v>
      </c>
      <c r="L183" s="31">
        <v>6.25</v>
      </c>
      <c r="M183" s="27">
        <v>62</v>
      </c>
      <c r="N183" s="27">
        <v>30</v>
      </c>
      <c r="O183" s="34">
        <f>IFERROR(VLOOKUP(B183,'Core Indicators'!$E$3:$G$9906,3,FALSE),"x")</f>
        <v>42074000</v>
      </c>
      <c r="P183" s="34">
        <v>579290</v>
      </c>
    </row>
    <row r="184" spans="1:16" x14ac:dyDescent="0.3">
      <c r="A184" s="16" t="s">
        <v>338</v>
      </c>
      <c r="B184" s="11" t="s">
        <v>337</v>
      </c>
      <c r="C184" s="31">
        <v>0.98560000064373021</v>
      </c>
      <c r="D184" s="27">
        <v>1</v>
      </c>
      <c r="E184" s="31">
        <v>0</v>
      </c>
      <c r="F184" s="31">
        <v>3.9</v>
      </c>
      <c r="G184" s="31">
        <v>0.11309898427562903</v>
      </c>
      <c r="H184" s="31">
        <v>32.5</v>
      </c>
      <c r="I184" s="27">
        <v>0</v>
      </c>
      <c r="J184" s="10" t="str">
        <f>IFERROR(VLOOKUP($B184,'Core Indicators'!$E$3:$EU$906,147,FALSE),"x")</f>
        <v>x</v>
      </c>
      <c r="K184" s="28">
        <v>0.84021884202957153</v>
      </c>
      <c r="L184" s="31">
        <v>4.25</v>
      </c>
      <c r="M184" s="27">
        <v>17</v>
      </c>
      <c r="N184" s="27">
        <v>71</v>
      </c>
      <c r="O184" s="34" t="str">
        <f>IFERROR(VLOOKUP(B184,'Core Indicators'!$E$3:$G$9906,3,FALSE),"x")</f>
        <v>x</v>
      </c>
      <c r="P184" s="34">
        <v>83600</v>
      </c>
    </row>
    <row r="185" spans="1:16" x14ac:dyDescent="0.3">
      <c r="A185" s="16" t="s">
        <v>390</v>
      </c>
      <c r="B185" s="11" t="s">
        <v>339</v>
      </c>
      <c r="C185" s="31">
        <v>0.32496100410738593</v>
      </c>
      <c r="D185" s="27">
        <v>13</v>
      </c>
      <c r="E185" s="31">
        <v>6.9999999999999993E-2</v>
      </c>
      <c r="F185" s="31" t="s">
        <v>393</v>
      </c>
      <c r="G185" s="31">
        <v>0.11919006989133973</v>
      </c>
      <c r="H185" s="31">
        <v>34.799999237060497</v>
      </c>
      <c r="I185" s="27">
        <v>3</v>
      </c>
      <c r="J185" s="10" t="str">
        <f>IFERROR(VLOOKUP($B185,'Core Indicators'!$E$3:$EU$906,147,FALSE),"x")</f>
        <v>x</v>
      </c>
      <c r="K185" s="28">
        <v>1.6009106636047363</v>
      </c>
      <c r="L185" s="31" t="s">
        <v>393</v>
      </c>
      <c r="M185" s="27">
        <v>94</v>
      </c>
      <c r="N185" s="27">
        <v>77</v>
      </c>
      <c r="O185" s="34" t="str">
        <f>IFERROR(VLOOKUP(B185,'Core Indicators'!$E$3:$G$9906,3,FALSE),"x")</f>
        <v>x</v>
      </c>
      <c r="P185" s="34">
        <v>241930</v>
      </c>
    </row>
    <row r="186" spans="1:16" x14ac:dyDescent="0.3">
      <c r="A186" s="16" t="s">
        <v>341</v>
      </c>
      <c r="B186" s="11" t="s">
        <v>340</v>
      </c>
      <c r="C186" s="31">
        <v>0.52450212412146802</v>
      </c>
      <c r="D186" s="27">
        <v>11</v>
      </c>
      <c r="E186" s="31">
        <v>0.17300000000000001</v>
      </c>
      <c r="F186" s="31" t="s">
        <v>393</v>
      </c>
      <c r="G186" s="31">
        <v>0.18160346074953182</v>
      </c>
      <c r="H186" s="31">
        <v>41.400001525878899</v>
      </c>
      <c r="I186" s="27">
        <v>3</v>
      </c>
      <c r="J186" s="10" t="str">
        <f>IFERROR(VLOOKUP($B186,'Core Indicators'!$E$3:$EU$906,147,FALSE),"x")</f>
        <v>x</v>
      </c>
      <c r="K186" s="28">
        <v>1.4610936641693115</v>
      </c>
      <c r="L186" s="31" t="s">
        <v>393</v>
      </c>
      <c r="M186" s="27">
        <v>86</v>
      </c>
      <c r="N186" s="27">
        <v>69</v>
      </c>
      <c r="O186" s="34" t="str">
        <f>IFERROR(VLOOKUP(B186,'Core Indicators'!$E$3:$G$9906,3,FALSE),"x")</f>
        <v>x</v>
      </c>
      <c r="P186" s="34">
        <v>9147420</v>
      </c>
    </row>
    <row r="187" spans="1:16" x14ac:dyDescent="0.3">
      <c r="A187" s="16" t="s">
        <v>343</v>
      </c>
      <c r="B187" s="11" t="s">
        <v>342</v>
      </c>
      <c r="C187" s="31">
        <v>0.1694520136039257</v>
      </c>
      <c r="D187" s="27">
        <v>13</v>
      </c>
      <c r="E187" s="31">
        <v>0.08</v>
      </c>
      <c r="F187" s="31">
        <v>9.9</v>
      </c>
      <c r="G187" s="31">
        <v>0.27532989819220033</v>
      </c>
      <c r="H187" s="31">
        <v>39.700000762939503</v>
      </c>
      <c r="I187" s="27">
        <v>0</v>
      </c>
      <c r="J187" s="10" t="str">
        <f>IFERROR(VLOOKUP($B187,'Core Indicators'!$E$3:$EU$906,147,FALSE),"x")</f>
        <v>x</v>
      </c>
      <c r="K187" s="28">
        <v>0.62126314640045166</v>
      </c>
      <c r="L187" s="31">
        <v>10</v>
      </c>
      <c r="M187" s="27">
        <v>98</v>
      </c>
      <c r="N187" s="27">
        <v>71</v>
      </c>
      <c r="O187" s="34" t="str">
        <f>IFERROR(VLOOKUP(B187,'Core Indicators'!$E$3:$G$9906,3,FALSE),"x")</f>
        <v>x</v>
      </c>
      <c r="P187" s="34">
        <v>175020</v>
      </c>
    </row>
    <row r="188" spans="1:16" x14ac:dyDescent="0.3">
      <c r="A188" s="16" t="s">
        <v>345</v>
      </c>
      <c r="B188" s="11" t="s">
        <v>344</v>
      </c>
      <c r="C188" s="31">
        <v>0.35384998086616393</v>
      </c>
      <c r="D188" s="27">
        <v>1</v>
      </c>
      <c r="E188" s="31">
        <v>0.16</v>
      </c>
      <c r="F188" s="31">
        <v>3.6333333333333337</v>
      </c>
      <c r="G188" s="31">
        <v>0.30309940320102813</v>
      </c>
      <c r="H188" s="31" t="s">
        <v>393</v>
      </c>
      <c r="I188" s="27">
        <v>1</v>
      </c>
      <c r="J188" s="10" t="str">
        <f>IFERROR(VLOOKUP($B188,'Core Indicators'!$E$3:$EU$906,147,FALSE),"x")</f>
        <v>x</v>
      </c>
      <c r="K188" s="28">
        <v>-1.0481816530227661</v>
      </c>
      <c r="L188" s="31">
        <v>3.25</v>
      </c>
      <c r="M188" s="27">
        <v>10</v>
      </c>
      <c r="N188" s="27">
        <v>25</v>
      </c>
      <c r="O188" s="34" t="str">
        <f>IFERROR(VLOOKUP(B188,'Core Indicators'!$E$3:$G$9906,3,FALSE),"x")</f>
        <v>x</v>
      </c>
      <c r="P188" s="34">
        <v>425400</v>
      </c>
    </row>
    <row r="189" spans="1:16" x14ac:dyDescent="0.3">
      <c r="A189" s="16" t="s">
        <v>347</v>
      </c>
      <c r="B189" s="11" t="s">
        <v>346</v>
      </c>
      <c r="C189" s="31">
        <v>0</v>
      </c>
      <c r="D189" s="27">
        <v>12</v>
      </c>
      <c r="E189" s="31">
        <v>0</v>
      </c>
      <c r="F189" s="31" t="s">
        <v>393</v>
      </c>
      <c r="G189" s="31" t="s">
        <v>393</v>
      </c>
      <c r="H189" s="31">
        <v>37.599998474121101</v>
      </c>
      <c r="I189" s="27">
        <v>0</v>
      </c>
      <c r="J189" s="10">
        <f>IFERROR(VLOOKUP($B189,'Core Indicators'!$E$3:$EU$906,147,FALSE),"x")</f>
        <v>4</v>
      </c>
      <c r="K189" s="28">
        <v>0.17785331606864929</v>
      </c>
      <c r="L189" s="31" t="s">
        <v>393</v>
      </c>
      <c r="M189" s="27">
        <v>82</v>
      </c>
      <c r="N189" s="27">
        <v>46</v>
      </c>
      <c r="O189" s="34">
        <f>IFERROR(VLOOKUP(B189,'Core Indicators'!$E$3:$G$9906,3,FALSE),"x")</f>
        <v>272000</v>
      </c>
      <c r="P189" s="34">
        <v>12190</v>
      </c>
    </row>
    <row r="190" spans="1:16" x14ac:dyDescent="0.3">
      <c r="A190" s="16" t="s">
        <v>391</v>
      </c>
      <c r="B190" s="11" t="s">
        <v>348</v>
      </c>
      <c r="C190" s="31">
        <v>0.26454201694521295</v>
      </c>
      <c r="D190" s="27">
        <v>7</v>
      </c>
      <c r="E190" s="31">
        <v>0.12000000000000001</v>
      </c>
      <c r="F190" s="31">
        <v>3.083333333333333</v>
      </c>
      <c r="G190" s="31">
        <v>0.45795582144607083</v>
      </c>
      <c r="H190" s="31">
        <v>46.900001525878899</v>
      </c>
      <c r="I190" s="27">
        <v>3</v>
      </c>
      <c r="J190" s="10">
        <f>IFERROR(VLOOKUP($B190,'Core Indicators'!$E$3:$EU$906,147,FALSE),"x")</f>
        <v>8253</v>
      </c>
      <c r="K190" s="28">
        <v>-2.3200535774230957</v>
      </c>
      <c r="L190" s="31">
        <v>1.75</v>
      </c>
      <c r="M190" s="27">
        <v>16</v>
      </c>
      <c r="N190" s="27">
        <v>16</v>
      </c>
      <c r="O190" s="34">
        <f>IFERROR(VLOOKUP(B190,'Core Indicators'!$E$3:$G$9906,3,FALSE),"x")</f>
        <v>27365000</v>
      </c>
      <c r="P190" s="34">
        <v>882050</v>
      </c>
    </row>
    <row r="191" spans="1:16" x14ac:dyDescent="0.3">
      <c r="A191" s="16" t="s">
        <v>362</v>
      </c>
      <c r="B191" s="11" t="s">
        <v>349</v>
      </c>
      <c r="C191" s="31">
        <v>0.27606595953145563</v>
      </c>
      <c r="D191" s="27">
        <v>1</v>
      </c>
      <c r="E191" s="31">
        <v>0.10100000000000001</v>
      </c>
      <c r="F191" s="31">
        <v>3.5666666666666664</v>
      </c>
      <c r="G191" s="31">
        <v>0.3138494002746719</v>
      </c>
      <c r="H191" s="31">
        <v>35.700000762939503</v>
      </c>
      <c r="I191" s="27">
        <v>5</v>
      </c>
      <c r="J191" s="10">
        <f>IFERROR(VLOOKUP($B191,'Core Indicators'!$E$3:$EU$906,147,FALSE),"x")</f>
        <v>214</v>
      </c>
      <c r="K191" s="28">
        <v>-1.6898753121495247E-2</v>
      </c>
      <c r="L191" s="31">
        <v>3</v>
      </c>
      <c r="M191" s="27">
        <v>20</v>
      </c>
      <c r="N191" s="27">
        <v>37</v>
      </c>
      <c r="O191" s="34">
        <f>IFERROR(VLOOKUP(B191,'Core Indicators'!$E$3:$G$9906,3,FALSE),"x")</f>
        <v>96484000</v>
      </c>
      <c r="P191" s="34">
        <v>310070</v>
      </c>
    </row>
    <row r="192" spans="1:16" x14ac:dyDescent="0.3">
      <c r="A192" s="16" t="s">
        <v>351</v>
      </c>
      <c r="B192" s="11" t="s">
        <v>350</v>
      </c>
      <c r="C192" s="31">
        <v>0.62499999266117789</v>
      </c>
      <c r="D192" s="27">
        <v>2</v>
      </c>
      <c r="E192" s="31">
        <v>0</v>
      </c>
      <c r="F192" s="31">
        <v>1.5</v>
      </c>
      <c r="G192" s="31">
        <v>0.83417374246468834</v>
      </c>
      <c r="H192" s="31">
        <v>36.700000762939503</v>
      </c>
      <c r="I192" s="27">
        <v>3</v>
      </c>
      <c r="J192" s="10">
        <f>IFERROR(VLOOKUP($B192,'Core Indicators'!$E$3:$EU$906,147,FALSE),"x")</f>
        <v>12222</v>
      </c>
      <c r="K192" s="28">
        <v>-1.7733464241027832</v>
      </c>
      <c r="L192" s="31">
        <v>1.25</v>
      </c>
      <c r="M192" s="27">
        <v>11</v>
      </c>
      <c r="N192" s="27">
        <v>15</v>
      </c>
      <c r="O192" s="34">
        <f>IFERROR(VLOOKUP(B192,'Core Indicators'!$E$3:$G$9906,3,FALSE),"x")</f>
        <v>30500000</v>
      </c>
      <c r="P192" s="34">
        <v>527970</v>
      </c>
    </row>
    <row r="193" spans="1:16" x14ac:dyDescent="0.3">
      <c r="A193" s="16" t="s">
        <v>353</v>
      </c>
      <c r="B193" s="11" t="s">
        <v>352</v>
      </c>
      <c r="C193" s="31">
        <v>0.70259998770207144</v>
      </c>
      <c r="D193" s="27">
        <v>8</v>
      </c>
      <c r="E193" s="31">
        <v>0</v>
      </c>
      <c r="F193" s="31">
        <v>5.75</v>
      </c>
      <c r="G193" s="31">
        <v>0.54032529940484386</v>
      </c>
      <c r="H193" s="31">
        <v>57.099998474121101</v>
      </c>
      <c r="I193" s="27">
        <v>0</v>
      </c>
      <c r="J193" s="10" t="str">
        <f>IFERROR(VLOOKUP($B193,'Core Indicators'!$E$3:$EU$906,147,FALSE),"x")</f>
        <v>x</v>
      </c>
      <c r="K193" s="28">
        <v>-0.46206927299499512</v>
      </c>
      <c r="L193" s="31">
        <v>4.25</v>
      </c>
      <c r="M193" s="27">
        <v>54</v>
      </c>
      <c r="N193" s="27">
        <v>34</v>
      </c>
      <c r="O193" s="34">
        <f>IFERROR(VLOOKUP(B193,'Core Indicators'!$E$3:$G$9906,3,FALSE),"x")</f>
        <v>16487000</v>
      </c>
      <c r="P193" s="34">
        <v>743390</v>
      </c>
    </row>
    <row r="194" spans="1:16" x14ac:dyDescent="0.3">
      <c r="A194" s="16" t="s">
        <v>355</v>
      </c>
      <c r="B194" s="11" t="s">
        <v>354</v>
      </c>
      <c r="C194" s="31">
        <v>0.30790001156777136</v>
      </c>
      <c r="D194" s="27">
        <v>0</v>
      </c>
      <c r="E194" s="31">
        <v>0.03</v>
      </c>
      <c r="F194" s="31">
        <v>4.3666666666666663</v>
      </c>
      <c r="G194" s="31">
        <v>0.52499423267530898</v>
      </c>
      <c r="H194" s="31">
        <v>44.299999237060497</v>
      </c>
      <c r="I194" s="27">
        <v>3</v>
      </c>
      <c r="J194" s="10">
        <f>IFERROR(VLOOKUP($B194,'Core Indicators'!$E$3:$EU$906,147,FALSE),"x")</f>
        <v>375</v>
      </c>
      <c r="K194" s="28">
        <v>-1.2570089101791382</v>
      </c>
      <c r="L194" s="31">
        <v>3.25</v>
      </c>
      <c r="M194" s="27">
        <v>29</v>
      </c>
      <c r="N194" s="27">
        <v>24</v>
      </c>
      <c r="O194" s="34">
        <f>IFERROR(VLOOKUP(B194,'Core Indicators'!$E$3:$G$9906,3,FALSE),"x")</f>
        <v>15413000</v>
      </c>
      <c r="P194" s="34">
        <v>386850</v>
      </c>
    </row>
    <row r="195" spans="1:16" x14ac:dyDescent="0.3">
      <c r="G195" s="31"/>
      <c r="H195" s="31"/>
    </row>
    <row r="196" spans="1:16" x14ac:dyDescent="0.3">
      <c r="G196" s="31"/>
      <c r="H196" s="31"/>
    </row>
    <row r="197" spans="1:16" x14ac:dyDescent="0.3">
      <c r="G197" s="31"/>
      <c r="H197" s="31"/>
    </row>
    <row r="198" spans="1:16" x14ac:dyDescent="0.3">
      <c r="G198" s="31"/>
      <c r="H198" s="31"/>
    </row>
    <row r="199" spans="1:16" x14ac:dyDescent="0.3">
      <c r="G199" s="31"/>
      <c r="H199" s="31"/>
    </row>
    <row r="200" spans="1:16" x14ac:dyDescent="0.3">
      <c r="G200" s="31"/>
      <c r="H200" s="31"/>
    </row>
    <row r="201" spans="1:16" x14ac:dyDescent="0.3">
      <c r="G201" s="31"/>
      <c r="H201" s="31"/>
    </row>
    <row r="202" spans="1:16" x14ac:dyDescent="0.3">
      <c r="G202" s="31"/>
      <c r="H202" s="31"/>
    </row>
    <row r="203" spans="1:16" x14ac:dyDescent="0.3">
      <c r="G203" s="31"/>
      <c r="H203" s="31"/>
    </row>
    <row r="204" spans="1:16" x14ac:dyDescent="0.3">
      <c r="G204" s="31"/>
      <c r="H204" s="31"/>
    </row>
    <row r="205" spans="1:16" x14ac:dyDescent="0.3">
      <c r="G205" s="31"/>
      <c r="H205" s="31"/>
    </row>
    <row r="206" spans="1:16" x14ac:dyDescent="0.3">
      <c r="G206" s="31"/>
      <c r="H206" s="31"/>
    </row>
    <row r="207" spans="1:16" x14ac:dyDescent="0.3">
      <c r="G207" s="31"/>
      <c r="H207" s="31"/>
    </row>
    <row r="208" spans="1:16" x14ac:dyDescent="0.3">
      <c r="G208" s="31"/>
      <c r="H208" s="31"/>
    </row>
    <row r="209" spans="7:8" x14ac:dyDescent="0.3">
      <c r="G209" s="31"/>
      <c r="H209" s="31"/>
    </row>
    <row r="210" spans="7:8" x14ac:dyDescent="0.3">
      <c r="G210" s="31"/>
      <c r="H210" s="31"/>
    </row>
    <row r="211" spans="7:8" x14ac:dyDescent="0.3">
      <c r="G211" s="31"/>
      <c r="H211" s="31"/>
    </row>
    <row r="212" spans="7:8" x14ac:dyDescent="0.3">
      <c r="G212" s="31"/>
      <c r="H212" s="31"/>
    </row>
    <row r="213" spans="7:8" x14ac:dyDescent="0.3">
      <c r="G213" s="31"/>
      <c r="H213" s="31"/>
    </row>
    <row r="214" spans="7:8" x14ac:dyDescent="0.3">
      <c r="G214" s="31"/>
      <c r="H214" s="31"/>
    </row>
    <row r="215" spans="7:8" x14ac:dyDescent="0.3">
      <c r="G215" s="31"/>
      <c r="H215" s="31"/>
    </row>
    <row r="216" spans="7:8" x14ac:dyDescent="0.3">
      <c r="G216" s="31"/>
      <c r="H216" s="31"/>
    </row>
    <row r="217" spans="7:8" x14ac:dyDescent="0.3">
      <c r="G217" s="31"/>
      <c r="H217" s="31"/>
    </row>
    <row r="218" spans="7:8" x14ac:dyDescent="0.3">
      <c r="G218" s="31"/>
      <c r="H218" s="31"/>
    </row>
    <row r="219" spans="7:8" x14ac:dyDescent="0.3">
      <c r="G219" s="31"/>
      <c r="H219" s="31"/>
    </row>
    <row r="220" spans="7:8" x14ac:dyDescent="0.3">
      <c r="G220" s="31"/>
      <c r="H220" s="31"/>
    </row>
    <row r="221" spans="7:8" x14ac:dyDescent="0.3">
      <c r="G221" s="31"/>
      <c r="H221" s="31"/>
    </row>
    <row r="222" spans="7:8" x14ac:dyDescent="0.3">
      <c r="G222" s="31"/>
      <c r="H222" s="31"/>
    </row>
    <row r="223" spans="7:8" x14ac:dyDescent="0.3">
      <c r="G223" s="31"/>
      <c r="H223" s="31"/>
    </row>
    <row r="224" spans="7:8" x14ac:dyDescent="0.3">
      <c r="G224" s="31"/>
      <c r="H224" s="31"/>
    </row>
    <row r="225" spans="7:8" x14ac:dyDescent="0.3">
      <c r="G225" s="31"/>
      <c r="H225" s="31"/>
    </row>
    <row r="226" spans="7:8" x14ac:dyDescent="0.3">
      <c r="G226" s="31"/>
      <c r="H226" s="31"/>
    </row>
    <row r="227" spans="7:8" x14ac:dyDescent="0.3">
      <c r="G227" s="31"/>
      <c r="H227" s="31"/>
    </row>
    <row r="228" spans="7:8" x14ac:dyDescent="0.3">
      <c r="G228" s="31"/>
      <c r="H228" s="31"/>
    </row>
    <row r="229" spans="7:8" x14ac:dyDescent="0.3">
      <c r="G229" s="31"/>
      <c r="H229" s="31"/>
    </row>
    <row r="230" spans="7:8" x14ac:dyDescent="0.3">
      <c r="G230" s="31"/>
      <c r="H230" s="31"/>
    </row>
    <row r="231" spans="7:8" x14ac:dyDescent="0.3">
      <c r="G231" s="31"/>
      <c r="H231" s="31"/>
    </row>
    <row r="232" spans="7:8" x14ac:dyDescent="0.3">
      <c r="G232" s="31"/>
      <c r="H232" s="31"/>
    </row>
    <row r="233" spans="7:8" x14ac:dyDescent="0.3">
      <c r="G233" s="31"/>
      <c r="H233" s="31"/>
    </row>
    <row r="234" spans="7:8" x14ac:dyDescent="0.3">
      <c r="G234" s="31"/>
      <c r="H234" s="31"/>
    </row>
    <row r="235" spans="7:8" x14ac:dyDescent="0.3">
      <c r="G235" s="31"/>
      <c r="H235" s="31"/>
    </row>
    <row r="236" spans="7:8" x14ac:dyDescent="0.3">
      <c r="G236" s="31"/>
      <c r="H236" s="31"/>
    </row>
    <row r="237" spans="7:8" x14ac:dyDescent="0.3">
      <c r="G237" s="31"/>
      <c r="H237" s="31"/>
    </row>
    <row r="238" spans="7:8" x14ac:dyDescent="0.3">
      <c r="G238" s="31"/>
      <c r="H238" s="31"/>
    </row>
    <row r="239" spans="7:8" x14ac:dyDescent="0.3">
      <c r="G239" s="31"/>
      <c r="H239" s="31"/>
    </row>
    <row r="240" spans="7:8" x14ac:dyDescent="0.3">
      <c r="G240" s="31"/>
      <c r="H240" s="31"/>
    </row>
    <row r="241" spans="7:8" x14ac:dyDescent="0.3">
      <c r="G241" s="31"/>
      <c r="H241" s="31"/>
    </row>
    <row r="242" spans="7:8" x14ac:dyDescent="0.3">
      <c r="G242" s="31"/>
      <c r="H242" s="31"/>
    </row>
    <row r="243" spans="7:8" x14ac:dyDescent="0.3">
      <c r="G243" s="31"/>
      <c r="H243" s="31"/>
    </row>
    <row r="244" spans="7:8" x14ac:dyDescent="0.3">
      <c r="G244" s="31"/>
      <c r="H244" s="31"/>
    </row>
    <row r="245" spans="7:8" x14ac:dyDescent="0.3">
      <c r="G245" s="31"/>
      <c r="H245" s="31"/>
    </row>
    <row r="246" spans="7:8" x14ac:dyDescent="0.3">
      <c r="G246" s="31"/>
      <c r="H246" s="31"/>
    </row>
    <row r="247" spans="7:8" x14ac:dyDescent="0.3">
      <c r="G247" s="31"/>
      <c r="H247" s="31"/>
    </row>
    <row r="248" spans="7:8" x14ac:dyDescent="0.3">
      <c r="G248" s="31"/>
      <c r="H248" s="31"/>
    </row>
    <row r="249" spans="7:8" x14ac:dyDescent="0.3">
      <c r="G249" s="31"/>
      <c r="H249" s="31"/>
    </row>
    <row r="250" spans="7:8" x14ac:dyDescent="0.3">
      <c r="G250" s="31"/>
      <c r="H250" s="31"/>
    </row>
    <row r="251" spans="7:8" x14ac:dyDescent="0.3">
      <c r="G251" s="31"/>
      <c r="H251" s="31"/>
    </row>
    <row r="252" spans="7:8" x14ac:dyDescent="0.3">
      <c r="G252" s="31"/>
      <c r="H252" s="31"/>
    </row>
    <row r="253" spans="7:8" x14ac:dyDescent="0.3">
      <c r="G253" s="31"/>
      <c r="H253" s="31"/>
    </row>
    <row r="254" spans="7:8" x14ac:dyDescent="0.3">
      <c r="G254" s="31"/>
      <c r="H254" s="31"/>
    </row>
    <row r="255" spans="7:8" x14ac:dyDescent="0.3">
      <c r="G255" s="31"/>
      <c r="H255" s="31"/>
    </row>
    <row r="256" spans="7:8" x14ac:dyDescent="0.3">
      <c r="G256" s="31"/>
      <c r="H256" s="31"/>
    </row>
    <row r="257" spans="7:8" x14ac:dyDescent="0.3">
      <c r="G257" s="31"/>
      <c r="H257" s="31"/>
    </row>
    <row r="258" spans="7:8" x14ac:dyDescent="0.3">
      <c r="G258" s="31"/>
      <c r="H258" s="31"/>
    </row>
    <row r="259" spans="7:8" x14ac:dyDescent="0.3">
      <c r="G259" s="31"/>
      <c r="H259" s="31"/>
    </row>
    <row r="260" spans="7:8" x14ac:dyDescent="0.3">
      <c r="G260" s="31"/>
      <c r="H260" s="31"/>
    </row>
    <row r="261" spans="7:8" x14ac:dyDescent="0.3">
      <c r="G261" s="31"/>
      <c r="H261" s="31"/>
    </row>
    <row r="262" spans="7:8" x14ac:dyDescent="0.3">
      <c r="G262" s="31"/>
      <c r="H262" s="31"/>
    </row>
    <row r="263" spans="7:8" x14ac:dyDescent="0.3">
      <c r="G263" s="31"/>
      <c r="H263" s="31"/>
    </row>
    <row r="264" spans="7:8" x14ac:dyDescent="0.3">
      <c r="G264" s="31"/>
      <c r="H264" s="31"/>
    </row>
    <row r="265" spans="7:8" x14ac:dyDescent="0.3">
      <c r="G265" s="31"/>
      <c r="H265" s="31"/>
    </row>
    <row r="266" spans="7:8" x14ac:dyDescent="0.3">
      <c r="G266" s="31"/>
      <c r="H266" s="31"/>
    </row>
    <row r="267" spans="7:8" x14ac:dyDescent="0.3">
      <c r="G267" s="31"/>
      <c r="H267" s="31"/>
    </row>
    <row r="268" spans="7:8" x14ac:dyDescent="0.3">
      <c r="G268" s="31"/>
      <c r="H268" s="31"/>
    </row>
    <row r="269" spans="7:8" x14ac:dyDescent="0.3">
      <c r="G269" s="31"/>
      <c r="H269" s="31"/>
    </row>
    <row r="270" spans="7:8" x14ac:dyDescent="0.3">
      <c r="G270" s="31"/>
      <c r="H270" s="31"/>
    </row>
    <row r="271" spans="7:8" x14ac:dyDescent="0.3">
      <c r="G271" s="31"/>
      <c r="H271" s="31"/>
    </row>
    <row r="272" spans="7:8" x14ac:dyDescent="0.3">
      <c r="G272" s="31"/>
      <c r="H272" s="31"/>
    </row>
    <row r="273" spans="7:8" x14ac:dyDescent="0.3">
      <c r="G273" s="31"/>
      <c r="H273" s="31"/>
    </row>
    <row r="274" spans="7:8" x14ac:dyDescent="0.3">
      <c r="G274" s="31"/>
      <c r="H274" s="31"/>
    </row>
    <row r="275" spans="7:8" x14ac:dyDescent="0.3">
      <c r="G275" s="31"/>
      <c r="H275" s="31"/>
    </row>
    <row r="276" spans="7:8" x14ac:dyDescent="0.3">
      <c r="G276" s="31"/>
      <c r="H276" s="31"/>
    </row>
    <row r="277" spans="7:8" x14ac:dyDescent="0.3">
      <c r="G277" s="31"/>
      <c r="H277" s="31"/>
    </row>
    <row r="278" spans="7:8" x14ac:dyDescent="0.3">
      <c r="G278" s="31"/>
      <c r="H278" s="31"/>
    </row>
    <row r="279" spans="7:8" x14ac:dyDescent="0.3">
      <c r="G279" s="31"/>
      <c r="H279" s="31"/>
    </row>
    <row r="280" spans="7:8" x14ac:dyDescent="0.3">
      <c r="G280" s="31"/>
      <c r="H280" s="31"/>
    </row>
    <row r="281" spans="7:8" x14ac:dyDescent="0.3">
      <c r="G281" s="31"/>
      <c r="H281" s="31"/>
    </row>
    <row r="282" spans="7:8" x14ac:dyDescent="0.3">
      <c r="G282" s="31"/>
      <c r="H282" s="31"/>
    </row>
    <row r="283" spans="7:8" x14ac:dyDescent="0.3">
      <c r="G283" s="31"/>
      <c r="H283" s="31"/>
    </row>
    <row r="284" spans="7:8" x14ac:dyDescent="0.3">
      <c r="G284" s="31"/>
      <c r="H284" s="31"/>
    </row>
    <row r="285" spans="7:8" x14ac:dyDescent="0.3">
      <c r="G285" s="31"/>
      <c r="H285" s="31"/>
    </row>
    <row r="286" spans="7:8" x14ac:dyDescent="0.3">
      <c r="G286" s="31"/>
      <c r="H286" s="31"/>
    </row>
    <row r="287" spans="7:8" x14ac:dyDescent="0.3">
      <c r="G287" s="31"/>
      <c r="H287" s="31"/>
    </row>
    <row r="288" spans="7:8" x14ac:dyDescent="0.3">
      <c r="G288" s="31"/>
      <c r="H288" s="31"/>
    </row>
    <row r="289" spans="7:8" x14ac:dyDescent="0.3">
      <c r="G289" s="31"/>
      <c r="H289" s="31"/>
    </row>
    <row r="290" spans="7:8" x14ac:dyDescent="0.3">
      <c r="G290" s="31"/>
      <c r="H290" s="31"/>
    </row>
    <row r="291" spans="7:8" x14ac:dyDescent="0.3">
      <c r="G291" s="31"/>
      <c r="H291" s="31"/>
    </row>
    <row r="292" spans="7:8" x14ac:dyDescent="0.3">
      <c r="G292" s="31"/>
      <c r="H292" s="31"/>
    </row>
    <row r="293" spans="7:8" x14ac:dyDescent="0.3">
      <c r="G293" s="31"/>
      <c r="H293" s="31"/>
    </row>
    <row r="294" spans="7:8" x14ac:dyDescent="0.3">
      <c r="G294" s="31"/>
      <c r="H294" s="31"/>
    </row>
    <row r="295" spans="7:8" x14ac:dyDescent="0.3">
      <c r="G295" s="31"/>
      <c r="H295" s="31"/>
    </row>
    <row r="296" spans="7:8" x14ac:dyDescent="0.3">
      <c r="G296" s="31"/>
      <c r="H296" s="31"/>
    </row>
    <row r="297" spans="7:8" x14ac:dyDescent="0.3">
      <c r="G297" s="31"/>
      <c r="H297" s="31"/>
    </row>
    <row r="298" spans="7:8" x14ac:dyDescent="0.3">
      <c r="G298" s="31"/>
      <c r="H298" s="31"/>
    </row>
    <row r="299" spans="7:8" x14ac:dyDescent="0.3">
      <c r="G299" s="31"/>
      <c r="H299" s="31"/>
    </row>
    <row r="300" spans="7:8" x14ac:dyDescent="0.3">
      <c r="G300" s="31"/>
      <c r="H300" s="31"/>
    </row>
    <row r="301" spans="7:8" x14ac:dyDescent="0.3">
      <c r="G301" s="31"/>
      <c r="H301" s="31"/>
    </row>
    <row r="302" spans="7:8" x14ac:dyDescent="0.3">
      <c r="G302" s="31"/>
      <c r="H302" s="31"/>
    </row>
    <row r="303" spans="7:8" x14ac:dyDescent="0.3">
      <c r="G303" s="31"/>
      <c r="H303" s="31"/>
    </row>
    <row r="304" spans="7:8" x14ac:dyDescent="0.3">
      <c r="G304" s="31"/>
      <c r="H304" s="31"/>
    </row>
    <row r="305" spans="7:8" x14ac:dyDescent="0.3">
      <c r="G305" s="31"/>
      <c r="H305" s="31"/>
    </row>
    <row r="306" spans="7:8" x14ac:dyDescent="0.3">
      <c r="G306" s="31"/>
      <c r="H306" s="31"/>
    </row>
    <row r="307" spans="7:8" x14ac:dyDescent="0.3">
      <c r="G307" s="31"/>
      <c r="H307" s="31"/>
    </row>
    <row r="308" spans="7:8" x14ac:dyDescent="0.3">
      <c r="G308" s="31"/>
      <c r="H308" s="31"/>
    </row>
    <row r="309" spans="7:8" x14ac:dyDescent="0.3">
      <c r="G309" s="31"/>
      <c r="H309" s="31"/>
    </row>
    <row r="310" spans="7:8" x14ac:dyDescent="0.3">
      <c r="G310" s="31"/>
      <c r="H310" s="31"/>
    </row>
    <row r="311" spans="7:8" x14ac:dyDescent="0.3">
      <c r="G311" s="31"/>
      <c r="H311" s="31"/>
    </row>
    <row r="312" spans="7:8" x14ac:dyDescent="0.3">
      <c r="G312" s="31"/>
      <c r="H312" s="31"/>
    </row>
    <row r="313" spans="7:8" x14ac:dyDescent="0.3">
      <c r="G313" s="31"/>
      <c r="H313" s="31"/>
    </row>
    <row r="314" spans="7:8" x14ac:dyDescent="0.3">
      <c r="G314" s="31"/>
      <c r="H314" s="31"/>
    </row>
    <row r="315" spans="7:8" x14ac:dyDescent="0.3">
      <c r="G315" s="31"/>
      <c r="H315" s="31"/>
    </row>
    <row r="316" spans="7:8" x14ac:dyDescent="0.3">
      <c r="G316" s="31"/>
      <c r="H316" s="31"/>
    </row>
    <row r="317" spans="7:8" x14ac:dyDescent="0.3">
      <c r="G317" s="31"/>
      <c r="H317" s="31"/>
    </row>
    <row r="318" spans="7:8" x14ac:dyDescent="0.3">
      <c r="G318" s="31"/>
      <c r="H318" s="31"/>
    </row>
    <row r="319" spans="7:8" x14ac:dyDescent="0.3">
      <c r="G319" s="31"/>
      <c r="H319" s="31"/>
    </row>
    <row r="320" spans="7:8" x14ac:dyDescent="0.3">
      <c r="G320" s="31"/>
      <c r="H320" s="31"/>
    </row>
    <row r="321" spans="7:8" x14ac:dyDescent="0.3">
      <c r="G321" s="31"/>
      <c r="H321" s="31"/>
    </row>
    <row r="322" spans="7:8" x14ac:dyDescent="0.3">
      <c r="G322" s="31"/>
      <c r="H322" s="31"/>
    </row>
    <row r="323" spans="7:8" x14ac:dyDescent="0.3">
      <c r="G323" s="31"/>
      <c r="H323" s="31"/>
    </row>
    <row r="324" spans="7:8" x14ac:dyDescent="0.3">
      <c r="G324" s="31"/>
      <c r="H324" s="31"/>
    </row>
    <row r="325" spans="7:8" x14ac:dyDescent="0.3">
      <c r="G325" s="31"/>
      <c r="H325" s="31"/>
    </row>
    <row r="326" spans="7:8" x14ac:dyDescent="0.3">
      <c r="G326" s="31"/>
      <c r="H326" s="31"/>
    </row>
    <row r="327" spans="7:8" x14ac:dyDescent="0.3">
      <c r="G327" s="31"/>
      <c r="H327" s="31"/>
    </row>
    <row r="328" spans="7:8" x14ac:dyDescent="0.3">
      <c r="G328" s="31"/>
      <c r="H328" s="31"/>
    </row>
    <row r="329" spans="7:8" x14ac:dyDescent="0.3">
      <c r="G329" s="31"/>
      <c r="H329" s="31"/>
    </row>
    <row r="330" spans="7:8" x14ac:dyDescent="0.3">
      <c r="G330" s="31"/>
      <c r="H330" s="31"/>
    </row>
    <row r="331" spans="7:8" x14ac:dyDescent="0.3">
      <c r="G331" s="31"/>
      <c r="H331" s="31"/>
    </row>
    <row r="332" spans="7:8" x14ac:dyDescent="0.3">
      <c r="G332" s="31"/>
      <c r="H332" s="31"/>
    </row>
    <row r="333" spans="7:8" x14ac:dyDescent="0.3">
      <c r="G333" s="31"/>
      <c r="H333" s="31"/>
    </row>
    <row r="334" spans="7:8" x14ac:dyDescent="0.3">
      <c r="G334" s="31"/>
      <c r="H334" s="31"/>
    </row>
    <row r="335" spans="7:8" x14ac:dyDescent="0.3">
      <c r="G335" s="31"/>
      <c r="H335" s="31"/>
    </row>
    <row r="336" spans="7:8" x14ac:dyDescent="0.3">
      <c r="G336" s="31"/>
      <c r="H336" s="31"/>
    </row>
    <row r="337" spans="7:8" x14ac:dyDescent="0.3">
      <c r="G337" s="31"/>
      <c r="H337" s="31"/>
    </row>
    <row r="338" spans="7:8" x14ac:dyDescent="0.3">
      <c r="G338" s="31"/>
      <c r="H338" s="31"/>
    </row>
    <row r="339" spans="7:8" x14ac:dyDescent="0.3">
      <c r="G339" s="31"/>
      <c r="H339" s="31"/>
    </row>
    <row r="340" spans="7:8" x14ac:dyDescent="0.3">
      <c r="G340" s="31"/>
      <c r="H340" s="31"/>
    </row>
    <row r="341" spans="7:8" x14ac:dyDescent="0.3">
      <c r="G341" s="31"/>
      <c r="H341" s="31"/>
    </row>
    <row r="342" spans="7:8" x14ac:dyDescent="0.3">
      <c r="G342" s="31"/>
      <c r="H342" s="31"/>
    </row>
    <row r="343" spans="7:8" x14ac:dyDescent="0.3">
      <c r="G343" s="31"/>
      <c r="H343" s="31"/>
    </row>
    <row r="344" spans="7:8" x14ac:dyDescent="0.3">
      <c r="G344" s="31"/>
      <c r="H344" s="31"/>
    </row>
    <row r="345" spans="7:8" x14ac:dyDescent="0.3">
      <c r="G345" s="31"/>
      <c r="H345" s="31"/>
    </row>
    <row r="346" spans="7:8" x14ac:dyDescent="0.3">
      <c r="G346" s="31"/>
      <c r="H346" s="31"/>
    </row>
    <row r="347" spans="7:8" x14ac:dyDescent="0.3">
      <c r="G347" s="31"/>
      <c r="H347" s="31"/>
    </row>
    <row r="348" spans="7:8" x14ac:dyDescent="0.3">
      <c r="G348" s="31"/>
      <c r="H348" s="31"/>
    </row>
    <row r="349" spans="7:8" x14ac:dyDescent="0.3">
      <c r="G349" s="31"/>
      <c r="H349" s="31"/>
    </row>
    <row r="350" spans="7:8" x14ac:dyDescent="0.3">
      <c r="G350" s="31"/>
      <c r="H350" s="31"/>
    </row>
    <row r="351" spans="7:8" x14ac:dyDescent="0.3">
      <c r="G351" s="31"/>
      <c r="H351" s="31"/>
    </row>
    <row r="352" spans="7:8" x14ac:dyDescent="0.3">
      <c r="G352" s="31"/>
      <c r="H352" s="31"/>
    </row>
    <row r="353" spans="7:8" x14ac:dyDescent="0.3">
      <c r="G353" s="31"/>
      <c r="H353" s="31"/>
    </row>
    <row r="354" spans="7:8" x14ac:dyDescent="0.3">
      <c r="G354" s="31"/>
      <c r="H354" s="31"/>
    </row>
    <row r="355" spans="7:8" x14ac:dyDescent="0.3">
      <c r="G355" s="31"/>
      <c r="H355" s="31"/>
    </row>
    <row r="356" spans="7:8" x14ac:dyDescent="0.3">
      <c r="G356" s="31"/>
      <c r="H356" s="3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workbookViewId="0">
      <selection activeCell="M18" sqref="M18"/>
    </sheetView>
  </sheetViews>
  <sheetFormatPr defaultColWidth="9.44140625" defaultRowHeight="14.4" x14ac:dyDescent="0.3"/>
  <cols>
    <col min="1" max="1" width="25" customWidth="1"/>
    <col min="2" max="2" width="11.44140625" bestFit="1" customWidth="1"/>
    <col min="3" max="3" width="13.44140625" customWidth="1"/>
    <col min="4" max="4" width="11.44140625" style="18" customWidth="1"/>
    <col min="5" max="5" width="11.5546875" bestFit="1" customWidth="1"/>
    <col min="6" max="6" width="17.5546875" bestFit="1" customWidth="1"/>
    <col min="7" max="7" width="9.5546875" bestFit="1" customWidth="1"/>
    <col min="8" max="9" width="5.77734375" bestFit="1" customWidth="1"/>
    <col min="10" max="10" width="6" bestFit="1" customWidth="1"/>
    <col min="11" max="11" width="5.77734375" bestFit="1" customWidth="1"/>
    <col min="12" max="12" width="8.5546875" bestFit="1" customWidth="1"/>
    <col min="13" max="15" width="5.77734375" bestFit="1" customWidth="1"/>
    <col min="16" max="16" width="6" bestFit="1" customWidth="1"/>
    <col min="17" max="17" width="7.77734375" bestFit="1" customWidth="1"/>
    <col min="18" max="18" width="7.5546875" bestFit="1" customWidth="1"/>
  </cols>
  <sheetData>
    <row r="1" spans="1:18" ht="89.1" customHeight="1" x14ac:dyDescent="0.3">
      <c r="A1" s="15" t="s">
        <v>399</v>
      </c>
      <c r="B1" s="15" t="s">
        <v>400</v>
      </c>
      <c r="C1" s="15" t="s">
        <v>367</v>
      </c>
      <c r="D1" s="76" t="s">
        <v>371</v>
      </c>
      <c r="E1" s="32" t="s">
        <v>1277</v>
      </c>
      <c r="F1" s="32" t="s">
        <v>443</v>
      </c>
      <c r="G1" s="32" t="s">
        <v>405</v>
      </c>
      <c r="H1" s="32" t="s">
        <v>511</v>
      </c>
      <c r="I1" s="32" t="s">
        <v>492</v>
      </c>
      <c r="J1" s="32" t="s">
        <v>491</v>
      </c>
      <c r="K1" s="32" t="s">
        <v>368</v>
      </c>
      <c r="L1" s="32" t="s">
        <v>376</v>
      </c>
      <c r="M1" s="32" t="s">
        <v>403</v>
      </c>
      <c r="N1" s="32" t="s">
        <v>632</v>
      </c>
      <c r="O1" s="32" t="s">
        <v>407</v>
      </c>
      <c r="P1" s="32" t="s">
        <v>408</v>
      </c>
      <c r="Q1" s="32" t="s">
        <v>427</v>
      </c>
      <c r="R1" s="32" t="s">
        <v>409</v>
      </c>
    </row>
    <row r="2" spans="1:18" s="64" customFormat="1" ht="17.850000000000001" customHeight="1" x14ac:dyDescent="0.3">
      <c r="A2" s="65"/>
      <c r="B2" s="66"/>
      <c r="C2" s="67"/>
      <c r="D2" s="77"/>
      <c r="E2" s="67" t="s">
        <v>375</v>
      </c>
      <c r="F2" s="67" t="s">
        <v>375</v>
      </c>
      <c r="G2" s="67" t="s">
        <v>490</v>
      </c>
      <c r="H2" s="67" t="s">
        <v>375</v>
      </c>
      <c r="I2" s="67" t="s">
        <v>375</v>
      </c>
      <c r="J2" s="67" t="s">
        <v>375</v>
      </c>
      <c r="K2" s="67" t="s">
        <v>375</v>
      </c>
      <c r="L2" s="67" t="s">
        <v>374</v>
      </c>
      <c r="M2" s="67" t="s">
        <v>375</v>
      </c>
      <c r="N2" s="67" t="s">
        <v>375</v>
      </c>
      <c r="O2" s="67" t="s">
        <v>375</v>
      </c>
      <c r="P2" s="67" t="s">
        <v>375</v>
      </c>
      <c r="Q2" s="67" t="s">
        <v>374</v>
      </c>
      <c r="R2" s="67" t="s">
        <v>380</v>
      </c>
    </row>
    <row r="3" spans="1:18" x14ac:dyDescent="0.3">
      <c r="A3" s="268" t="s">
        <v>1166</v>
      </c>
      <c r="B3" s="69" t="s">
        <v>1172</v>
      </c>
      <c r="C3" s="70" t="s">
        <v>1173</v>
      </c>
      <c r="D3" s="71" t="s">
        <v>1205</v>
      </c>
      <c r="E3" s="269">
        <f>'Country Indicator Data'!P128+'Country Indicator Data'!P127+'Country Indicator Data'!P36+'Country Indicator Data'!P33</f>
        <v>3909380</v>
      </c>
      <c r="F3" s="269">
        <f>VLOOKUP(B3,'Core Indicators'!$C$3:$G$198,5,FALSE)</f>
        <v>262107000</v>
      </c>
      <c r="G3" s="269">
        <f>AVERAGE('Country Indicator Data'!C128,'Country Indicator Data'!C127,'Country Indicator Data'!C36,'Country Indicator Data'!C33)</f>
        <v>0.80926250090608365</v>
      </c>
      <c r="H3" s="269">
        <f>AVERAGE('Country Indicator Data'!D128,'Country Indicator Data'!D127,'Country Indicator Data'!D36,'Country Indicator Data'!D33)</f>
        <v>6.25</v>
      </c>
      <c r="I3" s="270">
        <f>AVERAGE('Country Indicator Data'!E128,'Country Indicator Data'!E127,'Country Indicator Data'!E36,'Country Indicator Data'!E33)</f>
        <v>7.4999999999999997E-2</v>
      </c>
      <c r="J3" s="270">
        <f>AVERAGE('Country Indicator Data'!F128,'Country Indicator Data'!F127,'Country Indicator Data'!F36,'Country Indicator Data'!F33)</f>
        <v>4.5083333333333337</v>
      </c>
      <c r="K3" s="270">
        <f>AVERAGE('Country Indicator Data'!G127,'Country Indicator Data'!G36,'Country Indicator Data'!G33)</f>
        <v>0.63819525335614868</v>
      </c>
      <c r="L3" s="270">
        <f>AVERAGE('Country Indicator Data'!H128,'Country Indicator Data'!H127,'Country Indicator Data'!H36,'Country Indicator Data'!H33)</f>
        <v>41.799999237060518</v>
      </c>
      <c r="M3" s="270">
        <f>AVERAGE('Country Indicator Data'!I128,'Country Indicator Data'!I127,'Country Indicator Data'!I36,'Country Indicator Data'!I33)</f>
        <v>3.5</v>
      </c>
      <c r="N3" s="11">
        <f>VLOOKUP($B3,'Core Indicators'!$C$3:$EU$891,149,FALSE)</f>
        <v>3569</v>
      </c>
      <c r="O3" s="270">
        <f>AVERAGE('Country Indicator Data'!K128,'Country Indicator Data'!K127,'Country Indicator Data'!K36,'Country Indicator Data'!K33)</f>
        <v>-0.95829504728317261</v>
      </c>
      <c r="P3" s="270">
        <f>AVERAGE('Country Indicator Data'!L128,'Country Indicator Data'!L127,'Country Indicator Data'!L36,'Country Indicator Data'!L33)</f>
        <v>3.9375</v>
      </c>
      <c r="Q3" s="270">
        <f>AVERAGE('Country Indicator Data'!M128,'Country Indicator Data'!M127,'Country Indicator Data'!M36,'Country Indicator Data'!M33)</f>
        <v>32.5</v>
      </c>
      <c r="R3" s="270">
        <f>AVERAGE('Country Indicator Data'!N128,'Country Indicator Data'!N127,'Country Indicator Data'!N36,'Country Indicator Data'!N33)</f>
        <v>25.75</v>
      </c>
    </row>
    <row r="4" spans="1:18" x14ac:dyDescent="0.3">
      <c r="A4" s="271" t="s">
        <v>1202</v>
      </c>
      <c r="B4" s="84" t="s">
        <v>1204</v>
      </c>
      <c r="C4" s="73" t="s">
        <v>1199</v>
      </c>
      <c r="D4" s="74" t="s">
        <v>1206</v>
      </c>
      <c r="E4" s="68">
        <f>'Country Indicator Data'!P190+'Country Indicator Data'!P53+'Country Indicator Data'!P26+'Country Indicator Data'!P39+'Country Indicator Data'!P177+'Country Indicator Data'!P137</f>
        <v>11883180</v>
      </c>
      <c r="F4" s="269">
        <f>VLOOKUP(B4,'Core Indicators'!$C$3:$G$198,5,FALSE)</f>
        <v>334494000</v>
      </c>
      <c r="G4" s="272">
        <f>AVERAGE('Country Indicator Data'!C26,'Country Indicator Data'!C39,'Country Indicator Data'!C53,'Country Indicator Data'!C137,'Country Indicator Data'!C177,'Country Indicator Data'!C190)</f>
        <v>0.47899116134840219</v>
      </c>
      <c r="H4" s="272">
        <f>AVERAGE('Country Indicator Data'!D26,'Country Indicator Data'!D39,'Country Indicator Data'!D53,'Country Indicator Data'!D137,'Country Indicator Data'!D177,'Country Indicator Data'!D190)</f>
        <v>9.8333333333333339</v>
      </c>
      <c r="I4" s="272">
        <f>AVERAGE('Country Indicator Data'!E26,'Country Indicator Data'!E39,'Country Indicator Data'!E53,'Country Indicator Data'!E137,'Country Indicator Data'!E177,'Country Indicator Data'!E190)</f>
        <v>0.26605000000000001</v>
      </c>
      <c r="J4" s="272">
        <f>AVERAGE('Country Indicator Data'!F26,'Country Indicator Data'!F39,'Country Indicator Data'!F53,'Country Indicator Data'!F137,'Country Indicator Data'!F177,'Country Indicator Data'!F190)</f>
        <v>6.5638888888888891</v>
      </c>
      <c r="K4" s="272">
        <f>AVERAGE('Country Indicator Data'!G26,'Country Indicator Data'!G39,'Country Indicator Data'!G53,'Country Indicator Data'!G137,'Country Indicator Data'!G177,'Country Indicator Data'!G190)</f>
        <v>0.39121394068371401</v>
      </c>
      <c r="L4" s="272">
        <f>AVERAGE('Country Indicator Data'!H26,'Country Indicator Data'!H39,'Country Indicator Data'!H53,'Country Indicator Data'!H137,'Country Indicator Data'!H177,'Country Indicator Data'!H190)</f>
        <v>47.88000106811522</v>
      </c>
      <c r="M4" s="272">
        <f>AVERAGE('Country Indicator Data'!I26,'Country Indicator Data'!I39,'Country Indicator Data'!I53,'Country Indicator Data'!I137,'Country Indicator Data'!I177,'Country Indicator Data'!I190)</f>
        <v>3</v>
      </c>
      <c r="N4" s="11" t="str">
        <f>VLOOKUP($B4,'Core Indicators'!$C$3:$EU$891,149,FALSE)</f>
        <v>x</v>
      </c>
      <c r="O4" s="214">
        <f>AVERAGE('Country Indicator Data'!K26,'Country Indicator Data'!K39,'Country Indicator Data'!K53,'Country Indicator Data'!K137,'Country Indicator Data'!K177,'Country Indicator Data'!K190)</f>
        <v>-0.68378533547123277</v>
      </c>
      <c r="P4" s="214">
        <f>AVERAGE('Country Indicator Data'!L26,'Country Indicator Data'!L39,'Country Indicator Data'!L53,'Country Indicator Data'!L137,'Country Indicator Data'!L177,'Country Indicator Data'!L190)</f>
        <v>5.916666666666667</v>
      </c>
      <c r="Q4" s="214">
        <f>AVERAGE('Country Indicator Data'!M26,'Country Indicator Data'!M39,'Country Indicator Data'!M53,'Country Indicator Data'!M137,'Country Indicator Data'!M177,'Country Indicator Data'!M190)</f>
        <v>62.666666666666664</v>
      </c>
      <c r="R4" s="214">
        <f>AVERAGE('Country Indicator Data'!N26,'Country Indicator Data'!N39,'Country Indicator Data'!N53,'Country Indicator Data'!N137,'Country Indicator Data'!N177,'Country Indicator Data'!N190)</f>
        <v>33.666666666666664</v>
      </c>
    </row>
    <row r="5" spans="1:18" x14ac:dyDescent="0.3">
      <c r="A5" s="271" t="s">
        <v>1287</v>
      </c>
      <c r="B5" s="84" t="s">
        <v>1235</v>
      </c>
      <c r="C5" s="73" t="s">
        <v>1236</v>
      </c>
      <c r="D5" s="74" t="s">
        <v>1237</v>
      </c>
      <c r="E5" s="269">
        <f>'Regional Crises'!P77+'Country Indicator Data'!P131</f>
        <v>770880</v>
      </c>
      <c r="F5" s="269">
        <f>VLOOKUP(B5,'Core Indicators'!$C$3:$G$198,5,FALSE)</f>
        <v>1561970000</v>
      </c>
      <c r="G5" s="272">
        <f>AVERAGE('Country Indicator Data'!C78,'Country Indicator Data'!C131)</f>
        <v>0.75808737942481841</v>
      </c>
      <c r="H5" s="214">
        <f>AVERAGE('Country Indicator Data'!D78,'Country Indicator Data'!D131)</f>
        <v>5</v>
      </c>
      <c r="I5" s="272">
        <f>AVERAGE('Country Indicator Data'!E78,'Country Indicator Data'!E131)</f>
        <v>8.3500000000000005E-2</v>
      </c>
      <c r="J5" s="272">
        <f>AVERAGE('Country Indicator Data'!F78,'Country Indicator Data'!F131)</f>
        <v>5.5</v>
      </c>
      <c r="K5" s="214">
        <f>AVERAGE('Country Indicator Data'!G78,'Country Indicator Data'!G131)</f>
        <v>0.52410904215290133</v>
      </c>
      <c r="L5" s="272">
        <f>AVERAGE('Country Indicator Data'!H78,'Country Indicator Data'!H131)</f>
        <v>35.649999618530245</v>
      </c>
      <c r="M5" s="214">
        <f>AVERAGE('Country Indicator Data'!I78, 'Country Indicator Data'!I131)</f>
        <v>3.5</v>
      </c>
      <c r="N5" s="11">
        <f>VLOOKUP($B5,'Core Indicators'!$C$3:$EU$891,149,FALSE)</f>
        <v>2819</v>
      </c>
      <c r="O5" s="11">
        <f>AVERAGE('Country Indicator Data'!K78,'Country Indicator Data'!K131)</f>
        <v>-0.34916854836046696</v>
      </c>
      <c r="P5" s="272">
        <f>AVERAGE('Country Indicator Data'!L78, 'Country Indicator Data'!L131)</f>
        <v>5.125</v>
      </c>
      <c r="Q5" s="272">
        <f>AVERAGE('Country Indicator Data'!M78, 'Country Indicator Data'!M131)</f>
        <v>54.5</v>
      </c>
      <c r="R5" s="214">
        <f>AVERAGE('Country Indicator Data'!N78, 'Country Indicator Data'!N131)</f>
        <v>36.5</v>
      </c>
    </row>
    <row r="6" spans="1:18" x14ac:dyDescent="0.3">
      <c r="A6" s="271" t="s">
        <v>1265</v>
      </c>
      <c r="B6" s="84" t="s">
        <v>1268</v>
      </c>
      <c r="C6" s="73" t="s">
        <v>1270</v>
      </c>
      <c r="D6" s="74" t="s">
        <v>1271</v>
      </c>
      <c r="E6" s="269">
        <f>'Country Indicator Data'!P120+'Country Indicator Data'!P16</f>
        <v>783250</v>
      </c>
      <c r="F6" s="269">
        <f>VLOOKUP(B6,'Core Indicators'!$C$3:$G$198,5,FALSE)</f>
        <v>195916000</v>
      </c>
      <c r="G6" s="272">
        <f>AVERAGE('Country Indicator Data'!C16,'Country Indicator Data'!C120)</f>
        <v>0.35558001202911121</v>
      </c>
      <c r="H6" s="272">
        <f>AVERAGE('Country Indicator Data'!D16,'Country Indicator Data'!D120)</f>
        <v>3.5</v>
      </c>
      <c r="I6" s="272">
        <f>AVERAGE('Country Indicator Data'!E16,'Country Indicator Data'!E120)</f>
        <v>0.21250000000000002</v>
      </c>
      <c r="J6" s="272">
        <f>AVERAGE('Country Indicator Data'!F16,'Country Indicator Data'!F120)</f>
        <v>3.8583333333333329</v>
      </c>
      <c r="K6" s="272">
        <f>AVERAGE('Country Indicator Data'!G16,'Country Indicator Data'!G120)</f>
        <v>0.49717238361116234</v>
      </c>
      <c r="L6" s="272">
        <f>AVERAGE('Country Indicator Data'!H16,'Country Indicator Data'!H120)</f>
        <v>31.550001144409201</v>
      </c>
      <c r="M6" s="272">
        <f>AVERAGE('Country Indicator Data'!I16,'Country Indicator Data'!I120)</f>
        <v>3.5</v>
      </c>
      <c r="N6" s="11">
        <f>VLOOKUP($B6,'Core Indicators'!$C$3:$EU$891,149,FALSE)</f>
        <v>305</v>
      </c>
      <c r="O6" s="272">
        <f>AVERAGE('Country Indicator Data'!K16,'Country Indicator Data'!K120)</f>
        <v>-0.84954610466957092</v>
      </c>
      <c r="P6" s="272">
        <f>AVERAGE('Country Indicator Data'!L16,'Country Indicator Data'!L120)</f>
        <v>3.125</v>
      </c>
      <c r="Q6" s="272">
        <f>AVERAGE('Country Indicator Data'!M16,'Country Indicator Data'!M120)</f>
        <v>34.5</v>
      </c>
      <c r="R6" s="272">
        <f>AVERAGE('Country Indicator Data'!N16,'Country Indicator Data'!N120)</f>
        <v>27.5</v>
      </c>
    </row>
    <row r="7" spans="1:18" x14ac:dyDescent="0.3">
      <c r="A7" s="271" t="s">
        <v>1248</v>
      </c>
      <c r="B7" s="84" t="s">
        <v>1252</v>
      </c>
      <c r="C7" s="271" t="s">
        <v>1256</v>
      </c>
      <c r="D7" s="74" t="s">
        <v>1260</v>
      </c>
      <c r="E7" s="269">
        <f>'Country Indicator Data'!P6+'Country Indicator Data'!P118+'Country Indicator Data'!P162</f>
        <v>3328251</v>
      </c>
      <c r="F7" s="269">
        <f>VLOOKUP(B7,'Core Indicators'!$C$3:$G$198,5,FALSE)</f>
        <v>125787000</v>
      </c>
      <c r="G7" s="272">
        <f>AVERAGE('Country Indicator Data'!C118,'Country Indicator Data'!C6,'Country Indicator Data'!C162)</f>
        <v>0.46699264916657368</v>
      </c>
      <c r="H7" s="272">
        <f>AVERAGE('Country Indicator Data'!D118,'Country Indicator Data'!D6,'Country Indicator Data'!D162)</f>
        <v>6.333333333333333</v>
      </c>
      <c r="I7" s="272">
        <f>AVERAGE('Country Indicator Data'!E118,'Country Indicator Data'!E6,'Country Indicator Data'!E162)</f>
        <v>0.32400000000000001</v>
      </c>
      <c r="J7" s="272">
        <f>AVERAGE('Country Indicator Data'!F118,'Country Indicator Data'!F6,'Country Indicator Data'!F162)</f>
        <v>4.1916666666666664</v>
      </c>
      <c r="K7" s="272">
        <f>AVERAGE('Country Indicator Data'!G118,'Country Indicator Data'!G6,'Country Indicator Data'!G162)</f>
        <v>0.33649607751437288</v>
      </c>
      <c r="L7" s="272">
        <f>AVERAGE('Country Indicator Data'!H118,'Country Indicator Data'!H6,'Country Indicator Data'!H162)</f>
        <v>33.933333714803069</v>
      </c>
      <c r="M7" s="272">
        <f>AVERAGE('Country Indicator Data'!I118,'Country Indicator Data'!I6,'Country Indicator Data'!I162)</f>
        <v>3</v>
      </c>
      <c r="N7" s="11">
        <f>VLOOKUP($B7,'Core Indicators'!$C$3:$EU$891,149,FALSE)</f>
        <v>63</v>
      </c>
      <c r="O7" s="272">
        <f>AVERAGE('Country Indicator Data'!K118,'Country Indicator Data'!K6,'Country Indicator Data'!K162)</f>
        <v>9.3130916357040405E-3</v>
      </c>
      <c r="P7" s="272">
        <f>AVERAGE('Country Indicator Data'!L118,'Country Indicator Data'!L6,'Country Indicator Data'!L162)</f>
        <v>3.75</v>
      </c>
      <c r="Q7" s="272">
        <f>AVERAGE('Country Indicator Data'!M118,'Country Indicator Data'!M6,'Country Indicator Data'!M162)</f>
        <v>54.333333333333336</v>
      </c>
      <c r="R7" s="272">
        <f>AVERAGE('Country Indicator Data'!N118,'Country Indicator Data'!N6,'Country Indicator Data'!N162)</f>
        <v>46</v>
      </c>
    </row>
    <row r="8" spans="1:18" x14ac:dyDescent="0.3">
      <c r="A8" s="271" t="s">
        <v>1249</v>
      </c>
      <c r="B8" s="84" t="s">
        <v>1253</v>
      </c>
      <c r="C8" s="271" t="s">
        <v>1257</v>
      </c>
      <c r="D8" s="74" t="s">
        <v>1261</v>
      </c>
      <c r="E8" s="269">
        <f>'Country Indicator Data'!P6+'Country Indicator Data'!P178+'Country Indicator Data'!P100+'Country Indicator Data'!P84</f>
        <v>4590781</v>
      </c>
      <c r="F8" s="269">
        <f>VLOOKUP(B8,'Core Indicators'!$C$3:$G$198,5,FALSE)</f>
        <v>121936000</v>
      </c>
      <c r="G8" s="272">
        <f>AVERAGE('Country Indicator Data'!C6,'Country Indicator Data'!C178,'Country Indicator Data'!C100,'Country Indicator Data'!C84)</f>
        <v>0.21078298663015724</v>
      </c>
      <c r="H8" s="272">
        <f>AVERAGE('Country Indicator Data'!D6,'Country Indicator Data'!D178,'Country Indicator Data'!D100,'Country Indicator Data'!D84)</f>
        <v>5.75</v>
      </c>
      <c r="I8" s="272">
        <f>AVERAGE('Country Indicator Data'!E6,'Country Indicator Data'!E178,'Country Indicator Data'!E100,'Country Indicator Data'!E84)</f>
        <v>6.8875000000000006E-2</v>
      </c>
      <c r="J8" s="272">
        <f>AVERAGE('Country Indicator Data'!F6,'Country Indicator Data'!F178,'Country Indicator Data'!F100,'Country Indicator Data'!F84)</f>
        <v>4.5666666666666664</v>
      </c>
      <c r="K8" s="272">
        <f>AVERAGE('Country Indicator Data'!G6,'Country Indicator Data'!G178,'Country Indicator Data'!G100,'Country Indicator Data'!G84)</f>
        <v>0.24606424357680326</v>
      </c>
      <c r="L8" s="272">
        <f>AVERAGE('Country Indicator Data'!H6,'Country Indicator Data'!H178,'Country Indicator Data'!H100,'Country Indicator Data'!H84)</f>
        <v>32.100000381469698</v>
      </c>
      <c r="M8" s="272">
        <f>AVERAGE('Country Indicator Data'!I6,'Country Indicator Data'!I178,'Country Indicator Data'!I100,'Country Indicator Data'!I84)</f>
        <v>2.75</v>
      </c>
      <c r="N8" s="11">
        <f>VLOOKUP($B8,'Core Indicators'!$C$3:$EU$891,149,FALSE)</f>
        <v>344</v>
      </c>
      <c r="O8" s="272">
        <f>AVERAGE('Country Indicator Data'!K6,'Country Indicator Data'!K178,'Country Indicator Data'!K100,'Country Indicator Data'!K84)</f>
        <v>-0.58027702756226063</v>
      </c>
      <c r="P8" s="272">
        <f>AVERAGE('Country Indicator Data'!L6,'Country Indicator Data'!L178,'Country Indicator Data'!L100,'Country Indicator Data'!L84)</f>
        <v>4.166666666666667</v>
      </c>
      <c r="Q8" s="272">
        <f>AVERAGE('Country Indicator Data'!M6,'Country Indicator Data'!M178,'Country Indicator Data'!M100,'Country Indicator Data'!M84)</f>
        <v>50.5</v>
      </c>
      <c r="R8" s="272">
        <f>AVERAGE('Country Indicator Data'!N6,'Country Indicator Data'!N178,'Country Indicator Data'!N100,'Country Indicator Data'!N84)</f>
        <v>37.25</v>
      </c>
    </row>
    <row r="9" spans="1:18" x14ac:dyDescent="0.3">
      <c r="A9" s="271" t="s">
        <v>1250</v>
      </c>
      <c r="B9" s="84" t="s">
        <v>1254</v>
      </c>
      <c r="C9" s="271" t="s">
        <v>1258</v>
      </c>
      <c r="D9" s="74" t="s">
        <v>1262</v>
      </c>
      <c r="E9" s="269">
        <f>SUM('Country Indicator Data'!P169,'Country Indicator Data'!P81,'Country Indicator Data'!P97,'Country Indicator Data'!P54,'Country Indicator Data'!P179,'Country Indicator Data'!P87)</f>
        <v>2482040</v>
      </c>
      <c r="F9" s="269">
        <f>VLOOKUP(B9,'Core Indicators'!$C$3:$G$198,5,FALSE)</f>
        <v>254040000</v>
      </c>
      <c r="G9" s="272">
        <f>AVERAGE('Country Indicator Data'!C169,'Country Indicator Data'!C97,'Country Indicator Data'!C87,'Country Indicator Data'!C54,'Country Indicator Data'!C81,'Country Indicator Data'!C179)</f>
        <v>0.50963423661054519</v>
      </c>
      <c r="H9" s="214">
        <f>AVERAGE('Country Indicator Data'!D169,'Country Indicator Data'!D97,'Country Indicator Data'!D87,'Country Indicator Data'!D54,'Country Indicator Data'!D81,'Country Indicator Data'!D179)</f>
        <v>3.5</v>
      </c>
      <c r="I9" s="272">
        <f>AVERAGE('Country Indicator Data'!E169,'Country Indicator Data'!E97,'Country Indicator Data'!E87,'Country Indicator Data'!E54,'Country Indicator Data'!E81,'Country Indicator Data'!E179)</f>
        <v>0.32666666666666666</v>
      </c>
      <c r="J9" s="272">
        <f>AVERAGE('Country Indicator Data'!F169,'Country Indicator Data'!F97,'Country Indicator Data'!F87,'Country Indicator Data'!F54,'Country Indicator Data'!F81,'Country Indicator Data'!F179)</f>
        <v>3.9666666666666663</v>
      </c>
      <c r="K9" s="272">
        <f>AVERAGE('Country Indicator Data'!G169,'Country Indicator Data'!G97,'Country Indicator Data'!G87,'Country Indicator Data'!G81,'Country Indicator Data'!G54,'Country Indicator Data'!G179)</f>
        <v>0.44548120719046125</v>
      </c>
      <c r="L9" s="272">
        <f>AVERAGE('Country Indicator Data'!H169,'Country Indicator Data'!H97,'Country Indicator Data'!H87,'Country Indicator Data'!H81,'Country Indicator Data'!H54,'Country Indicator Data'!H179)</f>
        <v>33.680000305175781</v>
      </c>
      <c r="M9" s="214">
        <f>AVERAGE('Country Indicator Data'!I169,'Country Indicator Data'!I97,'Country Indicator Data'!I87,'Country Indicator Data'!I81,'Country Indicator Data'!I54,'Country Indicator Data'!I179)</f>
        <v>4.166666666666667</v>
      </c>
      <c r="N9" s="11">
        <f>VLOOKUP($B9,'Core Indicators'!$C$3:$EU$891,149,FALSE)</f>
        <v>3037</v>
      </c>
      <c r="O9" s="11">
        <f>AVERAGE('Country Indicator Data'!K169,'Country Indicator Data'!K97,'Country Indicator Data'!K87,'Country Indicator Data'!K81,'Country Indicator Data'!K54,'Country Indicator Data'!K179)</f>
        <v>-0.86944311112165451</v>
      </c>
      <c r="P9" s="272">
        <f>AVERAGE('Country Indicator Data'!L169,'Country Indicator Data'!L97,'Country Indicator Data'!L87,'Country Indicator Data'!L81,'Country Indicator Data'!L54,'Country Indicator Data'!L179)</f>
        <v>3.4583333333333335</v>
      </c>
      <c r="Q9" s="272">
        <f>AVERAGE('Country Indicator Data'!M169,'Country Indicator Data'!M97,'Country Indicator Data'!M87,'Country Indicator Data'!M81,'Country Indicator Data'!M54,'Country Indicator Data'!M179)</f>
        <v>27.5</v>
      </c>
      <c r="R9" s="272">
        <f>AVERAGE('Country Indicator Data'!N169,'Country Indicator Data'!N97,'Country Indicator Data'!N87,'Country Indicator Data'!N81,'Country Indicator Data'!N54,'Country Indicator Data'!N179)</f>
        <v>30.5</v>
      </c>
    </row>
    <row r="10" spans="1:18" x14ac:dyDescent="0.3">
      <c r="A10" s="271" t="s">
        <v>1365</v>
      </c>
      <c r="B10" s="84" t="s">
        <v>1255</v>
      </c>
      <c r="C10" s="271" t="s">
        <v>1259</v>
      </c>
      <c r="D10" s="74" t="s">
        <v>1263</v>
      </c>
      <c r="E10" s="269">
        <f>SUM('Country Indicator Data'!P68,'Country Indicator Data'!P179)</f>
        <v>898530</v>
      </c>
      <c r="F10" s="269">
        <f>VLOOKUP(B10,'Core Indicators'!$C$3:$G$198,5,FALSE)</f>
        <v>91602000</v>
      </c>
      <c r="G10" s="272">
        <f>AVERAGE('Country Indicator Data'!C68,'Country Indicator Data'!C179)</f>
        <v>0.24144923929518319</v>
      </c>
      <c r="H10" s="214">
        <f>AVERAGE('Country Indicator Data'!D68,'Country Indicator Data'!D179)</f>
        <v>8</v>
      </c>
      <c r="I10" s="272">
        <f>AVERAGE('Country Indicator Data'!E68,'Country Indicator Data'!E179)</f>
        <v>0.18350000000000002</v>
      </c>
      <c r="J10" s="272">
        <f>AVERAGE('Country Indicator Data'!F68,'Country Indicator Data'!F179)</f>
        <v>4.9166666666666661</v>
      </c>
      <c r="K10" s="272">
        <f>AVERAGE('Country Indicator Data'!G68,'Country Indicator Data'!G179)</f>
        <v>0.21366332588776121</v>
      </c>
      <c r="L10" s="272">
        <f>AVERAGE('Country Indicator Data'!H68,'Country Indicator Data'!H179)</f>
        <v>38.150001525878899</v>
      </c>
      <c r="M10" s="214">
        <f>AVERAGE('Country Indicator Data'!I68,'Country Indicator Data'!I179)</f>
        <v>4</v>
      </c>
      <c r="N10" s="11">
        <f>VLOOKUP($B10,'Core Indicators'!$C$3:$EU$891,149,FALSE)</f>
        <v>24</v>
      </c>
      <c r="O10" s="11">
        <f>AVERAGE('Country Indicator Data'!K68,'Country Indicator Data'!K179)</f>
        <v>-4.2062647640705109E-2</v>
      </c>
      <c r="P10" s="272">
        <f>AVERAGE('Country Indicator Data'!L68,'Country Indicator Data'!L179)</f>
        <v>3.5</v>
      </c>
      <c r="Q10" s="272">
        <f>AVERAGE('Country Indicator Data'!M68,'Country Indicator Data'!M179)</f>
        <v>60</v>
      </c>
      <c r="R10" s="272">
        <f>AVERAGE('Country Indicator Data'!N68,'Country Indicator Data'!N179)</f>
        <v>43.5</v>
      </c>
    </row>
    <row r="11" spans="1:18" x14ac:dyDescent="0.3">
      <c r="A11" s="271" t="s">
        <v>2100</v>
      </c>
      <c r="B11" s="84" t="s">
        <v>2135</v>
      </c>
      <c r="C11" s="271" t="s">
        <v>2137</v>
      </c>
      <c r="D11" s="273" t="s">
        <v>2136</v>
      </c>
      <c r="E11" s="269">
        <f>SUM('Country Indicator Data'!P98,'Country Indicator Data'!P104,'Country Indicator Data'!P105,'Country Indicator Data'!P119,'Country Indicator Data'!P121,'Country Indicator Data'!P166,'Country Indicator Data'!P171,'Country Indicator Data'!P193,'Country Indicator Data'!P194)</f>
        <v>4349350</v>
      </c>
      <c r="F11" s="269">
        <f>VLOOKUP(B11,'Core Indicators'!$C$3:$G$198,5,FALSE)</f>
        <v>112526000</v>
      </c>
      <c r="G11" s="272">
        <f>AVERAGE('Country Indicator Data'!C98,'Country Indicator Data'!C104,'Country Indicator Data'!C105,'Country Indicator Data'!C119,'Country Indicator Data'!C121,'Country Indicator Data'!C166,'Country Indicator Data'!C171,'Country Indicator Data'!C193,'Country Indicator Data'!C194)</f>
        <v>0.48547299973513852</v>
      </c>
      <c r="H11" s="214">
        <f>AVERAGE('Country Indicator Data'!D98,'Country Indicator Data'!D104,'Country Indicator Data'!D105,'Country Indicator Data'!D119,'Country Indicator Data'!D121,'Country Indicator Data'!D166,'Country Indicator Data'!D171,'Country Indicator Data'!D193,'Country Indicator Data'!D194)</f>
        <v>7.2222222222222223</v>
      </c>
      <c r="I11" s="272">
        <f>AVERAGE('Country Indicator Data'!E98,'Country Indicator Data'!E104,'Country Indicator Data'!E105,'Country Indicator Data'!E119,'Country Indicator Data'!E121,'Country Indicator Data'!E166,'Country Indicator Data'!E171,'Country Indicator Data'!E193,'Country Indicator Data'!E194)</f>
        <v>3.9555555555555552E-2</v>
      </c>
      <c r="J11" s="272">
        <f>AVERAGE('Country Indicator Data'!F98,'Country Indicator Data'!F104,'Country Indicator Data'!F105,'Country Indicator Data'!F119,'Country Indicator Data'!F121,'Country Indicator Data'!F166,'Country Indicator Data'!F171,'Country Indicator Data'!F193,'Country Indicator Data'!F194)</f>
        <v>5.4370370370370376</v>
      </c>
      <c r="K11" s="214">
        <f>AVERAGE('Country Indicator Data'!G98,'Country Indicator Data'!G104,'Country Indicator Data'!G105,'Country Indicator Data'!G119,'Country Indicator Data'!G121,'Country Indicator Data'!G166,'Country Indicator Data'!G171,'Country Indicator Data'!G193,'Country Indicator Data'!G194)</f>
        <v>0.5465671511162512</v>
      </c>
      <c r="L11" s="272">
        <f>AVERAGE('Country Indicator Data'!H98,'Country Indicator Data'!H104,'Country Indicator Data'!H105,'Country Indicator Data'!H119,'Country Indicator Data'!H121,'Country Indicator Data'!H166,'Country Indicator Data'!H171,'Country Indicator Data'!H193,'Country Indicator Data'!H194)</f>
        <v>49.088888380262588</v>
      </c>
      <c r="M11" s="214">
        <f>AVERAGE('Country Indicator Data'!I98,'Country Indicator Data'!I104,'Country Indicator Data'!I105,'Country Indicator Data'!I119,'Country Indicator Data'!I121,'Country Indicator Data'!I166,'Country Indicator Data'!I171,'Country Indicator Data'!I193,'Country Indicator Data'!I194)</f>
        <v>1.1111111111111112</v>
      </c>
      <c r="N11" s="11">
        <f>VLOOKUP($B11,'Core Indicators'!$C$3:$EU$891,149,FALSE)</f>
        <v>1969</v>
      </c>
      <c r="O11" s="11">
        <f>AVERAGE('Country Indicator Data'!K98,'Country Indicator Data'!K104,'Country Indicator Data'!K105,'Country Indicator Data'!K119,'Country Indicator Data'!K121,'Country Indicator Data'!K166,'Country Indicator Data'!K171,'Country Indicator Data'!K193,'Country Indicator Data'!K194)</f>
        <v>-0.58107002576192224</v>
      </c>
      <c r="P11" s="272">
        <f>AVERAGE('Country Indicator Data'!L98,'Country Indicator Data'!L104,'Country Indicator Data'!L105,'Country Indicator Data'!L119,'Country Indicator Data'!L121,'Country Indicator Data'!L166,'Country Indicator Data'!L171,'Country Indicator Data'!L193,'Country Indicator Data'!L194)</f>
        <v>4.3888888888888893</v>
      </c>
      <c r="Q11" s="272">
        <f>AVERAGE('Country Indicator Data'!M98,'Country Indicator Data'!M104,'Country Indicator Data'!M105,'Country Indicator Data'!M119,'Country Indicator Data'!M121,'Country Indicator Data'!M166,'Country Indicator Data'!M171,'Country Indicator Data'!M193,'Country Indicator Data'!M194)</f>
        <v>50</v>
      </c>
      <c r="R11" s="214">
        <f>AVERAGE('Country Indicator Data'!N98,'Country Indicator Data'!N104,'Country Indicator Data'!N105,'Country Indicator Data'!N119,'Country Indicator Data'!N121,'Country Indicator Data'!N166,'Country Indicator Data'!N171,'Country Indicator Data'!N193,'Country Indicator Data'!N194)</f>
        <v>33.555555555555557</v>
      </c>
    </row>
    <row r="12" spans="1:18" s="88" customFormat="1" ht="12.6" customHeight="1" x14ac:dyDescent="0.3">
      <c r="A12" s="271" t="s">
        <v>3818</v>
      </c>
      <c r="B12" s="84" t="s">
        <v>3820</v>
      </c>
      <c r="C12" s="271" t="s">
        <v>3817</v>
      </c>
      <c r="D12" s="273" t="s">
        <v>3823</v>
      </c>
      <c r="E12" s="269">
        <f>SUM('Country Indicator Data'!P10,'Country Indicator Data'!P13)</f>
        <v>111133</v>
      </c>
      <c r="F12" s="269">
        <f>VLOOKUP(B12,'Core Indicators'!$C$3:$G$198,5,FALSE)</f>
        <v>12935000</v>
      </c>
      <c r="G12" s="272">
        <f>AVERAGE('Country Indicator Data'!C10,'Country Indicator Data'!C13)</f>
        <v>9.7125606720104507E-2</v>
      </c>
      <c r="H12" s="214">
        <f>AVERAGE('Country Indicator Data'!D10,'Country Indicator Data'!D13)</f>
        <v>5</v>
      </c>
      <c r="I12" s="272">
        <f>AVERAGE('Country Indicator Data'!E10,'Country Indicator Data'!E13)</f>
        <v>3.6499999999999998E-2</v>
      </c>
      <c r="J12" s="272">
        <f>AVERAGE('Country Indicator Data'!F10,'Country Indicator Data'!F13)</f>
        <v>5.2666666666666666</v>
      </c>
      <c r="K12" s="214">
        <f>AVERAGE('Country Indicator Data'!G10,'Country Indicator Data'!G13)</f>
        <v>0.28972985066761309</v>
      </c>
      <c r="L12" s="272">
        <f>AVERAGE('Country Indicator Data'!H10,'Country Indicator Data'!H13)</f>
        <v>34.400001525878899</v>
      </c>
      <c r="M12" s="214">
        <f>AVERAGE('Country Indicator Data'!I10,'Country Indicator Data'!I13)</f>
        <v>3</v>
      </c>
      <c r="N12" s="11">
        <f>VLOOKUP($B12,'Core Indicators'!$C$3:$EU$891,149,FALSE)</f>
        <v>138</v>
      </c>
      <c r="O12" s="11">
        <f>AVERAGE('Country Indicator Data'!K10,'Country Indicator Data'!K13)</f>
        <v>-0.35427304357290268</v>
      </c>
      <c r="P12" s="272">
        <f>AVERAGE('Country Indicator Data'!L10,'Country Indicator Data'!L13)</f>
        <v>4.5</v>
      </c>
      <c r="Q12" s="272">
        <f>AVERAGE('Country Indicator Data'!M10,'Country Indicator Data'!M13)</f>
        <v>31.5</v>
      </c>
      <c r="R12" s="214">
        <f>AVERAGE('Country Indicator Data'!N10,'Country Indicator Data'!N13)</f>
        <v>36</v>
      </c>
    </row>
    <row r="13" spans="1:18" x14ac:dyDescent="0.3">
      <c r="A13" s="72"/>
      <c r="B13" s="72"/>
      <c r="C13" s="72"/>
      <c r="D13" s="75"/>
      <c r="F13" s="63"/>
    </row>
    <row r="14" spans="1:18" x14ac:dyDescent="0.3">
      <c r="A14" s="72"/>
      <c r="B14" s="72"/>
      <c r="C14" s="72"/>
      <c r="D14" s="75"/>
      <c r="F14" s="63"/>
    </row>
    <row r="15" spans="1:18" x14ac:dyDescent="0.3">
      <c r="A15" s="72"/>
      <c r="B15" s="72"/>
      <c r="C15" s="72"/>
      <c r="D15" s="75"/>
      <c r="F15" s="63"/>
    </row>
    <row r="16" spans="1:18" x14ac:dyDescent="0.3">
      <c r="A16" s="72"/>
      <c r="B16" s="72"/>
      <c r="C16" s="72"/>
      <c r="D16" s="75"/>
      <c r="F16" s="63"/>
    </row>
    <row r="17" spans="1:9" x14ac:dyDescent="0.3">
      <c r="A17" s="72"/>
      <c r="B17" s="72"/>
      <c r="C17" s="72"/>
      <c r="D17" s="75"/>
      <c r="F17" s="63"/>
    </row>
    <row r="18" spans="1:9" x14ac:dyDescent="0.3">
      <c r="A18" s="72"/>
      <c r="B18" s="72"/>
      <c r="C18" s="72"/>
      <c r="D18" s="75"/>
      <c r="F18" s="63"/>
      <c r="I18" s="19"/>
    </row>
    <row r="19" spans="1:9" x14ac:dyDescent="0.3">
      <c r="A19" s="72"/>
      <c r="B19" s="72"/>
      <c r="C19" s="72"/>
      <c r="D19" s="75"/>
      <c r="F19" s="63"/>
    </row>
    <row r="20" spans="1:9" x14ac:dyDescent="0.3">
      <c r="A20" s="72"/>
      <c r="B20" s="72"/>
      <c r="C20" s="72"/>
      <c r="D20" s="75"/>
      <c r="F20" s="63"/>
    </row>
    <row r="21" spans="1:9" x14ac:dyDescent="0.3">
      <c r="A21" s="72"/>
      <c r="B21" s="72"/>
      <c r="C21" s="72"/>
      <c r="D21" s="75"/>
      <c r="F21" s="63"/>
    </row>
    <row r="22" spans="1:9" x14ac:dyDescent="0.3">
      <c r="A22" s="72"/>
      <c r="B22" s="72"/>
      <c r="C22" s="72"/>
      <c r="D22" s="75"/>
      <c r="F22" s="63"/>
    </row>
    <row r="23" spans="1:9" x14ac:dyDescent="0.3">
      <c r="A23" s="72"/>
      <c r="B23" s="72"/>
      <c r="C23" s="72"/>
      <c r="D23" s="75"/>
      <c r="F23" s="63"/>
    </row>
    <row r="24" spans="1:9" x14ac:dyDescent="0.3">
      <c r="A24" s="72"/>
      <c r="B24" s="72"/>
      <c r="C24" s="72"/>
      <c r="D24" s="75"/>
      <c r="F24" s="63"/>
    </row>
    <row r="25" spans="1:9" x14ac:dyDescent="0.3">
      <c r="A25" s="72"/>
      <c r="B25" s="72"/>
      <c r="C25" s="72"/>
      <c r="D25" s="75"/>
      <c r="F25" s="63"/>
    </row>
  </sheetData>
  <protectedRanges>
    <protectedRange sqref="A12" name="Range1_1"/>
  </protectedRanges>
  <phoneticPr fontId="9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zoomScale="80" zoomScaleNormal="80" workbookViewId="0">
      <pane xSplit="8" ySplit="2" topLeftCell="I138" activePane="bottomRight" state="frozen"/>
      <selection pane="topRight" activeCell="H1" sqref="H1"/>
      <selection pane="bottomLeft" activeCell="A3" sqref="A3"/>
      <selection pane="bottomRight" activeCell="T143" sqref="T143"/>
    </sheetView>
  </sheetViews>
  <sheetFormatPr defaultColWidth="8.44140625" defaultRowHeight="14.4" x14ac:dyDescent="0.3"/>
  <cols>
    <col min="1" max="1" width="8.44140625" customWidth="1"/>
    <col min="2" max="2" width="9.44140625" customWidth="1"/>
    <col min="3" max="5" width="9.44140625" style="79" customWidth="1"/>
    <col min="6" max="6" width="7" style="79" customWidth="1"/>
    <col min="7" max="7" width="6.44140625" style="79" customWidth="1"/>
  </cols>
  <sheetData>
    <row r="1" spans="1:9" s="79" customFormat="1" x14ac:dyDescent="0.3">
      <c r="A1" s="310"/>
      <c r="B1" s="310"/>
      <c r="C1" s="310"/>
      <c r="D1" s="310"/>
      <c r="E1" s="310"/>
      <c r="F1" s="310"/>
      <c r="G1" s="310"/>
      <c r="H1" s="310"/>
    </row>
    <row r="2" spans="1:9" ht="147" customHeight="1" x14ac:dyDescent="0.3">
      <c r="A2" s="208" t="s">
        <v>566</v>
      </c>
      <c r="B2" s="209" t="s">
        <v>2963</v>
      </c>
      <c r="C2" s="209" t="s">
        <v>2940</v>
      </c>
      <c r="D2" s="209" t="s">
        <v>2939</v>
      </c>
      <c r="E2" s="209" t="s">
        <v>1313</v>
      </c>
      <c r="F2" s="210" t="s">
        <v>2940</v>
      </c>
      <c r="G2" s="210" t="s">
        <v>2941</v>
      </c>
      <c r="H2" s="211" t="s">
        <v>2942</v>
      </c>
      <c r="I2" s="107" t="s">
        <v>565</v>
      </c>
    </row>
    <row r="3" spans="1:9" x14ac:dyDescent="0.3">
      <c r="A3" s="212" t="str">
        <f>Lists!C:C</f>
        <v>AFG001</v>
      </c>
      <c r="B3" s="213">
        <f>ROUND(AVERAGE(C3:E3),1)</f>
        <v>1.3</v>
      </c>
      <c r="C3" s="213">
        <f>IF(F3="x","x",ROUND((5-(3-F3)/2*5),1))</f>
        <v>2.2999999999999998</v>
      </c>
      <c r="D3" s="213">
        <f>IF(G3&gt;365,5,ROUND((5-(365-G3)/364*5),1))</f>
        <v>1.6</v>
      </c>
      <c r="E3" s="213">
        <f>IF(H3&gt;3,5,ROUND((5-(3-H3)/3*5),1))</f>
        <v>0</v>
      </c>
      <c r="F3" s="213">
        <f>'Data Reliability'!B3</f>
        <v>1.9</v>
      </c>
      <c r="G3" s="214">
        <f>Reliability_updated!V3</f>
        <v>114.8</v>
      </c>
      <c r="H3" s="214">
        <f>'Data Reliability'!C3</f>
        <v>0</v>
      </c>
      <c r="I3" t="str">
        <f>IF(Reliability!B3="x","x",(IF(ROUNDUP(Reliability!B3,0)=1,"Very High",IF(ROUNDUP(Reliability!B3,0)=2,"High",IF(ROUNDUP(Reliability!B3,0)=3,"Medium",IF(ROUNDUP(Reliability!B3,0)=4,"Low","Very Low"))))))</f>
        <v>High</v>
      </c>
    </row>
    <row r="4" spans="1:9" x14ac:dyDescent="0.3">
      <c r="A4" s="212" t="str">
        <f>Lists!C:C</f>
        <v>DZA002</v>
      </c>
      <c r="B4" s="213">
        <f t="shared" ref="B4:B67" si="0">ROUND(AVERAGE(C4:E4),1)</f>
        <v>4.3</v>
      </c>
      <c r="C4" s="213" t="str">
        <f t="shared" ref="C4:C67" si="1">IF(F4="x","x",ROUND((5-(3-F4)/2*5),1))</f>
        <v>x</v>
      </c>
      <c r="D4" s="213">
        <f t="shared" ref="D4:D67" si="2">IF(G4&gt;365,5,ROUND((5-(365-G4)/364*5),1))</f>
        <v>3.5</v>
      </c>
      <c r="E4" s="213">
        <f t="shared" ref="E4:E67" si="3">IF(H4&gt;3,5,ROUND((5-(3-H4)/3*5),1))</f>
        <v>5</v>
      </c>
      <c r="F4" s="213" t="str">
        <f>'Data Reliability'!B4</f>
        <v>x</v>
      </c>
      <c r="G4" s="214">
        <f>Reliability_updated!V4</f>
        <v>253.4</v>
      </c>
      <c r="H4" s="214">
        <f>'Data Reliability'!C4</f>
        <v>3</v>
      </c>
      <c r="I4" s="79" t="str">
        <f>IF(Reliability!B4="x","x",(IF(ROUNDUP(Reliability!B4,0)=1,"Very High",IF(ROUNDUP(Reliability!B4,0)=2,"High",IF(ROUNDUP(Reliability!B4,0)=3,"Medium",IF(ROUNDUP(Reliability!B4,0)=4,"Low","Very Low"))))))</f>
        <v>Very Low</v>
      </c>
    </row>
    <row r="5" spans="1:9" x14ac:dyDescent="0.3">
      <c r="A5" s="212" t="str">
        <f>Lists!C:C</f>
        <v>DZA003</v>
      </c>
      <c r="B5" s="213">
        <f t="shared" si="0"/>
        <v>2.8</v>
      </c>
      <c r="C5" s="213">
        <f t="shared" si="1"/>
        <v>3.8</v>
      </c>
      <c r="D5" s="213">
        <f t="shared" si="2"/>
        <v>4.7</v>
      </c>
      <c r="E5" s="213">
        <f t="shared" si="3"/>
        <v>0</v>
      </c>
      <c r="F5" s="213">
        <f>'Data Reliability'!B5</f>
        <v>2.5</v>
      </c>
      <c r="G5" s="214">
        <f>Reliability_updated!V5</f>
        <v>340.3</v>
      </c>
      <c r="H5" s="214">
        <f>'Data Reliability'!C5</f>
        <v>0</v>
      </c>
      <c r="I5" s="79" t="str">
        <f>IF(Reliability!B5="x","x",(IF(ROUNDUP(Reliability!B5,0)=1,"Very High",IF(ROUNDUP(Reliability!B5,0)=2,"High",IF(ROUNDUP(Reliability!B5,0)=3,"Medium",IF(ROUNDUP(Reliability!B5,0)=4,"Low","Very Low"))))))</f>
        <v>Medium</v>
      </c>
    </row>
    <row r="6" spans="1:9" x14ac:dyDescent="0.3">
      <c r="A6" s="212" t="str">
        <f>Lists!C:C</f>
        <v>DZA004</v>
      </c>
      <c r="B6" s="213">
        <f t="shared" si="0"/>
        <v>3.4</v>
      </c>
      <c r="C6" s="213" t="str">
        <f t="shared" si="1"/>
        <v>x</v>
      </c>
      <c r="D6" s="213">
        <f t="shared" si="2"/>
        <v>1.7</v>
      </c>
      <c r="E6" s="213">
        <f t="shared" si="3"/>
        <v>5</v>
      </c>
      <c r="F6" s="213" t="str">
        <f>'Data Reliability'!B6</f>
        <v>x</v>
      </c>
      <c r="G6" s="214">
        <f>Reliability_updated!V6</f>
        <v>122.2</v>
      </c>
      <c r="H6" s="214">
        <f>'Data Reliability'!C6</f>
        <v>3</v>
      </c>
      <c r="I6" s="79" t="str">
        <f>IF(Reliability!B6="x","x",(IF(ROUNDUP(Reliability!B6,0)=1,"Very High",IF(ROUNDUP(Reliability!B6,0)=2,"High",IF(ROUNDUP(Reliability!B6,0)=3,"Medium",IF(ROUNDUP(Reliability!B6,0)=4,"Low","Very Low"))))))</f>
        <v>Low</v>
      </c>
    </row>
    <row r="7" spans="1:9" x14ac:dyDescent="0.3">
      <c r="A7" s="212" t="str">
        <f>Lists!C:C</f>
        <v>REG008</v>
      </c>
      <c r="B7" s="213">
        <f t="shared" si="0"/>
        <v>5</v>
      </c>
      <c r="C7" s="213" t="str">
        <f t="shared" si="1"/>
        <v>x</v>
      </c>
      <c r="D7" s="213">
        <f t="shared" si="2"/>
        <v>5</v>
      </c>
      <c r="E7" s="213">
        <f t="shared" si="3"/>
        <v>5</v>
      </c>
      <c r="F7" s="213" t="str">
        <f>'Data Reliability'!B7</f>
        <v>x</v>
      </c>
      <c r="G7" s="214">
        <f>Reliability_updated!V7</f>
        <v>503.1</v>
      </c>
      <c r="H7" s="214">
        <f>'Data Reliability'!C7</f>
        <v>5</v>
      </c>
      <c r="I7" s="79" t="str">
        <f>IF(Reliability!B7="x","x",(IF(ROUNDUP(Reliability!B7,0)=1,"Very High",IF(ROUNDUP(Reliability!B7,0)=2,"High",IF(ROUNDUP(Reliability!B7,0)=3,"Medium",IF(ROUNDUP(Reliability!B7,0)=4,"Low","Very Low"))))))</f>
        <v>Very Low</v>
      </c>
    </row>
    <row r="8" spans="1:9" x14ac:dyDescent="0.3">
      <c r="A8" s="212" t="str">
        <f>Lists!C:C</f>
        <v>REG007</v>
      </c>
      <c r="B8" s="213">
        <f t="shared" si="0"/>
        <v>5</v>
      </c>
      <c r="C8" s="213" t="str">
        <f t="shared" si="1"/>
        <v>x</v>
      </c>
      <c r="D8" s="213">
        <f t="shared" si="2"/>
        <v>5</v>
      </c>
      <c r="E8" s="213">
        <f t="shared" si="3"/>
        <v>5</v>
      </c>
      <c r="F8" s="213" t="str">
        <f>'Data Reliability'!B8</f>
        <v>x</v>
      </c>
      <c r="G8" s="214">
        <f>Reliability_updated!V8</f>
        <v>484.5</v>
      </c>
      <c r="H8" s="214">
        <f>'Data Reliability'!C8</f>
        <v>5</v>
      </c>
      <c r="I8" s="79" t="str">
        <f>IF(Reliability!B8="x","x",(IF(ROUNDUP(Reliability!B8,0)=1,"Very High",IF(ROUNDUP(Reliability!B8,0)=2,"High",IF(ROUNDUP(Reliability!B8,0)=3,"Medium",IF(ROUNDUP(Reliability!B8,0)=4,"Low","Very Low"))))))</f>
        <v>Very Low</v>
      </c>
    </row>
    <row r="9" spans="1:9" x14ac:dyDescent="0.3">
      <c r="A9" s="212" t="str">
        <f>Lists!C:C</f>
        <v>ARM002</v>
      </c>
      <c r="B9" s="213">
        <f t="shared" si="0"/>
        <v>1.7</v>
      </c>
      <c r="C9" s="213" t="str">
        <f t="shared" si="1"/>
        <v>x</v>
      </c>
      <c r="D9" s="213">
        <f t="shared" si="2"/>
        <v>0</v>
      </c>
      <c r="E9" s="213">
        <f t="shared" si="3"/>
        <v>3.3</v>
      </c>
      <c r="F9" s="213" t="str">
        <f>'Data Reliability'!B9</f>
        <v>x</v>
      </c>
      <c r="G9" s="214">
        <f>Reliability_updated!V9</f>
        <v>1</v>
      </c>
      <c r="H9" s="214">
        <f>'Data Reliability'!C9</f>
        <v>2</v>
      </c>
      <c r="I9" s="79" t="str">
        <f>IF(Reliability!B9="x","x",(IF(ROUNDUP(Reliability!B9,0)=1,"Very High",IF(ROUNDUP(Reliability!B9,0)=2,"High",IF(ROUNDUP(Reliability!B9,0)=3,"Medium",IF(ROUNDUP(Reliability!B9,0)=4,"Low","Very Low"))))))</f>
        <v>High</v>
      </c>
    </row>
    <row r="10" spans="1:9" x14ac:dyDescent="0.3">
      <c r="A10" s="212" t="str">
        <f>Lists!C:C</f>
        <v>REG013</v>
      </c>
      <c r="B10" s="213">
        <f t="shared" si="0"/>
        <v>1.7</v>
      </c>
      <c r="C10" s="213" t="str">
        <f t="shared" si="1"/>
        <v>x</v>
      </c>
      <c r="D10" s="213">
        <f t="shared" si="2"/>
        <v>0</v>
      </c>
      <c r="E10" s="213">
        <f t="shared" si="3"/>
        <v>3.3</v>
      </c>
      <c r="F10" s="213" t="str">
        <f>'Data Reliability'!B10</f>
        <v>x</v>
      </c>
      <c r="G10" s="214">
        <f>Reliability_updated!V10</f>
        <v>1</v>
      </c>
      <c r="H10" s="214">
        <f>'Data Reliability'!C10</f>
        <v>2</v>
      </c>
      <c r="I10" s="79" t="str">
        <f>IF(Reliability!B10="x","x",(IF(ROUNDUP(Reliability!B10,0)=1,"Very High",IF(ROUNDUP(Reliability!B10,0)=2,"High",IF(ROUNDUP(Reliability!B10,0)=3,"Medium",IF(ROUNDUP(Reliability!B10,0)=4,"Low","Very Low"))))))</f>
        <v>High</v>
      </c>
    </row>
    <row r="11" spans="1:9" x14ac:dyDescent="0.3">
      <c r="A11" s="212" t="str">
        <f>Lists!C:C</f>
        <v>AZE002</v>
      </c>
      <c r="B11" s="213">
        <f t="shared" si="0"/>
        <v>1.7</v>
      </c>
      <c r="C11" s="213" t="str">
        <f t="shared" si="1"/>
        <v>x</v>
      </c>
      <c r="D11" s="213">
        <f t="shared" si="2"/>
        <v>0</v>
      </c>
      <c r="E11" s="213">
        <f t="shared" si="3"/>
        <v>3.3</v>
      </c>
      <c r="F11" s="213" t="str">
        <f>'Data Reliability'!B11</f>
        <v>x</v>
      </c>
      <c r="G11" s="214">
        <f>Reliability_updated!V11</f>
        <v>1</v>
      </c>
      <c r="H11" s="214">
        <f>'Data Reliability'!C11</f>
        <v>2</v>
      </c>
      <c r="I11" s="79" t="str">
        <f>IF(Reliability!B11="x","x",(IF(ROUNDUP(Reliability!B11,0)=1,"Very High",IF(ROUNDUP(Reliability!B11,0)=2,"High",IF(ROUNDUP(Reliability!B11,0)=3,"Medium",IF(ROUNDUP(Reliability!B11,0)=4,"Low","Very Low"))))))</f>
        <v>High</v>
      </c>
    </row>
    <row r="12" spans="1:9" x14ac:dyDescent="0.3">
      <c r="A12" s="212" t="str">
        <f>Lists!C:C</f>
        <v>BGD001</v>
      </c>
      <c r="B12" s="213">
        <f t="shared" si="0"/>
        <v>1.3</v>
      </c>
      <c r="C12" s="213">
        <f t="shared" si="1"/>
        <v>3.5</v>
      </c>
      <c r="D12" s="213">
        <f t="shared" si="2"/>
        <v>0.5</v>
      </c>
      <c r="E12" s="213">
        <f t="shared" si="3"/>
        <v>0</v>
      </c>
      <c r="F12" s="213">
        <f>'Data Reliability'!B12</f>
        <v>2.4</v>
      </c>
      <c r="G12" s="214">
        <f>Reliability_updated!V12</f>
        <v>34.200000000000003</v>
      </c>
      <c r="H12" s="214">
        <f>'Data Reliability'!C12</f>
        <v>0</v>
      </c>
      <c r="I12" s="79" t="str">
        <f>IF(Reliability!B12="x","x",(IF(ROUNDUP(Reliability!B12,0)=1,"Very High",IF(ROUNDUP(Reliability!B12,0)=2,"High",IF(ROUNDUP(Reliability!B12,0)=3,"Medium",IF(ROUNDUP(Reliability!B12,0)=4,"Low","Very Low"))))))</f>
        <v>High</v>
      </c>
    </row>
    <row r="13" spans="1:9" x14ac:dyDescent="0.3">
      <c r="A13" s="212" t="str">
        <f>Lists!C:C</f>
        <v>BGD002</v>
      </c>
      <c r="B13" s="213">
        <f t="shared" si="0"/>
        <v>0.9</v>
      </c>
      <c r="C13" s="213">
        <f t="shared" si="1"/>
        <v>1.8</v>
      </c>
      <c r="D13" s="213">
        <f t="shared" si="2"/>
        <v>0.9</v>
      </c>
      <c r="E13" s="213">
        <f t="shared" si="3"/>
        <v>0</v>
      </c>
      <c r="F13" s="213">
        <f>'Data Reliability'!B13</f>
        <v>1.7</v>
      </c>
      <c r="G13" s="214">
        <f>Reliability_updated!V13</f>
        <v>65.7</v>
      </c>
      <c r="H13" s="214">
        <f>'Data Reliability'!C13</f>
        <v>0</v>
      </c>
      <c r="I13" s="79" t="str">
        <f>IF(Reliability!B13="x","x",(IF(ROUNDUP(Reliability!B13,0)=1,"Very High",IF(ROUNDUP(Reliability!B13,0)=2,"High",IF(ROUNDUP(Reliability!B13,0)=3,"Medium",IF(ROUNDUP(Reliability!B13,0)=4,"Low","Very Low"))))))</f>
        <v>Very High</v>
      </c>
    </row>
    <row r="14" spans="1:9" x14ac:dyDescent="0.3">
      <c r="A14" s="212" t="str">
        <f>Lists!C:C</f>
        <v>BGD003</v>
      </c>
      <c r="B14" s="213">
        <f t="shared" si="0"/>
        <v>1.5</v>
      </c>
      <c r="C14" s="213">
        <f t="shared" si="1"/>
        <v>2</v>
      </c>
      <c r="D14" s="213">
        <f t="shared" si="2"/>
        <v>0.7</v>
      </c>
      <c r="E14" s="213">
        <f t="shared" si="3"/>
        <v>1.7</v>
      </c>
      <c r="F14" s="213">
        <f>'Data Reliability'!B14</f>
        <v>1.8</v>
      </c>
      <c r="G14" s="214">
        <f>Reliability_updated!V14</f>
        <v>50.2</v>
      </c>
      <c r="H14" s="214">
        <f>'Data Reliability'!C14</f>
        <v>1</v>
      </c>
      <c r="I14" s="79" t="str">
        <f>IF(Reliability!B14="x","x",(IF(ROUNDUP(Reliability!B14,0)=1,"Very High",IF(ROUNDUP(Reliability!B14,0)=2,"High",IF(ROUNDUP(Reliability!B14,0)=3,"Medium",IF(ROUNDUP(Reliability!B14,0)=4,"Low","Very Low"))))))</f>
        <v>High</v>
      </c>
    </row>
    <row r="15" spans="1:9" x14ac:dyDescent="0.3">
      <c r="A15" s="212" t="str">
        <f>Lists!C:C</f>
        <v>BGD006</v>
      </c>
      <c r="B15" s="213">
        <f t="shared" si="0"/>
        <v>1.5</v>
      </c>
      <c r="C15" s="213">
        <f t="shared" si="1"/>
        <v>3</v>
      </c>
      <c r="D15" s="213">
        <f t="shared" si="2"/>
        <v>1.6</v>
      </c>
      <c r="E15" s="213">
        <f t="shared" si="3"/>
        <v>0</v>
      </c>
      <c r="F15" s="213">
        <f>'Data Reliability'!B15</f>
        <v>2.2000000000000002</v>
      </c>
      <c r="G15" s="214">
        <f>Reliability_updated!V15</f>
        <v>114.5</v>
      </c>
      <c r="H15" s="214">
        <f>'Data Reliability'!C15</f>
        <v>0</v>
      </c>
      <c r="I15" s="79" t="str">
        <f>IF(Reliability!B15="x","x",(IF(ROUNDUP(Reliability!B15,0)=1,"Very High",IF(ROUNDUP(Reliability!B15,0)=2,"High",IF(ROUNDUP(Reliability!B15,0)=3,"Medium",IF(ROUNDUP(Reliability!B15,0)=4,"Low","Very Low"))))))</f>
        <v>High</v>
      </c>
    </row>
    <row r="16" spans="1:9" x14ac:dyDescent="0.3">
      <c r="A16" s="212" t="str">
        <f>Lists!C:C</f>
        <v>REG011</v>
      </c>
      <c r="B16" s="213">
        <f t="shared" si="0"/>
        <v>0.9</v>
      </c>
      <c r="C16" s="213">
        <f t="shared" si="1"/>
        <v>2</v>
      </c>
      <c r="D16" s="213">
        <f t="shared" si="2"/>
        <v>0.6</v>
      </c>
      <c r="E16" s="213">
        <f t="shared" si="3"/>
        <v>0</v>
      </c>
      <c r="F16" s="213">
        <f>'Data Reliability'!B16</f>
        <v>1.8</v>
      </c>
      <c r="G16" s="214">
        <f>Reliability_updated!V16</f>
        <v>44.5</v>
      </c>
      <c r="H16" s="214">
        <f>'Data Reliability'!C16</f>
        <v>0</v>
      </c>
      <c r="I16" s="79" t="str">
        <f>IF(Reliability!B16="x","x",(IF(ROUNDUP(Reliability!B16,0)=1,"Very High",IF(ROUNDUP(Reliability!B16,0)=2,"High",IF(ROUNDUP(Reliability!B16,0)=3,"Medium",IF(ROUNDUP(Reliability!B16,0)=4,"Low","Very Low"))))))</f>
        <v>Very High</v>
      </c>
    </row>
    <row r="17" spans="1:9" x14ac:dyDescent="0.3">
      <c r="A17" s="212" t="str">
        <f>Lists!C:C</f>
        <v>BRA002</v>
      </c>
      <c r="B17" s="213">
        <f t="shared" si="0"/>
        <v>1.4</v>
      </c>
      <c r="C17" s="213">
        <f t="shared" si="1"/>
        <v>2.5</v>
      </c>
      <c r="D17" s="213">
        <f t="shared" si="2"/>
        <v>1.7</v>
      </c>
      <c r="E17" s="213">
        <f t="shared" si="3"/>
        <v>0</v>
      </c>
      <c r="F17" s="213">
        <f>'Data Reliability'!B17</f>
        <v>2</v>
      </c>
      <c r="G17" s="214">
        <f>Reliability_updated!V17</f>
        <v>123.9</v>
      </c>
      <c r="H17" s="214">
        <f>'Data Reliability'!C17</f>
        <v>0</v>
      </c>
      <c r="I17" s="79" t="str">
        <f>IF(Reliability!B17="x","x",(IF(ROUNDUP(Reliability!B17,0)=1,"Very High",IF(ROUNDUP(Reliability!B17,0)=2,"High",IF(ROUNDUP(Reliability!B17,0)=3,"Medium",IF(ROUNDUP(Reliability!B17,0)=4,"Low","Very Low"))))))</f>
        <v>High</v>
      </c>
    </row>
    <row r="18" spans="1:9" x14ac:dyDescent="0.3">
      <c r="A18" s="212" t="str">
        <f>Lists!C:C</f>
        <v>BFA002</v>
      </c>
      <c r="B18" s="213">
        <f t="shared" si="0"/>
        <v>1.1000000000000001</v>
      </c>
      <c r="C18" s="213">
        <f t="shared" si="1"/>
        <v>2.2999999999999998</v>
      </c>
      <c r="D18" s="213">
        <f t="shared" si="2"/>
        <v>1.1000000000000001</v>
      </c>
      <c r="E18" s="213">
        <f t="shared" si="3"/>
        <v>0</v>
      </c>
      <c r="F18" s="213">
        <f>'Data Reliability'!B18</f>
        <v>1.9</v>
      </c>
      <c r="G18" s="214">
        <f>Reliability_updated!V18</f>
        <v>82</v>
      </c>
      <c r="H18" s="214">
        <f>'Data Reliability'!C18</f>
        <v>0</v>
      </c>
      <c r="I18" s="79" t="str">
        <f>IF(Reliability!B18="x","x",(IF(ROUNDUP(Reliability!B18,0)=1,"Very High",IF(ROUNDUP(Reliability!B18,0)=2,"High",IF(ROUNDUP(Reliability!B18,0)=3,"Medium",IF(ROUNDUP(Reliability!B18,0)=4,"Low","Very Low"))))))</f>
        <v>High</v>
      </c>
    </row>
    <row r="19" spans="1:9" x14ac:dyDescent="0.3">
      <c r="A19" s="212" t="str">
        <f>Lists!C:C</f>
        <v>BFA003</v>
      </c>
      <c r="B19" s="213">
        <f t="shared" si="0"/>
        <v>1.4</v>
      </c>
      <c r="C19" s="213">
        <f t="shared" si="1"/>
        <v>2.2999999999999998</v>
      </c>
      <c r="D19" s="213">
        <f t="shared" si="2"/>
        <v>0.2</v>
      </c>
      <c r="E19" s="213">
        <f t="shared" si="3"/>
        <v>1.7</v>
      </c>
      <c r="F19" s="213">
        <f>'Data Reliability'!B19</f>
        <v>1.9</v>
      </c>
      <c r="G19" s="214">
        <f>Reliability_updated!V19</f>
        <v>12.2</v>
      </c>
      <c r="H19" s="214">
        <f>'Data Reliability'!C19</f>
        <v>1</v>
      </c>
      <c r="I19" s="79" t="str">
        <f>IF(Reliability!B19="x","x",(IF(ROUNDUP(Reliability!B19,0)=1,"Very High",IF(ROUNDUP(Reliability!B19,0)=2,"High",IF(ROUNDUP(Reliability!B19,0)=3,"Medium",IF(ROUNDUP(Reliability!B19,0)=4,"Low","Very Low"))))))</f>
        <v>High</v>
      </c>
    </row>
    <row r="20" spans="1:9" x14ac:dyDescent="0.3">
      <c r="A20" s="212" t="str">
        <f>Lists!C:C</f>
        <v>BFA004</v>
      </c>
      <c r="B20" s="213">
        <f t="shared" si="0"/>
        <v>1.4</v>
      </c>
      <c r="C20" s="213">
        <f t="shared" si="1"/>
        <v>2.5</v>
      </c>
      <c r="D20" s="213">
        <f t="shared" si="2"/>
        <v>0.1</v>
      </c>
      <c r="E20" s="213">
        <f t="shared" si="3"/>
        <v>1.7</v>
      </c>
      <c r="F20" s="213">
        <f>'Data Reliability'!B20</f>
        <v>2</v>
      </c>
      <c r="G20" s="214">
        <f>Reliability_updated!V20</f>
        <v>6</v>
      </c>
      <c r="H20" s="214">
        <f>'Data Reliability'!C20</f>
        <v>1</v>
      </c>
      <c r="I20" s="79" t="str">
        <f>IF(Reliability!B20="x","x",(IF(ROUNDUP(Reliability!B20,0)=1,"Very High",IF(ROUNDUP(Reliability!B20,0)=2,"High",IF(ROUNDUP(Reliability!B20,0)=3,"Medium",IF(ROUNDUP(Reliability!B20,0)=4,"Low","Very Low"))))))</f>
        <v>High</v>
      </c>
    </row>
    <row r="21" spans="1:9" x14ac:dyDescent="0.3">
      <c r="A21" s="212" t="str">
        <f>Lists!C:C</f>
        <v>BDI001</v>
      </c>
      <c r="B21" s="213">
        <f t="shared" si="0"/>
        <v>1.1000000000000001</v>
      </c>
      <c r="C21" s="213">
        <f t="shared" si="1"/>
        <v>2</v>
      </c>
      <c r="D21" s="213">
        <f t="shared" si="2"/>
        <v>1.4</v>
      </c>
      <c r="E21" s="213">
        <f t="shared" si="3"/>
        <v>0</v>
      </c>
      <c r="F21" s="213">
        <f>'Data Reliability'!B21</f>
        <v>1.8</v>
      </c>
      <c r="G21" s="214">
        <f>Reliability_updated!V21</f>
        <v>103.8</v>
      </c>
      <c r="H21" s="214">
        <f>'Data Reliability'!C21</f>
        <v>0</v>
      </c>
      <c r="I21" s="79" t="str">
        <f>IF(Reliability!B21="x","x",(IF(ROUNDUP(Reliability!B21,0)=1,"Very High",IF(ROUNDUP(Reliability!B21,0)=2,"High",IF(ROUNDUP(Reliability!B21,0)=3,"Medium",IF(ROUNDUP(Reliability!B21,0)=4,"Low","Very Low"))))))</f>
        <v>High</v>
      </c>
    </row>
    <row r="22" spans="1:9" x14ac:dyDescent="0.3">
      <c r="A22" s="212" t="str">
        <f>Lists!C:C</f>
        <v>CMR001</v>
      </c>
      <c r="B22" s="213">
        <f t="shared" si="0"/>
        <v>1.2</v>
      </c>
      <c r="C22" s="213">
        <f t="shared" si="1"/>
        <v>1.8</v>
      </c>
      <c r="D22" s="213">
        <f t="shared" si="2"/>
        <v>1.9</v>
      </c>
      <c r="E22" s="213">
        <f t="shared" si="3"/>
        <v>0</v>
      </c>
      <c r="F22" s="213">
        <f>'Data Reliability'!B22</f>
        <v>1.7</v>
      </c>
      <c r="G22" s="214">
        <f>Reliability_updated!V22</f>
        <v>137.69999999999999</v>
      </c>
      <c r="H22" s="214">
        <f>'Data Reliability'!C22</f>
        <v>0</v>
      </c>
      <c r="I22" s="79" t="str">
        <f>IF(Reliability!B22="x","x",(IF(ROUNDUP(Reliability!B22,0)=1,"Very High",IF(ROUNDUP(Reliability!B22,0)=2,"High",IF(ROUNDUP(Reliability!B22,0)=3,"Medium",IF(ROUNDUP(Reliability!B22,0)=4,"Low","Very Low"))))))</f>
        <v>High</v>
      </c>
    </row>
    <row r="23" spans="1:9" x14ac:dyDescent="0.3">
      <c r="A23" s="212" t="str">
        <f>Lists!C:C</f>
        <v>CMR002</v>
      </c>
      <c r="B23" s="213">
        <f t="shared" si="0"/>
        <v>1.2</v>
      </c>
      <c r="C23" s="213">
        <f t="shared" si="1"/>
        <v>1.8</v>
      </c>
      <c r="D23" s="213">
        <f t="shared" si="2"/>
        <v>1.9</v>
      </c>
      <c r="E23" s="213">
        <f t="shared" si="3"/>
        <v>0</v>
      </c>
      <c r="F23" s="213">
        <f>'Data Reliability'!B23</f>
        <v>1.7</v>
      </c>
      <c r="G23" s="214">
        <f>Reliability_updated!V23</f>
        <v>136.69999999999999</v>
      </c>
      <c r="H23" s="214">
        <f>'Data Reliability'!C23</f>
        <v>0</v>
      </c>
      <c r="I23" s="79" t="str">
        <f>IF(Reliability!B23="x","x",(IF(ROUNDUP(Reliability!B23,0)=1,"Very High",IF(ROUNDUP(Reliability!B23,0)=2,"High",IF(ROUNDUP(Reliability!B23,0)=3,"Medium",IF(ROUNDUP(Reliability!B23,0)=4,"Low","Very Low"))))))</f>
        <v>High</v>
      </c>
    </row>
    <row r="24" spans="1:9" x14ac:dyDescent="0.3">
      <c r="A24" s="212" t="str">
        <f>Lists!C:C</f>
        <v>CMR003</v>
      </c>
      <c r="B24" s="213">
        <f t="shared" si="0"/>
        <v>1.2</v>
      </c>
      <c r="C24" s="213">
        <f t="shared" si="1"/>
        <v>2</v>
      </c>
      <c r="D24" s="213">
        <f t="shared" si="2"/>
        <v>1.7</v>
      </c>
      <c r="E24" s="213">
        <f t="shared" si="3"/>
        <v>0</v>
      </c>
      <c r="F24" s="213">
        <f>'Data Reliability'!B24</f>
        <v>1.8</v>
      </c>
      <c r="G24" s="214">
        <f>Reliability_updated!V24</f>
        <v>125.4</v>
      </c>
      <c r="H24" s="214">
        <f>'Data Reliability'!C24</f>
        <v>0</v>
      </c>
      <c r="I24" s="79" t="str">
        <f>IF(Reliability!B24="x","x",(IF(ROUNDUP(Reliability!B24,0)=1,"Very High",IF(ROUNDUP(Reliability!B24,0)=2,"High",IF(ROUNDUP(Reliability!B24,0)=3,"Medium",IF(ROUNDUP(Reliability!B24,0)=4,"Low","Very Low"))))))</f>
        <v>High</v>
      </c>
    </row>
    <row r="25" spans="1:9" x14ac:dyDescent="0.3">
      <c r="A25" s="212" t="str">
        <f>Lists!C:C</f>
        <v>CMR004</v>
      </c>
      <c r="B25" s="213">
        <f t="shared" si="0"/>
        <v>1.3</v>
      </c>
      <c r="C25" s="213">
        <f t="shared" si="1"/>
        <v>2</v>
      </c>
      <c r="D25" s="213">
        <f t="shared" si="2"/>
        <v>2</v>
      </c>
      <c r="E25" s="213">
        <f t="shared" si="3"/>
        <v>0</v>
      </c>
      <c r="F25" s="213">
        <f>'Data Reliability'!B25</f>
        <v>1.8</v>
      </c>
      <c r="G25" s="214">
        <f>Reliability_updated!V25</f>
        <v>148.9</v>
      </c>
      <c r="H25" s="214">
        <f>'Data Reliability'!C25</f>
        <v>0</v>
      </c>
      <c r="I25" s="79" t="str">
        <f>IF(Reliability!B25="x","x",(IF(ROUNDUP(Reliability!B25,0)=1,"Very High",IF(ROUNDUP(Reliability!B25,0)=2,"High",IF(ROUNDUP(Reliability!B25,0)=3,"Medium",IF(ROUNDUP(Reliability!B25,0)=4,"Low","Very Low"))))))</f>
        <v>High</v>
      </c>
    </row>
    <row r="26" spans="1:9" x14ac:dyDescent="0.3">
      <c r="A26" s="212" t="str">
        <f>Lists!C:C</f>
        <v>CAF001</v>
      </c>
      <c r="B26" s="213">
        <f t="shared" si="0"/>
        <v>1.6</v>
      </c>
      <c r="C26" s="213">
        <f t="shared" si="1"/>
        <v>3.8</v>
      </c>
      <c r="D26" s="213">
        <f t="shared" si="2"/>
        <v>0.9</v>
      </c>
      <c r="E26" s="213">
        <f t="shared" si="3"/>
        <v>0</v>
      </c>
      <c r="F26" s="213">
        <f>'Data Reliability'!B26</f>
        <v>2.5</v>
      </c>
      <c r="G26" s="214">
        <f>Reliability_updated!V26</f>
        <v>66</v>
      </c>
      <c r="H26" s="214">
        <f>'Data Reliability'!C26</f>
        <v>0</v>
      </c>
      <c r="I26" s="79" t="str">
        <f>IF(Reliability!B26="x","x",(IF(ROUNDUP(Reliability!B26,0)=1,"Very High",IF(ROUNDUP(Reliability!B26,0)=2,"High",IF(ROUNDUP(Reliability!B26,0)=3,"Medium",IF(ROUNDUP(Reliability!B26,0)=4,"Low","Very Low"))))))</f>
        <v>High</v>
      </c>
    </row>
    <row r="27" spans="1:9" x14ac:dyDescent="0.3">
      <c r="A27" s="212" t="str">
        <f>Lists!C:C</f>
        <v>TCD001</v>
      </c>
      <c r="B27" s="213">
        <f t="shared" si="0"/>
        <v>1.7</v>
      </c>
      <c r="C27" s="213">
        <f t="shared" si="1"/>
        <v>3.5</v>
      </c>
      <c r="D27" s="213">
        <f t="shared" si="2"/>
        <v>1.6</v>
      </c>
      <c r="E27" s="213">
        <f t="shared" si="3"/>
        <v>0</v>
      </c>
      <c r="F27" s="213">
        <f>'Data Reliability'!B27</f>
        <v>2.4</v>
      </c>
      <c r="G27" s="214">
        <f>Reliability_updated!V27</f>
        <v>114.3</v>
      </c>
      <c r="H27" s="214">
        <f>'Data Reliability'!C27</f>
        <v>0</v>
      </c>
      <c r="I27" s="79" t="str">
        <f>IF(Reliability!B27="x","x",(IF(ROUNDUP(Reliability!B27,0)=1,"Very High",IF(ROUNDUP(Reliability!B27,0)=2,"High",IF(ROUNDUP(Reliability!B27,0)=3,"Medium",IF(ROUNDUP(Reliability!B27,0)=4,"Low","Very Low"))))))</f>
        <v>High</v>
      </c>
    </row>
    <row r="28" spans="1:9" x14ac:dyDescent="0.3">
      <c r="A28" s="212" t="str">
        <f>Lists!C:C</f>
        <v>TCD003</v>
      </c>
      <c r="B28" s="213">
        <f t="shared" si="0"/>
        <v>1.7</v>
      </c>
      <c r="C28" s="213">
        <f t="shared" si="1"/>
        <v>4</v>
      </c>
      <c r="D28" s="213">
        <f t="shared" si="2"/>
        <v>1</v>
      </c>
      <c r="E28" s="213">
        <f t="shared" si="3"/>
        <v>0</v>
      </c>
      <c r="F28" s="213">
        <f>'Data Reliability'!B28</f>
        <v>2.6</v>
      </c>
      <c r="G28" s="214">
        <f>Reliability_updated!V28</f>
        <v>75.3</v>
      </c>
      <c r="H28" s="214">
        <f>'Data Reliability'!C28</f>
        <v>0</v>
      </c>
      <c r="I28" s="79" t="str">
        <f>IF(Reliability!B28="x","x",(IF(ROUNDUP(Reliability!B28,0)=1,"Very High",IF(ROUNDUP(Reliability!B28,0)=2,"High",IF(ROUNDUP(Reliability!B28,0)=3,"Medium",IF(ROUNDUP(Reliability!B28,0)=4,"Low","Very Low"))))))</f>
        <v>High</v>
      </c>
    </row>
    <row r="29" spans="1:9" x14ac:dyDescent="0.3">
      <c r="A29" s="212" t="str">
        <f>Lists!C:C</f>
        <v>TCD004</v>
      </c>
      <c r="B29" s="213">
        <f t="shared" si="0"/>
        <v>2</v>
      </c>
      <c r="C29" s="213">
        <f t="shared" si="1"/>
        <v>2.2999999999999998</v>
      </c>
      <c r="D29" s="213">
        <f t="shared" si="2"/>
        <v>3.6</v>
      </c>
      <c r="E29" s="213">
        <f t="shared" si="3"/>
        <v>0</v>
      </c>
      <c r="F29" s="213">
        <f>'Data Reliability'!B29</f>
        <v>1.9</v>
      </c>
      <c r="G29" s="214">
        <f>Reliability_updated!V29</f>
        <v>262.10000000000002</v>
      </c>
      <c r="H29" s="214">
        <f>'Data Reliability'!C29</f>
        <v>0</v>
      </c>
      <c r="I29" s="79" t="str">
        <f>IF(Reliability!B29="x","x",(IF(ROUNDUP(Reliability!B29,0)=1,"Very High",IF(ROUNDUP(Reliability!B29,0)=2,"High",IF(ROUNDUP(Reliability!B29,0)=3,"Medium",IF(ROUNDUP(Reliability!B29,0)=4,"Low","Very Low"))))))</f>
        <v>High</v>
      </c>
    </row>
    <row r="30" spans="1:9" x14ac:dyDescent="0.3">
      <c r="A30" s="212" t="str">
        <f>Lists!C:C</f>
        <v>TCD005</v>
      </c>
      <c r="B30" s="213">
        <f t="shared" si="0"/>
        <v>1.7</v>
      </c>
      <c r="C30" s="213">
        <f t="shared" si="1"/>
        <v>2.5</v>
      </c>
      <c r="D30" s="213">
        <f t="shared" si="2"/>
        <v>2.7</v>
      </c>
      <c r="E30" s="213">
        <f t="shared" si="3"/>
        <v>0</v>
      </c>
      <c r="F30" s="213">
        <f>'Data Reliability'!B30</f>
        <v>2</v>
      </c>
      <c r="G30" s="214">
        <f>Reliability_updated!V30</f>
        <v>199.8</v>
      </c>
      <c r="H30" s="214">
        <f>'Data Reliability'!C30</f>
        <v>0</v>
      </c>
      <c r="I30" s="79" t="str">
        <f>IF(Reliability!B30="x","x",(IF(ROUNDUP(Reliability!B30,0)=1,"Very High",IF(ROUNDUP(Reliability!B30,0)=2,"High",IF(ROUNDUP(Reliability!B30,0)=3,"Medium",IF(ROUNDUP(Reliability!B30,0)=4,"Low","Very Low"))))))</f>
        <v>High</v>
      </c>
    </row>
    <row r="31" spans="1:9" x14ac:dyDescent="0.3">
      <c r="A31" s="212" t="str">
        <f>Lists!C:C</f>
        <v>TCD006</v>
      </c>
      <c r="B31" s="213">
        <f t="shared" si="0"/>
        <v>2.1</v>
      </c>
      <c r="C31" s="213">
        <f t="shared" si="1"/>
        <v>3.8</v>
      </c>
      <c r="D31" s="213">
        <f t="shared" si="2"/>
        <v>2.4</v>
      </c>
      <c r="E31" s="213">
        <f t="shared" si="3"/>
        <v>0</v>
      </c>
      <c r="F31" s="213">
        <f>'Data Reliability'!B31</f>
        <v>2.5</v>
      </c>
      <c r="G31" s="214">
        <f>Reliability_updated!V31</f>
        <v>172.8</v>
      </c>
      <c r="H31" s="214">
        <f>'Data Reliability'!C31</f>
        <v>0</v>
      </c>
      <c r="I31" s="79" t="str">
        <f>IF(Reliability!B31="x","x",(IF(ROUNDUP(Reliability!B31,0)=1,"Very High",IF(ROUNDUP(Reliability!B31,0)=2,"High",IF(ROUNDUP(Reliability!B31,0)=3,"Medium",IF(ROUNDUP(Reliability!B31,0)=4,"Low","Very Low"))))))</f>
        <v>Medium</v>
      </c>
    </row>
    <row r="32" spans="1:9" x14ac:dyDescent="0.3">
      <c r="A32" s="212" t="str">
        <f>Lists!C:C</f>
        <v>TCD008</v>
      </c>
      <c r="B32" s="213">
        <f t="shared" si="0"/>
        <v>1.3</v>
      </c>
      <c r="C32" s="213">
        <f t="shared" si="1"/>
        <v>3.8</v>
      </c>
      <c r="D32" s="213">
        <f t="shared" si="2"/>
        <v>0.2</v>
      </c>
      <c r="E32" s="213">
        <f t="shared" si="3"/>
        <v>0</v>
      </c>
      <c r="F32" s="213">
        <f>'Data Reliability'!B32</f>
        <v>2.5</v>
      </c>
      <c r="G32" s="214">
        <f>Reliability_updated!V32</f>
        <v>13.9</v>
      </c>
      <c r="H32" s="214">
        <f>'Data Reliability'!C32</f>
        <v>0</v>
      </c>
      <c r="I32" s="79" t="str">
        <f>IF(Reliability!B32="x","x",(IF(ROUNDUP(Reliability!B32,0)=1,"Very High",IF(ROUNDUP(Reliability!B32,0)=2,"High",IF(ROUNDUP(Reliability!B32,0)=3,"Medium",IF(ROUNDUP(Reliability!B32,0)=4,"Low","Very Low"))))))</f>
        <v>High</v>
      </c>
    </row>
    <row r="33" spans="1:9" x14ac:dyDescent="0.3">
      <c r="A33" s="212" t="str">
        <f>Lists!C:C</f>
        <v>COL001</v>
      </c>
      <c r="B33" s="213">
        <f t="shared" si="0"/>
        <v>2.6</v>
      </c>
      <c r="C33" s="213">
        <f t="shared" si="1"/>
        <v>2</v>
      </c>
      <c r="D33" s="213">
        <f t="shared" si="2"/>
        <v>2.4</v>
      </c>
      <c r="E33" s="213">
        <f t="shared" si="3"/>
        <v>3.3</v>
      </c>
      <c r="F33" s="213">
        <f>'Data Reliability'!B33</f>
        <v>1.8</v>
      </c>
      <c r="G33" s="214">
        <f>Reliability_updated!V33</f>
        <v>172.5</v>
      </c>
      <c r="H33" s="214">
        <f>'Data Reliability'!C33</f>
        <v>2</v>
      </c>
      <c r="I33" s="79" t="str">
        <f>IF(Reliability!B33="x","x",(IF(ROUNDUP(Reliability!B33,0)=1,"Very High",IF(ROUNDUP(Reliability!B33,0)=2,"High",IF(ROUNDUP(Reliability!B33,0)=3,"Medium",IF(ROUNDUP(Reliability!B33,0)=4,"Low","Very Low"))))))</f>
        <v>Medium</v>
      </c>
    </row>
    <row r="34" spans="1:9" x14ac:dyDescent="0.3">
      <c r="A34" s="212" t="str">
        <f>Lists!C:C</f>
        <v>COL002</v>
      </c>
      <c r="B34" s="213">
        <f t="shared" si="0"/>
        <v>2.4</v>
      </c>
      <c r="C34" s="213">
        <f t="shared" si="1"/>
        <v>2</v>
      </c>
      <c r="D34" s="213">
        <f t="shared" si="2"/>
        <v>2</v>
      </c>
      <c r="E34" s="213">
        <f t="shared" si="3"/>
        <v>3.3</v>
      </c>
      <c r="F34" s="213">
        <f>'Data Reliability'!B34</f>
        <v>1.8</v>
      </c>
      <c r="G34" s="214">
        <f>Reliability_updated!V34</f>
        <v>148.30000000000001</v>
      </c>
      <c r="H34" s="214">
        <f>'Data Reliability'!C34</f>
        <v>2</v>
      </c>
      <c r="I34" s="79" t="str">
        <f>IF(Reliability!B34="x","x",(IF(ROUNDUP(Reliability!B34,0)=1,"Very High",IF(ROUNDUP(Reliability!B34,0)=2,"High",IF(ROUNDUP(Reliability!B34,0)=3,"Medium",IF(ROUNDUP(Reliability!B34,0)=4,"Low","Very Low"))))))</f>
        <v>Medium</v>
      </c>
    </row>
    <row r="35" spans="1:9" x14ac:dyDescent="0.3">
      <c r="A35" s="212" t="str">
        <f>Lists!C:C</f>
        <v>COG004</v>
      </c>
      <c r="B35" s="213">
        <f t="shared" si="0"/>
        <v>2.9</v>
      </c>
      <c r="C35" s="213">
        <f t="shared" si="1"/>
        <v>3.8</v>
      </c>
      <c r="D35" s="213">
        <f t="shared" si="2"/>
        <v>0</v>
      </c>
      <c r="E35" s="213">
        <f t="shared" si="3"/>
        <v>5</v>
      </c>
      <c r="F35" s="213">
        <f>'Data Reliability'!B35</f>
        <v>2.5</v>
      </c>
      <c r="G35" s="214">
        <f>Reliability_updated!V35</f>
        <v>1</v>
      </c>
      <c r="H35" s="214">
        <f>'Data Reliability'!C35</f>
        <v>3</v>
      </c>
      <c r="I35" s="79" t="str">
        <f>IF(Reliability!B35="x","x",(IF(ROUNDUP(Reliability!B35,0)=1,"Very High",IF(ROUNDUP(Reliability!B35,0)=2,"High",IF(ROUNDUP(Reliability!B35,0)=3,"Medium",IF(ROUNDUP(Reliability!B35,0)=4,"Low","Very Low"))))))</f>
        <v>Medium</v>
      </c>
    </row>
    <row r="36" spans="1:9" x14ac:dyDescent="0.3">
      <c r="A36" s="212" t="str">
        <f>Lists!C:C</f>
        <v>CRI002</v>
      </c>
      <c r="B36" s="213">
        <f t="shared" si="0"/>
        <v>1.3</v>
      </c>
      <c r="C36" s="213">
        <f t="shared" si="1"/>
        <v>2.2999999999999998</v>
      </c>
      <c r="D36" s="213">
        <f t="shared" si="2"/>
        <v>1.7</v>
      </c>
      <c r="E36" s="213">
        <f t="shared" si="3"/>
        <v>0</v>
      </c>
      <c r="F36" s="213">
        <f>'Data Reliability'!B36</f>
        <v>1.9</v>
      </c>
      <c r="G36" s="214">
        <f>Reliability_updated!V36</f>
        <v>128.30000000000001</v>
      </c>
      <c r="H36" s="214">
        <f>'Data Reliability'!C36</f>
        <v>0</v>
      </c>
      <c r="I36" s="79" t="str">
        <f>IF(Reliability!B36="x","x",(IF(ROUNDUP(Reliability!B36,0)=1,"Very High",IF(ROUNDUP(Reliability!B36,0)=2,"High",IF(ROUNDUP(Reliability!B36,0)=3,"Medium",IF(ROUNDUP(Reliability!B36,0)=4,"Low","Very Low"))))))</f>
        <v>High</v>
      </c>
    </row>
    <row r="37" spans="1:9" x14ac:dyDescent="0.3">
      <c r="A37" s="212" t="str">
        <f>Lists!C:C</f>
        <v>DJI001</v>
      </c>
      <c r="B37" s="213">
        <f t="shared" si="0"/>
        <v>1.9</v>
      </c>
      <c r="C37" s="213">
        <f t="shared" si="1"/>
        <v>2.5</v>
      </c>
      <c r="D37" s="213">
        <f t="shared" si="2"/>
        <v>1.6</v>
      </c>
      <c r="E37" s="213">
        <f t="shared" si="3"/>
        <v>1.7</v>
      </c>
      <c r="F37" s="213">
        <f>'Data Reliability'!B37</f>
        <v>2</v>
      </c>
      <c r="G37" s="214">
        <f>Reliability_updated!V37</f>
        <v>118.4</v>
      </c>
      <c r="H37" s="214">
        <f>'Data Reliability'!C37</f>
        <v>1</v>
      </c>
      <c r="I37" s="79" t="str">
        <f>IF(Reliability!B37="x","x",(IF(ROUNDUP(Reliability!B37,0)=1,"Very High",IF(ROUNDUP(Reliability!B37,0)=2,"High",IF(ROUNDUP(Reliability!B37,0)=3,"Medium",IF(ROUNDUP(Reliability!B37,0)=4,"Low","Very Low"))))))</f>
        <v>High</v>
      </c>
    </row>
    <row r="38" spans="1:9" x14ac:dyDescent="0.3">
      <c r="A38" s="212" t="str">
        <f>Lists!C:C</f>
        <v>DJI002</v>
      </c>
      <c r="B38" s="213">
        <f t="shared" si="0"/>
        <v>2.5</v>
      </c>
      <c r="C38" s="213">
        <f t="shared" si="1"/>
        <v>2.5</v>
      </c>
      <c r="D38" s="213">
        <f t="shared" si="2"/>
        <v>5</v>
      </c>
      <c r="E38" s="213">
        <f t="shared" si="3"/>
        <v>0</v>
      </c>
      <c r="F38" s="213">
        <f>'Data Reliability'!B38</f>
        <v>2</v>
      </c>
      <c r="G38" s="214">
        <f>Reliability_updated!V38</f>
        <v>446.5</v>
      </c>
      <c r="H38" s="214">
        <f>'Data Reliability'!C38</f>
        <v>0</v>
      </c>
      <c r="I38" s="79" t="str">
        <f>IF(Reliability!B38="x","x",(IF(ROUNDUP(Reliability!B38,0)=1,"Very High",IF(ROUNDUP(Reliability!B38,0)=2,"High",IF(ROUNDUP(Reliability!B38,0)=3,"Medium",IF(ROUNDUP(Reliability!B38,0)=4,"Low","Very Low"))))))</f>
        <v>Medium</v>
      </c>
    </row>
    <row r="39" spans="1:9" x14ac:dyDescent="0.3">
      <c r="A39" s="212" t="str">
        <f>Lists!C:C</f>
        <v>DJI003</v>
      </c>
      <c r="B39" s="213">
        <f t="shared" si="0"/>
        <v>2.2000000000000002</v>
      </c>
      <c r="C39" s="213">
        <f t="shared" si="1"/>
        <v>3.5</v>
      </c>
      <c r="D39" s="213">
        <f t="shared" si="2"/>
        <v>3.1</v>
      </c>
      <c r="E39" s="213">
        <f t="shared" si="3"/>
        <v>0</v>
      </c>
      <c r="F39" s="213">
        <f>'Data Reliability'!B39</f>
        <v>2.4</v>
      </c>
      <c r="G39" s="214">
        <f>Reliability_updated!V39</f>
        <v>229.8</v>
      </c>
      <c r="H39" s="214">
        <f>'Data Reliability'!C39</f>
        <v>0</v>
      </c>
      <c r="I39" s="79" t="str">
        <f>IF(Reliability!B39="x","x",(IF(ROUNDUP(Reliability!B39,0)=1,"Very High",IF(ROUNDUP(Reliability!B39,0)=2,"High",IF(ROUNDUP(Reliability!B39,0)=3,"Medium",IF(ROUNDUP(Reliability!B39,0)=4,"Low","Very Low"))))))</f>
        <v>Medium</v>
      </c>
    </row>
    <row r="40" spans="1:9" x14ac:dyDescent="0.3">
      <c r="A40" s="212" t="str">
        <f>Lists!C:C</f>
        <v>PRK001</v>
      </c>
      <c r="B40" s="213">
        <f t="shared" si="0"/>
        <v>4.0999999999999996</v>
      </c>
      <c r="C40" s="213">
        <f t="shared" si="1"/>
        <v>2.5</v>
      </c>
      <c r="D40" s="213">
        <f t="shared" si="2"/>
        <v>4.8</v>
      </c>
      <c r="E40" s="213">
        <f t="shared" si="3"/>
        <v>5</v>
      </c>
      <c r="F40" s="213">
        <f>'Data Reliability'!B40</f>
        <v>2</v>
      </c>
      <c r="G40" s="214">
        <f>Reliability_updated!V40</f>
        <v>348.5</v>
      </c>
      <c r="H40" s="214">
        <f>'Data Reliability'!C40</f>
        <v>3</v>
      </c>
      <c r="I40" s="79" t="str">
        <f>IF(Reliability!B40="x","x",(IF(ROUNDUP(Reliability!B40,0)=1,"Very High",IF(ROUNDUP(Reliability!B40,0)=2,"High",IF(ROUNDUP(Reliability!B40,0)=3,"Medium",IF(ROUNDUP(Reliability!B40,0)=4,"Low","Very Low"))))))</f>
        <v>Very Low</v>
      </c>
    </row>
    <row r="41" spans="1:9" x14ac:dyDescent="0.3">
      <c r="A41" s="212" t="str">
        <f>Lists!C:C</f>
        <v>COD001</v>
      </c>
      <c r="B41" s="213">
        <f t="shared" si="0"/>
        <v>1.3</v>
      </c>
      <c r="C41" s="213">
        <f t="shared" si="1"/>
        <v>2.5</v>
      </c>
      <c r="D41" s="213">
        <f t="shared" si="2"/>
        <v>1.5</v>
      </c>
      <c r="E41" s="213">
        <f t="shared" si="3"/>
        <v>0</v>
      </c>
      <c r="F41" s="213">
        <f>'Data Reliability'!B41</f>
        <v>2</v>
      </c>
      <c r="G41" s="214">
        <f>Reliability_updated!V41</f>
        <v>110.9</v>
      </c>
      <c r="H41" s="214">
        <f>'Data Reliability'!C41</f>
        <v>0</v>
      </c>
      <c r="I41" s="79" t="str">
        <f>IF(Reliability!B41="x","x",(IF(ROUNDUP(Reliability!B41,0)=1,"Very High",IF(ROUNDUP(Reliability!B41,0)=2,"High",IF(ROUNDUP(Reliability!B41,0)=3,"Medium",IF(ROUNDUP(Reliability!B41,0)=4,"Low","Very Low"))))))</f>
        <v>High</v>
      </c>
    </row>
    <row r="42" spans="1:9" x14ac:dyDescent="0.3">
      <c r="A42" s="212" t="str">
        <f>Lists!C:C</f>
        <v>COD003</v>
      </c>
      <c r="B42" s="213">
        <f t="shared" si="0"/>
        <v>2.9</v>
      </c>
      <c r="C42" s="213">
        <f t="shared" si="1"/>
        <v>3.8</v>
      </c>
      <c r="D42" s="213">
        <f t="shared" si="2"/>
        <v>1.6</v>
      </c>
      <c r="E42" s="213">
        <f t="shared" si="3"/>
        <v>3.3</v>
      </c>
      <c r="F42" s="213">
        <f>'Data Reliability'!B42</f>
        <v>2.5</v>
      </c>
      <c r="G42" s="214">
        <f>Reliability_updated!V42</f>
        <v>116.2</v>
      </c>
      <c r="H42" s="214">
        <f>'Data Reliability'!C42</f>
        <v>2</v>
      </c>
      <c r="I42" s="79" t="str">
        <f>IF(Reliability!B42="x","x",(IF(ROUNDUP(Reliability!B42,0)=1,"Very High",IF(ROUNDUP(Reliability!B42,0)=2,"High",IF(ROUNDUP(Reliability!B42,0)=3,"Medium",IF(ROUNDUP(Reliability!B42,0)=4,"Low","Very Low"))))))</f>
        <v>Medium</v>
      </c>
    </row>
    <row r="43" spans="1:9" x14ac:dyDescent="0.3">
      <c r="A43" s="212" t="str">
        <f>Lists!C:C</f>
        <v>ECU002</v>
      </c>
      <c r="B43" s="213">
        <f t="shared" si="0"/>
        <v>1.4</v>
      </c>
      <c r="C43" s="213">
        <f t="shared" si="1"/>
        <v>2.2999999999999998</v>
      </c>
      <c r="D43" s="213">
        <f t="shared" si="2"/>
        <v>1.8</v>
      </c>
      <c r="E43" s="213">
        <f t="shared" si="3"/>
        <v>0</v>
      </c>
      <c r="F43" s="213">
        <f>'Data Reliability'!B43</f>
        <v>1.9</v>
      </c>
      <c r="G43" s="214">
        <f>Reliability_updated!V43</f>
        <v>133.80000000000001</v>
      </c>
      <c r="H43" s="214">
        <f>'Data Reliability'!C43</f>
        <v>0</v>
      </c>
      <c r="I43" s="79" t="str">
        <f>IF(Reliability!B43="x","x",(IF(ROUNDUP(Reliability!B43,0)=1,"Very High",IF(ROUNDUP(Reliability!B43,0)=2,"High",IF(ROUNDUP(Reliability!B43,0)=3,"Medium",IF(ROUNDUP(Reliability!B43,0)=4,"Low","Very Low"))))))</f>
        <v>High</v>
      </c>
    </row>
    <row r="44" spans="1:9" x14ac:dyDescent="0.3">
      <c r="A44" s="212" t="str">
        <f>Lists!C:C</f>
        <v>EGY002</v>
      </c>
      <c r="B44" s="213">
        <f t="shared" si="0"/>
        <v>1.6</v>
      </c>
      <c r="C44" s="213">
        <f t="shared" si="1"/>
        <v>2</v>
      </c>
      <c r="D44" s="213">
        <f t="shared" si="2"/>
        <v>2.9</v>
      </c>
      <c r="E44" s="213">
        <f t="shared" si="3"/>
        <v>0</v>
      </c>
      <c r="F44" s="213">
        <f>'Data Reliability'!B44</f>
        <v>1.8</v>
      </c>
      <c r="G44" s="214">
        <f>Reliability_updated!V44</f>
        <v>215.7</v>
      </c>
      <c r="H44" s="214">
        <f>'Data Reliability'!C44</f>
        <v>0</v>
      </c>
      <c r="I44" s="79" t="str">
        <f>IF(Reliability!B44="x","x",(IF(ROUNDUP(Reliability!B44,0)=1,"Very High",IF(ROUNDUP(Reliability!B44,0)=2,"High",IF(ROUNDUP(Reliability!B44,0)=3,"Medium",IF(ROUNDUP(Reliability!B44,0)=4,"Low","Very Low"))))))</f>
        <v>High</v>
      </c>
    </row>
    <row r="45" spans="1:9" x14ac:dyDescent="0.3">
      <c r="A45" s="212" t="str">
        <f>Lists!C:C</f>
        <v>SLV001</v>
      </c>
      <c r="B45" s="213">
        <f t="shared" si="0"/>
        <v>1.2</v>
      </c>
      <c r="C45" s="213">
        <f t="shared" si="1"/>
        <v>2</v>
      </c>
      <c r="D45" s="213">
        <f t="shared" si="2"/>
        <v>1.7</v>
      </c>
      <c r="E45" s="213">
        <f t="shared" si="3"/>
        <v>0</v>
      </c>
      <c r="F45" s="213">
        <f>'Data Reliability'!B45</f>
        <v>1.8</v>
      </c>
      <c r="G45" s="214">
        <f>Reliability_updated!V45</f>
        <v>124.2</v>
      </c>
      <c r="H45" s="214">
        <f>'Data Reliability'!C45</f>
        <v>0</v>
      </c>
      <c r="I45" s="79" t="str">
        <f>IF(Reliability!B45="x","x",(IF(ROUNDUP(Reliability!B45,0)=1,"Very High",IF(ROUNDUP(Reliability!B45,0)=2,"High",IF(ROUNDUP(Reliability!B45,0)=3,"Medium",IF(ROUNDUP(Reliability!B45,0)=4,"Low","Very Low"))))))</f>
        <v>High</v>
      </c>
    </row>
    <row r="46" spans="1:9" x14ac:dyDescent="0.3">
      <c r="A46" s="212" t="str">
        <f>Lists!C:C</f>
        <v>ERI001</v>
      </c>
      <c r="B46" s="213">
        <f t="shared" si="0"/>
        <v>3.5</v>
      </c>
      <c r="C46" s="213">
        <f t="shared" si="1"/>
        <v>3.8</v>
      </c>
      <c r="D46" s="213">
        <f t="shared" si="2"/>
        <v>5</v>
      </c>
      <c r="E46" s="213">
        <f t="shared" si="3"/>
        <v>1.7</v>
      </c>
      <c r="F46" s="213">
        <f>'Data Reliability'!B46</f>
        <v>2.5</v>
      </c>
      <c r="G46" s="214">
        <f>Reliability_updated!V46</f>
        <v>402.7</v>
      </c>
      <c r="H46" s="214">
        <f>'Data Reliability'!C46</f>
        <v>1</v>
      </c>
      <c r="I46" s="79" t="str">
        <f>IF(Reliability!B46="x","x",(IF(ROUNDUP(Reliability!B46,0)=1,"Very High",IF(ROUNDUP(Reliability!B46,0)=2,"High",IF(ROUNDUP(Reliability!B46,0)=3,"Medium",IF(ROUNDUP(Reliability!B46,0)=4,"Low","Very Low"))))))</f>
        <v>Low</v>
      </c>
    </row>
    <row r="47" spans="1:9" x14ac:dyDescent="0.3">
      <c r="A47" s="212" t="str">
        <f>Lists!C:C</f>
        <v>SWZ001</v>
      </c>
      <c r="B47" s="213">
        <f t="shared" si="0"/>
        <v>2.7</v>
      </c>
      <c r="C47" s="213">
        <f t="shared" si="1"/>
        <v>2</v>
      </c>
      <c r="D47" s="213">
        <f t="shared" si="2"/>
        <v>1.2</v>
      </c>
      <c r="E47" s="213">
        <f t="shared" si="3"/>
        <v>5</v>
      </c>
      <c r="F47" s="213">
        <f>'Data Reliability'!B47</f>
        <v>1.8</v>
      </c>
      <c r="G47" s="214">
        <f>Reliability_updated!V47</f>
        <v>85.2</v>
      </c>
      <c r="H47" s="214">
        <f>'Data Reliability'!C47</f>
        <v>3</v>
      </c>
      <c r="I47" s="79" t="str">
        <f>IF(Reliability!B47="x","x",(IF(ROUNDUP(Reliability!B47,0)=1,"Very High",IF(ROUNDUP(Reliability!B47,0)=2,"High",IF(ROUNDUP(Reliability!B47,0)=3,"Medium",IF(ROUNDUP(Reliability!B47,0)=4,"Low","Very Low"))))))</f>
        <v>Medium</v>
      </c>
    </row>
    <row r="48" spans="1:9" x14ac:dyDescent="0.3">
      <c r="A48" s="212" t="str">
        <f>Lists!C:C</f>
        <v>ETH001</v>
      </c>
      <c r="B48" s="213">
        <f t="shared" si="0"/>
        <v>1.5</v>
      </c>
      <c r="C48" s="213">
        <f t="shared" si="1"/>
        <v>2.5</v>
      </c>
      <c r="D48" s="213">
        <f t="shared" si="2"/>
        <v>2</v>
      </c>
      <c r="E48" s="213">
        <f t="shared" si="3"/>
        <v>0</v>
      </c>
      <c r="F48" s="213">
        <f>'Data Reliability'!B48</f>
        <v>2</v>
      </c>
      <c r="G48" s="214">
        <f>Reliability_updated!V48</f>
        <v>146.30000000000001</v>
      </c>
      <c r="H48" s="214">
        <f>'Data Reliability'!C48</f>
        <v>0</v>
      </c>
      <c r="I48" s="79" t="str">
        <f>IF(Reliability!B48="x","x",(IF(ROUNDUP(Reliability!B48,0)=1,"Very High",IF(ROUNDUP(Reliability!B48,0)=2,"High",IF(ROUNDUP(Reliability!B48,0)=3,"Medium",IF(ROUNDUP(Reliability!B48,0)=4,"Low","Very Low"))))))</f>
        <v>High</v>
      </c>
    </row>
    <row r="49" spans="1:9" x14ac:dyDescent="0.3">
      <c r="A49" s="212" t="str">
        <f>Lists!C:C</f>
        <v>ETH002</v>
      </c>
      <c r="B49" s="213">
        <f t="shared" si="0"/>
        <v>0.9</v>
      </c>
      <c r="C49" s="213">
        <f t="shared" si="1"/>
        <v>1.5</v>
      </c>
      <c r="D49" s="213">
        <f t="shared" si="2"/>
        <v>1.2</v>
      </c>
      <c r="E49" s="213">
        <f t="shared" si="3"/>
        <v>0</v>
      </c>
      <c r="F49" s="213">
        <f>'Data Reliability'!B49</f>
        <v>1.6</v>
      </c>
      <c r="G49" s="214">
        <f>Reliability_updated!V49</f>
        <v>89.7</v>
      </c>
      <c r="H49" s="214">
        <f>'Data Reliability'!C49</f>
        <v>0</v>
      </c>
      <c r="I49" s="79" t="str">
        <f>IF(Reliability!B49="x","x",(IF(ROUNDUP(Reliability!B49,0)=1,"Very High",IF(ROUNDUP(Reliability!B49,0)=2,"High",IF(ROUNDUP(Reliability!B49,0)=3,"Medium",IF(ROUNDUP(Reliability!B49,0)=4,"Low","Very Low"))))))</f>
        <v>Very High</v>
      </c>
    </row>
    <row r="50" spans="1:9" x14ac:dyDescent="0.3">
      <c r="A50" s="212" t="str">
        <f>Lists!C:C</f>
        <v>ETH003</v>
      </c>
      <c r="B50" s="213">
        <f t="shared" si="0"/>
        <v>1.7</v>
      </c>
      <c r="C50" s="213">
        <f t="shared" si="1"/>
        <v>2.2999999999999998</v>
      </c>
      <c r="D50" s="213">
        <f t="shared" si="2"/>
        <v>1.2</v>
      </c>
      <c r="E50" s="213">
        <f t="shared" si="3"/>
        <v>1.7</v>
      </c>
      <c r="F50" s="213">
        <f>'Data Reliability'!B50</f>
        <v>1.9</v>
      </c>
      <c r="G50" s="214">
        <f>Reliability_updated!V50</f>
        <v>85.7</v>
      </c>
      <c r="H50" s="214">
        <f>'Data Reliability'!C50</f>
        <v>1</v>
      </c>
      <c r="I50" s="79" t="str">
        <f>IF(Reliability!B50="x","x",(IF(ROUNDUP(Reliability!B50,0)=1,"Very High",IF(ROUNDUP(Reliability!B50,0)=2,"High",IF(ROUNDUP(Reliability!B50,0)=3,"Medium",IF(ROUNDUP(Reliability!B50,0)=4,"Low","Very Low"))))))</f>
        <v>High</v>
      </c>
    </row>
    <row r="51" spans="1:9" x14ac:dyDescent="0.3">
      <c r="A51" s="212" t="str">
        <f>Lists!C:C</f>
        <v>GRC002</v>
      </c>
      <c r="B51" s="213">
        <f t="shared" si="0"/>
        <v>1</v>
      </c>
      <c r="C51" s="213">
        <f t="shared" si="1"/>
        <v>1.8</v>
      </c>
      <c r="D51" s="213">
        <f t="shared" si="2"/>
        <v>1.2</v>
      </c>
      <c r="E51" s="213">
        <f t="shared" si="3"/>
        <v>0</v>
      </c>
      <c r="F51" s="213">
        <f>'Data Reliability'!B51</f>
        <v>1.7</v>
      </c>
      <c r="G51" s="214">
        <f>Reliability_updated!V51</f>
        <v>85.7</v>
      </c>
      <c r="H51" s="214">
        <f>'Data Reliability'!C51</f>
        <v>0</v>
      </c>
      <c r="I51" s="79" t="str">
        <f>IF(Reliability!B51="x","x",(IF(ROUNDUP(Reliability!B51,0)=1,"Very High",IF(ROUNDUP(Reliability!B51,0)=2,"High",IF(ROUNDUP(Reliability!B51,0)=3,"Medium",IF(ROUNDUP(Reliability!B51,0)=4,"Low","Very Low"))))))</f>
        <v>Very High</v>
      </c>
    </row>
    <row r="52" spans="1:9" x14ac:dyDescent="0.3">
      <c r="A52" s="212" t="str">
        <f>Lists!C:C</f>
        <v>GTM001</v>
      </c>
      <c r="B52" s="213">
        <f t="shared" si="0"/>
        <v>1</v>
      </c>
      <c r="C52" s="213">
        <f t="shared" si="1"/>
        <v>1.5</v>
      </c>
      <c r="D52" s="213">
        <f t="shared" si="2"/>
        <v>1.5</v>
      </c>
      <c r="E52" s="213">
        <f t="shared" si="3"/>
        <v>0</v>
      </c>
      <c r="F52" s="213">
        <f>'Data Reliability'!B52</f>
        <v>1.6</v>
      </c>
      <c r="G52" s="214">
        <f>Reliability_updated!V52</f>
        <v>110.7</v>
      </c>
      <c r="H52" s="214">
        <f>'Data Reliability'!C52</f>
        <v>0</v>
      </c>
      <c r="I52" s="79" t="str">
        <f>IF(Reliability!B52="x","x",(IF(ROUNDUP(Reliability!B52,0)=1,"Very High",IF(ROUNDUP(Reliability!B52,0)=2,"High",IF(ROUNDUP(Reliability!B52,0)=3,"Medium",IF(ROUNDUP(Reliability!B52,0)=4,"Low","Very Low"))))))</f>
        <v>Very High</v>
      </c>
    </row>
    <row r="53" spans="1:9" x14ac:dyDescent="0.3">
      <c r="A53" s="212" t="str">
        <f>Lists!C:C</f>
        <v>HTI001</v>
      </c>
      <c r="B53" s="213">
        <f t="shared" si="0"/>
        <v>1.1000000000000001</v>
      </c>
      <c r="C53" s="213">
        <f t="shared" si="1"/>
        <v>2</v>
      </c>
      <c r="D53" s="213">
        <f t="shared" si="2"/>
        <v>1.2</v>
      </c>
      <c r="E53" s="213">
        <f t="shared" si="3"/>
        <v>0</v>
      </c>
      <c r="F53" s="213">
        <f>'Data Reliability'!B53</f>
        <v>1.8</v>
      </c>
      <c r="G53" s="214">
        <f>Reliability_updated!V53</f>
        <v>88.7</v>
      </c>
      <c r="H53" s="214">
        <f>'Data Reliability'!C53</f>
        <v>0</v>
      </c>
      <c r="I53" s="79" t="str">
        <f>IF(Reliability!B53="x","x",(IF(ROUNDUP(Reliability!B53,0)=1,"Very High",IF(ROUNDUP(Reliability!B53,0)=2,"High",IF(ROUNDUP(Reliability!B53,0)=3,"Medium",IF(ROUNDUP(Reliability!B53,0)=4,"Low","Very Low"))))))</f>
        <v>High</v>
      </c>
    </row>
    <row r="54" spans="1:9" x14ac:dyDescent="0.3">
      <c r="A54" s="212" t="str">
        <f>Lists!C:C</f>
        <v>HND001</v>
      </c>
      <c r="B54" s="213">
        <f t="shared" si="0"/>
        <v>1.2</v>
      </c>
      <c r="C54" s="213">
        <f t="shared" si="1"/>
        <v>1.5</v>
      </c>
      <c r="D54" s="213">
        <f t="shared" si="2"/>
        <v>2</v>
      </c>
      <c r="E54" s="213">
        <f t="shared" si="3"/>
        <v>0</v>
      </c>
      <c r="F54" s="213">
        <f>'Data Reliability'!B54</f>
        <v>1.6</v>
      </c>
      <c r="G54" s="214">
        <f>Reliability_updated!V54</f>
        <v>148.5</v>
      </c>
      <c r="H54" s="214">
        <f>'Data Reliability'!C54</f>
        <v>0</v>
      </c>
      <c r="I54" s="79" t="str">
        <f>IF(Reliability!B54="x","x",(IF(ROUNDUP(Reliability!B54,0)=1,"Very High",IF(ROUNDUP(Reliability!B54,0)=2,"High",IF(ROUNDUP(Reliability!B54,0)=3,"Medium",IF(ROUNDUP(Reliability!B54,0)=4,"Low","Very Low"))))))</f>
        <v>High</v>
      </c>
    </row>
    <row r="55" spans="1:9" x14ac:dyDescent="0.3">
      <c r="A55" s="212" t="str">
        <f>Lists!C:C</f>
        <v>IND001</v>
      </c>
      <c r="B55" s="213">
        <f t="shared" si="0"/>
        <v>2</v>
      </c>
      <c r="C55" s="213">
        <f t="shared" si="1"/>
        <v>3.8</v>
      </c>
      <c r="D55" s="213">
        <f t="shared" si="2"/>
        <v>0.5</v>
      </c>
      <c r="E55" s="213">
        <f t="shared" si="3"/>
        <v>1.7</v>
      </c>
      <c r="F55" s="213">
        <f>'Data Reliability'!B55</f>
        <v>2.5</v>
      </c>
      <c r="G55" s="214">
        <f>Reliability_updated!V55</f>
        <v>37</v>
      </c>
      <c r="H55" s="214">
        <f>'Data Reliability'!C55</f>
        <v>1</v>
      </c>
      <c r="I55" s="79" t="str">
        <f>IF(Reliability!B55="x","x",(IF(ROUNDUP(Reliability!B55,0)=1,"Very High",IF(ROUNDUP(Reliability!B55,0)=2,"High",IF(ROUNDUP(Reliability!B55,0)=3,"Medium",IF(ROUNDUP(Reliability!B55,0)=4,"Low","Very Low"))))))</f>
        <v>High</v>
      </c>
    </row>
    <row r="56" spans="1:9" x14ac:dyDescent="0.3">
      <c r="A56" s="212" t="str">
        <f>Lists!C:C</f>
        <v>IND002</v>
      </c>
      <c r="B56" s="213">
        <f t="shared" si="0"/>
        <v>4.5999999999999996</v>
      </c>
      <c r="C56" s="213">
        <f t="shared" si="1"/>
        <v>3.8</v>
      </c>
      <c r="D56" s="213">
        <f t="shared" si="2"/>
        <v>5</v>
      </c>
      <c r="E56" s="213">
        <f t="shared" si="3"/>
        <v>5</v>
      </c>
      <c r="F56" s="213">
        <f>'Data Reliability'!B56</f>
        <v>2.5</v>
      </c>
      <c r="G56" s="214">
        <f>Reliability_updated!V56</f>
        <v>480.6</v>
      </c>
      <c r="H56" s="214">
        <f>'Data Reliability'!C56</f>
        <v>3</v>
      </c>
      <c r="I56" s="79" t="str">
        <f>IF(Reliability!B56="x","x",(IF(ROUNDUP(Reliability!B56,0)=1,"Very High",IF(ROUNDUP(Reliability!B56,0)=2,"High",IF(ROUNDUP(Reliability!B56,0)=3,"Medium",IF(ROUNDUP(Reliability!B56,0)=4,"Low","Very Low"))))))</f>
        <v>Very Low</v>
      </c>
    </row>
    <row r="57" spans="1:9" x14ac:dyDescent="0.3">
      <c r="A57" s="212" t="str">
        <f>Lists!C:C</f>
        <v>IND003</v>
      </c>
      <c r="B57" s="213">
        <f t="shared" si="0"/>
        <v>3.3</v>
      </c>
      <c r="C57" s="213">
        <f t="shared" si="1"/>
        <v>3.3</v>
      </c>
      <c r="D57" s="213">
        <f t="shared" si="2"/>
        <v>1.6</v>
      </c>
      <c r="E57" s="213">
        <f t="shared" si="3"/>
        <v>5</v>
      </c>
      <c r="F57" s="213">
        <f>'Data Reliability'!B57</f>
        <v>2.2999999999999998</v>
      </c>
      <c r="G57" s="214">
        <f>Reliability_updated!V57</f>
        <v>115.5</v>
      </c>
      <c r="H57" s="214">
        <f>'Data Reliability'!C57</f>
        <v>3</v>
      </c>
      <c r="I57" s="79" t="str">
        <f>IF(Reliability!B57="x","x",(IF(ROUNDUP(Reliability!B57,0)=1,"Very High",IF(ROUNDUP(Reliability!B57,0)=2,"High",IF(ROUNDUP(Reliability!B57,0)=3,"Medium",IF(ROUNDUP(Reliability!B57,0)=4,"Low","Very Low"))))))</f>
        <v>Low</v>
      </c>
    </row>
    <row r="58" spans="1:9" x14ac:dyDescent="0.3">
      <c r="A58" s="212" t="str">
        <f>Lists!C:C</f>
        <v>IND005</v>
      </c>
      <c r="B58" s="213">
        <f t="shared" si="0"/>
        <v>1.3</v>
      </c>
      <c r="C58" s="213">
        <f t="shared" si="1"/>
        <v>3.8</v>
      </c>
      <c r="D58" s="213">
        <f t="shared" si="2"/>
        <v>0.2</v>
      </c>
      <c r="E58" s="213">
        <f t="shared" si="3"/>
        <v>0</v>
      </c>
      <c r="F58" s="213">
        <f>'Data Reliability'!B58</f>
        <v>2.5</v>
      </c>
      <c r="G58" s="214">
        <f>Reliability_updated!V58</f>
        <v>14.6</v>
      </c>
      <c r="H58" s="214">
        <f>'Data Reliability'!C58</f>
        <v>0</v>
      </c>
      <c r="I58" s="79" t="str">
        <f>IF(Reliability!B58="x","x",(IF(ROUNDUP(Reliability!B58,0)=1,"Very High",IF(ROUNDUP(Reliability!B58,0)=2,"High",IF(ROUNDUP(Reliability!B58,0)=3,"Medium",IF(ROUNDUP(Reliability!B58,0)=4,"Low","Very Low"))))))</f>
        <v>High</v>
      </c>
    </row>
    <row r="59" spans="1:9" x14ac:dyDescent="0.3">
      <c r="A59" s="212" t="str">
        <f>Lists!C:C</f>
        <v>REG003</v>
      </c>
      <c r="B59" s="213">
        <f t="shared" si="0"/>
        <v>4.2</v>
      </c>
      <c r="C59" s="213" t="str">
        <f t="shared" si="1"/>
        <v>x</v>
      </c>
      <c r="D59" s="213">
        <f t="shared" si="2"/>
        <v>5</v>
      </c>
      <c r="E59" s="213">
        <f t="shared" si="3"/>
        <v>3.3</v>
      </c>
      <c r="F59" s="213" t="str">
        <f>'Data Reliability'!B59</f>
        <v>x</v>
      </c>
      <c r="G59" s="214">
        <f>Reliability_updated!V59</f>
        <v>391.7</v>
      </c>
      <c r="H59" s="214">
        <f>'Data Reliability'!C59</f>
        <v>2</v>
      </c>
      <c r="I59" s="79" t="str">
        <f>IF(Reliability!B59="x","x",(IF(ROUNDUP(Reliability!B59,0)=1,"Very High",IF(ROUNDUP(Reliability!B59,0)=2,"High",IF(ROUNDUP(Reliability!B59,0)=3,"Medium",IF(ROUNDUP(Reliability!B59,0)=4,"Low","Very Low"))))))</f>
        <v>Very Low</v>
      </c>
    </row>
    <row r="60" spans="1:9" x14ac:dyDescent="0.3">
      <c r="A60" s="212" t="str">
        <f>Lists!C:C</f>
        <v>IDN002</v>
      </c>
      <c r="B60" s="213">
        <f t="shared" si="0"/>
        <v>3.6</v>
      </c>
      <c r="C60" s="213" t="str">
        <f t="shared" si="1"/>
        <v>x</v>
      </c>
      <c r="D60" s="213">
        <f t="shared" si="2"/>
        <v>3.8</v>
      </c>
      <c r="E60" s="213">
        <f t="shared" si="3"/>
        <v>3.3</v>
      </c>
      <c r="F60" s="213" t="str">
        <f>'Data Reliability'!B60</f>
        <v>x</v>
      </c>
      <c r="G60" s="214">
        <f>Reliability_updated!V60</f>
        <v>280.89999999999998</v>
      </c>
      <c r="H60" s="214">
        <f>'Data Reliability'!C60</f>
        <v>2</v>
      </c>
      <c r="I60" s="79" t="str">
        <f>IF(Reliability!B60="x","x",(IF(ROUNDUP(Reliability!B60,0)=1,"Very High",IF(ROUNDUP(Reliability!B60,0)=2,"High",IF(ROUNDUP(Reliability!B60,0)=3,"Medium",IF(ROUNDUP(Reliability!B60,0)=4,"Low","Very Low"))))))</f>
        <v>Low</v>
      </c>
    </row>
    <row r="61" spans="1:9" x14ac:dyDescent="0.3">
      <c r="A61" s="212" t="str">
        <f>Lists!C:C</f>
        <v>IRN004</v>
      </c>
      <c r="B61" s="213">
        <f t="shared" si="0"/>
        <v>2.2000000000000002</v>
      </c>
      <c r="C61" s="213">
        <f t="shared" si="1"/>
        <v>4.3</v>
      </c>
      <c r="D61" s="213">
        <f t="shared" si="2"/>
        <v>2.4</v>
      </c>
      <c r="E61" s="213">
        <f t="shared" si="3"/>
        <v>0</v>
      </c>
      <c r="F61" s="213">
        <f>'Data Reliability'!B61</f>
        <v>2.7</v>
      </c>
      <c r="G61" s="214">
        <f>Reliability_updated!V61</f>
        <v>177.6</v>
      </c>
      <c r="H61" s="214">
        <f>'Data Reliability'!C61</f>
        <v>0</v>
      </c>
      <c r="I61" s="79" t="str">
        <f>IF(Reliability!B61="x","x",(IF(ROUNDUP(Reliability!B61,0)=1,"Very High",IF(ROUNDUP(Reliability!B61,0)=2,"High",IF(ROUNDUP(Reliability!B61,0)=3,"Medium",IF(ROUNDUP(Reliability!B61,0)=4,"Low","Very Low"))))))</f>
        <v>Medium</v>
      </c>
    </row>
    <row r="62" spans="1:9" x14ac:dyDescent="0.3">
      <c r="A62" s="212" t="str">
        <f>Lists!C:C</f>
        <v>IRQ001</v>
      </c>
      <c r="B62" s="213">
        <f t="shared" si="0"/>
        <v>1.1000000000000001</v>
      </c>
      <c r="C62" s="213">
        <f t="shared" si="1"/>
        <v>2.5</v>
      </c>
      <c r="D62" s="213">
        <f t="shared" si="2"/>
        <v>0.9</v>
      </c>
      <c r="E62" s="213">
        <f t="shared" si="3"/>
        <v>0</v>
      </c>
      <c r="F62" s="213">
        <f>'Data Reliability'!B62</f>
        <v>2</v>
      </c>
      <c r="G62" s="214">
        <f>Reliability_updated!V62</f>
        <v>64</v>
      </c>
      <c r="H62" s="214">
        <f>'Data Reliability'!C62</f>
        <v>0</v>
      </c>
      <c r="I62" s="79" t="str">
        <f>IF(Reliability!B62="x","x",(IF(ROUNDUP(Reliability!B62,0)=1,"Very High",IF(ROUNDUP(Reliability!B62,0)=2,"High",IF(ROUNDUP(Reliability!B62,0)=3,"Medium",IF(ROUNDUP(Reliability!B62,0)=4,"Low","Very Low"))))))</f>
        <v>High</v>
      </c>
    </row>
    <row r="63" spans="1:9" x14ac:dyDescent="0.3">
      <c r="A63" s="212" t="str">
        <f>Lists!C:C</f>
        <v>IRQ002</v>
      </c>
      <c r="B63" s="213">
        <f t="shared" si="0"/>
        <v>1.4</v>
      </c>
      <c r="C63" s="213">
        <f t="shared" si="1"/>
        <v>2.2999999999999998</v>
      </c>
      <c r="D63" s="213">
        <f t="shared" si="2"/>
        <v>1.8</v>
      </c>
      <c r="E63" s="213">
        <f t="shared" si="3"/>
        <v>0</v>
      </c>
      <c r="F63" s="213">
        <f>'Data Reliability'!B63</f>
        <v>1.9</v>
      </c>
      <c r="G63" s="214">
        <f>Reliability_updated!V63</f>
        <v>128.5</v>
      </c>
      <c r="H63" s="214">
        <f>'Data Reliability'!C63</f>
        <v>0</v>
      </c>
      <c r="I63" s="79" t="str">
        <f>IF(Reliability!B63="x","x",(IF(ROUNDUP(Reliability!B63,0)=1,"Very High",IF(ROUNDUP(Reliability!B63,0)=2,"High",IF(ROUNDUP(Reliability!B63,0)=3,"Medium",IF(ROUNDUP(Reliability!B63,0)=4,"Low","Very Low"))))))</f>
        <v>High</v>
      </c>
    </row>
    <row r="64" spans="1:9" x14ac:dyDescent="0.3">
      <c r="A64" s="212" t="str">
        <f>Lists!C:C</f>
        <v>IRQ003</v>
      </c>
      <c r="B64" s="213">
        <f t="shared" si="0"/>
        <v>1.4</v>
      </c>
      <c r="C64" s="213">
        <f t="shared" si="1"/>
        <v>2.8</v>
      </c>
      <c r="D64" s="213">
        <f t="shared" si="2"/>
        <v>1.5</v>
      </c>
      <c r="E64" s="213">
        <f t="shared" si="3"/>
        <v>0</v>
      </c>
      <c r="F64" s="213">
        <f>'Data Reliability'!B64</f>
        <v>2.1</v>
      </c>
      <c r="G64" s="214">
        <f>Reliability_updated!V64</f>
        <v>107.9</v>
      </c>
      <c r="H64" s="214">
        <f>'Data Reliability'!C64</f>
        <v>0</v>
      </c>
      <c r="I64" s="79" t="str">
        <f>IF(Reliability!B64="x","x",(IF(ROUNDUP(Reliability!B64,0)=1,"Very High",IF(ROUNDUP(Reliability!B64,0)=2,"High",IF(ROUNDUP(Reliability!B64,0)=3,"Medium",IF(ROUNDUP(Reliability!B64,0)=4,"Low","Very Low"))))))</f>
        <v>High</v>
      </c>
    </row>
    <row r="65" spans="1:9" x14ac:dyDescent="0.3">
      <c r="A65" s="212" t="str">
        <f>Lists!C:C</f>
        <v>JOR002</v>
      </c>
      <c r="B65" s="213">
        <f t="shared" si="0"/>
        <v>1.2</v>
      </c>
      <c r="C65" s="213">
        <f t="shared" si="1"/>
        <v>2.5</v>
      </c>
      <c r="D65" s="213">
        <f t="shared" si="2"/>
        <v>1.1000000000000001</v>
      </c>
      <c r="E65" s="213">
        <f t="shared" si="3"/>
        <v>0</v>
      </c>
      <c r="F65" s="213">
        <f>'Data Reliability'!B65</f>
        <v>2</v>
      </c>
      <c r="G65" s="214">
        <f>Reliability_updated!V65</f>
        <v>79.900000000000006</v>
      </c>
      <c r="H65" s="214">
        <f>'Data Reliability'!C65</f>
        <v>0</v>
      </c>
      <c r="I65" s="79" t="str">
        <f>IF(Reliability!B65="x","x",(IF(ROUNDUP(Reliability!B65,0)=1,"Very High",IF(ROUNDUP(Reliability!B65,0)=2,"High",IF(ROUNDUP(Reliability!B65,0)=3,"Medium",IF(ROUNDUP(Reliability!B65,0)=4,"Low","Very Low"))))))</f>
        <v>High</v>
      </c>
    </row>
    <row r="66" spans="1:9" x14ac:dyDescent="0.3">
      <c r="A66" s="212" t="str">
        <f>Lists!C:C</f>
        <v>KEN001</v>
      </c>
      <c r="B66" s="213">
        <f t="shared" si="0"/>
        <v>1.4</v>
      </c>
      <c r="C66" s="213">
        <f t="shared" si="1"/>
        <v>1.8</v>
      </c>
      <c r="D66" s="213">
        <f t="shared" si="2"/>
        <v>2.4</v>
      </c>
      <c r="E66" s="213">
        <f t="shared" si="3"/>
        <v>0</v>
      </c>
      <c r="F66" s="213">
        <f>'Data Reliability'!B66</f>
        <v>1.7</v>
      </c>
      <c r="G66" s="214">
        <f>Reliability_updated!V66</f>
        <v>175.4</v>
      </c>
      <c r="H66" s="214">
        <f>'Data Reliability'!C66</f>
        <v>0</v>
      </c>
      <c r="I66" s="79" t="str">
        <f>IF(Reliability!B66="x","x",(IF(ROUNDUP(Reliability!B66,0)=1,"Very High",IF(ROUNDUP(Reliability!B66,0)=2,"High",IF(ROUNDUP(Reliability!B66,0)=3,"Medium",IF(ROUNDUP(Reliability!B66,0)=4,"Low","Very Low"))))))</f>
        <v>High</v>
      </c>
    </row>
    <row r="67" spans="1:9" x14ac:dyDescent="0.3">
      <c r="A67" s="212" t="str">
        <f>Lists!C:C</f>
        <v>KEN002</v>
      </c>
      <c r="B67" s="213">
        <f t="shared" si="0"/>
        <v>2.6</v>
      </c>
      <c r="C67" s="213">
        <f t="shared" si="1"/>
        <v>2</v>
      </c>
      <c r="D67" s="213">
        <f t="shared" si="2"/>
        <v>4</v>
      </c>
      <c r="E67" s="213">
        <f t="shared" si="3"/>
        <v>1.7</v>
      </c>
      <c r="F67" s="213">
        <f>'Data Reliability'!B67</f>
        <v>1.8</v>
      </c>
      <c r="G67" s="214">
        <f>Reliability_updated!V67</f>
        <v>288.89999999999998</v>
      </c>
      <c r="H67" s="214">
        <f>'Data Reliability'!C67</f>
        <v>1</v>
      </c>
      <c r="I67" s="79" t="str">
        <f>IF(Reliability!B67="x","x",(IF(ROUNDUP(Reliability!B67,0)=1,"Very High",IF(ROUNDUP(Reliability!B67,0)=2,"High",IF(ROUNDUP(Reliability!B67,0)=3,"Medium",IF(ROUNDUP(Reliability!B67,0)=4,"Low","Very Low"))))))</f>
        <v>Medium</v>
      </c>
    </row>
    <row r="68" spans="1:9" x14ac:dyDescent="0.3">
      <c r="A68" s="212" t="str">
        <f>Lists!C:C</f>
        <v>KEN003</v>
      </c>
      <c r="B68" s="213">
        <f t="shared" ref="B68:B131" si="4">ROUND(AVERAGE(C68:E68),1)</f>
        <v>3.1</v>
      </c>
      <c r="C68" s="213">
        <f t="shared" ref="C68:C131" si="5">IF(F68="x","x",ROUND((5-(3-F68)/2*5),1))</f>
        <v>2</v>
      </c>
      <c r="D68" s="213">
        <f t="shared" ref="D68:D131" si="6">IF(G68&gt;365,5,ROUND((5-(365-G68)/364*5),1))</f>
        <v>4.0999999999999996</v>
      </c>
      <c r="E68" s="213">
        <f t="shared" ref="E68:E131" si="7">IF(H68&gt;3,5,ROUND((5-(3-H68)/3*5),1))</f>
        <v>3.3</v>
      </c>
      <c r="F68" s="213">
        <f>'Data Reliability'!B68</f>
        <v>1.8</v>
      </c>
      <c r="G68" s="214">
        <f>Reliability_updated!V68</f>
        <v>299.89999999999998</v>
      </c>
      <c r="H68" s="214">
        <f>'Data Reliability'!C68</f>
        <v>2</v>
      </c>
      <c r="I68" s="79" t="str">
        <f>IF(Reliability!B68="x","x",(IF(ROUNDUP(Reliability!B68,0)=1,"Very High",IF(ROUNDUP(Reliability!B68,0)=2,"High",IF(ROUNDUP(Reliability!B68,0)=3,"Medium",IF(ROUNDUP(Reliability!B68,0)=4,"Low","Very Low"))))))</f>
        <v>Low</v>
      </c>
    </row>
    <row r="69" spans="1:9" x14ac:dyDescent="0.3">
      <c r="A69" s="212" t="str">
        <f>Lists!C:C</f>
        <v>KEN005</v>
      </c>
      <c r="B69" s="213">
        <f t="shared" si="4"/>
        <v>2.6</v>
      </c>
      <c r="C69" s="213">
        <f t="shared" si="5"/>
        <v>3.8</v>
      </c>
      <c r="D69" s="213">
        <f t="shared" si="6"/>
        <v>2.2000000000000002</v>
      </c>
      <c r="E69" s="213">
        <f t="shared" si="7"/>
        <v>1.7</v>
      </c>
      <c r="F69" s="213">
        <f>'Data Reliability'!B69</f>
        <v>2.5</v>
      </c>
      <c r="G69" s="214">
        <f>Reliability_updated!V69</f>
        <v>160.4</v>
      </c>
      <c r="H69" s="214">
        <f>'Data Reliability'!C69</f>
        <v>1</v>
      </c>
      <c r="I69" s="79" t="str">
        <f>IF(Reliability!B69="x","x",(IF(ROUNDUP(Reliability!B69,0)=1,"Very High",IF(ROUNDUP(Reliability!B69,0)=2,"High",IF(ROUNDUP(Reliability!B69,0)=3,"Medium",IF(ROUNDUP(Reliability!B69,0)=4,"Low","Very Low"))))))</f>
        <v>Medium</v>
      </c>
    </row>
    <row r="70" spans="1:9" x14ac:dyDescent="0.3">
      <c r="A70" s="212" t="str">
        <f>Lists!C:C</f>
        <v>LBN002</v>
      </c>
      <c r="B70" s="213">
        <f t="shared" si="4"/>
        <v>1.5</v>
      </c>
      <c r="C70" s="213">
        <f t="shared" si="5"/>
        <v>3.3</v>
      </c>
      <c r="D70" s="213">
        <f t="shared" si="6"/>
        <v>1.2</v>
      </c>
      <c r="E70" s="213">
        <f t="shared" si="7"/>
        <v>0</v>
      </c>
      <c r="F70" s="213">
        <f>'Data Reliability'!B70</f>
        <v>2.2999999999999998</v>
      </c>
      <c r="G70" s="214">
        <f>Reliability_updated!V70</f>
        <v>88</v>
      </c>
      <c r="H70" s="214">
        <f>'Data Reliability'!C70</f>
        <v>0</v>
      </c>
      <c r="I70" s="79" t="str">
        <f>IF(Reliability!B70="x","x",(IF(ROUNDUP(Reliability!B70,0)=1,"Very High",IF(ROUNDUP(Reliability!B70,0)=2,"High",IF(ROUNDUP(Reliability!B70,0)=3,"Medium",IF(ROUNDUP(Reliability!B70,0)=4,"Low","Very Low"))))))</f>
        <v>High</v>
      </c>
    </row>
    <row r="71" spans="1:9" x14ac:dyDescent="0.3">
      <c r="A71" s="212" t="str">
        <f>Lists!C:C</f>
        <v>LBN004</v>
      </c>
      <c r="B71" s="213">
        <f t="shared" si="4"/>
        <v>2.1</v>
      </c>
      <c r="C71" s="213">
        <f t="shared" si="5"/>
        <v>3.5</v>
      </c>
      <c r="D71" s="213">
        <f t="shared" si="6"/>
        <v>1.1000000000000001</v>
      </c>
      <c r="E71" s="213">
        <f t="shared" si="7"/>
        <v>1.7</v>
      </c>
      <c r="F71" s="213">
        <f>'Data Reliability'!B71</f>
        <v>2.4</v>
      </c>
      <c r="G71" s="214">
        <f>Reliability_updated!V71</f>
        <v>79.400000000000006</v>
      </c>
      <c r="H71" s="214">
        <f>'Data Reliability'!C71</f>
        <v>1</v>
      </c>
      <c r="I71" s="79" t="str">
        <f>IF(Reliability!B71="x","x",(IF(ROUNDUP(Reliability!B71,0)=1,"Very High",IF(ROUNDUP(Reliability!B71,0)=2,"High",IF(ROUNDUP(Reliability!B71,0)=3,"Medium",IF(ROUNDUP(Reliability!B71,0)=4,"Low","Very Low"))))))</f>
        <v>Medium</v>
      </c>
    </row>
    <row r="72" spans="1:9" x14ac:dyDescent="0.3">
      <c r="A72" s="212" t="str">
        <f>Lists!C:C</f>
        <v>LBN005</v>
      </c>
      <c r="B72" s="213">
        <f t="shared" si="4"/>
        <v>1.5</v>
      </c>
      <c r="C72" s="213">
        <f t="shared" si="5"/>
        <v>3.5</v>
      </c>
      <c r="D72" s="213">
        <f t="shared" si="6"/>
        <v>0.9</v>
      </c>
      <c r="E72" s="213">
        <f t="shared" si="7"/>
        <v>0</v>
      </c>
      <c r="F72" s="213">
        <f>'Data Reliability'!B72</f>
        <v>2.4</v>
      </c>
      <c r="G72" s="214">
        <f>Reliability_updated!V72</f>
        <v>69.2</v>
      </c>
      <c r="H72" s="214">
        <f>'Data Reliability'!C72</f>
        <v>0</v>
      </c>
      <c r="I72" s="79" t="str">
        <f>IF(Reliability!B72="x","x",(IF(ROUNDUP(Reliability!B72,0)=1,"Very High",IF(ROUNDUP(Reliability!B72,0)=2,"High",IF(ROUNDUP(Reliability!B72,0)=3,"Medium",IF(ROUNDUP(Reliability!B72,0)=4,"Low","Very Low"))))))</f>
        <v>High</v>
      </c>
    </row>
    <row r="73" spans="1:9" x14ac:dyDescent="0.3">
      <c r="A73" s="212" t="str">
        <f>Lists!C:C</f>
        <v>LSO002</v>
      </c>
      <c r="B73" s="213">
        <f t="shared" si="4"/>
        <v>1.5</v>
      </c>
      <c r="C73" s="213">
        <f t="shared" si="5"/>
        <v>2</v>
      </c>
      <c r="D73" s="213">
        <f t="shared" si="6"/>
        <v>2.4</v>
      </c>
      <c r="E73" s="213">
        <f t="shared" si="7"/>
        <v>0</v>
      </c>
      <c r="F73" s="213">
        <f>'Data Reliability'!B73</f>
        <v>1.8</v>
      </c>
      <c r="G73" s="214">
        <f>Reliability_updated!V73</f>
        <v>172.7</v>
      </c>
      <c r="H73" s="214">
        <f>'Data Reliability'!C73</f>
        <v>0</v>
      </c>
      <c r="I73" s="79" t="str">
        <f>IF(Reliability!B73="x","x",(IF(ROUNDUP(Reliability!B73,0)=1,"Very High",IF(ROUNDUP(Reliability!B73,0)=2,"High",IF(ROUNDUP(Reliability!B73,0)=3,"Medium",IF(ROUNDUP(Reliability!B73,0)=4,"Low","Very Low"))))))</f>
        <v>High</v>
      </c>
    </row>
    <row r="74" spans="1:9" x14ac:dyDescent="0.3">
      <c r="A74" s="212" t="str">
        <f>Lists!C:C</f>
        <v>REG012</v>
      </c>
      <c r="B74" s="213">
        <f t="shared" si="4"/>
        <v>1</v>
      </c>
      <c r="C74" s="213">
        <f t="shared" si="5"/>
        <v>2</v>
      </c>
      <c r="D74" s="213">
        <f t="shared" si="6"/>
        <v>0.9</v>
      </c>
      <c r="E74" s="213">
        <f t="shared" si="7"/>
        <v>0</v>
      </c>
      <c r="F74" s="213">
        <f>'Data Reliability'!B74</f>
        <v>1.8</v>
      </c>
      <c r="G74" s="214">
        <f>Reliability_updated!V74</f>
        <v>63.1</v>
      </c>
      <c r="H74" s="214">
        <f>'Data Reliability'!C74</f>
        <v>0</v>
      </c>
      <c r="I74" s="79" t="str">
        <f>IF(Reliability!B74="x","x",(IF(ROUNDUP(Reliability!B74,0)=1,"Very High",IF(ROUNDUP(Reliability!B74,0)=2,"High",IF(ROUNDUP(Reliability!B74,0)=3,"Medium",IF(ROUNDUP(Reliability!B74,0)=4,"Low","Very Low"))))))</f>
        <v>Very High</v>
      </c>
    </row>
    <row r="75" spans="1:9" x14ac:dyDescent="0.3">
      <c r="A75" s="212" t="str">
        <f>Lists!C:C</f>
        <v>LBY001</v>
      </c>
      <c r="B75" s="213">
        <f t="shared" si="4"/>
        <v>1.5</v>
      </c>
      <c r="C75" s="213">
        <f t="shared" si="5"/>
        <v>2</v>
      </c>
      <c r="D75" s="213">
        <f t="shared" si="6"/>
        <v>2.4</v>
      </c>
      <c r="E75" s="213">
        <f t="shared" si="7"/>
        <v>0</v>
      </c>
      <c r="F75" s="213">
        <f>'Data Reliability'!B75</f>
        <v>1.8</v>
      </c>
      <c r="G75" s="214">
        <f>Reliability_updated!V75</f>
        <v>175.1</v>
      </c>
      <c r="H75" s="214">
        <f>'Data Reliability'!C75</f>
        <v>0</v>
      </c>
      <c r="I75" s="79" t="str">
        <f>IF(Reliability!B75="x","x",(IF(ROUNDUP(Reliability!B75,0)=1,"Very High",IF(ROUNDUP(Reliability!B75,0)=2,"High",IF(ROUNDUP(Reliability!B75,0)=3,"Medium",IF(ROUNDUP(Reliability!B75,0)=4,"Low","Very Low"))))))</f>
        <v>High</v>
      </c>
    </row>
    <row r="76" spans="1:9" x14ac:dyDescent="0.3">
      <c r="A76" s="212" t="str">
        <f>Lists!C:C</f>
        <v>LBY002</v>
      </c>
      <c r="B76" s="213">
        <f t="shared" si="4"/>
        <v>1</v>
      </c>
      <c r="C76" s="213">
        <f t="shared" si="5"/>
        <v>2</v>
      </c>
      <c r="D76" s="213">
        <f t="shared" si="6"/>
        <v>1.1000000000000001</v>
      </c>
      <c r="E76" s="213">
        <f t="shared" si="7"/>
        <v>0</v>
      </c>
      <c r="F76" s="213">
        <f>'Data Reliability'!B76</f>
        <v>1.8</v>
      </c>
      <c r="G76" s="214">
        <f>Reliability_updated!V76</f>
        <v>80.8</v>
      </c>
      <c r="H76" s="214">
        <f>'Data Reliability'!C76</f>
        <v>0</v>
      </c>
      <c r="I76" s="79" t="str">
        <f>IF(Reliability!B76="x","x",(IF(ROUNDUP(Reliability!B76,0)=1,"Very High",IF(ROUNDUP(Reliability!B76,0)=2,"High",IF(ROUNDUP(Reliability!B76,0)=3,"Medium",IF(ROUNDUP(Reliability!B76,0)=4,"Low","Very Low"))))))</f>
        <v>Very High</v>
      </c>
    </row>
    <row r="77" spans="1:9" x14ac:dyDescent="0.3">
      <c r="A77" s="212" t="str">
        <f>Lists!C:C</f>
        <v>MDG002</v>
      </c>
      <c r="B77" s="213">
        <f t="shared" si="4"/>
        <v>2.1</v>
      </c>
      <c r="C77" s="213">
        <f t="shared" si="5"/>
        <v>2</v>
      </c>
      <c r="D77" s="213">
        <f t="shared" si="6"/>
        <v>2.5</v>
      </c>
      <c r="E77" s="213">
        <f t="shared" si="7"/>
        <v>1.7</v>
      </c>
      <c r="F77" s="213">
        <f>'Data Reliability'!B77</f>
        <v>1.8</v>
      </c>
      <c r="G77" s="214">
        <f>Reliability_updated!V77</f>
        <v>186.3</v>
      </c>
      <c r="H77" s="214">
        <f>'Data Reliability'!C77</f>
        <v>1</v>
      </c>
      <c r="I77" s="79" t="str">
        <f>IF(Reliability!B77="x","x",(IF(ROUNDUP(Reliability!B77,0)=1,"Very High",IF(ROUNDUP(Reliability!B77,0)=2,"High",IF(ROUNDUP(Reliability!B77,0)=3,"Medium",IF(ROUNDUP(Reliability!B77,0)=4,"Low","Very Low"))))))</f>
        <v>Medium</v>
      </c>
    </row>
    <row r="78" spans="1:9" x14ac:dyDescent="0.3">
      <c r="A78" s="212" t="str">
        <f>Lists!C:C</f>
        <v>MDG004</v>
      </c>
      <c r="B78" s="213">
        <f t="shared" si="4"/>
        <v>2</v>
      </c>
      <c r="C78" s="213">
        <f t="shared" si="5"/>
        <v>2.2999999999999998</v>
      </c>
      <c r="D78" s="213">
        <f t="shared" si="6"/>
        <v>3.7</v>
      </c>
      <c r="E78" s="213">
        <f t="shared" si="7"/>
        <v>0</v>
      </c>
      <c r="F78" s="213">
        <f>'Data Reliability'!B78</f>
        <v>1.9</v>
      </c>
      <c r="G78" s="214">
        <f>Reliability_updated!V78</f>
        <v>272</v>
      </c>
      <c r="H78" s="214">
        <f>'Data Reliability'!C78</f>
        <v>0</v>
      </c>
      <c r="I78" s="79" t="str">
        <f>IF(Reliability!B78="x","x",(IF(ROUNDUP(Reliability!B78,0)=1,"Very High",IF(ROUNDUP(Reliability!B78,0)=2,"High",IF(ROUNDUP(Reliability!B78,0)=3,"Medium",IF(ROUNDUP(Reliability!B78,0)=4,"Low","Very Low"))))))</f>
        <v>High</v>
      </c>
    </row>
    <row r="79" spans="1:9" x14ac:dyDescent="0.3">
      <c r="A79" s="212" t="str">
        <f>Lists!C:C</f>
        <v>MDG005</v>
      </c>
      <c r="B79" s="213">
        <f t="shared" si="4"/>
        <v>1.5</v>
      </c>
      <c r="C79" s="213">
        <f t="shared" si="5"/>
        <v>2.2999999999999998</v>
      </c>
      <c r="D79" s="213">
        <f t="shared" si="6"/>
        <v>2.1</v>
      </c>
      <c r="E79" s="213">
        <f t="shared" si="7"/>
        <v>0</v>
      </c>
      <c r="F79" s="213">
        <f>'Data Reliability'!B79</f>
        <v>1.9</v>
      </c>
      <c r="G79" s="214">
        <f>Reliability_updated!V79</f>
        <v>152.19999999999999</v>
      </c>
      <c r="H79" s="214">
        <f>'Data Reliability'!C79</f>
        <v>0</v>
      </c>
      <c r="I79" s="79" t="str">
        <f>IF(Reliability!B79="x","x",(IF(ROUNDUP(Reliability!B79,0)=1,"Very High",IF(ROUNDUP(Reliability!B79,0)=2,"High",IF(ROUNDUP(Reliability!B79,0)=3,"Medium",IF(ROUNDUP(Reliability!B79,0)=4,"Low","Very Low"))))))</f>
        <v>High</v>
      </c>
    </row>
    <row r="80" spans="1:9" x14ac:dyDescent="0.3">
      <c r="A80" s="212" t="str">
        <f>Lists!C:C</f>
        <v>MWI002</v>
      </c>
      <c r="B80" s="213">
        <f t="shared" si="4"/>
        <v>1.8</v>
      </c>
      <c r="C80" s="213">
        <f t="shared" si="5"/>
        <v>2</v>
      </c>
      <c r="D80" s="213">
        <f t="shared" si="6"/>
        <v>1.7</v>
      </c>
      <c r="E80" s="213">
        <f t="shared" si="7"/>
        <v>1.7</v>
      </c>
      <c r="F80" s="213">
        <f>'Data Reliability'!B80</f>
        <v>1.8</v>
      </c>
      <c r="G80" s="214">
        <f>Reliability_updated!V80</f>
        <v>128.19999999999999</v>
      </c>
      <c r="H80" s="214">
        <f>'Data Reliability'!C80</f>
        <v>1</v>
      </c>
      <c r="I80" s="79" t="str">
        <f>IF(Reliability!B80="x","x",(IF(ROUNDUP(Reliability!B80,0)=1,"Very High",IF(ROUNDUP(Reliability!B80,0)=2,"High",IF(ROUNDUP(Reliability!B80,0)=3,"Medium",IF(ROUNDUP(Reliability!B80,0)=4,"Low","Very Low"))))))</f>
        <v>High</v>
      </c>
    </row>
    <row r="81" spans="1:9" x14ac:dyDescent="0.3">
      <c r="A81" s="212" t="str">
        <f>Lists!C:C</f>
        <v>MLI001</v>
      </c>
      <c r="B81" s="213">
        <f t="shared" si="4"/>
        <v>1.5</v>
      </c>
      <c r="C81" s="213">
        <f t="shared" si="5"/>
        <v>1.8</v>
      </c>
      <c r="D81" s="213">
        <f t="shared" si="6"/>
        <v>2.8</v>
      </c>
      <c r="E81" s="213">
        <f t="shared" si="7"/>
        <v>0</v>
      </c>
      <c r="F81" s="213">
        <f>'Data Reliability'!B81</f>
        <v>1.7</v>
      </c>
      <c r="G81" s="214">
        <f>Reliability_updated!V81</f>
        <v>208</v>
      </c>
      <c r="H81" s="214">
        <f>'Data Reliability'!C81</f>
        <v>0</v>
      </c>
      <c r="I81" s="79" t="str">
        <f>IF(Reliability!B81="x","x",(IF(ROUNDUP(Reliability!B81,0)=1,"Very High",IF(ROUNDUP(Reliability!B81,0)=2,"High",IF(ROUNDUP(Reliability!B81,0)=3,"Medium",IF(ROUNDUP(Reliability!B81,0)=4,"Low","Very Low"))))))</f>
        <v>High</v>
      </c>
    </row>
    <row r="82" spans="1:9" x14ac:dyDescent="0.3">
      <c r="A82" s="212" t="str">
        <f>Lists!C:C</f>
        <v>MRT002</v>
      </c>
      <c r="B82" s="213">
        <f t="shared" si="4"/>
        <v>2.5</v>
      </c>
      <c r="C82" s="213">
        <f t="shared" si="5"/>
        <v>2</v>
      </c>
      <c r="D82" s="213">
        <f t="shared" si="6"/>
        <v>2.1</v>
      </c>
      <c r="E82" s="213">
        <f t="shared" si="7"/>
        <v>3.3</v>
      </c>
      <c r="F82" s="213">
        <f>'Data Reliability'!B82</f>
        <v>1.8</v>
      </c>
      <c r="G82" s="214">
        <f>Reliability_updated!V82</f>
        <v>156.69999999999999</v>
      </c>
      <c r="H82" s="214">
        <f>'Data Reliability'!C82</f>
        <v>2</v>
      </c>
      <c r="I82" s="79" t="str">
        <f>IF(Reliability!B82="x","x",(IF(ROUNDUP(Reliability!B82,0)=1,"Very High",IF(ROUNDUP(Reliability!B82,0)=2,"High",IF(ROUNDUP(Reliability!B82,0)=3,"Medium",IF(ROUNDUP(Reliability!B82,0)=4,"Low","Very Low"))))))</f>
        <v>Medium</v>
      </c>
    </row>
    <row r="83" spans="1:9" x14ac:dyDescent="0.3">
      <c r="A83" s="212" t="str">
        <f>Lists!C:C</f>
        <v>MRT003</v>
      </c>
      <c r="B83" s="213">
        <f t="shared" si="4"/>
        <v>2.6</v>
      </c>
      <c r="C83" s="213">
        <f t="shared" si="5"/>
        <v>2.2999999999999998</v>
      </c>
      <c r="D83" s="213">
        <f t="shared" si="6"/>
        <v>0.5</v>
      </c>
      <c r="E83" s="213">
        <f t="shared" si="7"/>
        <v>5</v>
      </c>
      <c r="F83" s="213">
        <f>'Data Reliability'!B83</f>
        <v>1.9</v>
      </c>
      <c r="G83" s="214">
        <f>Reliability_updated!V83</f>
        <v>34.4</v>
      </c>
      <c r="H83" s="214">
        <f>'Data Reliability'!C83</f>
        <v>4</v>
      </c>
      <c r="I83" s="79" t="str">
        <f>IF(Reliability!B83="x","x",(IF(ROUNDUP(Reliability!B83,0)=1,"Very High",IF(ROUNDUP(Reliability!B83,0)=2,"High",IF(ROUNDUP(Reliability!B83,0)=3,"Medium",IF(ROUNDUP(Reliability!B83,0)=4,"Low","Very Low"))))))</f>
        <v>Medium</v>
      </c>
    </row>
    <row r="84" spans="1:9" x14ac:dyDescent="0.3">
      <c r="A84" s="212" t="str">
        <f>Lists!C:C</f>
        <v>MEX001</v>
      </c>
      <c r="B84" s="213">
        <f t="shared" si="4"/>
        <v>4.7</v>
      </c>
      <c r="C84" s="213" t="str">
        <f t="shared" si="5"/>
        <v>x</v>
      </c>
      <c r="D84" s="213">
        <f t="shared" si="6"/>
        <v>4.4000000000000004</v>
      </c>
      <c r="E84" s="213">
        <f t="shared" si="7"/>
        <v>5</v>
      </c>
      <c r="F84" s="213" t="str">
        <f>'Data Reliability'!B84</f>
        <v>x</v>
      </c>
      <c r="G84" s="214">
        <f>Reliability_updated!V84</f>
        <v>318</v>
      </c>
      <c r="H84" s="214">
        <f>'Data Reliability'!C84</f>
        <v>3</v>
      </c>
      <c r="I84" s="79" t="str">
        <f>IF(Reliability!B84="x","x",(IF(ROUNDUP(Reliability!B84,0)=1,"Very High",IF(ROUNDUP(Reliability!B84,0)=2,"High",IF(ROUNDUP(Reliability!B84,0)=3,"Medium",IF(ROUNDUP(Reliability!B84,0)=4,"Low","Very Low"))))))</f>
        <v>Very Low</v>
      </c>
    </row>
    <row r="85" spans="1:9" x14ac:dyDescent="0.3">
      <c r="A85" s="212" t="str">
        <f>Lists!C:C</f>
        <v>MEX002</v>
      </c>
      <c r="B85" s="213">
        <f t="shared" si="4"/>
        <v>4.8</v>
      </c>
      <c r="C85" s="213" t="str">
        <f t="shared" si="5"/>
        <v>x</v>
      </c>
      <c r="D85" s="213">
        <f t="shared" si="6"/>
        <v>4.5</v>
      </c>
      <c r="E85" s="213">
        <f t="shared" si="7"/>
        <v>5</v>
      </c>
      <c r="F85" s="213" t="str">
        <f>'Data Reliability'!B85</f>
        <v>x</v>
      </c>
      <c r="G85" s="214">
        <f>Reliability_updated!V85</f>
        <v>331.2</v>
      </c>
      <c r="H85" s="214">
        <f>'Data Reliability'!C85</f>
        <v>3</v>
      </c>
      <c r="I85" s="79" t="str">
        <f>IF(Reliability!B85="x","x",(IF(ROUNDUP(Reliability!B85,0)=1,"Very High",IF(ROUNDUP(Reliability!B85,0)=2,"High",IF(ROUNDUP(Reliability!B85,0)=3,"Medium",IF(ROUNDUP(Reliability!B85,0)=4,"Low","Very Low"))))))</f>
        <v>Very Low</v>
      </c>
    </row>
    <row r="86" spans="1:9" x14ac:dyDescent="0.3">
      <c r="A86" s="212" t="str">
        <f>Lists!C:C</f>
        <v>MEX003</v>
      </c>
      <c r="B86" s="213">
        <f t="shared" si="4"/>
        <v>3</v>
      </c>
      <c r="C86" s="213" t="str">
        <f t="shared" si="5"/>
        <v>x</v>
      </c>
      <c r="D86" s="213">
        <f t="shared" si="6"/>
        <v>4.2</v>
      </c>
      <c r="E86" s="213">
        <f t="shared" si="7"/>
        <v>1.7</v>
      </c>
      <c r="F86" s="213" t="str">
        <f>'Data Reliability'!B86</f>
        <v>x</v>
      </c>
      <c r="G86" s="214">
        <f>Reliability_updated!V86</f>
        <v>304.3</v>
      </c>
      <c r="H86" s="214">
        <f>'Data Reliability'!C86</f>
        <v>1</v>
      </c>
      <c r="I86" s="79" t="str">
        <f>IF(Reliability!B86="x","x",(IF(ROUNDUP(Reliability!B86,0)=1,"Very High",IF(ROUNDUP(Reliability!B86,0)=2,"High",IF(ROUNDUP(Reliability!B86,0)=3,"Medium",IF(ROUNDUP(Reliability!B86,0)=4,"Low","Very Low"))))))</f>
        <v>Medium</v>
      </c>
    </row>
    <row r="87" spans="1:9" x14ac:dyDescent="0.3">
      <c r="A87" s="212" t="str">
        <f>Lists!C:C</f>
        <v>MAR002</v>
      </c>
      <c r="B87" s="213">
        <f t="shared" si="4"/>
        <v>4.5999999999999996</v>
      </c>
      <c r="C87" s="213" t="str">
        <f t="shared" si="5"/>
        <v>x</v>
      </c>
      <c r="D87" s="213">
        <f t="shared" si="6"/>
        <v>4.0999999999999996</v>
      </c>
      <c r="E87" s="213">
        <f t="shared" si="7"/>
        <v>5</v>
      </c>
      <c r="F87" s="213" t="str">
        <f>'Data Reliability'!B87</f>
        <v>x</v>
      </c>
      <c r="G87" s="214">
        <f>Reliability_updated!V87</f>
        <v>301.10000000000002</v>
      </c>
      <c r="H87" s="214">
        <f>'Data Reliability'!C87</f>
        <v>3</v>
      </c>
      <c r="I87" s="79" t="str">
        <f>IF(Reliability!B87="x","x",(IF(ROUNDUP(Reliability!B87,0)=1,"Very High",IF(ROUNDUP(Reliability!B87,0)=2,"High",IF(ROUNDUP(Reliability!B87,0)=3,"Medium",IF(ROUNDUP(Reliability!B87,0)=4,"Low","Very Low"))))))</f>
        <v>Very Low</v>
      </c>
    </row>
    <row r="88" spans="1:9" x14ac:dyDescent="0.3">
      <c r="A88" s="212" t="str">
        <f>Lists!C:C</f>
        <v>MOZ001</v>
      </c>
      <c r="B88" s="213">
        <f t="shared" si="4"/>
        <v>1.4</v>
      </c>
      <c r="C88" s="213">
        <f t="shared" si="5"/>
        <v>2.5</v>
      </c>
      <c r="D88" s="213">
        <f t="shared" si="6"/>
        <v>1.6</v>
      </c>
      <c r="E88" s="213">
        <f t="shared" si="7"/>
        <v>0</v>
      </c>
      <c r="F88" s="213">
        <f>'Data Reliability'!B88</f>
        <v>2</v>
      </c>
      <c r="G88" s="214">
        <f>Reliability_updated!V88</f>
        <v>113.9</v>
      </c>
      <c r="H88" s="214">
        <f>'Data Reliability'!C88</f>
        <v>0</v>
      </c>
      <c r="I88" s="79" t="str">
        <f>IF(Reliability!B88="x","x",(IF(ROUNDUP(Reliability!B88,0)=1,"Very High",IF(ROUNDUP(Reliability!B88,0)=2,"High",IF(ROUNDUP(Reliability!B88,0)=3,"Medium",IF(ROUNDUP(Reliability!B88,0)=4,"Low","Very Low"))))))</f>
        <v>High</v>
      </c>
    </row>
    <row r="89" spans="1:9" x14ac:dyDescent="0.3">
      <c r="A89" s="212" t="str">
        <f>Lists!C:C</f>
        <v>MOZ004</v>
      </c>
      <c r="B89" s="213">
        <f t="shared" si="4"/>
        <v>1.2</v>
      </c>
      <c r="C89" s="213">
        <f t="shared" si="5"/>
        <v>2</v>
      </c>
      <c r="D89" s="213">
        <f t="shared" si="6"/>
        <v>1.7</v>
      </c>
      <c r="E89" s="213">
        <f t="shared" si="7"/>
        <v>0</v>
      </c>
      <c r="F89" s="213">
        <f>'Data Reliability'!B89</f>
        <v>1.8</v>
      </c>
      <c r="G89" s="214">
        <f>Reliability_updated!V89</f>
        <v>126.1</v>
      </c>
      <c r="H89" s="214">
        <f>'Data Reliability'!C89</f>
        <v>0</v>
      </c>
      <c r="I89" s="79" t="str">
        <f>IF(Reliability!B89="x","x",(IF(ROUNDUP(Reliability!B89,0)=1,"Very High",IF(ROUNDUP(Reliability!B89,0)=2,"High",IF(ROUNDUP(Reliability!B89,0)=3,"Medium",IF(ROUNDUP(Reliability!B89,0)=4,"Low","Very Low"))))))</f>
        <v>High</v>
      </c>
    </row>
    <row r="90" spans="1:9" x14ac:dyDescent="0.3">
      <c r="A90" s="212" t="str">
        <f>Lists!C:C</f>
        <v>MOZ006</v>
      </c>
      <c r="B90" s="213">
        <f t="shared" si="4"/>
        <v>2.2000000000000002</v>
      </c>
      <c r="C90" s="213">
        <f t="shared" si="5"/>
        <v>3.5</v>
      </c>
      <c r="D90" s="213">
        <f t="shared" si="6"/>
        <v>1.4</v>
      </c>
      <c r="E90" s="213">
        <f t="shared" si="7"/>
        <v>1.7</v>
      </c>
      <c r="F90" s="213">
        <f>'Data Reliability'!B90</f>
        <v>2.4</v>
      </c>
      <c r="G90" s="214">
        <f>Reliability_updated!V90</f>
        <v>103.3</v>
      </c>
      <c r="H90" s="214">
        <f>'Data Reliability'!C90</f>
        <v>1</v>
      </c>
      <c r="I90" s="79" t="str">
        <f>IF(Reliability!B90="x","x",(IF(ROUNDUP(Reliability!B90,0)=1,"Very High",IF(ROUNDUP(Reliability!B90,0)=2,"High",IF(ROUNDUP(Reliability!B90,0)=3,"Medium",IF(ROUNDUP(Reliability!B90,0)=4,"Low","Very Low"))))))</f>
        <v>Medium</v>
      </c>
    </row>
    <row r="91" spans="1:9" x14ac:dyDescent="0.3">
      <c r="A91" s="212" t="str">
        <f>Lists!C:C</f>
        <v>MMR001</v>
      </c>
      <c r="B91" s="213">
        <f t="shared" si="4"/>
        <v>1.5</v>
      </c>
      <c r="C91" s="213">
        <f t="shared" si="5"/>
        <v>2.2999999999999998</v>
      </c>
      <c r="D91" s="213">
        <f t="shared" si="6"/>
        <v>2.1</v>
      </c>
      <c r="E91" s="213">
        <f t="shared" si="7"/>
        <v>0</v>
      </c>
      <c r="F91" s="213">
        <f>'Data Reliability'!B91</f>
        <v>1.9</v>
      </c>
      <c r="G91" s="214">
        <f>Reliability_updated!V91</f>
        <v>150.5</v>
      </c>
      <c r="H91" s="214">
        <f>'Data Reliability'!C91</f>
        <v>0</v>
      </c>
      <c r="I91" s="79" t="str">
        <f>IF(Reliability!B91="x","x",(IF(ROUNDUP(Reliability!B91,0)=1,"Very High",IF(ROUNDUP(Reliability!B91,0)=2,"High",IF(ROUNDUP(Reliability!B91,0)=3,"Medium",IF(ROUNDUP(Reliability!B91,0)=4,"Low","Very Low"))))))</f>
        <v>High</v>
      </c>
    </row>
    <row r="92" spans="1:9" x14ac:dyDescent="0.3">
      <c r="A92" s="212" t="str">
        <f>Lists!C:C</f>
        <v>MMR002</v>
      </c>
      <c r="B92" s="213">
        <f t="shared" si="4"/>
        <v>1.5</v>
      </c>
      <c r="C92" s="213">
        <f t="shared" si="5"/>
        <v>2</v>
      </c>
      <c r="D92" s="213">
        <f t="shared" si="6"/>
        <v>2.4</v>
      </c>
      <c r="E92" s="213">
        <f t="shared" si="7"/>
        <v>0</v>
      </c>
      <c r="F92" s="213">
        <f>'Data Reliability'!B92</f>
        <v>1.8</v>
      </c>
      <c r="G92" s="214">
        <f>Reliability_updated!V92</f>
        <v>173</v>
      </c>
      <c r="H92" s="214">
        <f>'Data Reliability'!C92</f>
        <v>0</v>
      </c>
      <c r="I92" s="79" t="str">
        <f>IF(Reliability!B92="x","x",(IF(ROUNDUP(Reliability!B92,0)=1,"Very High",IF(ROUNDUP(Reliability!B92,0)=2,"High",IF(ROUNDUP(Reliability!B92,0)=3,"Medium",IF(ROUNDUP(Reliability!B92,0)=4,"Low","Very Low"))))))</f>
        <v>High</v>
      </c>
    </row>
    <row r="93" spans="1:9" x14ac:dyDescent="0.3">
      <c r="A93" s="212" t="str">
        <f>Lists!C:C</f>
        <v>MMR003</v>
      </c>
      <c r="B93" s="213">
        <f t="shared" si="4"/>
        <v>1.4</v>
      </c>
      <c r="C93" s="213">
        <f t="shared" si="5"/>
        <v>2</v>
      </c>
      <c r="D93" s="213">
        <f t="shared" si="6"/>
        <v>2.1</v>
      </c>
      <c r="E93" s="213">
        <f t="shared" si="7"/>
        <v>0</v>
      </c>
      <c r="F93" s="213">
        <f>'Data Reliability'!B93</f>
        <v>1.8</v>
      </c>
      <c r="G93" s="214">
        <f>Reliability_updated!V93</f>
        <v>150.5</v>
      </c>
      <c r="H93" s="214">
        <f>'Data Reliability'!C93</f>
        <v>0</v>
      </c>
      <c r="I93" s="79" t="str">
        <f>IF(Reliability!B93="x","x",(IF(ROUNDUP(Reliability!B93,0)=1,"Very High",IF(ROUNDUP(Reliability!B93,0)=2,"High",IF(ROUNDUP(Reliability!B93,0)=3,"Medium",IF(ROUNDUP(Reliability!B93,0)=4,"Low","Very Low"))))))</f>
        <v>High</v>
      </c>
    </row>
    <row r="94" spans="1:9" x14ac:dyDescent="0.3">
      <c r="A94" s="212" t="str">
        <f>Lists!C:C</f>
        <v>NAM002</v>
      </c>
      <c r="B94" s="213">
        <f t="shared" si="4"/>
        <v>2.7</v>
      </c>
      <c r="C94" s="213">
        <f t="shared" si="5"/>
        <v>2</v>
      </c>
      <c r="D94" s="213">
        <f t="shared" si="6"/>
        <v>1.2</v>
      </c>
      <c r="E94" s="213">
        <f t="shared" si="7"/>
        <v>5</v>
      </c>
      <c r="F94" s="213">
        <f>'Data Reliability'!B94</f>
        <v>1.8</v>
      </c>
      <c r="G94" s="214">
        <f>Reliability_updated!V94</f>
        <v>85.8</v>
      </c>
      <c r="H94" s="214">
        <f>'Data Reliability'!C94</f>
        <v>3</v>
      </c>
      <c r="I94" s="79" t="str">
        <f>IF(Reliability!B94="x","x",(IF(ROUNDUP(Reliability!B94,0)=1,"Very High",IF(ROUNDUP(Reliability!B94,0)=2,"High",IF(ROUNDUP(Reliability!B94,0)=3,"Medium",IF(ROUNDUP(Reliability!B94,0)=4,"Low","Very Low"))))))</f>
        <v>Medium</v>
      </c>
    </row>
    <row r="95" spans="1:9" x14ac:dyDescent="0.3">
      <c r="A95" s="212" t="str">
        <f>Lists!C:C</f>
        <v>NIC001</v>
      </c>
      <c r="B95" s="213">
        <f t="shared" si="4"/>
        <v>3.4</v>
      </c>
      <c r="C95" s="213" t="str">
        <f t="shared" si="5"/>
        <v>x</v>
      </c>
      <c r="D95" s="213">
        <f t="shared" si="6"/>
        <v>5</v>
      </c>
      <c r="E95" s="213">
        <f t="shared" si="7"/>
        <v>1.7</v>
      </c>
      <c r="F95" s="213" t="str">
        <f>'Data Reliability'!B95</f>
        <v>x</v>
      </c>
      <c r="G95" s="214">
        <f>Reliability_updated!V95</f>
        <v>414.8</v>
      </c>
      <c r="H95" s="214">
        <f>'Data Reliability'!C95</f>
        <v>1</v>
      </c>
      <c r="I95" s="79" t="str">
        <f>IF(Reliability!B95="x","x",(IF(ROUNDUP(Reliability!B95,0)=1,"Very High",IF(ROUNDUP(Reliability!B95,0)=2,"High",IF(ROUNDUP(Reliability!B95,0)=3,"Medium",IF(ROUNDUP(Reliability!B95,0)=4,"Low","Very Low"))))))</f>
        <v>Low</v>
      </c>
    </row>
    <row r="96" spans="1:9" x14ac:dyDescent="0.3">
      <c r="A96" s="212" t="str">
        <f>Lists!C:C</f>
        <v>NER001</v>
      </c>
      <c r="B96" s="213">
        <f t="shared" si="4"/>
        <v>1.4</v>
      </c>
      <c r="C96" s="213">
        <f t="shared" si="5"/>
        <v>3.3</v>
      </c>
      <c r="D96" s="213">
        <f t="shared" si="6"/>
        <v>0.9</v>
      </c>
      <c r="E96" s="213">
        <f t="shared" si="7"/>
        <v>0</v>
      </c>
      <c r="F96" s="213">
        <f>'Data Reliability'!B96</f>
        <v>2.2999999999999998</v>
      </c>
      <c r="G96" s="214">
        <f>Reliability_updated!V96</f>
        <v>68.099999999999994</v>
      </c>
      <c r="H96" s="214">
        <f>'Data Reliability'!C96</f>
        <v>0</v>
      </c>
      <c r="I96" s="79" t="str">
        <f>IF(Reliability!B96="x","x",(IF(ROUNDUP(Reliability!B96,0)=1,"Very High",IF(ROUNDUP(Reliability!B96,0)=2,"High",IF(ROUNDUP(Reliability!B96,0)=3,"Medium",IF(ROUNDUP(Reliability!B96,0)=4,"Low","Very Low"))))))</f>
        <v>High</v>
      </c>
    </row>
    <row r="97" spans="1:9" x14ac:dyDescent="0.3">
      <c r="A97" s="212" t="str">
        <f>Lists!C:C</f>
        <v>NER002</v>
      </c>
      <c r="B97" s="213">
        <f t="shared" si="4"/>
        <v>1.6</v>
      </c>
      <c r="C97" s="213">
        <f t="shared" si="5"/>
        <v>3.5</v>
      </c>
      <c r="D97" s="213">
        <f t="shared" si="6"/>
        <v>1.4</v>
      </c>
      <c r="E97" s="213">
        <f t="shared" si="7"/>
        <v>0</v>
      </c>
      <c r="F97" s="213">
        <f>'Data Reliability'!B97</f>
        <v>2.4</v>
      </c>
      <c r="G97" s="214">
        <f>Reliability_updated!V97</f>
        <v>104.6</v>
      </c>
      <c r="H97" s="214">
        <f>'Data Reliability'!C97</f>
        <v>0</v>
      </c>
      <c r="I97" s="79" t="str">
        <f>IF(Reliability!B97="x","x",(IF(ROUNDUP(Reliability!B97,0)=1,"Very High",IF(ROUNDUP(Reliability!B97,0)=2,"High",IF(ROUNDUP(Reliability!B97,0)=3,"Medium",IF(ROUNDUP(Reliability!B97,0)=4,"Low","Very Low"))))))</f>
        <v>High</v>
      </c>
    </row>
    <row r="98" spans="1:9" x14ac:dyDescent="0.3">
      <c r="A98" s="212" t="str">
        <f>Lists!C:C</f>
        <v>NER003</v>
      </c>
      <c r="B98" s="213">
        <f t="shared" si="4"/>
        <v>1.7</v>
      </c>
      <c r="C98" s="213">
        <f t="shared" si="5"/>
        <v>3.8</v>
      </c>
      <c r="D98" s="213">
        <f t="shared" si="6"/>
        <v>1.3</v>
      </c>
      <c r="E98" s="213">
        <f t="shared" si="7"/>
        <v>0</v>
      </c>
      <c r="F98" s="213">
        <f>'Data Reliability'!B98</f>
        <v>2.5</v>
      </c>
      <c r="G98" s="214">
        <f>Reliability_updated!V98</f>
        <v>94.8</v>
      </c>
      <c r="H98" s="214">
        <f>'Data Reliability'!C98</f>
        <v>0</v>
      </c>
      <c r="I98" s="79" t="str">
        <f>IF(Reliability!B98="x","x",(IF(ROUNDUP(Reliability!B98,0)=1,"Very High",IF(ROUNDUP(Reliability!B98,0)=2,"High",IF(ROUNDUP(Reliability!B98,0)=3,"Medium",IF(ROUNDUP(Reliability!B98,0)=4,"Low","Very Low"))))))</f>
        <v>High</v>
      </c>
    </row>
    <row r="99" spans="1:9" x14ac:dyDescent="0.3">
      <c r="A99" s="212" t="str">
        <f>Lists!C:C</f>
        <v>NER004</v>
      </c>
      <c r="B99" s="213">
        <f t="shared" si="4"/>
        <v>1.4</v>
      </c>
      <c r="C99" s="213">
        <f t="shared" si="5"/>
        <v>3.8</v>
      </c>
      <c r="D99" s="213">
        <f t="shared" si="6"/>
        <v>0.5</v>
      </c>
      <c r="E99" s="213">
        <f t="shared" si="7"/>
        <v>0</v>
      </c>
      <c r="F99" s="213">
        <f>'Data Reliability'!B99</f>
        <v>2.5</v>
      </c>
      <c r="G99" s="214">
        <f>Reliability_updated!V99</f>
        <v>37.4</v>
      </c>
      <c r="H99" s="214">
        <f>'Data Reliability'!C99</f>
        <v>0</v>
      </c>
      <c r="I99" s="79" t="str">
        <f>IF(Reliability!B99="x","x",(IF(ROUNDUP(Reliability!B99,0)=1,"Very High",IF(ROUNDUP(Reliability!B99,0)=2,"High",IF(ROUNDUP(Reliability!B99,0)=3,"Medium",IF(ROUNDUP(Reliability!B99,0)=4,"Low","Very Low"))))))</f>
        <v>High</v>
      </c>
    </row>
    <row r="100" spans="1:9" x14ac:dyDescent="0.3">
      <c r="A100" s="212" t="str">
        <f>Lists!C:C</f>
        <v>NER005</v>
      </c>
      <c r="B100" s="213">
        <f t="shared" si="4"/>
        <v>1.9</v>
      </c>
      <c r="C100" s="213">
        <f t="shared" si="5"/>
        <v>3.5</v>
      </c>
      <c r="D100" s="213">
        <f t="shared" si="6"/>
        <v>0.4</v>
      </c>
      <c r="E100" s="213">
        <f t="shared" si="7"/>
        <v>1.7</v>
      </c>
      <c r="F100" s="213">
        <f>'Data Reliability'!B100</f>
        <v>2.4</v>
      </c>
      <c r="G100" s="214">
        <f>Reliability_updated!V100</f>
        <v>28</v>
      </c>
      <c r="H100" s="214">
        <f>'Data Reliability'!C100</f>
        <v>1</v>
      </c>
      <c r="I100" s="79" t="str">
        <f>IF(Reliability!B100="x","x",(IF(ROUNDUP(Reliability!B100,0)=1,"Very High",IF(ROUNDUP(Reliability!B100,0)=2,"High",IF(ROUNDUP(Reliability!B100,0)=3,"Medium",IF(ROUNDUP(Reliability!B100,0)=4,"Low","Very Low"))))))</f>
        <v>High</v>
      </c>
    </row>
    <row r="101" spans="1:9" x14ac:dyDescent="0.3">
      <c r="A101" s="212" t="str">
        <f>Lists!C:C</f>
        <v>NGA001</v>
      </c>
      <c r="B101" s="213">
        <f t="shared" si="4"/>
        <v>1.3</v>
      </c>
      <c r="C101" s="213">
        <f t="shared" si="5"/>
        <v>2</v>
      </c>
      <c r="D101" s="213">
        <f t="shared" si="6"/>
        <v>1.9</v>
      </c>
      <c r="E101" s="213">
        <f t="shared" si="7"/>
        <v>0</v>
      </c>
      <c r="F101" s="213">
        <f>'Data Reliability'!B101</f>
        <v>1.8</v>
      </c>
      <c r="G101" s="214">
        <f>Reliability_updated!V101</f>
        <v>136.4</v>
      </c>
      <c r="H101" s="214">
        <f>'Data Reliability'!C101</f>
        <v>0</v>
      </c>
      <c r="I101" s="79" t="str">
        <f>IF(Reliability!B101="x","x",(IF(ROUNDUP(Reliability!B101,0)=1,"Very High",IF(ROUNDUP(Reliability!B101,0)=2,"High",IF(ROUNDUP(Reliability!B101,0)=3,"Medium",IF(ROUNDUP(Reliability!B101,0)=4,"Low","Very Low"))))))</f>
        <v>High</v>
      </c>
    </row>
    <row r="102" spans="1:9" x14ac:dyDescent="0.3">
      <c r="A102" s="212" t="str">
        <f>Lists!C:C</f>
        <v>NGA003</v>
      </c>
      <c r="B102" s="213">
        <f t="shared" si="4"/>
        <v>4.2</v>
      </c>
      <c r="C102" s="213" t="str">
        <f t="shared" si="5"/>
        <v>x</v>
      </c>
      <c r="D102" s="213">
        <f t="shared" si="6"/>
        <v>5</v>
      </c>
      <c r="E102" s="213">
        <f t="shared" si="7"/>
        <v>3.3</v>
      </c>
      <c r="F102" s="213" t="str">
        <f>'Data Reliability'!B102</f>
        <v>x</v>
      </c>
      <c r="G102" s="214">
        <f>Reliability_updated!V102</f>
        <v>397.1</v>
      </c>
      <c r="H102" s="214">
        <f>'Data Reliability'!C102</f>
        <v>2</v>
      </c>
      <c r="I102" s="79" t="str">
        <f>IF(Reliability!B102="x","x",(IF(ROUNDUP(Reliability!B102,0)=1,"Very High",IF(ROUNDUP(Reliability!B102,0)=2,"High",IF(ROUNDUP(Reliability!B102,0)=3,"Medium",IF(ROUNDUP(Reliability!B102,0)=4,"Low","Very Low"))))))</f>
        <v>Very Low</v>
      </c>
    </row>
    <row r="103" spans="1:9" x14ac:dyDescent="0.3">
      <c r="A103" s="212" t="str">
        <f>Lists!C:C</f>
        <v>NGA004</v>
      </c>
      <c r="B103" s="213">
        <f t="shared" si="4"/>
        <v>2.1</v>
      </c>
      <c r="C103" s="213">
        <f t="shared" si="5"/>
        <v>1.8</v>
      </c>
      <c r="D103" s="213">
        <f t="shared" si="6"/>
        <v>2.9</v>
      </c>
      <c r="E103" s="213">
        <f t="shared" si="7"/>
        <v>1.7</v>
      </c>
      <c r="F103" s="213">
        <f>'Data Reliability'!B103</f>
        <v>1.7</v>
      </c>
      <c r="G103" s="214">
        <f>Reliability_updated!V103</f>
        <v>208.6</v>
      </c>
      <c r="H103" s="214">
        <f>'Data Reliability'!C103</f>
        <v>1</v>
      </c>
      <c r="I103" s="79" t="str">
        <f>IF(Reliability!B103="x","x",(IF(ROUNDUP(Reliability!B103,0)=1,"Very High",IF(ROUNDUP(Reliability!B103,0)=2,"High",IF(ROUNDUP(Reliability!B103,0)=3,"Medium",IF(ROUNDUP(Reliability!B103,0)=4,"Low","Very Low"))))))</f>
        <v>Medium</v>
      </c>
    </row>
    <row r="104" spans="1:9" x14ac:dyDescent="0.3">
      <c r="A104" s="212" t="str">
        <f>Lists!C:C</f>
        <v>NGA007</v>
      </c>
      <c r="B104" s="213">
        <f t="shared" si="4"/>
        <v>1.2</v>
      </c>
      <c r="C104" s="213">
        <f t="shared" si="5"/>
        <v>2</v>
      </c>
      <c r="D104" s="213">
        <f t="shared" si="6"/>
        <v>1.6</v>
      </c>
      <c r="E104" s="213">
        <f t="shared" si="7"/>
        <v>0</v>
      </c>
      <c r="F104" s="213">
        <f>'Data Reliability'!B104</f>
        <v>1.8</v>
      </c>
      <c r="G104" s="214">
        <f>Reliability_updated!V104</f>
        <v>115</v>
      </c>
      <c r="H104" s="214">
        <f>'Data Reliability'!C104</f>
        <v>0</v>
      </c>
      <c r="I104" s="79" t="str">
        <f>IF(Reliability!B104="x","x",(IF(ROUNDUP(Reliability!B104,0)=1,"Very High",IF(ROUNDUP(Reliability!B104,0)=2,"High",IF(ROUNDUP(Reliability!B104,0)=3,"Medium",IF(ROUNDUP(Reliability!B104,0)=4,"Low","Very Low"))))))</f>
        <v>High</v>
      </c>
    </row>
    <row r="105" spans="1:9" x14ac:dyDescent="0.3">
      <c r="A105" s="212" t="str">
        <f>Lists!C:C</f>
        <v>NGA008</v>
      </c>
      <c r="B105" s="213">
        <f t="shared" si="4"/>
        <v>1.7</v>
      </c>
      <c r="C105" s="213">
        <f t="shared" si="5"/>
        <v>2</v>
      </c>
      <c r="D105" s="213">
        <f t="shared" si="6"/>
        <v>1.4</v>
      </c>
      <c r="E105" s="213">
        <f t="shared" si="7"/>
        <v>1.7</v>
      </c>
      <c r="F105" s="213">
        <f>'Data Reliability'!B105</f>
        <v>1.8</v>
      </c>
      <c r="G105" s="214">
        <f>Reliability_updated!V105</f>
        <v>104.6</v>
      </c>
      <c r="H105" s="214">
        <f>'Data Reliability'!C105</f>
        <v>1</v>
      </c>
      <c r="I105" s="79" t="str">
        <f>IF(Reliability!B105="x","x",(IF(ROUNDUP(Reliability!B105,0)=1,"Very High",IF(ROUNDUP(Reliability!B105,0)=2,"High",IF(ROUNDUP(Reliability!B105,0)=3,"Medium",IF(ROUNDUP(Reliability!B105,0)=4,"Low","Very Low"))))))</f>
        <v>High</v>
      </c>
    </row>
    <row r="106" spans="1:9" x14ac:dyDescent="0.3">
      <c r="A106" s="212" t="str">
        <f>Lists!C:C</f>
        <v>REG001</v>
      </c>
      <c r="B106" s="213">
        <f t="shared" si="4"/>
        <v>1.1000000000000001</v>
      </c>
      <c r="C106" s="213">
        <f t="shared" si="5"/>
        <v>2</v>
      </c>
      <c r="D106" s="213">
        <f t="shared" si="6"/>
        <v>1.3</v>
      </c>
      <c r="E106" s="213">
        <f t="shared" si="7"/>
        <v>0</v>
      </c>
      <c r="F106" s="213">
        <f>'Data Reliability'!B106</f>
        <v>1.8</v>
      </c>
      <c r="G106" s="214">
        <f>Reliability_updated!V106</f>
        <v>95.7</v>
      </c>
      <c r="H106" s="214">
        <f>'Data Reliability'!C106</f>
        <v>0</v>
      </c>
      <c r="I106" s="79" t="str">
        <f>IF(Reliability!B106="x","x",(IF(ROUNDUP(Reliability!B106,0)=1,"Very High",IF(ROUNDUP(Reliability!B106,0)=2,"High",IF(ROUNDUP(Reliability!B106,0)=3,"Medium",IF(ROUNDUP(Reliability!B106,0)=4,"Low","Very Low"))))))</f>
        <v>High</v>
      </c>
    </row>
    <row r="107" spans="1:9" x14ac:dyDescent="0.3">
      <c r="A107" s="212" t="str">
        <f>Lists!C:C</f>
        <v>PAK001</v>
      </c>
      <c r="B107" s="213">
        <f t="shared" si="4"/>
        <v>1.5</v>
      </c>
      <c r="C107" s="213">
        <f t="shared" si="5"/>
        <v>2.2999999999999998</v>
      </c>
      <c r="D107" s="213">
        <f t="shared" si="6"/>
        <v>2.2000000000000002</v>
      </c>
      <c r="E107" s="213">
        <f t="shared" si="7"/>
        <v>0</v>
      </c>
      <c r="F107" s="213">
        <f>'Data Reliability'!B107</f>
        <v>1.9</v>
      </c>
      <c r="G107" s="214">
        <f>Reliability_updated!V107</f>
        <v>159.6</v>
      </c>
      <c r="H107" s="214">
        <f>'Data Reliability'!C107</f>
        <v>0</v>
      </c>
      <c r="I107" s="79" t="str">
        <f>IF(Reliability!B107="x","x",(IF(ROUNDUP(Reliability!B107,0)=1,"Very High",IF(ROUNDUP(Reliability!B107,0)=2,"High",IF(ROUNDUP(Reliability!B107,0)=3,"Medium",IF(ROUNDUP(Reliability!B107,0)=4,"Low","Very Low"))))))</f>
        <v>High</v>
      </c>
    </row>
    <row r="108" spans="1:9" x14ac:dyDescent="0.3">
      <c r="A108" s="212" t="str">
        <f>Lists!C:C</f>
        <v>PAK004</v>
      </c>
      <c r="B108" s="213">
        <f t="shared" si="4"/>
        <v>3.5</v>
      </c>
      <c r="C108" s="213">
        <f t="shared" si="5"/>
        <v>3.8</v>
      </c>
      <c r="D108" s="213">
        <f t="shared" si="6"/>
        <v>5</v>
      </c>
      <c r="E108" s="213">
        <f t="shared" si="7"/>
        <v>1.7</v>
      </c>
      <c r="F108" s="213">
        <f>'Data Reliability'!B108</f>
        <v>2.5</v>
      </c>
      <c r="G108" s="214">
        <f>Reliability_updated!V108</f>
        <v>470.8</v>
      </c>
      <c r="H108" s="214">
        <f>'Data Reliability'!C108</f>
        <v>1</v>
      </c>
      <c r="I108" s="79" t="str">
        <f>IF(Reliability!B108="x","x",(IF(ROUNDUP(Reliability!B108,0)=1,"Very High",IF(ROUNDUP(Reliability!B108,0)=2,"High",IF(ROUNDUP(Reliability!B108,0)=3,"Medium",IF(ROUNDUP(Reliability!B108,0)=4,"Low","Very Low"))))))</f>
        <v>Low</v>
      </c>
    </row>
    <row r="109" spans="1:9" x14ac:dyDescent="0.3">
      <c r="A109" s="212" t="str">
        <f>Lists!C:C</f>
        <v>PSE002</v>
      </c>
      <c r="B109" s="213">
        <f t="shared" si="4"/>
        <v>1.4</v>
      </c>
      <c r="C109" s="213">
        <f t="shared" si="5"/>
        <v>2.2999999999999998</v>
      </c>
      <c r="D109" s="213">
        <f t="shared" si="6"/>
        <v>2</v>
      </c>
      <c r="E109" s="213">
        <f t="shared" si="7"/>
        <v>0</v>
      </c>
      <c r="F109" s="213">
        <f>'Data Reliability'!B109</f>
        <v>1.9</v>
      </c>
      <c r="G109" s="214">
        <f>Reliability_updated!V109</f>
        <v>145.30000000000001</v>
      </c>
      <c r="H109" s="214">
        <f>'Data Reliability'!C109</f>
        <v>0</v>
      </c>
      <c r="I109" s="79" t="str">
        <f>IF(Reliability!B109="x","x",(IF(ROUNDUP(Reliability!B109,0)=1,"Very High",IF(ROUNDUP(Reliability!B109,0)=2,"High",IF(ROUNDUP(Reliability!B109,0)=3,"Medium",IF(ROUNDUP(Reliability!B109,0)=4,"Low","Very Low"))))))</f>
        <v>High</v>
      </c>
    </row>
    <row r="110" spans="1:9" x14ac:dyDescent="0.3">
      <c r="A110" s="212" t="str">
        <f>Lists!C:C</f>
        <v>PER002</v>
      </c>
      <c r="B110" s="213">
        <f t="shared" si="4"/>
        <v>2.2999999999999998</v>
      </c>
      <c r="C110" s="213">
        <f t="shared" si="5"/>
        <v>3.5</v>
      </c>
      <c r="D110" s="213">
        <f t="shared" si="6"/>
        <v>3.4</v>
      </c>
      <c r="E110" s="213">
        <f t="shared" si="7"/>
        <v>0</v>
      </c>
      <c r="F110" s="213">
        <f>'Data Reliability'!B110</f>
        <v>2.4</v>
      </c>
      <c r="G110" s="214">
        <f>Reliability_updated!V110</f>
        <v>245.4</v>
      </c>
      <c r="H110" s="214">
        <f>'Data Reliability'!C110</f>
        <v>0</v>
      </c>
      <c r="I110" s="79" t="str">
        <f>IF(Reliability!B110="x","x",(IF(ROUNDUP(Reliability!B110,0)=1,"Very High",IF(ROUNDUP(Reliability!B110,0)=2,"High",IF(ROUNDUP(Reliability!B110,0)=3,"Medium",IF(ROUNDUP(Reliability!B110,0)=4,"Low","Very Low"))))))</f>
        <v>Medium</v>
      </c>
    </row>
    <row r="111" spans="1:9" x14ac:dyDescent="0.3">
      <c r="A111" s="212" t="str">
        <f>Lists!C:C</f>
        <v>PHL001</v>
      </c>
      <c r="B111" s="213">
        <f t="shared" si="4"/>
        <v>1</v>
      </c>
      <c r="C111" s="213">
        <f t="shared" si="5"/>
        <v>1.8</v>
      </c>
      <c r="D111" s="213">
        <f t="shared" si="6"/>
        <v>1.2</v>
      </c>
      <c r="E111" s="213">
        <f t="shared" si="7"/>
        <v>0</v>
      </c>
      <c r="F111" s="213">
        <f>'Data Reliability'!B111</f>
        <v>1.7</v>
      </c>
      <c r="G111" s="214">
        <f>Reliability_updated!V111</f>
        <v>89.6</v>
      </c>
      <c r="H111" s="214">
        <f>'Data Reliability'!C111</f>
        <v>0</v>
      </c>
      <c r="I111" s="79" t="str">
        <f>IF(Reliability!B111="x","x",(IF(ROUNDUP(Reliability!B111,0)=1,"Very High",IF(ROUNDUP(Reliability!B111,0)=2,"High",IF(ROUNDUP(Reliability!B111,0)=3,"Medium",IF(ROUNDUP(Reliability!B111,0)=4,"Low","Very Low"))))))</f>
        <v>Very High</v>
      </c>
    </row>
    <row r="112" spans="1:9" x14ac:dyDescent="0.3">
      <c r="A112" s="212" t="str">
        <f>Lists!C:C</f>
        <v>PHL003</v>
      </c>
      <c r="B112" s="213">
        <f t="shared" si="4"/>
        <v>1.5</v>
      </c>
      <c r="C112" s="213">
        <f t="shared" si="5"/>
        <v>3.3</v>
      </c>
      <c r="D112" s="213">
        <f t="shared" si="6"/>
        <v>1.2</v>
      </c>
      <c r="E112" s="213">
        <f t="shared" si="7"/>
        <v>0</v>
      </c>
      <c r="F112" s="213">
        <f>'Data Reliability'!B112</f>
        <v>2.2999999999999998</v>
      </c>
      <c r="G112" s="214">
        <f>Reliability_updated!V112</f>
        <v>89.3</v>
      </c>
      <c r="H112" s="214">
        <f>'Data Reliability'!C112</f>
        <v>0</v>
      </c>
      <c r="I112" s="79" t="str">
        <f>IF(Reliability!B112="x","x",(IF(ROUNDUP(Reliability!B112,0)=1,"Very High",IF(ROUNDUP(Reliability!B112,0)=2,"High",IF(ROUNDUP(Reliability!B112,0)=3,"Medium",IF(ROUNDUP(Reliability!B112,0)=4,"Low","Very Low"))))))</f>
        <v>High</v>
      </c>
    </row>
    <row r="113" spans="1:9" x14ac:dyDescent="0.3">
      <c r="A113" s="212" t="str">
        <f>Lists!C:C</f>
        <v>PHL004</v>
      </c>
      <c r="B113" s="213">
        <f t="shared" si="4"/>
        <v>1.1000000000000001</v>
      </c>
      <c r="C113" s="213">
        <f t="shared" si="5"/>
        <v>2</v>
      </c>
      <c r="D113" s="213">
        <f t="shared" si="6"/>
        <v>1.4</v>
      </c>
      <c r="E113" s="213">
        <f t="shared" si="7"/>
        <v>0</v>
      </c>
      <c r="F113" s="213">
        <f>'Data Reliability'!B113</f>
        <v>1.8</v>
      </c>
      <c r="G113" s="214">
        <f>Reliability_updated!V113</f>
        <v>104.1</v>
      </c>
      <c r="H113" s="214">
        <f>'Data Reliability'!C113</f>
        <v>0</v>
      </c>
      <c r="I113" s="79" t="str">
        <f>IF(Reliability!B113="x","x",(IF(ROUNDUP(Reliability!B113,0)=1,"Very High",IF(ROUNDUP(Reliability!B113,0)=2,"High",IF(ROUNDUP(Reliability!B113,0)=3,"Medium",IF(ROUNDUP(Reliability!B113,0)=4,"Low","Very Low"))))))</f>
        <v>High</v>
      </c>
    </row>
    <row r="114" spans="1:9" x14ac:dyDescent="0.3">
      <c r="A114" s="212" t="str">
        <f>Lists!C:C</f>
        <v>RWA002</v>
      </c>
      <c r="B114" s="213">
        <f t="shared" si="4"/>
        <v>2.2000000000000002</v>
      </c>
      <c r="C114" s="213">
        <f t="shared" si="5"/>
        <v>2</v>
      </c>
      <c r="D114" s="213">
        <f t="shared" si="6"/>
        <v>1.4</v>
      </c>
      <c r="E114" s="213">
        <f t="shared" si="7"/>
        <v>3.3</v>
      </c>
      <c r="F114" s="213">
        <f>'Data Reliability'!B114</f>
        <v>1.8</v>
      </c>
      <c r="G114" s="214">
        <f>Reliability_updated!V114</f>
        <v>104.8</v>
      </c>
      <c r="H114" s="214">
        <f>'Data Reliability'!C114</f>
        <v>2</v>
      </c>
      <c r="I114" s="79" t="str">
        <f>IF(Reliability!B114="x","x",(IF(ROUNDUP(Reliability!B114,0)=1,"Very High",IF(ROUNDUP(Reliability!B114,0)=2,"High",IF(ROUNDUP(Reliability!B114,0)=3,"Medium",IF(ROUNDUP(Reliability!B114,0)=4,"Low","Very Low"))))))</f>
        <v>Medium</v>
      </c>
    </row>
    <row r="115" spans="1:9" x14ac:dyDescent="0.3">
      <c r="A115" s="212" t="str">
        <f>Lists!C:C</f>
        <v>SEN002</v>
      </c>
      <c r="B115" s="213">
        <f t="shared" si="4"/>
        <v>2.4</v>
      </c>
      <c r="C115" s="213">
        <f t="shared" si="5"/>
        <v>1.8</v>
      </c>
      <c r="D115" s="213">
        <f t="shared" si="6"/>
        <v>3.8</v>
      </c>
      <c r="E115" s="213">
        <f t="shared" si="7"/>
        <v>1.7</v>
      </c>
      <c r="F115" s="213">
        <f>'Data Reliability'!B115</f>
        <v>1.7</v>
      </c>
      <c r="G115" s="214">
        <f>Reliability_updated!V115</f>
        <v>275.2</v>
      </c>
      <c r="H115" s="214">
        <f>'Data Reliability'!C115</f>
        <v>1</v>
      </c>
      <c r="I115" s="79" t="str">
        <f>IF(Reliability!B115="x","x",(IF(ROUNDUP(Reliability!B115,0)=1,"Very High",IF(ROUNDUP(Reliability!B115,0)=2,"High",IF(ROUNDUP(Reliability!B115,0)=3,"Medium",IF(ROUNDUP(Reliability!B115,0)=4,"Low","Very Low"))))))</f>
        <v>Medium</v>
      </c>
    </row>
    <row r="116" spans="1:9" x14ac:dyDescent="0.3">
      <c r="A116" s="212" t="str">
        <f>Lists!C:C</f>
        <v>SOM001</v>
      </c>
      <c r="B116" s="213">
        <f t="shared" si="4"/>
        <v>1.8</v>
      </c>
      <c r="C116" s="213">
        <f t="shared" si="5"/>
        <v>2</v>
      </c>
      <c r="D116" s="213">
        <f t="shared" si="6"/>
        <v>3.3</v>
      </c>
      <c r="E116" s="213">
        <f t="shared" si="7"/>
        <v>0</v>
      </c>
      <c r="F116" s="213">
        <f>'Data Reliability'!B116</f>
        <v>1.8</v>
      </c>
      <c r="G116" s="214">
        <f>Reliability_updated!V116</f>
        <v>241.9</v>
      </c>
      <c r="H116" s="214">
        <f>'Data Reliability'!C116</f>
        <v>0</v>
      </c>
      <c r="I116" s="79" t="str">
        <f>IF(Reliability!B116="x","x",(IF(ROUNDUP(Reliability!B116,0)=1,"Very High",IF(ROUNDUP(Reliability!B116,0)=2,"High",IF(ROUNDUP(Reliability!B116,0)=3,"Medium",IF(ROUNDUP(Reliability!B116,0)=4,"Low","Very Low"))))))</f>
        <v>High</v>
      </c>
    </row>
    <row r="117" spans="1:9" x14ac:dyDescent="0.3">
      <c r="A117" s="212" t="str">
        <f>Lists!C:C</f>
        <v>SOM002</v>
      </c>
      <c r="B117" s="213">
        <f t="shared" si="4"/>
        <v>2.5</v>
      </c>
      <c r="C117" s="213">
        <f t="shared" si="5"/>
        <v>2.2999999999999998</v>
      </c>
      <c r="D117" s="213">
        <f t="shared" si="6"/>
        <v>3.6</v>
      </c>
      <c r="E117" s="213">
        <f t="shared" si="7"/>
        <v>1.7</v>
      </c>
      <c r="F117" s="213">
        <f>'Data Reliability'!B117</f>
        <v>1.9</v>
      </c>
      <c r="G117" s="214">
        <f>Reliability_updated!V117</f>
        <v>263.5</v>
      </c>
      <c r="H117" s="214">
        <f>'Data Reliability'!C117</f>
        <v>1</v>
      </c>
      <c r="I117" s="79" t="str">
        <f>IF(Reliability!B117="x","x",(IF(ROUNDUP(Reliability!B117,0)=1,"Very High",IF(ROUNDUP(Reliability!B117,0)=2,"High",IF(ROUNDUP(Reliability!B117,0)=3,"Medium",IF(ROUNDUP(Reliability!B117,0)=4,"Low","Very Low"))))))</f>
        <v>Medium</v>
      </c>
    </row>
    <row r="118" spans="1:9" x14ac:dyDescent="0.3">
      <c r="A118" s="212" t="str">
        <f>Lists!C:C</f>
        <v>SOM004</v>
      </c>
      <c r="B118" s="213">
        <f t="shared" si="4"/>
        <v>2.2000000000000002</v>
      </c>
      <c r="C118" s="213">
        <f t="shared" si="5"/>
        <v>2</v>
      </c>
      <c r="D118" s="213">
        <f t="shared" si="6"/>
        <v>4.5999999999999996</v>
      </c>
      <c r="E118" s="213">
        <f t="shared" si="7"/>
        <v>0</v>
      </c>
      <c r="F118" s="213">
        <f>'Data Reliability'!B118</f>
        <v>1.8</v>
      </c>
      <c r="G118" s="214">
        <f>Reliability_updated!V118</f>
        <v>337.2</v>
      </c>
      <c r="H118" s="214">
        <f>'Data Reliability'!C118</f>
        <v>0</v>
      </c>
      <c r="I118" s="79" t="str">
        <f>IF(Reliability!B118="x","x",(IF(ROUNDUP(Reliability!B118,0)=1,"Very High",IF(ROUNDUP(Reliability!B118,0)=2,"High",IF(ROUNDUP(Reliability!B118,0)=3,"Medium",IF(ROUNDUP(Reliability!B118,0)=4,"Low","Very Low"))))))</f>
        <v>Medium</v>
      </c>
    </row>
    <row r="119" spans="1:9" x14ac:dyDescent="0.3">
      <c r="A119" s="212" t="str">
        <f>Lists!C:C</f>
        <v>SSD001</v>
      </c>
      <c r="B119" s="213">
        <f t="shared" si="4"/>
        <v>2.2000000000000002</v>
      </c>
      <c r="C119" s="213">
        <f t="shared" si="5"/>
        <v>1.8</v>
      </c>
      <c r="D119" s="213">
        <f t="shared" si="6"/>
        <v>4.7</v>
      </c>
      <c r="E119" s="213">
        <f t="shared" si="7"/>
        <v>0</v>
      </c>
      <c r="F119" s="213">
        <f>'Data Reliability'!B119</f>
        <v>1.7</v>
      </c>
      <c r="G119" s="214">
        <f>Reliability_updated!V119</f>
        <v>343.3</v>
      </c>
      <c r="H119" s="214">
        <f>'Data Reliability'!C119</f>
        <v>0</v>
      </c>
      <c r="I119" s="79" t="str">
        <f>IF(Reliability!B119="x","x",(IF(ROUNDUP(Reliability!B119,0)=1,"Very High",IF(ROUNDUP(Reliability!B119,0)=2,"High",IF(ROUNDUP(Reliability!B119,0)=3,"Medium",IF(ROUNDUP(Reliability!B119,0)=4,"Low","Very Low"))))))</f>
        <v>Medium</v>
      </c>
    </row>
    <row r="120" spans="1:9" x14ac:dyDescent="0.3">
      <c r="A120" s="212" t="str">
        <f>Lists!C:C</f>
        <v>SDN001</v>
      </c>
      <c r="B120" s="213">
        <f t="shared" si="4"/>
        <v>1.5</v>
      </c>
      <c r="C120" s="213">
        <f t="shared" si="5"/>
        <v>1.8</v>
      </c>
      <c r="D120" s="213">
        <f t="shared" si="6"/>
        <v>2.8</v>
      </c>
      <c r="E120" s="213">
        <f t="shared" si="7"/>
        <v>0</v>
      </c>
      <c r="F120" s="213">
        <f>'Data Reliability'!B120</f>
        <v>1.7</v>
      </c>
      <c r="G120" s="214">
        <f>Reliability_updated!V120</f>
        <v>203.5</v>
      </c>
      <c r="H120" s="214">
        <f>'Data Reliability'!C120</f>
        <v>0</v>
      </c>
      <c r="I120" s="79" t="str">
        <f>IF(Reliability!B120="x","x",(IF(ROUNDUP(Reliability!B120,0)=1,"Very High",IF(ROUNDUP(Reliability!B120,0)=2,"High",IF(ROUNDUP(Reliability!B120,0)=3,"Medium",IF(ROUNDUP(Reliability!B120,0)=4,"Low","Very Low"))))))</f>
        <v>High</v>
      </c>
    </row>
    <row r="121" spans="1:9" x14ac:dyDescent="0.3">
      <c r="A121" s="212" t="str">
        <f>Lists!C:C</f>
        <v>SDN005</v>
      </c>
      <c r="B121" s="213">
        <f t="shared" si="4"/>
        <v>2.2999999999999998</v>
      </c>
      <c r="C121" s="213">
        <f t="shared" si="5"/>
        <v>2</v>
      </c>
      <c r="D121" s="213">
        <f t="shared" si="6"/>
        <v>3.3</v>
      </c>
      <c r="E121" s="213">
        <f t="shared" si="7"/>
        <v>1.7</v>
      </c>
      <c r="F121" s="213">
        <f>'Data Reliability'!B121</f>
        <v>1.8</v>
      </c>
      <c r="G121" s="214">
        <f>Reliability_updated!V121</f>
        <v>240.8</v>
      </c>
      <c r="H121" s="214">
        <f>'Data Reliability'!C121</f>
        <v>1</v>
      </c>
      <c r="I121" s="79" t="str">
        <f>IF(Reliability!B121="x","x",(IF(ROUNDUP(Reliability!B121,0)=1,"Very High",IF(ROUNDUP(Reliability!B121,0)=2,"High",IF(ROUNDUP(Reliability!B121,0)=3,"Medium",IF(ROUNDUP(Reliability!B121,0)=4,"Low","Very Low"))))))</f>
        <v>Medium</v>
      </c>
    </row>
    <row r="122" spans="1:9" x14ac:dyDescent="0.3">
      <c r="A122" s="212" t="str">
        <f>Lists!C:C</f>
        <v>SDN006</v>
      </c>
      <c r="B122" s="213">
        <f t="shared" si="4"/>
        <v>1.9</v>
      </c>
      <c r="C122" s="213">
        <f t="shared" si="5"/>
        <v>3.5</v>
      </c>
      <c r="D122" s="213">
        <f t="shared" si="6"/>
        <v>0.4</v>
      </c>
      <c r="E122" s="213">
        <f t="shared" si="7"/>
        <v>1.7</v>
      </c>
      <c r="F122" s="213">
        <f>'Data Reliability'!B122</f>
        <v>2.4</v>
      </c>
      <c r="G122" s="214">
        <f>Reliability_updated!V122</f>
        <v>28.2</v>
      </c>
      <c r="H122" s="214">
        <f>'Data Reliability'!C122</f>
        <v>1</v>
      </c>
      <c r="I122" s="79" t="str">
        <f>IF(Reliability!B122="x","x",(IF(ROUNDUP(Reliability!B122,0)=1,"Very High",IF(ROUNDUP(Reliability!B122,0)=2,"High",IF(ROUNDUP(Reliability!B122,0)=3,"Medium",IF(ROUNDUP(Reliability!B122,0)=4,"Low","Very Low"))))))</f>
        <v>High</v>
      </c>
    </row>
    <row r="123" spans="1:9" x14ac:dyDescent="0.3">
      <c r="A123" s="212" t="str">
        <f>Lists!C:C</f>
        <v>SYR001</v>
      </c>
      <c r="B123" s="213">
        <f t="shared" si="4"/>
        <v>2.4</v>
      </c>
      <c r="C123" s="213">
        <f t="shared" si="5"/>
        <v>3.5</v>
      </c>
      <c r="D123" s="213">
        <f t="shared" si="6"/>
        <v>3.7</v>
      </c>
      <c r="E123" s="213">
        <f t="shared" si="7"/>
        <v>0</v>
      </c>
      <c r="F123" s="213">
        <f>'Data Reliability'!B123</f>
        <v>2.4</v>
      </c>
      <c r="G123" s="214">
        <f>Reliability_updated!V123</f>
        <v>268.2</v>
      </c>
      <c r="H123" s="214">
        <f>'Data Reliability'!C123</f>
        <v>0</v>
      </c>
      <c r="I123" s="79" t="str">
        <f>IF(Reliability!B123="x","x",(IF(ROUNDUP(Reliability!B123,0)=1,"Very High",IF(ROUNDUP(Reliability!B123,0)=2,"High",IF(ROUNDUP(Reliability!B123,0)=3,"Medium",IF(ROUNDUP(Reliability!B123,0)=4,"Low","Very Low"))))))</f>
        <v>Medium</v>
      </c>
    </row>
    <row r="124" spans="1:9" x14ac:dyDescent="0.3">
      <c r="A124" s="212" t="str">
        <f>Lists!C:C</f>
        <v>REG004</v>
      </c>
      <c r="B124" s="213">
        <f t="shared" si="4"/>
        <v>1.4</v>
      </c>
      <c r="C124" s="213">
        <f t="shared" si="5"/>
        <v>2.5</v>
      </c>
      <c r="D124" s="213">
        <f t="shared" si="6"/>
        <v>1.6</v>
      </c>
      <c r="E124" s="213">
        <f t="shared" si="7"/>
        <v>0</v>
      </c>
      <c r="F124" s="213">
        <f>'Data Reliability'!B124</f>
        <v>2</v>
      </c>
      <c r="G124" s="214">
        <f>Reliability_updated!V124</f>
        <v>115.5</v>
      </c>
      <c r="H124" s="214">
        <f>'Data Reliability'!C124</f>
        <v>0</v>
      </c>
      <c r="I124" s="79" t="str">
        <f>IF(Reliability!B124="x","x",(IF(ROUNDUP(Reliability!B124,0)=1,"Very High",IF(ROUNDUP(Reliability!B124,0)=2,"High",IF(ROUNDUP(Reliability!B124,0)=3,"Medium",IF(ROUNDUP(Reliability!B124,0)=4,"Low","Very Low"))))))</f>
        <v>High</v>
      </c>
    </row>
    <row r="125" spans="1:9" x14ac:dyDescent="0.3">
      <c r="A125" s="212" t="str">
        <f>Lists!C:C</f>
        <v>TZA002</v>
      </c>
      <c r="B125" s="213">
        <f t="shared" si="4"/>
        <v>1.3</v>
      </c>
      <c r="C125" s="213">
        <f t="shared" si="5"/>
        <v>1.8</v>
      </c>
      <c r="D125" s="213">
        <f t="shared" si="6"/>
        <v>2.2000000000000002</v>
      </c>
      <c r="E125" s="213">
        <f t="shared" si="7"/>
        <v>0</v>
      </c>
      <c r="F125" s="213">
        <f>'Data Reliability'!B125</f>
        <v>1.7</v>
      </c>
      <c r="G125" s="214">
        <f>Reliability_updated!V125</f>
        <v>159.4</v>
      </c>
      <c r="H125" s="214">
        <f>'Data Reliability'!C125</f>
        <v>0</v>
      </c>
      <c r="I125" s="79" t="str">
        <f>IF(Reliability!B125="x","x",(IF(ROUNDUP(Reliability!B125,0)=1,"Very High",IF(ROUNDUP(Reliability!B125,0)=2,"High",IF(ROUNDUP(Reliability!B125,0)=3,"Medium",IF(ROUNDUP(Reliability!B125,0)=4,"Low","Very Low"))))))</f>
        <v>High</v>
      </c>
    </row>
    <row r="126" spans="1:9" x14ac:dyDescent="0.3">
      <c r="A126" s="212" t="str">
        <f>Lists!C:C</f>
        <v>THA001</v>
      </c>
      <c r="B126" s="213">
        <f t="shared" si="4"/>
        <v>1.1000000000000001</v>
      </c>
      <c r="C126" s="213">
        <f t="shared" si="5"/>
        <v>2</v>
      </c>
      <c r="D126" s="213">
        <f t="shared" si="6"/>
        <v>1.4</v>
      </c>
      <c r="E126" s="213">
        <f t="shared" si="7"/>
        <v>0</v>
      </c>
      <c r="F126" s="213">
        <f>'Data Reliability'!B126</f>
        <v>1.8</v>
      </c>
      <c r="G126" s="214">
        <f>Reliability_updated!V126</f>
        <v>106.5</v>
      </c>
      <c r="H126" s="214">
        <f>'Data Reliability'!C126</f>
        <v>0</v>
      </c>
      <c r="I126" s="79" t="str">
        <f>IF(Reliability!B126="x","x",(IF(ROUNDUP(Reliability!B126,0)=1,"Very High",IF(ROUNDUP(Reliability!B126,0)=2,"High",IF(ROUNDUP(Reliability!B126,0)=3,"Medium",IF(ROUNDUP(Reliability!B126,0)=4,"Low","Very Low"))))))</f>
        <v>High</v>
      </c>
    </row>
    <row r="127" spans="1:9" x14ac:dyDescent="0.3">
      <c r="A127" s="212" t="str">
        <f>Lists!C:C</f>
        <v>THA002</v>
      </c>
      <c r="B127" s="213">
        <f t="shared" si="4"/>
        <v>3.8</v>
      </c>
      <c r="C127" s="213" t="str">
        <f t="shared" si="5"/>
        <v>x</v>
      </c>
      <c r="D127" s="213">
        <f t="shared" si="6"/>
        <v>4.2</v>
      </c>
      <c r="E127" s="213">
        <f t="shared" si="7"/>
        <v>3.3</v>
      </c>
      <c r="F127" s="213" t="str">
        <f>'Data Reliability'!B127</f>
        <v>x</v>
      </c>
      <c r="G127" s="214">
        <f>Reliability_updated!V127</f>
        <v>303.7</v>
      </c>
      <c r="H127" s="214">
        <f>'Data Reliability'!C127</f>
        <v>2</v>
      </c>
      <c r="I127" s="79" t="str">
        <f>IF(Reliability!B127="x","x",(IF(ROUNDUP(Reliability!B127,0)=1,"Very High",IF(ROUNDUP(Reliability!B127,0)=2,"High",IF(ROUNDUP(Reliability!B127,0)=3,"Medium",IF(ROUNDUP(Reliability!B127,0)=4,"Low","Very Low"))))))</f>
        <v>Low</v>
      </c>
    </row>
    <row r="128" spans="1:9" x14ac:dyDescent="0.3">
      <c r="A128" s="212" t="str">
        <f>Lists!C:C</f>
        <v>THA003</v>
      </c>
      <c r="B128" s="213">
        <f t="shared" si="4"/>
        <v>1.7</v>
      </c>
      <c r="C128" s="213">
        <f t="shared" si="5"/>
        <v>2</v>
      </c>
      <c r="D128" s="213">
        <f t="shared" si="6"/>
        <v>1.5</v>
      </c>
      <c r="E128" s="213">
        <f t="shared" si="7"/>
        <v>1.7</v>
      </c>
      <c r="F128" s="213">
        <f>'Data Reliability'!B128</f>
        <v>1.8</v>
      </c>
      <c r="G128" s="214">
        <f>Reliability_updated!V128</f>
        <v>108.7</v>
      </c>
      <c r="H128" s="214">
        <f>'Data Reliability'!C128</f>
        <v>1</v>
      </c>
      <c r="I128" s="79" t="str">
        <f>IF(Reliability!B128="x","x",(IF(ROUNDUP(Reliability!B128,0)=1,"Very High",IF(ROUNDUP(Reliability!B128,0)=2,"High",IF(ROUNDUP(Reliability!B128,0)=3,"Medium",IF(ROUNDUP(Reliability!B128,0)=4,"Low","Very Low"))))))</f>
        <v>High</v>
      </c>
    </row>
    <row r="129" spans="1:9" x14ac:dyDescent="0.3">
      <c r="A129" s="212" t="str">
        <f>Lists!C:C</f>
        <v>TTO002</v>
      </c>
      <c r="B129" s="213">
        <f t="shared" si="4"/>
        <v>2.5</v>
      </c>
      <c r="C129" s="213">
        <f t="shared" si="5"/>
        <v>3.3</v>
      </c>
      <c r="D129" s="213">
        <f t="shared" si="6"/>
        <v>4.2</v>
      </c>
      <c r="E129" s="213">
        <f t="shared" si="7"/>
        <v>0</v>
      </c>
      <c r="F129" s="213">
        <f>'Data Reliability'!B129</f>
        <v>2.2999999999999998</v>
      </c>
      <c r="G129" s="214">
        <f>Reliability_updated!V129</f>
        <v>303.8</v>
      </c>
      <c r="H129" s="214">
        <f>'Data Reliability'!C129</f>
        <v>0</v>
      </c>
      <c r="I129" s="79" t="str">
        <f>IF(Reliability!B129="x","x",(IF(ROUNDUP(Reliability!B129,0)=1,"Very High",IF(ROUNDUP(Reliability!B129,0)=2,"High",IF(ROUNDUP(Reliability!B129,0)=3,"Medium",IF(ROUNDUP(Reliability!B129,0)=4,"Low","Very Low"))))))</f>
        <v>Medium</v>
      </c>
    </row>
    <row r="130" spans="1:9" x14ac:dyDescent="0.3">
      <c r="A130" s="212" t="str">
        <f>Lists!C:C</f>
        <v>TUN002</v>
      </c>
      <c r="B130" s="213">
        <f t="shared" si="4"/>
        <v>3.7</v>
      </c>
      <c r="C130" s="213">
        <f t="shared" si="5"/>
        <v>2.8</v>
      </c>
      <c r="D130" s="213">
        <f t="shared" si="6"/>
        <v>5</v>
      </c>
      <c r="E130" s="213">
        <f t="shared" si="7"/>
        <v>3.3</v>
      </c>
      <c r="F130" s="213">
        <f>'Data Reliability'!B130</f>
        <v>2.1</v>
      </c>
      <c r="G130" s="214">
        <f>Reliability_updated!V130</f>
        <v>444.6</v>
      </c>
      <c r="H130" s="214">
        <f>'Data Reliability'!C130</f>
        <v>2</v>
      </c>
      <c r="I130" s="79" t="str">
        <f>IF(Reliability!B130="x","x",(IF(ROUNDUP(Reliability!B130,0)=1,"Very High",IF(ROUNDUP(Reliability!B130,0)=2,"High",IF(ROUNDUP(Reliability!B130,0)=3,"Medium",IF(ROUNDUP(Reliability!B130,0)=4,"Low","Very Low"))))))</f>
        <v>Low</v>
      </c>
    </row>
    <row r="131" spans="1:9" x14ac:dyDescent="0.3">
      <c r="A131" s="212" t="str">
        <f>Lists!C:C</f>
        <v>TUR001</v>
      </c>
      <c r="B131" s="213">
        <f t="shared" si="4"/>
        <v>1.6</v>
      </c>
      <c r="C131" s="213">
        <f t="shared" si="5"/>
        <v>3.5</v>
      </c>
      <c r="D131" s="213">
        <f t="shared" si="6"/>
        <v>1.4</v>
      </c>
      <c r="E131" s="213">
        <f t="shared" si="7"/>
        <v>0</v>
      </c>
      <c r="F131" s="213">
        <f>'Data Reliability'!B131</f>
        <v>2.4</v>
      </c>
      <c r="G131" s="214">
        <f>Reliability_updated!V131</f>
        <v>101</v>
      </c>
      <c r="H131" s="214">
        <f>'Data Reliability'!C131</f>
        <v>0</v>
      </c>
      <c r="I131" s="79" t="str">
        <f>IF(Reliability!B131="x","x",(IF(ROUNDUP(Reliability!B131,0)=1,"Very High",IF(ROUNDUP(Reliability!B131,0)=2,"High",IF(ROUNDUP(Reliability!B131,0)=3,"Medium",IF(ROUNDUP(Reliability!B131,0)=4,"Low","Very Low"))))))</f>
        <v>High</v>
      </c>
    </row>
    <row r="132" spans="1:9" x14ac:dyDescent="0.3">
      <c r="A132" s="212" t="str">
        <f>Lists!C:C</f>
        <v>TUR002</v>
      </c>
      <c r="B132" s="213">
        <f t="shared" ref="B132:B141" si="8">ROUND(AVERAGE(C132:E132),1)</f>
        <v>1.9</v>
      </c>
      <c r="C132" s="213">
        <f t="shared" ref="C132:C141" si="9">IF(F132="x","x",ROUND((5-(3-F132)/2*5),1))</f>
        <v>3.5</v>
      </c>
      <c r="D132" s="213">
        <f t="shared" ref="D132:D141" si="10">IF(G132&gt;365,5,ROUND((5-(365-G132)/364*5),1))</f>
        <v>2.2000000000000002</v>
      </c>
      <c r="E132" s="213">
        <f t="shared" ref="E132:E141" si="11">IF(H132&gt;3,5,ROUND((5-(3-H132)/3*5),1))</f>
        <v>0</v>
      </c>
      <c r="F132" s="213">
        <f>'Data Reliability'!B132</f>
        <v>2.4</v>
      </c>
      <c r="G132" s="214">
        <f>Reliability_updated!V132</f>
        <v>163.80000000000001</v>
      </c>
      <c r="H132" s="214">
        <f>'Data Reliability'!C132</f>
        <v>0</v>
      </c>
      <c r="I132" s="79" t="str">
        <f>IF(Reliability!B132="x","x",(IF(ROUNDUP(Reliability!B132,0)=1,"Very High",IF(ROUNDUP(Reliability!B132,0)=2,"High",IF(ROUNDUP(Reliability!B132,0)=3,"Medium",IF(ROUNDUP(Reliability!B132,0)=4,"Low","Very Low"))))))</f>
        <v>High</v>
      </c>
    </row>
    <row r="133" spans="1:9" x14ac:dyDescent="0.3">
      <c r="A133" s="212" t="str">
        <f>Lists!C:C</f>
        <v>TUR003</v>
      </c>
      <c r="B133" s="213">
        <f t="shared" si="8"/>
        <v>1.6</v>
      </c>
      <c r="C133" s="213">
        <f t="shared" si="9"/>
        <v>3.5</v>
      </c>
      <c r="D133" s="213">
        <f t="shared" si="10"/>
        <v>1.4</v>
      </c>
      <c r="E133" s="213">
        <f t="shared" si="11"/>
        <v>0</v>
      </c>
      <c r="F133" s="213">
        <f>'Data Reliability'!B133</f>
        <v>2.4</v>
      </c>
      <c r="G133" s="214">
        <f>Reliability_updated!V133</f>
        <v>100.2</v>
      </c>
      <c r="H133" s="214">
        <f>'Data Reliability'!C133</f>
        <v>0</v>
      </c>
      <c r="I133" s="79" t="str">
        <f>IF(Reliability!B133="x","x",(IF(ROUNDUP(Reliability!B133,0)=1,"Very High",IF(ROUNDUP(Reliability!B133,0)=2,"High",IF(ROUNDUP(Reliability!B133,0)=3,"Medium",IF(ROUNDUP(Reliability!B133,0)=4,"Low","Very Low"))))))</f>
        <v>High</v>
      </c>
    </row>
    <row r="134" spans="1:9" x14ac:dyDescent="0.3">
      <c r="A134" s="212" t="str">
        <f>Lists!C:C</f>
        <v>TUR004</v>
      </c>
      <c r="B134" s="213">
        <f t="shared" si="8"/>
        <v>2.4</v>
      </c>
      <c r="C134" s="213">
        <f t="shared" si="9"/>
        <v>2.2999999999999998</v>
      </c>
      <c r="D134" s="213">
        <f t="shared" si="10"/>
        <v>5</v>
      </c>
      <c r="E134" s="213">
        <f t="shared" si="11"/>
        <v>0</v>
      </c>
      <c r="F134" s="213">
        <f>'Data Reliability'!B134</f>
        <v>1.9</v>
      </c>
      <c r="G134" s="214">
        <f>Reliability_updated!V134</f>
        <v>540.5</v>
      </c>
      <c r="H134" s="214">
        <f>'Data Reliability'!C134</f>
        <v>0</v>
      </c>
      <c r="I134" s="79" t="str">
        <f>IF(Reliability!B134="x","x",(IF(ROUNDUP(Reliability!B134,0)=1,"Very High",IF(ROUNDUP(Reliability!B134,0)=2,"High",IF(ROUNDUP(Reliability!B134,0)=3,"Medium",IF(ROUNDUP(Reliability!B134,0)=4,"Low","Very Low"))))))</f>
        <v>Medium</v>
      </c>
    </row>
    <row r="135" spans="1:9" x14ac:dyDescent="0.3">
      <c r="A135" s="212" t="str">
        <f>Lists!C:C</f>
        <v>REG006</v>
      </c>
      <c r="B135" s="213">
        <f t="shared" si="8"/>
        <v>5</v>
      </c>
      <c r="C135" s="213" t="str">
        <f t="shared" si="9"/>
        <v>x</v>
      </c>
      <c r="D135" s="213">
        <f t="shared" si="10"/>
        <v>5</v>
      </c>
      <c r="E135" s="213">
        <f t="shared" si="11"/>
        <v>5</v>
      </c>
      <c r="F135" s="213" t="str">
        <f>'Data Reliability'!B135</f>
        <v>x</v>
      </c>
      <c r="G135" s="214">
        <f>Reliability_updated!V135</f>
        <v>466.9</v>
      </c>
      <c r="H135" s="214">
        <f>'Data Reliability'!C135</f>
        <v>6</v>
      </c>
      <c r="I135" s="79" t="str">
        <f>IF(Reliability!B135="x","x",(IF(ROUNDUP(Reliability!B135,0)=1,"Very High",IF(ROUNDUP(Reliability!B135,0)=2,"High",IF(ROUNDUP(Reliability!B135,0)=3,"Medium",IF(ROUNDUP(Reliability!B135,0)=4,"Low","Very Low"))))))</f>
        <v>Very Low</v>
      </c>
    </row>
    <row r="136" spans="1:9" x14ac:dyDescent="0.3">
      <c r="A136" s="212" t="str">
        <f>Lists!C:C</f>
        <v>UGA001</v>
      </c>
      <c r="B136" s="213">
        <f t="shared" si="8"/>
        <v>1.7</v>
      </c>
      <c r="C136" s="213">
        <f t="shared" si="9"/>
        <v>2.2999999999999998</v>
      </c>
      <c r="D136" s="213">
        <f t="shared" si="10"/>
        <v>1.2</v>
      </c>
      <c r="E136" s="213">
        <f t="shared" si="11"/>
        <v>1.7</v>
      </c>
      <c r="F136" s="213">
        <f>'Data Reliability'!B136</f>
        <v>1.9</v>
      </c>
      <c r="G136" s="214">
        <f>Reliability_updated!V136</f>
        <v>86.3</v>
      </c>
      <c r="H136" s="214">
        <f>'Data Reliability'!C136</f>
        <v>1</v>
      </c>
      <c r="I136" s="79" t="str">
        <f>IF(Reliability!B136="x","x",(IF(ROUNDUP(Reliability!B136,0)=1,"Very High",IF(ROUNDUP(Reliability!B136,0)=2,"High",IF(ROUNDUP(Reliability!B136,0)=3,"Medium",IF(ROUNDUP(Reliability!B136,0)=4,"Low","Very Low"))))))</f>
        <v>High</v>
      </c>
    </row>
    <row r="137" spans="1:9" x14ac:dyDescent="0.3">
      <c r="A137" s="212" t="str">
        <f>Lists!C:C</f>
        <v>UGA005</v>
      </c>
      <c r="B137" s="213">
        <f t="shared" si="8"/>
        <v>1.8</v>
      </c>
      <c r="C137" s="213">
        <f t="shared" si="9"/>
        <v>2.2999999999999998</v>
      </c>
      <c r="D137" s="213">
        <f t="shared" si="10"/>
        <v>1.5</v>
      </c>
      <c r="E137" s="213">
        <f t="shared" si="11"/>
        <v>1.7</v>
      </c>
      <c r="F137" s="213">
        <f>'Data Reliability'!B137</f>
        <v>1.9</v>
      </c>
      <c r="G137" s="214">
        <f>Reliability_updated!V137</f>
        <v>112.8</v>
      </c>
      <c r="H137" s="214">
        <f>'Data Reliability'!C137</f>
        <v>1</v>
      </c>
      <c r="I137" s="79" t="str">
        <f>IF(Reliability!B137="x","x",(IF(ROUNDUP(Reliability!B137,0)=1,"Very High",IF(ROUNDUP(Reliability!B137,0)=2,"High",IF(ROUNDUP(Reliability!B137,0)=3,"Medium",IF(ROUNDUP(Reliability!B137,0)=4,"Low","Very Low"))))))</f>
        <v>High</v>
      </c>
    </row>
    <row r="138" spans="1:9" x14ac:dyDescent="0.3">
      <c r="A138" s="212" t="str">
        <f>Lists!C:C</f>
        <v>UGA006</v>
      </c>
      <c r="B138" s="213">
        <f t="shared" si="8"/>
        <v>2.7</v>
      </c>
      <c r="C138" s="213" t="str">
        <f t="shared" si="9"/>
        <v>x</v>
      </c>
      <c r="D138" s="213">
        <f t="shared" si="10"/>
        <v>2.1</v>
      </c>
      <c r="E138" s="213">
        <f t="shared" si="11"/>
        <v>3.3</v>
      </c>
      <c r="F138" s="213" t="str">
        <f>'Data Reliability'!B138</f>
        <v>x</v>
      </c>
      <c r="G138" s="214">
        <f>Reliability_updated!V138</f>
        <v>153</v>
      </c>
      <c r="H138" s="214">
        <f>'Data Reliability'!C138</f>
        <v>2</v>
      </c>
      <c r="I138" s="79" t="str">
        <f>IF(Reliability!B138="x","x",(IF(ROUNDUP(Reliability!B138,0)=1,"Very High",IF(ROUNDUP(Reliability!B138,0)=2,"High",IF(ROUNDUP(Reliability!B138,0)=3,"Medium",IF(ROUNDUP(Reliability!B138,0)=4,"Low","Very Low"))))))</f>
        <v>Medium</v>
      </c>
    </row>
    <row r="139" spans="1:9" x14ac:dyDescent="0.3">
      <c r="A139" s="212" t="str">
        <f>Lists!C:C</f>
        <v>UKR002</v>
      </c>
      <c r="B139" s="213">
        <f t="shared" si="8"/>
        <v>1.5</v>
      </c>
      <c r="C139" s="213">
        <f t="shared" si="9"/>
        <v>1.5</v>
      </c>
      <c r="D139" s="213">
        <f t="shared" si="10"/>
        <v>2.9</v>
      </c>
      <c r="E139" s="213">
        <f t="shared" si="11"/>
        <v>0</v>
      </c>
      <c r="F139" s="213">
        <f>'Data Reliability'!B139</f>
        <v>1.6</v>
      </c>
      <c r="G139" s="214">
        <f>Reliability_updated!V139</f>
        <v>213.3</v>
      </c>
      <c r="H139" s="214">
        <f>'Data Reliability'!C139</f>
        <v>0</v>
      </c>
      <c r="I139" s="79" t="str">
        <f>IF(Reliability!B139="x","x",(IF(ROUNDUP(Reliability!B139,0)=1,"Very High",IF(ROUNDUP(Reliability!B139,0)=2,"High",IF(ROUNDUP(Reliability!B139,0)=3,"Medium",IF(ROUNDUP(Reliability!B139,0)=4,"Low","Very Low"))))))</f>
        <v>High</v>
      </c>
    </row>
    <row r="140" spans="1:9" x14ac:dyDescent="0.3">
      <c r="A140" s="212" t="str">
        <f>Lists!C:C</f>
        <v>VUT002</v>
      </c>
      <c r="B140" s="213">
        <f t="shared" si="8"/>
        <v>1.5</v>
      </c>
      <c r="C140" s="213">
        <f t="shared" si="9"/>
        <v>2</v>
      </c>
      <c r="D140" s="213">
        <f t="shared" si="10"/>
        <v>2.6</v>
      </c>
      <c r="E140" s="213">
        <f t="shared" si="11"/>
        <v>0</v>
      </c>
      <c r="F140" s="213">
        <f>'Data Reliability'!B140</f>
        <v>1.8</v>
      </c>
      <c r="G140" s="214">
        <f>Reliability_updated!V140</f>
        <v>187.8</v>
      </c>
      <c r="H140" s="214">
        <f>'Data Reliability'!C140</f>
        <v>0</v>
      </c>
      <c r="I140" s="79" t="str">
        <f>IF(Reliability!B140="x","x",(IF(ROUNDUP(Reliability!B140,0)=1,"Very High",IF(ROUNDUP(Reliability!B140,0)=2,"High",IF(ROUNDUP(Reliability!B140,0)=3,"Medium",IF(ROUNDUP(Reliability!B140,0)=4,"Low","Very Low"))))))</f>
        <v>High</v>
      </c>
    </row>
    <row r="141" spans="1:9" x14ac:dyDescent="0.3">
      <c r="A141" s="212" t="str">
        <f>Lists!C:C</f>
        <v>VEN001</v>
      </c>
      <c r="B141" s="213">
        <f t="shared" si="8"/>
        <v>1.4</v>
      </c>
      <c r="C141" s="213">
        <f t="shared" si="9"/>
        <v>2.5</v>
      </c>
      <c r="D141" s="213">
        <f t="shared" si="10"/>
        <v>1.6</v>
      </c>
      <c r="E141" s="213">
        <f t="shared" si="11"/>
        <v>0</v>
      </c>
      <c r="F141" s="213">
        <f>'Data Reliability'!B141</f>
        <v>2</v>
      </c>
      <c r="G141" s="214">
        <f>Reliability_updated!V141</f>
        <v>113.9</v>
      </c>
      <c r="H141" s="214">
        <f>'Data Reliability'!C141</f>
        <v>0</v>
      </c>
      <c r="I141" s="79" t="str">
        <f>IF(Reliability!B141="x","x",(IF(ROUNDUP(Reliability!B141,0)=1,"Very High",IF(ROUNDUP(Reliability!B141,0)=2,"High",IF(ROUNDUP(Reliability!B141,0)=3,"Medium",IF(ROUNDUP(Reliability!B141,0)=4,"Low","Very Low"))))))</f>
        <v>High</v>
      </c>
    </row>
    <row r="142" spans="1:9" x14ac:dyDescent="0.3">
      <c r="A142" s="212" t="str">
        <f>Lists!C:C</f>
        <v>REG002</v>
      </c>
      <c r="B142" s="213">
        <f t="shared" ref="B142:B148" si="12">ROUND(AVERAGE(C142:E142),1)</f>
        <v>2.4</v>
      </c>
      <c r="C142" s="213">
        <f t="shared" ref="C142:C148" si="13">IF(F142="x","x",ROUND((5-(3-F142)/2*5),1))</f>
        <v>2</v>
      </c>
      <c r="D142" s="213">
        <f t="shared" ref="D142:D148" si="14">IF(G142&gt;365,5,ROUND((5-(365-G142)/364*5),1))</f>
        <v>2</v>
      </c>
      <c r="E142" s="213">
        <f t="shared" ref="E142:E148" si="15">IF(H142&gt;3,5,ROUND((5-(3-H142)/3*5),1))</f>
        <v>3.3</v>
      </c>
      <c r="F142" s="213">
        <f>'Data Reliability'!B142</f>
        <v>1.8</v>
      </c>
      <c r="G142" s="214">
        <f>Reliability_updated!V142</f>
        <v>147.69999999999999</v>
      </c>
      <c r="H142" s="214">
        <f>'Data Reliability'!C142</f>
        <v>2</v>
      </c>
      <c r="I142" s="79" t="str">
        <f>IF(Reliability!B142="x","x",(IF(ROUNDUP(Reliability!B142,0)=1,"Very High",IF(ROUNDUP(Reliability!B142,0)=2,"High",IF(ROUNDUP(Reliability!B142,0)=3,"Medium",IF(ROUNDUP(Reliability!B142,0)=4,"Low","Very Low"))))))</f>
        <v>Medium</v>
      </c>
    </row>
    <row r="143" spans="1:9" x14ac:dyDescent="0.3">
      <c r="A143" s="212" t="str">
        <f>Lists!C:C</f>
        <v>VNM002</v>
      </c>
      <c r="B143" s="213">
        <f t="shared" si="12"/>
        <v>0.8</v>
      </c>
      <c r="C143" s="213">
        <f t="shared" si="13"/>
        <v>2.2999999999999998</v>
      </c>
      <c r="D143" s="213">
        <f t="shared" si="14"/>
        <v>0</v>
      </c>
      <c r="E143" s="213">
        <f t="shared" si="15"/>
        <v>0</v>
      </c>
      <c r="F143" s="213">
        <f>'Data Reliability'!B143</f>
        <v>1.9</v>
      </c>
      <c r="G143" s="214">
        <f>Reliability_updated!V143</f>
        <v>0</v>
      </c>
      <c r="H143" s="214">
        <f>'Data Reliability'!C143</f>
        <v>0</v>
      </c>
      <c r="I143" s="79" t="str">
        <f>IF(Reliability!B143="x","x",(IF(ROUNDUP(Reliability!B143,0)=1,"Very High",IF(ROUNDUP(Reliability!B143,0)=2,"High",IF(ROUNDUP(Reliability!B143,0)=3,"Medium",IF(ROUNDUP(Reliability!B143,0)=4,"Low","Very Low"))))))</f>
        <v>Very High</v>
      </c>
    </row>
    <row r="144" spans="1:9" x14ac:dyDescent="0.3">
      <c r="A144" s="212" t="str">
        <f>Lists!C:C</f>
        <v>YEM001</v>
      </c>
      <c r="B144" s="213">
        <f t="shared" si="12"/>
        <v>1.5</v>
      </c>
      <c r="C144" s="213">
        <f t="shared" si="13"/>
        <v>2</v>
      </c>
      <c r="D144" s="213">
        <f t="shared" si="14"/>
        <v>2.6</v>
      </c>
      <c r="E144" s="213">
        <f t="shared" si="15"/>
        <v>0</v>
      </c>
      <c r="F144" s="213">
        <f>'Data Reliability'!B144</f>
        <v>1.8</v>
      </c>
      <c r="G144" s="214">
        <f>Reliability_updated!V144</f>
        <v>189.5</v>
      </c>
      <c r="H144" s="214">
        <f>'Data Reliability'!C144</f>
        <v>0</v>
      </c>
      <c r="I144" s="79" t="str">
        <f>IF(Reliability!B144="x","x",(IF(ROUNDUP(Reliability!B144,0)=1,"Very High",IF(ROUNDUP(Reliability!B144,0)=2,"High",IF(ROUNDUP(Reliability!B144,0)=3,"Medium",IF(ROUNDUP(Reliability!B144,0)=4,"Low","Very Low"))))))</f>
        <v>High</v>
      </c>
    </row>
    <row r="145" spans="1:9" x14ac:dyDescent="0.3">
      <c r="A145" s="212" t="str">
        <f>Lists!C:C</f>
        <v>YEM002</v>
      </c>
      <c r="B145" s="213">
        <f t="shared" si="12"/>
        <v>2.2000000000000002</v>
      </c>
      <c r="C145" s="213">
        <f t="shared" si="13"/>
        <v>2.2999999999999998</v>
      </c>
      <c r="D145" s="213">
        <f t="shared" si="14"/>
        <v>4.3</v>
      </c>
      <c r="E145" s="213">
        <f t="shared" si="15"/>
        <v>0</v>
      </c>
      <c r="F145" s="213">
        <f>'Data Reliability'!B145</f>
        <v>1.9</v>
      </c>
      <c r="G145" s="214">
        <f>Reliability_updated!V145</f>
        <v>316.10000000000002</v>
      </c>
      <c r="H145" s="214">
        <f>'Data Reliability'!C145</f>
        <v>0</v>
      </c>
      <c r="I145" s="79" t="str">
        <f>IF(Reliability!B145="x","x",(IF(ROUNDUP(Reliability!B145,0)=1,"Very High",IF(ROUNDUP(Reliability!B145,0)=2,"High",IF(ROUNDUP(Reliability!B145,0)=3,"Medium",IF(ROUNDUP(Reliability!B145,0)=4,"Low","Very Low"))))))</f>
        <v>Medium</v>
      </c>
    </row>
    <row r="146" spans="1:9" x14ac:dyDescent="0.3">
      <c r="A146" s="212" t="str">
        <f>Lists!C:C</f>
        <v>ZMB002</v>
      </c>
      <c r="B146" s="213">
        <f t="shared" si="12"/>
        <v>3.6</v>
      </c>
      <c r="C146" s="213">
        <f t="shared" si="13"/>
        <v>2.5</v>
      </c>
      <c r="D146" s="213">
        <f t="shared" si="14"/>
        <v>5</v>
      </c>
      <c r="E146" s="213">
        <f t="shared" si="15"/>
        <v>3.3</v>
      </c>
      <c r="F146" s="213">
        <f>'Data Reliability'!B146</f>
        <v>2</v>
      </c>
      <c r="G146" s="214">
        <f>Reliability_updated!V146</f>
        <v>365.6</v>
      </c>
      <c r="H146" s="214">
        <f>'Data Reliability'!C146</f>
        <v>2</v>
      </c>
      <c r="I146" s="79" t="str">
        <f>IF(Reliability!B146="x","x",(IF(ROUNDUP(Reliability!B146,0)=1,"Very High",IF(ROUNDUP(Reliability!B146,0)=2,"High",IF(ROUNDUP(Reliability!B146,0)=3,"Medium",IF(ROUNDUP(Reliability!B146,0)=4,"Low","Very Low"))))))</f>
        <v>Low</v>
      </c>
    </row>
    <row r="147" spans="1:9" x14ac:dyDescent="0.3">
      <c r="A147" s="212" t="str">
        <f>Lists!C:C</f>
        <v>ZWE001</v>
      </c>
      <c r="B147" s="213">
        <f t="shared" si="12"/>
        <v>1.3</v>
      </c>
      <c r="C147" s="213">
        <f t="shared" si="13"/>
        <v>2.2999999999999998</v>
      </c>
      <c r="D147" s="213">
        <f t="shared" si="14"/>
        <v>1.7</v>
      </c>
      <c r="E147" s="213">
        <f t="shared" si="15"/>
        <v>0</v>
      </c>
      <c r="F147" s="213">
        <f>'Data Reliability'!B147</f>
        <v>1.9</v>
      </c>
      <c r="G147" s="214">
        <f>Reliability_updated!V147</f>
        <v>125.6</v>
      </c>
      <c r="H147" s="214">
        <f>'Data Reliability'!C147</f>
        <v>0</v>
      </c>
      <c r="I147" s="79" t="str">
        <f>IF(Reliability!B147="x","x",(IF(ROUNDUP(Reliability!B147,0)=1,"Very High",IF(ROUNDUP(Reliability!B147,0)=2,"High",IF(ROUNDUP(Reliability!B147,0)=3,"Medium",IF(ROUNDUP(Reliability!B147,0)=4,"Low","Very Low"))))))</f>
        <v>High</v>
      </c>
    </row>
    <row r="148" spans="1:9" x14ac:dyDescent="0.3">
      <c r="A148" s="212" t="str">
        <f>Lists!C:C</f>
        <v>ZWE003</v>
      </c>
      <c r="B148" s="213">
        <f t="shared" si="12"/>
        <v>2.4</v>
      </c>
      <c r="C148" s="213">
        <f t="shared" si="13"/>
        <v>3.3</v>
      </c>
      <c r="D148" s="213">
        <f t="shared" si="14"/>
        <v>0.6</v>
      </c>
      <c r="E148" s="213">
        <f t="shared" si="15"/>
        <v>3.3</v>
      </c>
      <c r="F148" s="213">
        <f>'Data Reliability'!B148</f>
        <v>2.2999999999999998</v>
      </c>
      <c r="G148" s="214">
        <f>Reliability_updated!V148</f>
        <v>46.9</v>
      </c>
      <c r="H148" s="214">
        <f>'Data Reliability'!C148</f>
        <v>2</v>
      </c>
      <c r="I148" s="79" t="str">
        <f>IF(Reliability!B148="x","x",(IF(ROUNDUP(Reliability!B148,0)=1,"Very High",IF(ROUNDUP(Reliability!B148,0)=2,"High",IF(ROUNDUP(Reliability!B148,0)=3,"Medium",IF(ROUNDUP(Reliability!B148,0)=4,"Low","Very Low"))))))</f>
        <v>Medium</v>
      </c>
    </row>
    <row r="149" spans="1:9" x14ac:dyDescent="0.3">
      <c r="C149"/>
      <c r="D149"/>
      <c r="E149"/>
      <c r="F149"/>
      <c r="G149"/>
    </row>
    <row r="150" spans="1:9" x14ac:dyDescent="0.3">
      <c r="C150"/>
      <c r="D150"/>
      <c r="E150"/>
      <c r="F150"/>
      <c r="G150"/>
    </row>
    <row r="151" spans="1:9" x14ac:dyDescent="0.3">
      <c r="C151"/>
      <c r="D151"/>
      <c r="E151"/>
      <c r="F151"/>
      <c r="G151"/>
    </row>
    <row r="152" spans="1:9" x14ac:dyDescent="0.3">
      <c r="C152"/>
      <c r="D152"/>
      <c r="E152"/>
      <c r="F152"/>
      <c r="G152"/>
    </row>
    <row r="153" spans="1:9" x14ac:dyDescent="0.3">
      <c r="C153"/>
      <c r="D153"/>
      <c r="E153"/>
      <c r="F153"/>
      <c r="G153"/>
    </row>
    <row r="154" spans="1:9" x14ac:dyDescent="0.3">
      <c r="C154"/>
      <c r="D154"/>
      <c r="E154"/>
      <c r="F154"/>
      <c r="G154"/>
    </row>
    <row r="155" spans="1:9" x14ac:dyDescent="0.3">
      <c r="C155"/>
      <c r="D155"/>
      <c r="E155"/>
      <c r="F155"/>
      <c r="G155"/>
    </row>
  </sheetData>
  <mergeCells count="1">
    <mergeCell ref="A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80" zoomScaleNormal="80" workbookViewId="0">
      <pane xSplit="3" ySplit="2" topLeftCell="N138" activePane="bottomRight" state="frozen"/>
      <selection pane="topRight" activeCell="H1" sqref="H1"/>
      <selection pane="bottomLeft" activeCell="A3" sqref="A3"/>
      <selection pane="bottomRight" activeCell="AA109" sqref="AA109"/>
    </sheetView>
  </sheetViews>
  <sheetFormatPr defaultColWidth="8.44140625" defaultRowHeight="14.4" x14ac:dyDescent="0.3"/>
  <cols>
    <col min="1" max="1" width="14.44140625" style="79" customWidth="1"/>
    <col min="2" max="2" width="7" style="79" customWidth="1"/>
    <col min="3" max="16384" width="8.44140625" style="79"/>
  </cols>
  <sheetData>
    <row r="1" spans="1:40" x14ac:dyDescent="0.3">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row>
    <row r="2" spans="1:40" ht="147" customHeight="1" x14ac:dyDescent="0.3">
      <c r="A2" s="274" t="s">
        <v>2965</v>
      </c>
      <c r="B2" s="275" t="s">
        <v>2940</v>
      </c>
      <c r="C2" s="275" t="s">
        <v>2942</v>
      </c>
      <c r="D2" s="163" t="s">
        <v>2953</v>
      </c>
      <c r="E2" s="131" t="s">
        <v>450</v>
      </c>
      <c r="F2" s="131" t="s">
        <v>451</v>
      </c>
      <c r="G2" s="132" t="s">
        <v>3225</v>
      </c>
      <c r="H2" s="133" t="s">
        <v>448</v>
      </c>
      <c r="I2" s="131" t="s">
        <v>547</v>
      </c>
      <c r="J2" s="131" t="s">
        <v>550</v>
      </c>
      <c r="K2" s="134" t="s">
        <v>2958</v>
      </c>
      <c r="L2" s="132" t="s">
        <v>3226</v>
      </c>
      <c r="M2" s="135" t="s">
        <v>2955</v>
      </c>
      <c r="N2" s="136" t="s">
        <v>551</v>
      </c>
      <c r="O2" s="136" t="s">
        <v>552</v>
      </c>
      <c r="P2" s="136" t="s">
        <v>553</v>
      </c>
      <c r="Q2" s="136" t="s">
        <v>554</v>
      </c>
      <c r="R2" s="136" t="s">
        <v>555</v>
      </c>
      <c r="S2" s="135" t="s">
        <v>444</v>
      </c>
      <c r="T2" s="137" t="s">
        <v>445</v>
      </c>
      <c r="U2" s="138" t="s">
        <v>414</v>
      </c>
      <c r="V2" s="139" t="s">
        <v>415</v>
      </c>
      <c r="W2" s="139" t="s">
        <v>558</v>
      </c>
      <c r="X2" s="138" t="s">
        <v>433</v>
      </c>
      <c r="Y2" s="138" t="s">
        <v>404</v>
      </c>
      <c r="Z2" s="137" t="s">
        <v>446</v>
      </c>
      <c r="AA2" s="139" t="s">
        <v>2956</v>
      </c>
      <c r="AB2" s="140" t="s">
        <v>542</v>
      </c>
      <c r="AC2" s="139" t="s">
        <v>530</v>
      </c>
      <c r="AD2" s="139" t="s">
        <v>531</v>
      </c>
      <c r="AE2" s="139" t="s">
        <v>532</v>
      </c>
      <c r="AF2" s="139" t="s">
        <v>533</v>
      </c>
      <c r="AG2" s="139" t="s">
        <v>539</v>
      </c>
      <c r="AH2" s="139" t="s">
        <v>534</v>
      </c>
      <c r="AI2" s="139" t="s">
        <v>535</v>
      </c>
      <c r="AJ2" s="139" t="s">
        <v>540</v>
      </c>
      <c r="AK2" s="139" t="s">
        <v>536</v>
      </c>
      <c r="AL2" s="139" t="s">
        <v>537</v>
      </c>
      <c r="AM2" s="139" t="s">
        <v>538</v>
      </c>
      <c r="AN2" s="139" t="s">
        <v>541</v>
      </c>
    </row>
    <row r="3" spans="1:40" x14ac:dyDescent="0.3">
      <c r="A3" s="276" t="str">
        <f>Lists!C:C</f>
        <v>AFG001</v>
      </c>
      <c r="B3" s="213">
        <f>IF(OR(M3="x",D3="x"),"x",ROUND((5-GEOMEAN(((5-D3)/5*4+1),((5-M3)/5*4+1),((5-M3)/5*4+1)))/4*3.5+S3*0.3,1))</f>
        <v>1.9</v>
      </c>
      <c r="C3" s="214">
        <f>COUNTIF(E3:F3,"x")+COUNTIF(H3:I3,"x")+COUNTIF(J3:J3,"x")+COUNTIF(M3,"x")+COUNTIF(U3:W3,"x")+COUNTIF(Y3:AB3,"x")</f>
        <v>0</v>
      </c>
      <c r="D3" s="277">
        <f>IF(OR(L3="x",G3="x"),"x",ROUND((5-GEOMEAN(((5-L3)/5*4+1),((5-L3)/5*4+1),((5-G3)/5*4+1)))/4*5,1))</f>
        <v>2.2000000000000002</v>
      </c>
      <c r="E3" s="276">
        <f>'Core Indicators'!R3</f>
        <v>1</v>
      </c>
      <c r="F3" s="276">
        <f>'Core Indicators'!Z3</f>
        <v>2</v>
      </c>
      <c r="G3" s="214">
        <f>IF(AND(F3="x",E3="x"),"x",IF(OR(F3="x",E3="x"),AVERAGE(E3,F3),ROUND((10-GEOMEAN(((10-E3)/10*9+1),((10-F3)/10*9+1)))/9*10,1)))</f>
        <v>1.5</v>
      </c>
      <c r="H3" s="276">
        <f>'Core Indicators'!AH3</f>
        <v>3</v>
      </c>
      <c r="I3" s="276">
        <f>'Core Indicators'!AP3</f>
        <v>2</v>
      </c>
      <c r="J3" s="276">
        <f>'Core Indicators'!BN3</f>
        <v>2</v>
      </c>
      <c r="K3" s="276">
        <f>IF(AND(J3="x",I3="x"),"x",IF(OR(J3="x",I3="x"),AVERAGE(I3,J3),ROUND((10-GEOMEAN(((10-I3)/10*9+1),((10-J3)/10*9+1)))/9*10,1)))</f>
        <v>2</v>
      </c>
      <c r="L3" s="213">
        <f>IF(AND(H3="x",K3="x"),"x",IF(OR(H3="x",K3="x"),AVERAGE(H3,K3),ROUND((10-GEOMEAN(((10-H3)/10*9+1),((10-K3)/10*9+1)))/9*10,1)))</f>
        <v>2.5</v>
      </c>
      <c r="M3" s="277">
        <f>IF(N3="x","x",AVERAGE(N3:R3))</f>
        <v>2</v>
      </c>
      <c r="N3" s="278">
        <f>'Core Indicators'!DJ3</f>
        <v>2</v>
      </c>
      <c r="O3" s="278">
        <f>'Core Indicators'!DR3</f>
        <v>2</v>
      </c>
      <c r="P3" s="278">
        <f>'Core Indicators'!DZ3</f>
        <v>2</v>
      </c>
      <c r="Q3" s="278">
        <f>'Core Indicators'!EH3</f>
        <v>2</v>
      </c>
      <c r="R3" s="278">
        <f>'Core Indicators'!EP3</f>
        <v>2</v>
      </c>
      <c r="S3" s="214">
        <f>IF(OR(Z3="x",T3="x"),T3,ROUND((10-GEOMEAN(((10-T3)/10*9+1),((10-Z3)/10*9+1)))/9*10,1))</f>
        <v>1.4</v>
      </c>
      <c r="T3" s="214">
        <f>AVERAGE(U3,X3,Y3)</f>
        <v>1.1666666666666667</v>
      </c>
      <c r="U3" s="276">
        <v>1</v>
      </c>
      <c r="V3" s="276">
        <v>1</v>
      </c>
      <c r="W3" s="276">
        <f>'Core Indicators'!EX3</f>
        <v>2</v>
      </c>
      <c r="X3" s="214">
        <f>AVERAGE(V3:W3)</f>
        <v>1.5</v>
      </c>
      <c r="Y3" s="276">
        <v>1</v>
      </c>
      <c r="Z3" s="214">
        <f>IF(AND(AA3="x",AB3="x"),"x",AVERAGE(AA3:AB3))</f>
        <v>1.7222222222222223</v>
      </c>
      <c r="AA3" s="276">
        <f>'Core Indicators'!FF3</f>
        <v>2</v>
      </c>
      <c r="AB3" s="276">
        <f>IF(AND(AJ3="x",AN3="x",AG3="x"),"x",(AVERAGE(AJ3,AN3,AG3)))</f>
        <v>1.4444444444444444</v>
      </c>
      <c r="AC3" s="11">
        <f>'Core Indicators'!GD3</f>
        <v>2</v>
      </c>
      <c r="AD3" s="11">
        <f>'Core Indicators'!GL3</f>
        <v>1</v>
      </c>
      <c r="AE3" s="11">
        <f>'Core Indicators'!GT3</f>
        <v>2</v>
      </c>
      <c r="AF3" s="11">
        <f>'Core Indicators'!HB3</f>
        <v>1</v>
      </c>
      <c r="AG3" s="11">
        <f>IF(AND(AC3="x",AD3="x",AE3="x",AF3="x"),"x",AVERAGE(AC3:AF3))</f>
        <v>1.5</v>
      </c>
      <c r="AH3" s="11">
        <f>'Core Indicators'!HJ3</f>
        <v>2</v>
      </c>
      <c r="AI3" s="11">
        <f>'Core Indicators'!HR3</f>
        <v>1</v>
      </c>
      <c r="AJ3" s="11">
        <f>IF(AND(AH3="x",AI3="x"),"x",AVERAGE(AH3:AI3))</f>
        <v>1.5</v>
      </c>
      <c r="AK3" s="11">
        <f>'Core Indicators'!HZ3</f>
        <v>1</v>
      </c>
      <c r="AL3" s="11">
        <f>'Core Indicators'!IH3</f>
        <v>2</v>
      </c>
      <c r="AM3" s="11">
        <f>'Core Indicators'!IP3</f>
        <v>1</v>
      </c>
      <c r="AN3" s="11">
        <f t="shared" ref="AN3:AN66" si="0">IF(AND(AK3="x",AL3="x",AM3="x"),"x",AVERAGE(AK3:AM3))</f>
        <v>1.3333333333333333</v>
      </c>
    </row>
    <row r="4" spans="1:40" x14ac:dyDescent="0.3">
      <c r="A4" s="276" t="str">
        <f>Lists!C:C</f>
        <v>DZA002</v>
      </c>
      <c r="B4" s="213" t="str">
        <f t="shared" ref="B4:B67" si="1">IF(OR(M4="x",D4="x"),"x",ROUND((5-GEOMEAN(((5-D4)/5*4+1),((5-M4)/5*4+1),((5-M4)/5*4+1)))/4*3.5+S4*0.3,1))</f>
        <v>x</v>
      </c>
      <c r="C4" s="214">
        <f t="shared" ref="C4:C67" si="2">COUNTIF(E4:F4,"x")+COUNTIF(H4:I4,"x")+COUNTIF(J4:J4,"x")+COUNTIF(M4,"x")+COUNTIF(U4:W4,"x")+COUNTIF(Y4:AB4,"x")</f>
        <v>3</v>
      </c>
      <c r="D4" s="277">
        <f t="shared" ref="D4:D67" si="3">IF(OR(L4="x",G4="x"),"x",ROUND((5-GEOMEAN(((5-L4)/5*4+1),((5-L4)/5*4+1),((5-G4)/5*4+1)))/4*5,1))</f>
        <v>2.7</v>
      </c>
      <c r="E4" s="276">
        <f>'Core Indicators'!R4</f>
        <v>2</v>
      </c>
      <c r="F4" s="276">
        <f>'Core Indicators'!Z4</f>
        <v>2</v>
      </c>
      <c r="G4" s="214">
        <f t="shared" ref="G4:G67" si="4">IF(AND(F4="x",E4="x"),"x",IF(OR(F4="x",E4="x"),AVERAGE(E4,F4),ROUND((10-GEOMEAN(((10-E4)/10*9+1),((10-F4)/10*9+1)))/9*10,1)))</f>
        <v>2</v>
      </c>
      <c r="H4" s="276" t="str">
        <f>'Core Indicators'!AH4</f>
        <v>x</v>
      </c>
      <c r="I4" s="276" t="str">
        <f>'Core Indicators'!AP4</f>
        <v>x</v>
      </c>
      <c r="J4" s="276">
        <f>'Core Indicators'!BN4</f>
        <v>3</v>
      </c>
      <c r="K4" s="276">
        <f t="shared" ref="K4:K67" si="5">IF(AND(J4="x",I4="x"),"x",IF(OR(J4="x",I4="x"),AVERAGE(I4,J4),ROUND((10-GEOMEAN(((10-I4)/10*9+1),((10-J4)/10*9+1)))/9*10,1)))</f>
        <v>3</v>
      </c>
      <c r="L4" s="213">
        <f t="shared" ref="L4:L67" si="6">IF(AND(H4="x",K4="x"),"x",IF(OR(H4="x",K4="x"),AVERAGE(H4,K4),ROUND((10-GEOMEAN(((10-H4)/10*9+1),((10-K4)/10*9+1)))/9*10,1)))</f>
        <v>3</v>
      </c>
      <c r="M4" s="277" t="str">
        <f>IF(N4="x","x",AVERAGE(N4:R4))</f>
        <v>x</v>
      </c>
      <c r="N4" s="278" t="str">
        <f>'Core Indicators'!DJ4</f>
        <v>x</v>
      </c>
      <c r="O4" s="278" t="str">
        <f>'Core Indicators'!DR4</f>
        <v>x</v>
      </c>
      <c r="P4" s="278" t="str">
        <f>'Core Indicators'!DZ4</f>
        <v>x</v>
      </c>
      <c r="Q4" s="278" t="str">
        <f>'Core Indicators'!EH4</f>
        <v>x</v>
      </c>
      <c r="R4" s="278" t="str">
        <f>'Core Indicators'!EP4</f>
        <v>x</v>
      </c>
      <c r="S4" s="214">
        <f t="shared" ref="S4:S67" si="7">IF(OR(Z4="x",T4="x"),T4,ROUND((10-GEOMEAN(((10-T4)/10*9+1),((10-Z4)/10*9+1)))/9*10,1))</f>
        <v>1.7</v>
      </c>
      <c r="T4" s="214">
        <f t="shared" ref="T4:T67" si="8">AVERAGE(U4,X4,Y4)</f>
        <v>1.3333333333333333</v>
      </c>
      <c r="U4" s="276">
        <v>1</v>
      </c>
      <c r="V4" s="276">
        <v>1</v>
      </c>
      <c r="W4" s="276">
        <f>'Core Indicators'!EX4</f>
        <v>3</v>
      </c>
      <c r="X4" s="214">
        <f t="shared" ref="X4:X67" si="9">AVERAGE(V4:W4)</f>
        <v>2</v>
      </c>
      <c r="Y4" s="276">
        <v>1</v>
      </c>
      <c r="Z4" s="214">
        <f t="shared" ref="Z4:Z67" si="10">IF(AND(AA4="x",AB4="x"),"x",AVERAGE(AA4:AB4))</f>
        <v>2</v>
      </c>
      <c r="AA4" s="276">
        <f>'Core Indicators'!FF4</f>
        <v>2</v>
      </c>
      <c r="AB4" s="276">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76" t="str">
        <f>Lists!C:C</f>
        <v>DZA003</v>
      </c>
      <c r="B5" s="213">
        <f t="shared" si="1"/>
        <v>2.5</v>
      </c>
      <c r="C5" s="214">
        <f t="shared" si="2"/>
        <v>0</v>
      </c>
      <c r="D5" s="277">
        <f t="shared" si="3"/>
        <v>2.7</v>
      </c>
      <c r="E5" s="276">
        <f>'Core Indicators'!R5</f>
        <v>2</v>
      </c>
      <c r="F5" s="276">
        <f>'Core Indicators'!Z5</f>
        <v>2</v>
      </c>
      <c r="G5" s="214">
        <f t="shared" si="4"/>
        <v>2</v>
      </c>
      <c r="H5" s="276">
        <f>'Core Indicators'!AH5</f>
        <v>3</v>
      </c>
      <c r="I5" s="276">
        <f>'Core Indicators'!AP5</f>
        <v>3</v>
      </c>
      <c r="J5" s="276">
        <f>'Core Indicators'!BN5</f>
        <v>3</v>
      </c>
      <c r="K5" s="276">
        <f t="shared" si="5"/>
        <v>3</v>
      </c>
      <c r="L5" s="213">
        <f t="shared" si="6"/>
        <v>3</v>
      </c>
      <c r="M5" s="277">
        <f>IF(N5="x","x",AVERAGE(N5:R5))</f>
        <v>3</v>
      </c>
      <c r="N5" s="278">
        <f>'Core Indicators'!DJ5</f>
        <v>3</v>
      </c>
      <c r="O5" s="278">
        <f>'Core Indicators'!DR5</f>
        <v>3</v>
      </c>
      <c r="P5" s="278">
        <f>'Core Indicators'!DZ5</f>
        <v>3</v>
      </c>
      <c r="Q5" s="278">
        <f>'Core Indicators'!EH5</f>
        <v>3</v>
      </c>
      <c r="R5" s="278">
        <f>'Core Indicators'!EP5</f>
        <v>3</v>
      </c>
      <c r="S5" s="214">
        <f t="shared" si="7"/>
        <v>1.7</v>
      </c>
      <c r="T5" s="214">
        <f t="shared" si="8"/>
        <v>1.3333333333333333</v>
      </c>
      <c r="U5" s="276">
        <v>1</v>
      </c>
      <c r="V5" s="276">
        <v>1</v>
      </c>
      <c r="W5" s="276">
        <f>'Core Indicators'!EX5</f>
        <v>3</v>
      </c>
      <c r="X5" s="214">
        <f t="shared" si="9"/>
        <v>2</v>
      </c>
      <c r="Y5" s="276">
        <v>1</v>
      </c>
      <c r="Z5" s="214">
        <f t="shared" si="10"/>
        <v>2</v>
      </c>
      <c r="AA5" s="276">
        <f>'Core Indicators'!FF5</f>
        <v>2</v>
      </c>
      <c r="AB5" s="27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76" t="str">
        <f>Lists!C:C</f>
        <v>DZA004</v>
      </c>
      <c r="B6" s="213" t="str">
        <f t="shared" si="1"/>
        <v>x</v>
      </c>
      <c r="C6" s="214">
        <f t="shared" si="2"/>
        <v>3</v>
      </c>
      <c r="D6" s="277">
        <f t="shared" si="3"/>
        <v>2.7</v>
      </c>
      <c r="E6" s="276">
        <f>'Core Indicators'!R6</f>
        <v>2</v>
      </c>
      <c r="F6" s="276">
        <f>'Core Indicators'!Z6</f>
        <v>2</v>
      </c>
      <c r="G6" s="214">
        <f t="shared" si="4"/>
        <v>2</v>
      </c>
      <c r="H6" s="276" t="str">
        <f>'Core Indicators'!AH6</f>
        <v>x</v>
      </c>
      <c r="I6" s="276" t="str">
        <f>'Core Indicators'!AP6</f>
        <v>x</v>
      </c>
      <c r="J6" s="276">
        <f>'Core Indicators'!BN6</f>
        <v>3</v>
      </c>
      <c r="K6" s="276">
        <f t="shared" si="5"/>
        <v>3</v>
      </c>
      <c r="L6" s="213">
        <f t="shared" si="6"/>
        <v>3</v>
      </c>
      <c r="M6" s="277" t="str">
        <f>IF(N6="x","x",AVERAGE(N6:R6))</f>
        <v>x</v>
      </c>
      <c r="N6" s="278" t="str">
        <f>'Core Indicators'!DJ6</f>
        <v>x</v>
      </c>
      <c r="O6" s="278" t="str">
        <f>'Core Indicators'!DR6</f>
        <v>x</v>
      </c>
      <c r="P6" s="278" t="str">
        <f>'Core Indicators'!DZ6</f>
        <v>x</v>
      </c>
      <c r="Q6" s="278" t="str">
        <f>'Core Indicators'!EH6</f>
        <v>x</v>
      </c>
      <c r="R6" s="278" t="str">
        <f>'Core Indicators'!EP6</f>
        <v>x</v>
      </c>
      <c r="S6" s="214">
        <f t="shared" si="7"/>
        <v>1.4</v>
      </c>
      <c r="T6" s="214">
        <f t="shared" si="8"/>
        <v>1.3333333333333333</v>
      </c>
      <c r="U6" s="276">
        <v>1</v>
      </c>
      <c r="V6" s="276">
        <v>1</v>
      </c>
      <c r="W6" s="276">
        <f>'Core Indicators'!EX6</f>
        <v>3</v>
      </c>
      <c r="X6" s="214">
        <f t="shared" si="9"/>
        <v>2</v>
      </c>
      <c r="Y6" s="276">
        <v>1</v>
      </c>
      <c r="Z6" s="214">
        <f t="shared" si="10"/>
        <v>1.5</v>
      </c>
      <c r="AA6" s="276">
        <f>'Core Indicators'!FF6</f>
        <v>1</v>
      </c>
      <c r="AB6" s="27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76" t="str">
        <f>Lists!C:C</f>
        <v>REG008</v>
      </c>
      <c r="B7" s="213" t="str">
        <f t="shared" si="1"/>
        <v>x</v>
      </c>
      <c r="C7" s="214">
        <f t="shared" si="2"/>
        <v>5</v>
      </c>
      <c r="D7" s="277" t="str">
        <f t="shared" si="3"/>
        <v>x</v>
      </c>
      <c r="E7" s="276" t="str">
        <f>'Core Indicators'!R7</f>
        <v>x</v>
      </c>
      <c r="F7" s="276" t="str">
        <f>'Core Indicators'!Z7</f>
        <v>x</v>
      </c>
      <c r="G7" s="214" t="str">
        <f t="shared" si="4"/>
        <v>x</v>
      </c>
      <c r="H7" s="276" t="str">
        <f>'Core Indicators'!AH7</f>
        <v>x</v>
      </c>
      <c r="I7" s="276" t="str">
        <f>'Core Indicators'!AP7</f>
        <v>x</v>
      </c>
      <c r="J7" s="276">
        <f>'Core Indicators'!BN7</f>
        <v>3</v>
      </c>
      <c r="K7" s="276">
        <f t="shared" si="5"/>
        <v>3</v>
      </c>
      <c r="L7" s="213">
        <f t="shared" si="6"/>
        <v>3</v>
      </c>
      <c r="M7" s="277" t="str">
        <f t="shared" ref="M7:M70" si="14">IF(N7="x","x",AVERAGE(N7:R7))</f>
        <v>x</v>
      </c>
      <c r="N7" s="278" t="str">
        <f>'Core Indicators'!DJ7</f>
        <v>x</v>
      </c>
      <c r="O7" s="278" t="str">
        <f>'Core Indicators'!DR7</f>
        <v>x</v>
      </c>
      <c r="P7" s="278" t="str">
        <f>'Core Indicators'!DZ7</f>
        <v>x</v>
      </c>
      <c r="Q7" s="278" t="str">
        <f>'Core Indicators'!EH7</f>
        <v>x</v>
      </c>
      <c r="R7" s="278" t="str">
        <f>'Core Indicators'!EP7</f>
        <v>x</v>
      </c>
      <c r="S7" s="214">
        <f t="shared" si="7"/>
        <v>1.4</v>
      </c>
      <c r="T7" s="214">
        <f t="shared" si="8"/>
        <v>1.3333333333333333</v>
      </c>
      <c r="U7" s="276">
        <v>1</v>
      </c>
      <c r="V7" s="276">
        <v>1</v>
      </c>
      <c r="W7" s="276">
        <f>'Core Indicators'!EX7</f>
        <v>3</v>
      </c>
      <c r="X7" s="214">
        <f t="shared" si="9"/>
        <v>2</v>
      </c>
      <c r="Y7" s="276">
        <v>1</v>
      </c>
      <c r="Z7" s="214">
        <f t="shared" si="10"/>
        <v>1.5</v>
      </c>
      <c r="AA7" s="276">
        <f>'Core Indicators'!FF7</f>
        <v>1</v>
      </c>
      <c r="AB7" s="27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76" t="str">
        <f>Lists!C:C</f>
        <v>REG007</v>
      </c>
      <c r="B8" s="213" t="str">
        <f t="shared" si="1"/>
        <v>x</v>
      </c>
      <c r="C8" s="214">
        <f t="shared" si="2"/>
        <v>5</v>
      </c>
      <c r="D8" s="277" t="str">
        <f t="shared" si="3"/>
        <v>x</v>
      </c>
      <c r="E8" s="276" t="str">
        <f>'Core Indicators'!R8</f>
        <v>x</v>
      </c>
      <c r="F8" s="276" t="str">
        <f>'Core Indicators'!Z8</f>
        <v>x</v>
      </c>
      <c r="G8" s="214" t="str">
        <f t="shared" si="4"/>
        <v>x</v>
      </c>
      <c r="H8" s="276" t="str">
        <f>'Core Indicators'!AH8</f>
        <v>x</v>
      </c>
      <c r="I8" s="276" t="str">
        <f>'Core Indicators'!AP8</f>
        <v>x</v>
      </c>
      <c r="J8" s="276">
        <f>'Core Indicators'!BN8</f>
        <v>3</v>
      </c>
      <c r="K8" s="276">
        <f t="shared" si="5"/>
        <v>3</v>
      </c>
      <c r="L8" s="213">
        <f t="shared" si="6"/>
        <v>3</v>
      </c>
      <c r="M8" s="277" t="str">
        <f t="shared" si="14"/>
        <v>x</v>
      </c>
      <c r="N8" s="278" t="str">
        <f>'Core Indicators'!DJ8</f>
        <v>x</v>
      </c>
      <c r="O8" s="278" t="str">
        <f>'Core Indicators'!DR8</f>
        <v>x</v>
      </c>
      <c r="P8" s="278" t="str">
        <f>'Core Indicators'!DZ8</f>
        <v>x</v>
      </c>
      <c r="Q8" s="278" t="str">
        <f>'Core Indicators'!EH8</f>
        <v>x</v>
      </c>
      <c r="R8" s="278" t="str">
        <f>'Core Indicators'!EP8</f>
        <v>x</v>
      </c>
      <c r="S8" s="214">
        <f t="shared" si="7"/>
        <v>1.4</v>
      </c>
      <c r="T8" s="214">
        <f t="shared" si="8"/>
        <v>1.3333333333333333</v>
      </c>
      <c r="U8" s="276">
        <v>1</v>
      </c>
      <c r="V8" s="276">
        <v>1</v>
      </c>
      <c r="W8" s="276">
        <f>'Core Indicators'!EX8</f>
        <v>3</v>
      </c>
      <c r="X8" s="214">
        <f t="shared" si="9"/>
        <v>2</v>
      </c>
      <c r="Y8" s="276">
        <v>1</v>
      </c>
      <c r="Z8" s="214">
        <f t="shared" si="10"/>
        <v>1.5</v>
      </c>
      <c r="AA8" s="276">
        <f>'Core Indicators'!FF8</f>
        <v>1</v>
      </c>
      <c r="AB8" s="27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76" t="str">
        <f>Lists!C:C</f>
        <v>ARM002</v>
      </c>
      <c r="B9" s="213" t="str">
        <f t="shared" si="1"/>
        <v>x</v>
      </c>
      <c r="C9" s="214">
        <f t="shared" si="2"/>
        <v>2</v>
      </c>
      <c r="D9" s="277">
        <f t="shared" si="3"/>
        <v>2.7</v>
      </c>
      <c r="E9" s="276">
        <f>'Core Indicators'!R9</f>
        <v>1</v>
      </c>
      <c r="F9" s="276">
        <f>'Core Indicators'!Z9</f>
        <v>3</v>
      </c>
      <c r="G9" s="214">
        <f t="shared" si="4"/>
        <v>2.1</v>
      </c>
      <c r="H9" s="276">
        <f>'Core Indicators'!AH9</f>
        <v>3</v>
      </c>
      <c r="I9" s="276">
        <f>'Core Indicators'!AP9</f>
        <v>3</v>
      </c>
      <c r="J9" s="276">
        <f>'Core Indicators'!BN9</f>
        <v>3</v>
      </c>
      <c r="K9" s="276">
        <f t="shared" si="5"/>
        <v>3</v>
      </c>
      <c r="L9" s="213">
        <f t="shared" si="6"/>
        <v>3</v>
      </c>
      <c r="M9" s="277" t="str">
        <f t="shared" si="14"/>
        <v>x</v>
      </c>
      <c r="N9" s="278" t="str">
        <f>'Core Indicators'!DJ9</f>
        <v>x</v>
      </c>
      <c r="O9" s="278" t="str">
        <f>'Core Indicators'!DR9</f>
        <v>x</v>
      </c>
      <c r="P9" s="278" t="str">
        <f>'Core Indicators'!DZ9</f>
        <v>x</v>
      </c>
      <c r="Q9" s="278" t="str">
        <f>'Core Indicators'!EH9</f>
        <v>x</v>
      </c>
      <c r="R9" s="278" t="str">
        <f>'Core Indicators'!EP9</f>
        <v>x</v>
      </c>
      <c r="S9" s="214">
        <f t="shared" si="7"/>
        <v>1.7</v>
      </c>
      <c r="T9" s="214">
        <f t="shared" si="8"/>
        <v>1.3333333333333333</v>
      </c>
      <c r="U9" s="276">
        <v>1</v>
      </c>
      <c r="V9" s="276">
        <v>1</v>
      </c>
      <c r="W9" s="276">
        <f>'Core Indicators'!EX9</f>
        <v>3</v>
      </c>
      <c r="X9" s="214">
        <f t="shared" si="9"/>
        <v>2</v>
      </c>
      <c r="Y9" s="276">
        <v>1</v>
      </c>
      <c r="Z9" s="214">
        <f t="shared" si="10"/>
        <v>2</v>
      </c>
      <c r="AA9" s="276" t="str">
        <f>'Core Indicators'!FF9</f>
        <v>x</v>
      </c>
      <c r="AB9" s="27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76" t="str">
        <f>Lists!C:C</f>
        <v>REG013</v>
      </c>
      <c r="B10" s="213" t="str">
        <f t="shared" si="1"/>
        <v>x</v>
      </c>
      <c r="C10" s="214">
        <f t="shared" si="2"/>
        <v>2</v>
      </c>
      <c r="D10" s="277">
        <f t="shared" si="3"/>
        <v>2.7</v>
      </c>
      <c r="E10" s="276">
        <f>'Core Indicators'!R10</f>
        <v>1</v>
      </c>
      <c r="F10" s="276">
        <f>'Core Indicators'!Z10</f>
        <v>3</v>
      </c>
      <c r="G10" s="214">
        <f t="shared" si="4"/>
        <v>2.1</v>
      </c>
      <c r="H10" s="276">
        <f>'Core Indicators'!AH10</f>
        <v>3</v>
      </c>
      <c r="I10" s="276">
        <f>'Core Indicators'!AP10</f>
        <v>3</v>
      </c>
      <c r="J10" s="276">
        <f>'Core Indicators'!BN10</f>
        <v>3</v>
      </c>
      <c r="K10" s="276">
        <f t="shared" si="5"/>
        <v>3</v>
      </c>
      <c r="L10" s="213">
        <f t="shared" si="6"/>
        <v>3</v>
      </c>
      <c r="M10" s="277" t="str">
        <f t="shared" si="14"/>
        <v>x</v>
      </c>
      <c r="N10" s="278" t="str">
        <f>'Core Indicators'!DJ10</f>
        <v>x</v>
      </c>
      <c r="O10" s="278" t="str">
        <f>'Core Indicators'!DR10</f>
        <v>x</v>
      </c>
      <c r="P10" s="278" t="str">
        <f>'Core Indicators'!DZ10</f>
        <v>x</v>
      </c>
      <c r="Q10" s="278" t="str">
        <f>'Core Indicators'!EH10</f>
        <v>x</v>
      </c>
      <c r="R10" s="278" t="str">
        <f>'Core Indicators'!EP10</f>
        <v>x</v>
      </c>
      <c r="S10" s="214">
        <f t="shared" si="7"/>
        <v>1.7</v>
      </c>
      <c r="T10" s="214">
        <f t="shared" si="8"/>
        <v>1.3333333333333333</v>
      </c>
      <c r="U10" s="276">
        <v>1</v>
      </c>
      <c r="V10" s="276">
        <v>1</v>
      </c>
      <c r="W10" s="276">
        <f>'Core Indicators'!EX10</f>
        <v>3</v>
      </c>
      <c r="X10" s="214">
        <f t="shared" si="9"/>
        <v>2</v>
      </c>
      <c r="Y10" s="276">
        <v>1</v>
      </c>
      <c r="Z10" s="214">
        <f t="shared" si="10"/>
        <v>2</v>
      </c>
      <c r="AA10" s="276" t="str">
        <f>'Core Indicators'!FF10</f>
        <v>x</v>
      </c>
      <c r="AB10" s="27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76" t="str">
        <f>Lists!C:C</f>
        <v>AZE002</v>
      </c>
      <c r="B11" s="213" t="str">
        <f t="shared" si="1"/>
        <v>x</v>
      </c>
      <c r="C11" s="214">
        <f t="shared" si="2"/>
        <v>2</v>
      </c>
      <c r="D11" s="277">
        <f t="shared" si="3"/>
        <v>2.7</v>
      </c>
      <c r="E11" s="276">
        <f>'Core Indicators'!R11</f>
        <v>1</v>
      </c>
      <c r="F11" s="276">
        <f>'Core Indicators'!Z11</f>
        <v>3</v>
      </c>
      <c r="G11" s="214">
        <f t="shared" si="4"/>
        <v>2.1</v>
      </c>
      <c r="H11" s="276">
        <f>'Core Indicators'!AH11</f>
        <v>3</v>
      </c>
      <c r="I11" s="276">
        <f>'Core Indicators'!AP11</f>
        <v>3</v>
      </c>
      <c r="J11" s="276">
        <f>'Core Indicators'!BN11</f>
        <v>3</v>
      </c>
      <c r="K11" s="276">
        <f t="shared" si="5"/>
        <v>3</v>
      </c>
      <c r="L11" s="213">
        <f t="shared" si="6"/>
        <v>3</v>
      </c>
      <c r="M11" s="277" t="str">
        <f t="shared" si="14"/>
        <v>x</v>
      </c>
      <c r="N11" s="278" t="str">
        <f>'Core Indicators'!DJ11</f>
        <v>x</v>
      </c>
      <c r="O11" s="278" t="str">
        <f>'Core Indicators'!DR11</f>
        <v>x</v>
      </c>
      <c r="P11" s="278" t="str">
        <f>'Core Indicators'!DZ11</f>
        <v>x</v>
      </c>
      <c r="Q11" s="278" t="str">
        <f>'Core Indicators'!EH11</f>
        <v>x</v>
      </c>
      <c r="R11" s="278" t="str">
        <f>'Core Indicators'!EP11</f>
        <v>x</v>
      </c>
      <c r="S11" s="214">
        <f t="shared" si="7"/>
        <v>1.7</v>
      </c>
      <c r="T11" s="214">
        <f t="shared" si="8"/>
        <v>1.3333333333333333</v>
      </c>
      <c r="U11" s="276">
        <v>1</v>
      </c>
      <c r="V11" s="276">
        <v>1</v>
      </c>
      <c r="W11" s="276">
        <f>'Core Indicators'!EX11</f>
        <v>3</v>
      </c>
      <c r="X11" s="214">
        <f t="shared" si="9"/>
        <v>2</v>
      </c>
      <c r="Y11" s="276">
        <v>1</v>
      </c>
      <c r="Z11" s="214">
        <f t="shared" si="10"/>
        <v>2</v>
      </c>
      <c r="AA11" s="276" t="str">
        <f>'Core Indicators'!FF11</f>
        <v>x</v>
      </c>
      <c r="AB11" s="27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76" t="str">
        <f>Lists!C:C</f>
        <v>BGD001</v>
      </c>
      <c r="B12" s="213">
        <f t="shared" si="1"/>
        <v>2.4</v>
      </c>
      <c r="C12" s="214">
        <f t="shared" si="2"/>
        <v>0</v>
      </c>
      <c r="D12" s="277">
        <f t="shared" si="3"/>
        <v>2.2000000000000002</v>
      </c>
      <c r="E12" s="276">
        <f>'Core Indicators'!R12</f>
        <v>2</v>
      </c>
      <c r="F12" s="276">
        <f>'Core Indicators'!Z12</f>
        <v>2</v>
      </c>
      <c r="G12" s="214">
        <f t="shared" si="4"/>
        <v>2</v>
      </c>
      <c r="H12" s="276">
        <f>'Core Indicators'!AH12</f>
        <v>2</v>
      </c>
      <c r="I12" s="276">
        <f>'Core Indicators'!AP12</f>
        <v>3</v>
      </c>
      <c r="J12" s="276">
        <f>'Core Indicators'!BN12</f>
        <v>2</v>
      </c>
      <c r="K12" s="276">
        <f t="shared" si="5"/>
        <v>2.5</v>
      </c>
      <c r="L12" s="213">
        <f t="shared" si="6"/>
        <v>2.2999999999999998</v>
      </c>
      <c r="M12" s="277">
        <f t="shared" si="14"/>
        <v>3</v>
      </c>
      <c r="N12" s="278">
        <f>'Core Indicators'!DJ12</f>
        <v>3</v>
      </c>
      <c r="O12" s="278">
        <f>'Core Indicators'!DR12</f>
        <v>3</v>
      </c>
      <c r="P12" s="278">
        <f>'Core Indicators'!DZ12</f>
        <v>3</v>
      </c>
      <c r="Q12" s="278">
        <f>'Core Indicators'!EH12</f>
        <v>3</v>
      </c>
      <c r="R12" s="278">
        <f>'Core Indicators'!EP12</f>
        <v>3</v>
      </c>
      <c r="S12" s="214">
        <f t="shared" si="7"/>
        <v>1.6</v>
      </c>
      <c r="T12" s="214">
        <f t="shared" si="8"/>
        <v>1.1666666666666667</v>
      </c>
      <c r="U12" s="276">
        <v>1</v>
      </c>
      <c r="V12" s="276">
        <v>1</v>
      </c>
      <c r="W12" s="276">
        <f>'Core Indicators'!EX12</f>
        <v>2</v>
      </c>
      <c r="X12" s="214">
        <f t="shared" si="9"/>
        <v>1.5</v>
      </c>
      <c r="Y12" s="276">
        <v>1</v>
      </c>
      <c r="Z12" s="214">
        <f t="shared" si="10"/>
        <v>2</v>
      </c>
      <c r="AA12" s="276">
        <f>'Core Indicators'!FF12</f>
        <v>2</v>
      </c>
      <c r="AB12" s="27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76" t="str">
        <f>Lists!C:C</f>
        <v>BGD002</v>
      </c>
      <c r="B13" s="213">
        <f t="shared" si="1"/>
        <v>1.7</v>
      </c>
      <c r="C13" s="214">
        <f t="shared" si="2"/>
        <v>0</v>
      </c>
      <c r="D13" s="277">
        <f t="shared" si="3"/>
        <v>1.9</v>
      </c>
      <c r="E13" s="276">
        <f>'Core Indicators'!R13</f>
        <v>2</v>
      </c>
      <c r="F13" s="276">
        <f>'Core Indicators'!Z13</f>
        <v>2</v>
      </c>
      <c r="G13" s="214">
        <f t="shared" si="4"/>
        <v>2</v>
      </c>
      <c r="H13" s="276">
        <f>'Core Indicators'!AH13</f>
        <v>1</v>
      </c>
      <c r="I13" s="276">
        <f>'Core Indicators'!AP13</f>
        <v>2</v>
      </c>
      <c r="J13" s="276">
        <f>'Core Indicators'!BN13</f>
        <v>3</v>
      </c>
      <c r="K13" s="276">
        <f t="shared" si="5"/>
        <v>2.5</v>
      </c>
      <c r="L13" s="213">
        <f t="shared" si="6"/>
        <v>1.8</v>
      </c>
      <c r="M13" s="277">
        <f t="shared" si="14"/>
        <v>2</v>
      </c>
      <c r="N13" s="278">
        <f>'Core Indicators'!DJ13</f>
        <v>2</v>
      </c>
      <c r="O13" s="278">
        <f>'Core Indicators'!DR13</f>
        <v>2</v>
      </c>
      <c r="P13" s="278">
        <f>'Core Indicators'!DZ13</f>
        <v>2</v>
      </c>
      <c r="Q13" s="278">
        <f>'Core Indicators'!EH13</f>
        <v>2</v>
      </c>
      <c r="R13" s="278">
        <f>'Core Indicators'!EP13</f>
        <v>2</v>
      </c>
      <c r="S13" s="214">
        <f t="shared" si="7"/>
        <v>1.1000000000000001</v>
      </c>
      <c r="T13" s="214">
        <f t="shared" si="8"/>
        <v>1.1666666666666667</v>
      </c>
      <c r="U13" s="276">
        <v>1</v>
      </c>
      <c r="V13" s="276">
        <v>1</v>
      </c>
      <c r="W13" s="276">
        <f>'Core Indicators'!EX13</f>
        <v>2</v>
      </c>
      <c r="X13" s="214">
        <f t="shared" si="9"/>
        <v>1.5</v>
      </c>
      <c r="Y13" s="276">
        <v>1</v>
      </c>
      <c r="Z13" s="214">
        <f t="shared" si="10"/>
        <v>1.1111111111111112</v>
      </c>
      <c r="AA13" s="276">
        <f>'Core Indicators'!FF13</f>
        <v>1</v>
      </c>
      <c r="AB13" s="276">
        <f t="shared" si="11"/>
        <v>1.2222222222222223</v>
      </c>
      <c r="AC13" s="11">
        <f>'Core Indicators'!GD13</f>
        <v>1</v>
      </c>
      <c r="AD13" s="11">
        <f>'Core Indicators'!GL13</f>
        <v>1</v>
      </c>
      <c r="AE13" s="11">
        <f>'Core Indicators'!GT13</f>
        <v>1</v>
      </c>
      <c r="AF13" s="11">
        <f>'Core Indicators'!HB13</f>
        <v>1</v>
      </c>
      <c r="AG13" s="11">
        <f t="shared" si="12"/>
        <v>1</v>
      </c>
      <c r="AH13" s="11">
        <f>'Core Indicators'!HJ13</f>
        <v>1</v>
      </c>
      <c r="AI13" s="11">
        <f>'Core Indicators'!HR13</f>
        <v>1</v>
      </c>
      <c r="AJ13" s="11">
        <f t="shared" si="13"/>
        <v>1</v>
      </c>
      <c r="AK13" s="11">
        <f>'Core Indicators'!HZ13</f>
        <v>1</v>
      </c>
      <c r="AL13" s="11">
        <f>'Core Indicators'!IH13</f>
        <v>2</v>
      </c>
      <c r="AM13" s="11">
        <f>'Core Indicators'!IP13</f>
        <v>2</v>
      </c>
      <c r="AN13" s="11">
        <f t="shared" si="0"/>
        <v>1.6666666666666667</v>
      </c>
    </row>
    <row r="14" spans="1:40" x14ac:dyDescent="0.3">
      <c r="A14" s="276" t="str">
        <f>Lists!C:C</f>
        <v>BGD003</v>
      </c>
      <c r="B14" s="213">
        <f t="shared" si="1"/>
        <v>1.8</v>
      </c>
      <c r="C14" s="214">
        <f t="shared" si="2"/>
        <v>1</v>
      </c>
      <c r="D14" s="277">
        <f t="shared" si="3"/>
        <v>1.7</v>
      </c>
      <c r="E14" s="276">
        <f>'Core Indicators'!R14</f>
        <v>2</v>
      </c>
      <c r="F14" s="276">
        <f>'Core Indicators'!Z14</f>
        <v>1</v>
      </c>
      <c r="G14" s="214">
        <f t="shared" si="4"/>
        <v>1.5</v>
      </c>
      <c r="H14" s="276">
        <f>'Core Indicators'!AH14</f>
        <v>2</v>
      </c>
      <c r="I14" s="276">
        <f>'Core Indicators'!AP14</f>
        <v>1</v>
      </c>
      <c r="J14" s="276">
        <f>'Core Indicators'!BN14</f>
        <v>2</v>
      </c>
      <c r="K14" s="276">
        <f t="shared" si="5"/>
        <v>1.5</v>
      </c>
      <c r="L14" s="213">
        <f t="shared" si="6"/>
        <v>1.8</v>
      </c>
      <c r="M14" s="277">
        <f t="shared" si="14"/>
        <v>2</v>
      </c>
      <c r="N14" s="278">
        <f>'Core Indicators'!DJ14</f>
        <v>2</v>
      </c>
      <c r="O14" s="278">
        <f>'Core Indicators'!DR14</f>
        <v>2</v>
      </c>
      <c r="P14" s="278">
        <f>'Core Indicators'!DZ14</f>
        <v>2</v>
      </c>
      <c r="Q14" s="278">
        <f>'Core Indicators'!EH14</f>
        <v>2</v>
      </c>
      <c r="R14" s="278">
        <f>'Core Indicators'!EP14</f>
        <v>2</v>
      </c>
      <c r="S14" s="214">
        <f t="shared" si="7"/>
        <v>1.6</v>
      </c>
      <c r="T14" s="214">
        <f t="shared" si="8"/>
        <v>1.1666666666666667</v>
      </c>
      <c r="U14" s="276">
        <v>1</v>
      </c>
      <c r="V14" s="276">
        <v>1</v>
      </c>
      <c r="W14" s="276">
        <f>'Core Indicators'!EX14</f>
        <v>2</v>
      </c>
      <c r="X14" s="214">
        <f t="shared" si="9"/>
        <v>1.5</v>
      </c>
      <c r="Y14" s="276">
        <v>1</v>
      </c>
      <c r="Z14" s="214">
        <f t="shared" si="10"/>
        <v>2</v>
      </c>
      <c r="AA14" s="276">
        <f>'Core Indicators'!FF14</f>
        <v>2</v>
      </c>
      <c r="AB14" s="276" t="str">
        <f t="shared" si="11"/>
        <v>x</v>
      </c>
      <c r="AC14" s="11" t="str">
        <f>'Core Indicators'!GD14</f>
        <v>x</v>
      </c>
      <c r="AD14" s="11" t="str">
        <f>'Core Indicators'!GL14</f>
        <v>x</v>
      </c>
      <c r="AE14" s="11" t="str">
        <f>'Core Indicators'!GT14</f>
        <v>x</v>
      </c>
      <c r="AF14" s="11" t="str">
        <f>'Core Indicators'!HB14</f>
        <v>x</v>
      </c>
      <c r="AG14" s="11" t="str">
        <f t="shared" si="12"/>
        <v>x</v>
      </c>
      <c r="AH14" s="11" t="str">
        <f>'Core Indicators'!HJ14</f>
        <v>x</v>
      </c>
      <c r="AI14" s="11" t="str">
        <f>'Core Indicators'!HR14</f>
        <v>x</v>
      </c>
      <c r="AJ14" s="11" t="str">
        <f t="shared" si="13"/>
        <v>x</v>
      </c>
      <c r="AK14" s="11" t="str">
        <f>'Core Indicators'!HZ14</f>
        <v>x</v>
      </c>
      <c r="AL14" s="11" t="str">
        <f>'Core Indicators'!IH14</f>
        <v>x</v>
      </c>
      <c r="AM14" s="11" t="str">
        <f>'Core Indicators'!IP14</f>
        <v>x</v>
      </c>
      <c r="AN14" s="11" t="str">
        <f t="shared" si="0"/>
        <v>x</v>
      </c>
    </row>
    <row r="15" spans="1:40" x14ac:dyDescent="0.3">
      <c r="A15" s="276" t="str">
        <f>Lists!C:C</f>
        <v>BGD006</v>
      </c>
      <c r="B15" s="213">
        <f t="shared" si="1"/>
        <v>2.2000000000000002</v>
      </c>
      <c r="C15" s="214">
        <f t="shared" si="2"/>
        <v>0</v>
      </c>
      <c r="D15" s="277">
        <f t="shared" si="3"/>
        <v>2.1</v>
      </c>
      <c r="E15" s="276">
        <f>'Core Indicators'!R15</f>
        <v>2</v>
      </c>
      <c r="F15" s="276">
        <f>'Core Indicators'!Z15</f>
        <v>2</v>
      </c>
      <c r="G15" s="214">
        <f t="shared" si="4"/>
        <v>2</v>
      </c>
      <c r="H15" s="276">
        <f>'Core Indicators'!AH15</f>
        <v>2</v>
      </c>
      <c r="I15" s="276">
        <f>'Core Indicators'!AP15</f>
        <v>3</v>
      </c>
      <c r="J15" s="276">
        <f>'Core Indicators'!BN15</f>
        <v>1</v>
      </c>
      <c r="K15" s="276">
        <f t="shared" si="5"/>
        <v>2.1</v>
      </c>
      <c r="L15" s="213">
        <f t="shared" si="6"/>
        <v>2.1</v>
      </c>
      <c r="M15" s="277">
        <f t="shared" si="14"/>
        <v>2.6</v>
      </c>
      <c r="N15" s="278">
        <f>'Core Indicators'!DJ15</f>
        <v>2</v>
      </c>
      <c r="O15" s="278">
        <f>'Core Indicators'!DR15</f>
        <v>2</v>
      </c>
      <c r="P15" s="278">
        <f>'Core Indicators'!DZ15</f>
        <v>3</v>
      </c>
      <c r="Q15" s="278">
        <f>'Core Indicators'!EH15</f>
        <v>3</v>
      </c>
      <c r="R15" s="278">
        <f>'Core Indicators'!EP15</f>
        <v>3</v>
      </c>
      <c r="S15" s="214">
        <f t="shared" si="7"/>
        <v>1.6</v>
      </c>
      <c r="T15" s="214">
        <f t="shared" si="8"/>
        <v>1.1666666666666667</v>
      </c>
      <c r="U15" s="276">
        <v>1</v>
      </c>
      <c r="V15" s="276">
        <v>1</v>
      </c>
      <c r="W15" s="276">
        <f>'Core Indicators'!EX15</f>
        <v>2</v>
      </c>
      <c r="X15" s="214">
        <f t="shared" si="9"/>
        <v>1.5</v>
      </c>
      <c r="Y15" s="276">
        <v>1</v>
      </c>
      <c r="Z15" s="214">
        <f t="shared" si="10"/>
        <v>2</v>
      </c>
      <c r="AA15" s="276">
        <f>'Core Indicators'!FF15</f>
        <v>2</v>
      </c>
      <c r="AB15" s="27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76" t="str">
        <f>Lists!C:C</f>
        <v>REG011</v>
      </c>
      <c r="B16" s="213">
        <f t="shared" si="1"/>
        <v>1.8</v>
      </c>
      <c r="C16" s="214">
        <f t="shared" si="2"/>
        <v>0</v>
      </c>
      <c r="D16" s="277">
        <f t="shared" si="3"/>
        <v>1.8</v>
      </c>
      <c r="E16" s="276">
        <f>'Core Indicators'!R16</f>
        <v>1</v>
      </c>
      <c r="F16" s="276">
        <f>'Core Indicators'!Z16</f>
        <v>2</v>
      </c>
      <c r="G16" s="214">
        <f t="shared" si="4"/>
        <v>1.5</v>
      </c>
      <c r="H16" s="276">
        <f>'Core Indicators'!AH16</f>
        <v>2</v>
      </c>
      <c r="I16" s="276">
        <f>'Core Indicators'!AP16</f>
        <v>2</v>
      </c>
      <c r="J16" s="276">
        <f>'Core Indicators'!BN16</f>
        <v>2</v>
      </c>
      <c r="K16" s="276">
        <f t="shared" si="5"/>
        <v>2</v>
      </c>
      <c r="L16" s="213">
        <f t="shared" si="6"/>
        <v>2</v>
      </c>
      <c r="M16" s="277">
        <f t="shared" si="14"/>
        <v>2</v>
      </c>
      <c r="N16" s="278">
        <f>'Core Indicators'!DJ16</f>
        <v>2</v>
      </c>
      <c r="O16" s="278">
        <f>'Core Indicators'!DR16</f>
        <v>2</v>
      </c>
      <c r="P16" s="278">
        <f>'Core Indicators'!DZ16</f>
        <v>2</v>
      </c>
      <c r="Q16" s="278">
        <f>'Core Indicators'!EH16</f>
        <v>2</v>
      </c>
      <c r="R16" s="278">
        <f>'Core Indicators'!EP16</f>
        <v>2</v>
      </c>
      <c r="S16" s="214">
        <f t="shared" si="7"/>
        <v>1.4</v>
      </c>
      <c r="T16" s="214">
        <f t="shared" si="8"/>
        <v>1.1666666666666667</v>
      </c>
      <c r="U16" s="276">
        <v>1</v>
      </c>
      <c r="V16" s="276">
        <v>1</v>
      </c>
      <c r="W16" s="276">
        <f>'Core Indicators'!EX16</f>
        <v>2</v>
      </c>
      <c r="X16" s="214">
        <f t="shared" si="9"/>
        <v>1.5</v>
      </c>
      <c r="Y16" s="276">
        <v>1</v>
      </c>
      <c r="Z16" s="214">
        <f t="shared" si="10"/>
        <v>1.6805555555555554</v>
      </c>
      <c r="AA16" s="276">
        <f>'Core Indicators'!FF16</f>
        <v>2</v>
      </c>
      <c r="AB16" s="276">
        <f t="shared" si="11"/>
        <v>1.3611111111111109</v>
      </c>
      <c r="AC16" s="11">
        <f>'Core Indicators'!GD16</f>
        <v>1</v>
      </c>
      <c r="AD16" s="11">
        <f>'Core Indicators'!GL16</f>
        <v>2</v>
      </c>
      <c r="AE16" s="11">
        <f>'Core Indicators'!GT16</f>
        <v>2</v>
      </c>
      <c r="AF16" s="11">
        <f>'Core Indicators'!HB16</f>
        <v>2</v>
      </c>
      <c r="AG16" s="11">
        <f t="shared" si="12"/>
        <v>1.75</v>
      </c>
      <c r="AH16" s="11">
        <f>'Core Indicators'!HJ16</f>
        <v>1</v>
      </c>
      <c r="AI16" s="11">
        <f>'Core Indicators'!HR16</f>
        <v>1</v>
      </c>
      <c r="AJ16" s="11">
        <f t="shared" si="13"/>
        <v>1</v>
      </c>
      <c r="AK16" s="11">
        <f>'Core Indicators'!HZ16</f>
        <v>1</v>
      </c>
      <c r="AL16" s="11">
        <f>'Core Indicators'!IH16</f>
        <v>2</v>
      </c>
      <c r="AM16" s="11">
        <f>'Core Indicators'!IP16</f>
        <v>1</v>
      </c>
      <c r="AN16" s="11">
        <f t="shared" si="0"/>
        <v>1.3333333333333333</v>
      </c>
    </row>
    <row r="17" spans="1:40" x14ac:dyDescent="0.3">
      <c r="A17" s="276" t="str">
        <f>Lists!C:C</f>
        <v>BRA002</v>
      </c>
      <c r="B17" s="213">
        <f t="shared" si="1"/>
        <v>2</v>
      </c>
      <c r="C17" s="214">
        <f t="shared" si="2"/>
        <v>0</v>
      </c>
      <c r="D17" s="277">
        <f t="shared" si="3"/>
        <v>2.2000000000000002</v>
      </c>
      <c r="E17" s="276">
        <f>'Core Indicators'!R17</f>
        <v>2</v>
      </c>
      <c r="F17" s="276">
        <f>'Core Indicators'!Z17</f>
        <v>2</v>
      </c>
      <c r="G17" s="214">
        <f t="shared" si="4"/>
        <v>2</v>
      </c>
      <c r="H17" s="276">
        <f>'Core Indicators'!AH17</f>
        <v>2</v>
      </c>
      <c r="I17" s="276">
        <f>'Core Indicators'!AP17</f>
        <v>2</v>
      </c>
      <c r="J17" s="276">
        <f>'Core Indicators'!BN17</f>
        <v>3</v>
      </c>
      <c r="K17" s="276">
        <f t="shared" si="5"/>
        <v>2.5</v>
      </c>
      <c r="L17" s="213">
        <f t="shared" si="6"/>
        <v>2.2999999999999998</v>
      </c>
      <c r="M17" s="277">
        <f t="shared" si="14"/>
        <v>2</v>
      </c>
      <c r="N17" s="278">
        <f>'Core Indicators'!DJ17</f>
        <v>2</v>
      </c>
      <c r="O17" s="278">
        <f>'Core Indicators'!DR17</f>
        <v>2</v>
      </c>
      <c r="P17" s="278">
        <f>'Core Indicators'!DZ17</f>
        <v>2</v>
      </c>
      <c r="Q17" s="278">
        <f>'Core Indicators'!EH17</f>
        <v>2</v>
      </c>
      <c r="R17" s="278">
        <f>'Core Indicators'!EP17</f>
        <v>2</v>
      </c>
      <c r="S17" s="214">
        <f t="shared" si="7"/>
        <v>1.7</v>
      </c>
      <c r="T17" s="214">
        <f t="shared" si="8"/>
        <v>1.3333333333333333</v>
      </c>
      <c r="U17" s="276">
        <v>1</v>
      </c>
      <c r="V17" s="276">
        <v>1</v>
      </c>
      <c r="W17" s="276">
        <f>'Core Indicators'!EX17</f>
        <v>3</v>
      </c>
      <c r="X17" s="214">
        <f t="shared" si="9"/>
        <v>2</v>
      </c>
      <c r="Y17" s="276">
        <v>1</v>
      </c>
      <c r="Z17" s="214">
        <f t="shared" si="10"/>
        <v>2</v>
      </c>
      <c r="AA17" s="276">
        <f>'Core Indicators'!FF17</f>
        <v>2</v>
      </c>
      <c r="AB17" s="27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76" t="str">
        <f>Lists!C:C</f>
        <v>BFA002</v>
      </c>
      <c r="B18" s="213">
        <f t="shared" si="1"/>
        <v>1.9</v>
      </c>
      <c r="C18" s="214">
        <f t="shared" si="2"/>
        <v>0</v>
      </c>
      <c r="D18" s="277">
        <f t="shared" si="3"/>
        <v>2</v>
      </c>
      <c r="E18" s="276">
        <f>'Core Indicators'!R18</f>
        <v>1</v>
      </c>
      <c r="F18" s="276">
        <f>'Core Indicators'!Z18</f>
        <v>2</v>
      </c>
      <c r="G18" s="214">
        <f t="shared" si="4"/>
        <v>1.5</v>
      </c>
      <c r="H18" s="276">
        <f>'Core Indicators'!AH18</f>
        <v>2</v>
      </c>
      <c r="I18" s="276">
        <f>'Core Indicators'!AP18</f>
        <v>3</v>
      </c>
      <c r="J18" s="276">
        <f>'Core Indicators'!BN18</f>
        <v>2</v>
      </c>
      <c r="K18" s="276">
        <f t="shared" si="5"/>
        <v>2.5</v>
      </c>
      <c r="L18" s="213">
        <f t="shared" si="6"/>
        <v>2.2999999999999998</v>
      </c>
      <c r="M18" s="277">
        <f t="shared" si="14"/>
        <v>2</v>
      </c>
      <c r="N18" s="278">
        <f>'Core Indicators'!DJ18</f>
        <v>2</v>
      </c>
      <c r="O18" s="278">
        <f>'Core Indicators'!DR18</f>
        <v>2</v>
      </c>
      <c r="P18" s="278">
        <f>'Core Indicators'!DZ18</f>
        <v>2</v>
      </c>
      <c r="Q18" s="278">
        <f>'Core Indicators'!EH18</f>
        <v>2</v>
      </c>
      <c r="R18" s="278">
        <f>'Core Indicators'!EP18</f>
        <v>2</v>
      </c>
      <c r="S18" s="214">
        <f t="shared" si="7"/>
        <v>1.6</v>
      </c>
      <c r="T18" s="214">
        <f t="shared" si="8"/>
        <v>1.1666666666666667</v>
      </c>
      <c r="U18" s="276">
        <v>1</v>
      </c>
      <c r="V18" s="276">
        <v>1</v>
      </c>
      <c r="W18" s="276">
        <f>'Core Indicators'!EX18</f>
        <v>2</v>
      </c>
      <c r="X18" s="214">
        <f t="shared" si="9"/>
        <v>1.5</v>
      </c>
      <c r="Y18" s="276">
        <v>1</v>
      </c>
      <c r="Z18" s="214">
        <f t="shared" si="10"/>
        <v>2</v>
      </c>
      <c r="AA18" s="276">
        <f>'Core Indicators'!FF18</f>
        <v>2</v>
      </c>
      <c r="AB18" s="27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76" t="str">
        <f>Lists!C:C</f>
        <v>BFA003</v>
      </c>
      <c r="B19" s="213">
        <f t="shared" si="1"/>
        <v>1.9</v>
      </c>
      <c r="C19" s="214">
        <f t="shared" si="2"/>
        <v>1</v>
      </c>
      <c r="D19" s="277">
        <f t="shared" si="3"/>
        <v>1.8</v>
      </c>
      <c r="E19" s="276">
        <f>'Core Indicators'!R19</f>
        <v>1</v>
      </c>
      <c r="F19" s="276">
        <f>'Core Indicators'!Z19</f>
        <v>2</v>
      </c>
      <c r="G19" s="214">
        <f t="shared" si="4"/>
        <v>1.5</v>
      </c>
      <c r="H19" s="276">
        <f>'Core Indicators'!AH19</f>
        <v>2</v>
      </c>
      <c r="I19" s="276" t="str">
        <f>'Core Indicators'!AP19</f>
        <v>x</v>
      </c>
      <c r="J19" s="276">
        <f>'Core Indicators'!BN19</f>
        <v>2</v>
      </c>
      <c r="K19" s="276">
        <f t="shared" si="5"/>
        <v>2</v>
      </c>
      <c r="L19" s="213">
        <f t="shared" si="6"/>
        <v>2</v>
      </c>
      <c r="M19" s="277">
        <f t="shared" si="14"/>
        <v>2</v>
      </c>
      <c r="N19" s="278">
        <f>'Core Indicators'!DJ19</f>
        <v>2</v>
      </c>
      <c r="O19" s="278">
        <f>'Core Indicators'!DR19</f>
        <v>2</v>
      </c>
      <c r="P19" s="278">
        <f>'Core Indicators'!DZ19</f>
        <v>2</v>
      </c>
      <c r="Q19" s="278">
        <f>'Core Indicators'!EH19</f>
        <v>2</v>
      </c>
      <c r="R19" s="278">
        <f>'Core Indicators'!EP19</f>
        <v>2</v>
      </c>
      <c r="S19" s="214">
        <f t="shared" si="7"/>
        <v>1.9</v>
      </c>
      <c r="T19" s="214">
        <f t="shared" si="8"/>
        <v>1.1666666666666667</v>
      </c>
      <c r="U19" s="276">
        <v>1</v>
      </c>
      <c r="V19" s="276">
        <v>1</v>
      </c>
      <c r="W19" s="276">
        <f>'Core Indicators'!EX19</f>
        <v>2</v>
      </c>
      <c r="X19" s="214">
        <f t="shared" si="9"/>
        <v>1.5</v>
      </c>
      <c r="Y19" s="276">
        <v>1</v>
      </c>
      <c r="Z19" s="214">
        <f t="shared" si="10"/>
        <v>2.5</v>
      </c>
      <c r="AA19" s="276">
        <f>'Core Indicators'!FF19</f>
        <v>3</v>
      </c>
      <c r="AB19" s="27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76" t="str">
        <f>Lists!C:C</f>
        <v>BFA004</v>
      </c>
      <c r="B20" s="213">
        <f t="shared" si="1"/>
        <v>2</v>
      </c>
      <c r="C20" s="214">
        <f t="shared" si="2"/>
        <v>1</v>
      </c>
      <c r="D20" s="277">
        <f t="shared" si="3"/>
        <v>2.4</v>
      </c>
      <c r="E20" s="276">
        <f>'Core Indicators'!R20</f>
        <v>1</v>
      </c>
      <c r="F20" s="276">
        <f>'Core Indicators'!Z20</f>
        <v>2</v>
      </c>
      <c r="G20" s="214">
        <f t="shared" si="4"/>
        <v>1.5</v>
      </c>
      <c r="H20" s="276">
        <f>'Core Indicators'!AH20</f>
        <v>3</v>
      </c>
      <c r="I20" s="276">
        <f>'Core Indicators'!AP20</f>
        <v>3</v>
      </c>
      <c r="J20" s="276">
        <f>'Core Indicators'!BN20</f>
        <v>2</v>
      </c>
      <c r="K20" s="276">
        <f t="shared" si="5"/>
        <v>2.5</v>
      </c>
      <c r="L20" s="213">
        <f t="shared" si="6"/>
        <v>2.8</v>
      </c>
      <c r="M20" s="277">
        <f t="shared" si="14"/>
        <v>2</v>
      </c>
      <c r="N20" s="278">
        <f>'Core Indicators'!DJ20</f>
        <v>2</v>
      </c>
      <c r="O20" s="278">
        <f>'Core Indicators'!DR20</f>
        <v>2</v>
      </c>
      <c r="P20" s="278">
        <f>'Core Indicators'!DZ20</f>
        <v>2</v>
      </c>
      <c r="Q20" s="278">
        <f>'Core Indicators'!EH20</f>
        <v>2</v>
      </c>
      <c r="R20" s="278">
        <f>'Core Indicators'!EP20</f>
        <v>2</v>
      </c>
      <c r="S20" s="214">
        <f t="shared" si="7"/>
        <v>1.6</v>
      </c>
      <c r="T20" s="214">
        <f t="shared" si="8"/>
        <v>1.1666666666666667</v>
      </c>
      <c r="U20" s="276">
        <v>1</v>
      </c>
      <c r="V20" s="276">
        <v>1</v>
      </c>
      <c r="W20" s="276">
        <f>'Core Indicators'!EX20</f>
        <v>2</v>
      </c>
      <c r="X20" s="214">
        <f t="shared" si="9"/>
        <v>1.5</v>
      </c>
      <c r="Y20" s="276">
        <v>1</v>
      </c>
      <c r="Z20" s="214">
        <f t="shared" si="10"/>
        <v>2</v>
      </c>
      <c r="AA20" s="276" t="str">
        <f>'Core Indicators'!FF20</f>
        <v>x</v>
      </c>
      <c r="AB20" s="27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x14ac:dyDescent="0.3">
      <c r="A21" s="276" t="str">
        <f>Lists!C:C</f>
        <v>BDI001</v>
      </c>
      <c r="B21" s="213">
        <f t="shared" si="1"/>
        <v>1.8</v>
      </c>
      <c r="C21" s="214">
        <f t="shared" si="2"/>
        <v>0</v>
      </c>
      <c r="D21" s="277">
        <f t="shared" si="3"/>
        <v>1.8</v>
      </c>
      <c r="E21" s="276">
        <f>'Core Indicators'!R21</f>
        <v>1</v>
      </c>
      <c r="F21" s="276">
        <f>'Core Indicators'!Z21</f>
        <v>2</v>
      </c>
      <c r="G21" s="214">
        <f t="shared" si="4"/>
        <v>1.5</v>
      </c>
      <c r="H21" s="276">
        <f>'Core Indicators'!AH21</f>
        <v>2</v>
      </c>
      <c r="I21" s="276">
        <f>'Core Indicators'!AP21</f>
        <v>2</v>
      </c>
      <c r="J21" s="276">
        <f>'Core Indicators'!BN21</f>
        <v>2</v>
      </c>
      <c r="K21" s="276">
        <f t="shared" si="5"/>
        <v>2</v>
      </c>
      <c r="L21" s="213">
        <f t="shared" si="6"/>
        <v>2</v>
      </c>
      <c r="M21" s="277">
        <f t="shared" si="14"/>
        <v>2</v>
      </c>
      <c r="N21" s="278">
        <f>'Core Indicators'!DJ21</f>
        <v>2</v>
      </c>
      <c r="O21" s="278">
        <f>'Core Indicators'!DR21</f>
        <v>2</v>
      </c>
      <c r="P21" s="278">
        <f>'Core Indicators'!DZ21</f>
        <v>2</v>
      </c>
      <c r="Q21" s="278">
        <f>'Core Indicators'!EH21</f>
        <v>2</v>
      </c>
      <c r="R21" s="278">
        <f>'Core Indicators'!EP21</f>
        <v>2</v>
      </c>
      <c r="S21" s="214">
        <f t="shared" si="7"/>
        <v>1.6</v>
      </c>
      <c r="T21" s="214">
        <f t="shared" si="8"/>
        <v>1.1666666666666667</v>
      </c>
      <c r="U21" s="276">
        <v>1</v>
      </c>
      <c r="V21" s="276">
        <v>1</v>
      </c>
      <c r="W21" s="276">
        <f>'Core Indicators'!EX21</f>
        <v>2</v>
      </c>
      <c r="X21" s="214">
        <f t="shared" si="9"/>
        <v>1.5</v>
      </c>
      <c r="Y21" s="276">
        <v>1</v>
      </c>
      <c r="Z21" s="214">
        <f t="shared" si="10"/>
        <v>2</v>
      </c>
      <c r="AA21" s="276">
        <f>'Core Indicators'!FF21</f>
        <v>2</v>
      </c>
      <c r="AB21" s="27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x14ac:dyDescent="0.3">
      <c r="A22" s="276" t="str">
        <f>Lists!C:C</f>
        <v>CMR001</v>
      </c>
      <c r="B22" s="213">
        <f t="shared" si="1"/>
        <v>1.7</v>
      </c>
      <c r="C22" s="214">
        <f t="shared" si="2"/>
        <v>0</v>
      </c>
      <c r="D22" s="277">
        <f t="shared" si="3"/>
        <v>1.8</v>
      </c>
      <c r="E22" s="276">
        <f>'Core Indicators'!R22</f>
        <v>1</v>
      </c>
      <c r="F22" s="276">
        <f>'Core Indicators'!Z22</f>
        <v>2</v>
      </c>
      <c r="G22" s="214">
        <f t="shared" si="4"/>
        <v>1.5</v>
      </c>
      <c r="H22" s="276">
        <f>'Core Indicators'!AH22</f>
        <v>2</v>
      </c>
      <c r="I22" s="276">
        <f>'Core Indicators'!AP22</f>
        <v>2</v>
      </c>
      <c r="J22" s="276">
        <f>'Core Indicators'!BN22</f>
        <v>2</v>
      </c>
      <c r="K22" s="276">
        <f t="shared" si="5"/>
        <v>2</v>
      </c>
      <c r="L22" s="213">
        <f t="shared" si="6"/>
        <v>2</v>
      </c>
      <c r="M22" s="277">
        <f t="shared" si="14"/>
        <v>2</v>
      </c>
      <c r="N22" s="278">
        <f>'Core Indicators'!DJ22</f>
        <v>2</v>
      </c>
      <c r="O22" s="278">
        <f>'Core Indicators'!DR22</f>
        <v>2</v>
      </c>
      <c r="P22" s="278">
        <f>'Core Indicators'!DZ22</f>
        <v>2</v>
      </c>
      <c r="Q22" s="278">
        <f>'Core Indicators'!EH22</f>
        <v>2</v>
      </c>
      <c r="R22" s="278">
        <f>'Core Indicators'!EP22</f>
        <v>2</v>
      </c>
      <c r="S22" s="214">
        <f t="shared" si="7"/>
        <v>1.3</v>
      </c>
      <c r="T22" s="214">
        <f t="shared" si="8"/>
        <v>1.1666666666666667</v>
      </c>
      <c r="U22" s="276">
        <v>1</v>
      </c>
      <c r="V22" s="276">
        <v>1</v>
      </c>
      <c r="W22" s="276">
        <f>'Core Indicators'!EX22</f>
        <v>2</v>
      </c>
      <c r="X22" s="214">
        <f t="shared" si="9"/>
        <v>1.5</v>
      </c>
      <c r="Y22" s="276">
        <v>1</v>
      </c>
      <c r="Z22" s="214">
        <f t="shared" si="10"/>
        <v>1.5</v>
      </c>
      <c r="AA22" s="276">
        <f>'Core Indicators'!FF22</f>
        <v>2</v>
      </c>
      <c r="AB22" s="276">
        <f t="shared" si="11"/>
        <v>1</v>
      </c>
      <c r="AC22" s="11">
        <f>'Core Indicators'!GD22</f>
        <v>1</v>
      </c>
      <c r="AD22" s="11">
        <f>'Core Indicators'!GL22</f>
        <v>1</v>
      </c>
      <c r="AE22" s="11">
        <f>'Core Indicators'!GT22</f>
        <v>1</v>
      </c>
      <c r="AF22" s="11">
        <f>'Core Indicators'!HB22</f>
        <v>1</v>
      </c>
      <c r="AG22" s="11">
        <f t="shared" si="12"/>
        <v>1</v>
      </c>
      <c r="AH22" s="11">
        <f>'Core Indicators'!HJ22</f>
        <v>1</v>
      </c>
      <c r="AI22" s="11">
        <f>'Core Indicators'!HR22</f>
        <v>1</v>
      </c>
      <c r="AJ22" s="11">
        <f t="shared" si="13"/>
        <v>1</v>
      </c>
      <c r="AK22" s="11">
        <f>'Core Indicators'!HZ22</f>
        <v>1</v>
      </c>
      <c r="AL22" s="11">
        <f>'Core Indicators'!IH22</f>
        <v>1</v>
      </c>
      <c r="AM22" s="11">
        <f>'Core Indicators'!IP22</f>
        <v>1</v>
      </c>
      <c r="AN22" s="11">
        <f t="shared" si="0"/>
        <v>1</v>
      </c>
    </row>
    <row r="23" spans="1:40" x14ac:dyDescent="0.3">
      <c r="A23" s="276" t="str">
        <f>Lists!C:C</f>
        <v>CMR002</v>
      </c>
      <c r="B23" s="213">
        <f t="shared" si="1"/>
        <v>1.7</v>
      </c>
      <c r="C23" s="214">
        <f t="shared" si="2"/>
        <v>0</v>
      </c>
      <c r="D23" s="277">
        <f t="shared" si="3"/>
        <v>1.8</v>
      </c>
      <c r="E23" s="276">
        <f>'Core Indicators'!R23</f>
        <v>1</v>
      </c>
      <c r="F23" s="276">
        <f>'Core Indicators'!Z23</f>
        <v>2</v>
      </c>
      <c r="G23" s="214">
        <f t="shared" si="4"/>
        <v>1.5</v>
      </c>
      <c r="H23" s="276">
        <f>'Core Indicators'!AH23</f>
        <v>2</v>
      </c>
      <c r="I23" s="276">
        <f>'Core Indicators'!AP23</f>
        <v>2</v>
      </c>
      <c r="J23" s="276">
        <f>'Core Indicators'!BN23</f>
        <v>2</v>
      </c>
      <c r="K23" s="276">
        <f t="shared" si="5"/>
        <v>2</v>
      </c>
      <c r="L23" s="213">
        <f t="shared" si="6"/>
        <v>2</v>
      </c>
      <c r="M23" s="277">
        <f t="shared" si="14"/>
        <v>2</v>
      </c>
      <c r="N23" s="278">
        <f>'Core Indicators'!DJ23</f>
        <v>2</v>
      </c>
      <c r="O23" s="278">
        <f>'Core Indicators'!DR23</f>
        <v>2</v>
      </c>
      <c r="P23" s="278">
        <f>'Core Indicators'!DZ23</f>
        <v>2</v>
      </c>
      <c r="Q23" s="278">
        <f>'Core Indicators'!EH23</f>
        <v>2</v>
      </c>
      <c r="R23" s="278">
        <f>'Core Indicators'!EP23</f>
        <v>2</v>
      </c>
      <c r="S23" s="214">
        <f t="shared" si="7"/>
        <v>1.1000000000000001</v>
      </c>
      <c r="T23" s="214">
        <f t="shared" si="8"/>
        <v>1.1666666666666667</v>
      </c>
      <c r="U23" s="276">
        <v>1</v>
      </c>
      <c r="V23" s="276">
        <v>1</v>
      </c>
      <c r="W23" s="276">
        <f>'Core Indicators'!EX23</f>
        <v>2</v>
      </c>
      <c r="X23" s="214">
        <f t="shared" si="9"/>
        <v>1.5</v>
      </c>
      <c r="Y23" s="276">
        <v>1</v>
      </c>
      <c r="Z23" s="214">
        <f t="shared" si="10"/>
        <v>1</v>
      </c>
      <c r="AA23" s="276">
        <f>'Core Indicators'!FF23</f>
        <v>1</v>
      </c>
      <c r="AB23" s="276">
        <f t="shared" si="11"/>
        <v>1</v>
      </c>
      <c r="AC23" s="11">
        <f>'Core Indicators'!GD23</f>
        <v>1</v>
      </c>
      <c r="AD23" s="11">
        <f>'Core Indicators'!GL23</f>
        <v>1</v>
      </c>
      <c r="AE23" s="11">
        <f>'Core Indicators'!GT23</f>
        <v>1</v>
      </c>
      <c r="AF23" s="11">
        <f>'Core Indicators'!HB23</f>
        <v>1</v>
      </c>
      <c r="AG23" s="11">
        <f t="shared" si="12"/>
        <v>1</v>
      </c>
      <c r="AH23" s="11">
        <f>'Core Indicators'!HJ23</f>
        <v>1</v>
      </c>
      <c r="AI23" s="11">
        <f>'Core Indicators'!HR23</f>
        <v>1</v>
      </c>
      <c r="AJ23" s="11">
        <f t="shared" si="13"/>
        <v>1</v>
      </c>
      <c r="AK23" s="11">
        <f>'Core Indicators'!HZ23</f>
        <v>1</v>
      </c>
      <c r="AL23" s="11">
        <f>'Core Indicators'!IH23</f>
        <v>1</v>
      </c>
      <c r="AM23" s="11">
        <f>'Core Indicators'!IP23</f>
        <v>1</v>
      </c>
      <c r="AN23" s="11">
        <f t="shared" si="0"/>
        <v>1</v>
      </c>
    </row>
    <row r="24" spans="1:40" x14ac:dyDescent="0.3">
      <c r="A24" s="276" t="str">
        <f>Lists!C:C</f>
        <v>CMR003</v>
      </c>
      <c r="B24" s="213">
        <f t="shared" si="1"/>
        <v>1.8</v>
      </c>
      <c r="C24" s="214">
        <f t="shared" si="2"/>
        <v>0</v>
      </c>
      <c r="D24" s="277">
        <f t="shared" si="3"/>
        <v>2</v>
      </c>
      <c r="E24" s="276">
        <f>'Core Indicators'!R24</f>
        <v>2</v>
      </c>
      <c r="F24" s="276">
        <f>'Core Indicators'!Z24</f>
        <v>2</v>
      </c>
      <c r="G24" s="214">
        <f t="shared" si="4"/>
        <v>2</v>
      </c>
      <c r="H24" s="276">
        <f>'Core Indicators'!AH24</f>
        <v>2</v>
      </c>
      <c r="I24" s="276">
        <f>'Core Indicators'!AP24</f>
        <v>2</v>
      </c>
      <c r="J24" s="276">
        <f>'Core Indicators'!BN24</f>
        <v>2</v>
      </c>
      <c r="K24" s="276">
        <f t="shared" si="5"/>
        <v>2</v>
      </c>
      <c r="L24" s="213">
        <f t="shared" si="6"/>
        <v>2</v>
      </c>
      <c r="M24" s="277">
        <f t="shared" si="14"/>
        <v>2</v>
      </c>
      <c r="N24" s="278">
        <f>'Core Indicators'!DJ24</f>
        <v>2</v>
      </c>
      <c r="O24" s="278">
        <f>'Core Indicators'!DR24</f>
        <v>2</v>
      </c>
      <c r="P24" s="278">
        <f>'Core Indicators'!DZ24</f>
        <v>2</v>
      </c>
      <c r="Q24" s="278">
        <f>'Core Indicators'!EH24</f>
        <v>2</v>
      </c>
      <c r="R24" s="278">
        <f>'Core Indicators'!EP24</f>
        <v>2</v>
      </c>
      <c r="S24" s="214">
        <f t="shared" si="7"/>
        <v>1.3</v>
      </c>
      <c r="T24" s="214">
        <f t="shared" si="8"/>
        <v>1.1666666666666667</v>
      </c>
      <c r="U24" s="276">
        <v>1</v>
      </c>
      <c r="V24" s="276">
        <v>1</v>
      </c>
      <c r="W24" s="276">
        <f>'Core Indicators'!EX24</f>
        <v>2</v>
      </c>
      <c r="X24" s="214">
        <f t="shared" si="9"/>
        <v>1.5</v>
      </c>
      <c r="Y24" s="276">
        <v>1</v>
      </c>
      <c r="Z24" s="214">
        <f t="shared" si="10"/>
        <v>1.5</v>
      </c>
      <c r="AA24" s="276">
        <f>'Core Indicators'!FF24</f>
        <v>2</v>
      </c>
      <c r="AB24" s="276">
        <f t="shared" si="11"/>
        <v>1</v>
      </c>
      <c r="AC24" s="11">
        <f>'Core Indicators'!GD24</f>
        <v>1</v>
      </c>
      <c r="AD24" s="11">
        <f>'Core Indicators'!GL24</f>
        <v>1</v>
      </c>
      <c r="AE24" s="11">
        <f>'Core Indicators'!GT24</f>
        <v>1</v>
      </c>
      <c r="AF24" s="11">
        <f>'Core Indicators'!HB24</f>
        <v>1</v>
      </c>
      <c r="AG24" s="11">
        <f t="shared" si="12"/>
        <v>1</v>
      </c>
      <c r="AH24" s="11">
        <f>'Core Indicators'!HJ24</f>
        <v>1</v>
      </c>
      <c r="AI24" s="11">
        <f>'Core Indicators'!HR24</f>
        <v>1</v>
      </c>
      <c r="AJ24" s="11">
        <f t="shared" si="13"/>
        <v>1</v>
      </c>
      <c r="AK24" s="11">
        <f>'Core Indicators'!HZ24</f>
        <v>1</v>
      </c>
      <c r="AL24" s="11">
        <f>'Core Indicators'!IH24</f>
        <v>1</v>
      </c>
      <c r="AM24" s="11">
        <f>'Core Indicators'!IP24</f>
        <v>1</v>
      </c>
      <c r="AN24" s="11">
        <f t="shared" si="0"/>
        <v>1</v>
      </c>
    </row>
    <row r="25" spans="1:40" x14ac:dyDescent="0.3">
      <c r="A25" s="276" t="str">
        <f>Lists!C:C</f>
        <v>CMR004</v>
      </c>
      <c r="B25" s="213">
        <f t="shared" si="1"/>
        <v>1.8</v>
      </c>
      <c r="C25" s="214">
        <f t="shared" si="2"/>
        <v>0</v>
      </c>
      <c r="D25" s="277">
        <f t="shared" si="3"/>
        <v>2</v>
      </c>
      <c r="E25" s="276">
        <f>'Core Indicators'!R25</f>
        <v>2</v>
      </c>
      <c r="F25" s="276">
        <f>'Core Indicators'!Z25</f>
        <v>2</v>
      </c>
      <c r="G25" s="214">
        <f t="shared" si="4"/>
        <v>2</v>
      </c>
      <c r="H25" s="276">
        <f>'Core Indicators'!AH25</f>
        <v>2</v>
      </c>
      <c r="I25" s="276">
        <f>'Core Indicators'!AP25</f>
        <v>2</v>
      </c>
      <c r="J25" s="276">
        <f>'Core Indicators'!BN25</f>
        <v>2</v>
      </c>
      <c r="K25" s="276">
        <f t="shared" si="5"/>
        <v>2</v>
      </c>
      <c r="L25" s="213">
        <f t="shared" si="6"/>
        <v>2</v>
      </c>
      <c r="M25" s="277">
        <f t="shared" si="14"/>
        <v>2</v>
      </c>
      <c r="N25" s="278">
        <f>'Core Indicators'!DJ25</f>
        <v>2</v>
      </c>
      <c r="O25" s="278">
        <f>'Core Indicators'!DR25</f>
        <v>2</v>
      </c>
      <c r="P25" s="278">
        <f>'Core Indicators'!DZ25</f>
        <v>2</v>
      </c>
      <c r="Q25" s="278">
        <f>'Core Indicators'!EH25</f>
        <v>2</v>
      </c>
      <c r="R25" s="278">
        <f>'Core Indicators'!EP25</f>
        <v>2</v>
      </c>
      <c r="S25" s="214">
        <f t="shared" si="7"/>
        <v>1.3</v>
      </c>
      <c r="T25" s="214">
        <f t="shared" si="8"/>
        <v>1.1666666666666667</v>
      </c>
      <c r="U25" s="276">
        <v>1</v>
      </c>
      <c r="V25" s="276">
        <v>1</v>
      </c>
      <c r="W25" s="276">
        <f>'Core Indicators'!EX25</f>
        <v>2</v>
      </c>
      <c r="X25" s="214">
        <f t="shared" si="9"/>
        <v>1.5</v>
      </c>
      <c r="Y25" s="276">
        <v>1</v>
      </c>
      <c r="Z25" s="214">
        <f t="shared" si="10"/>
        <v>1.5</v>
      </c>
      <c r="AA25" s="276">
        <f>'Core Indicators'!FF25</f>
        <v>2</v>
      </c>
      <c r="AB25" s="276">
        <f t="shared" si="11"/>
        <v>1</v>
      </c>
      <c r="AC25" s="11">
        <f>'Core Indicators'!GD25</f>
        <v>1</v>
      </c>
      <c r="AD25" s="11">
        <f>'Core Indicators'!GL25</f>
        <v>1</v>
      </c>
      <c r="AE25" s="11">
        <f>'Core Indicators'!GT25</f>
        <v>1</v>
      </c>
      <c r="AF25" s="11">
        <f>'Core Indicators'!HB25</f>
        <v>1</v>
      </c>
      <c r="AG25" s="11">
        <f t="shared" si="12"/>
        <v>1</v>
      </c>
      <c r="AH25" s="11">
        <f>'Core Indicators'!HJ25</f>
        <v>1</v>
      </c>
      <c r="AI25" s="11">
        <f>'Core Indicators'!HR25</f>
        <v>1</v>
      </c>
      <c r="AJ25" s="11">
        <f t="shared" si="13"/>
        <v>1</v>
      </c>
      <c r="AK25" s="11">
        <f>'Core Indicators'!HZ25</f>
        <v>1</v>
      </c>
      <c r="AL25" s="11">
        <f>'Core Indicators'!IH25</f>
        <v>1</v>
      </c>
      <c r="AM25" s="11">
        <f>'Core Indicators'!IP25</f>
        <v>1</v>
      </c>
      <c r="AN25" s="11">
        <f t="shared" si="0"/>
        <v>1</v>
      </c>
    </row>
    <row r="26" spans="1:40" x14ac:dyDescent="0.3">
      <c r="A26" s="276" t="str">
        <f>Lists!C:C</f>
        <v>CAF001</v>
      </c>
      <c r="B26" s="213">
        <f t="shared" si="1"/>
        <v>2.5</v>
      </c>
      <c r="C26" s="214">
        <f t="shared" si="2"/>
        <v>0</v>
      </c>
      <c r="D26" s="277">
        <f t="shared" si="3"/>
        <v>2.6</v>
      </c>
      <c r="E26" s="276">
        <f>'Core Indicators'!R26</f>
        <v>1</v>
      </c>
      <c r="F26" s="276">
        <f>'Core Indicators'!Z26</f>
        <v>2</v>
      </c>
      <c r="G26" s="214">
        <f t="shared" si="4"/>
        <v>1.5</v>
      </c>
      <c r="H26" s="276">
        <f>'Core Indicators'!AH26</f>
        <v>3</v>
      </c>
      <c r="I26" s="276">
        <f>'Core Indicators'!AP26</f>
        <v>3</v>
      </c>
      <c r="J26" s="276">
        <f>'Core Indicators'!BN26</f>
        <v>3</v>
      </c>
      <c r="K26" s="276">
        <f t="shared" si="5"/>
        <v>3</v>
      </c>
      <c r="L26" s="213">
        <f t="shared" si="6"/>
        <v>3</v>
      </c>
      <c r="M26" s="277">
        <f t="shared" si="14"/>
        <v>3</v>
      </c>
      <c r="N26" s="278">
        <f>'Core Indicators'!DJ26</f>
        <v>3</v>
      </c>
      <c r="O26" s="278">
        <f>'Core Indicators'!DR26</f>
        <v>3</v>
      </c>
      <c r="P26" s="278">
        <f>'Core Indicators'!DZ26</f>
        <v>3</v>
      </c>
      <c r="Q26" s="278">
        <f>'Core Indicators'!EH26</f>
        <v>3</v>
      </c>
      <c r="R26" s="278">
        <f>'Core Indicators'!EP26</f>
        <v>3</v>
      </c>
      <c r="S26" s="214">
        <f t="shared" si="7"/>
        <v>1.7</v>
      </c>
      <c r="T26" s="214">
        <f t="shared" si="8"/>
        <v>1.3333333333333333</v>
      </c>
      <c r="U26" s="276">
        <v>1</v>
      </c>
      <c r="V26" s="276">
        <v>1</v>
      </c>
      <c r="W26" s="276">
        <f>'Core Indicators'!EX26</f>
        <v>3</v>
      </c>
      <c r="X26" s="214">
        <f t="shared" si="9"/>
        <v>2</v>
      </c>
      <c r="Y26" s="276">
        <v>1</v>
      </c>
      <c r="Z26" s="214">
        <f t="shared" si="10"/>
        <v>2</v>
      </c>
      <c r="AA26" s="276">
        <f>'Core Indicators'!FF26</f>
        <v>2</v>
      </c>
      <c r="AB26" s="27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76" t="str">
        <f>Lists!C:C</f>
        <v>TCD001</v>
      </c>
      <c r="B27" s="213">
        <f t="shared" si="1"/>
        <v>2.4</v>
      </c>
      <c r="C27" s="214">
        <f t="shared" si="2"/>
        <v>0</v>
      </c>
      <c r="D27" s="277">
        <f t="shared" si="3"/>
        <v>2</v>
      </c>
      <c r="E27" s="276">
        <f>'Core Indicators'!R27</f>
        <v>1</v>
      </c>
      <c r="F27" s="276">
        <f>'Core Indicators'!Z27</f>
        <v>2</v>
      </c>
      <c r="G27" s="214">
        <f t="shared" si="4"/>
        <v>1.5</v>
      </c>
      <c r="H27" s="276">
        <f>'Core Indicators'!AH27</f>
        <v>2</v>
      </c>
      <c r="I27" s="276">
        <f>'Core Indicators'!AP27</f>
        <v>2</v>
      </c>
      <c r="J27" s="276">
        <f>'Core Indicators'!BN27</f>
        <v>3</v>
      </c>
      <c r="K27" s="276">
        <f t="shared" si="5"/>
        <v>2.5</v>
      </c>
      <c r="L27" s="213">
        <f t="shared" si="6"/>
        <v>2.2999999999999998</v>
      </c>
      <c r="M27" s="277">
        <f t="shared" si="14"/>
        <v>3</v>
      </c>
      <c r="N27" s="278">
        <f>'Core Indicators'!DJ27</f>
        <v>3</v>
      </c>
      <c r="O27" s="278">
        <f>'Core Indicators'!DR27</f>
        <v>3</v>
      </c>
      <c r="P27" s="278">
        <f>'Core Indicators'!DZ27</f>
        <v>3</v>
      </c>
      <c r="Q27" s="278">
        <f>'Core Indicators'!EH27</f>
        <v>3</v>
      </c>
      <c r="R27" s="278">
        <f>'Core Indicators'!EP27</f>
        <v>3</v>
      </c>
      <c r="S27" s="214">
        <f t="shared" si="7"/>
        <v>1.7</v>
      </c>
      <c r="T27" s="214">
        <f t="shared" si="8"/>
        <v>1.3333333333333333</v>
      </c>
      <c r="U27" s="276">
        <v>1</v>
      </c>
      <c r="V27" s="276">
        <v>1</v>
      </c>
      <c r="W27" s="276">
        <f>'Core Indicators'!EX27</f>
        <v>3</v>
      </c>
      <c r="X27" s="214">
        <f t="shared" si="9"/>
        <v>2</v>
      </c>
      <c r="Y27" s="276">
        <v>1</v>
      </c>
      <c r="Z27" s="214">
        <f t="shared" si="10"/>
        <v>2</v>
      </c>
      <c r="AA27" s="276">
        <f>'Core Indicators'!FF27</f>
        <v>2</v>
      </c>
      <c r="AB27" s="27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76" t="str">
        <f>Lists!C:C</f>
        <v>TCD003</v>
      </c>
      <c r="B28" s="213">
        <f t="shared" si="1"/>
        <v>2.6</v>
      </c>
      <c r="C28" s="214">
        <f t="shared" si="2"/>
        <v>0</v>
      </c>
      <c r="D28" s="277">
        <f t="shared" si="3"/>
        <v>2.8</v>
      </c>
      <c r="E28" s="276">
        <f>'Core Indicators'!R28</f>
        <v>2</v>
      </c>
      <c r="F28" s="276">
        <f>'Core Indicators'!Z28</f>
        <v>3</v>
      </c>
      <c r="G28" s="214">
        <f t="shared" si="4"/>
        <v>2.5</v>
      </c>
      <c r="H28" s="276">
        <f>'Core Indicators'!AH28</f>
        <v>3</v>
      </c>
      <c r="I28" s="276">
        <f>'Core Indicators'!AP28</f>
        <v>3</v>
      </c>
      <c r="J28" s="276">
        <f>'Core Indicators'!BN28</f>
        <v>3</v>
      </c>
      <c r="K28" s="276">
        <f t="shared" si="5"/>
        <v>3</v>
      </c>
      <c r="L28" s="213">
        <f t="shared" si="6"/>
        <v>3</v>
      </c>
      <c r="M28" s="277">
        <f t="shared" si="14"/>
        <v>3</v>
      </c>
      <c r="N28" s="278">
        <f>'Core Indicators'!DJ28</f>
        <v>3</v>
      </c>
      <c r="O28" s="278">
        <f>'Core Indicators'!DR28</f>
        <v>3</v>
      </c>
      <c r="P28" s="278">
        <f>'Core Indicators'!DZ28</f>
        <v>3</v>
      </c>
      <c r="Q28" s="278">
        <f>'Core Indicators'!EH28</f>
        <v>3</v>
      </c>
      <c r="R28" s="278">
        <f>'Core Indicators'!EP28</f>
        <v>3</v>
      </c>
      <c r="S28" s="214">
        <f t="shared" si="7"/>
        <v>1.7</v>
      </c>
      <c r="T28" s="214">
        <f t="shared" si="8"/>
        <v>1.3333333333333333</v>
      </c>
      <c r="U28" s="276">
        <v>1</v>
      </c>
      <c r="V28" s="276">
        <v>1</v>
      </c>
      <c r="W28" s="276">
        <f>'Core Indicators'!EX28</f>
        <v>3</v>
      </c>
      <c r="X28" s="214">
        <f t="shared" si="9"/>
        <v>2</v>
      </c>
      <c r="Y28" s="276">
        <v>1</v>
      </c>
      <c r="Z28" s="214">
        <f t="shared" si="10"/>
        <v>2</v>
      </c>
      <c r="AA28" s="276">
        <f>'Core Indicators'!FF28</f>
        <v>2</v>
      </c>
      <c r="AB28" s="27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76" t="str">
        <f>Lists!C:C</f>
        <v>TCD004</v>
      </c>
      <c r="B29" s="213">
        <f t="shared" si="1"/>
        <v>1.9</v>
      </c>
      <c r="C29" s="214">
        <f t="shared" si="2"/>
        <v>0</v>
      </c>
      <c r="D29" s="277">
        <f t="shared" si="3"/>
        <v>2</v>
      </c>
      <c r="E29" s="276">
        <f>'Core Indicators'!R29</f>
        <v>2</v>
      </c>
      <c r="F29" s="276">
        <f>'Core Indicators'!Z29</f>
        <v>2</v>
      </c>
      <c r="G29" s="214">
        <f t="shared" si="4"/>
        <v>2</v>
      </c>
      <c r="H29" s="276">
        <f>'Core Indicators'!AH29</f>
        <v>2</v>
      </c>
      <c r="I29" s="276">
        <f>'Core Indicators'!AP29</f>
        <v>2</v>
      </c>
      <c r="J29" s="276">
        <f>'Core Indicators'!BN29</f>
        <v>2</v>
      </c>
      <c r="K29" s="276">
        <f t="shared" si="5"/>
        <v>2</v>
      </c>
      <c r="L29" s="213">
        <f t="shared" si="6"/>
        <v>2</v>
      </c>
      <c r="M29" s="277">
        <f t="shared" si="14"/>
        <v>2</v>
      </c>
      <c r="N29" s="278">
        <f>'Core Indicators'!DJ29</f>
        <v>2</v>
      </c>
      <c r="O29" s="278">
        <f>'Core Indicators'!DR29</f>
        <v>2</v>
      </c>
      <c r="P29" s="278">
        <f>'Core Indicators'!DZ29</f>
        <v>2</v>
      </c>
      <c r="Q29" s="278">
        <f>'Core Indicators'!EH29</f>
        <v>2</v>
      </c>
      <c r="R29" s="278">
        <f>'Core Indicators'!EP29</f>
        <v>2</v>
      </c>
      <c r="S29" s="214">
        <f t="shared" si="7"/>
        <v>1.7</v>
      </c>
      <c r="T29" s="214">
        <f t="shared" si="8"/>
        <v>1.3333333333333333</v>
      </c>
      <c r="U29" s="276">
        <v>1</v>
      </c>
      <c r="V29" s="276">
        <v>1</v>
      </c>
      <c r="W29" s="276">
        <f>'Core Indicators'!EX29</f>
        <v>3</v>
      </c>
      <c r="X29" s="214">
        <f t="shared" si="9"/>
        <v>2</v>
      </c>
      <c r="Y29" s="276">
        <v>1</v>
      </c>
      <c r="Z29" s="214">
        <f t="shared" si="10"/>
        <v>2</v>
      </c>
      <c r="AA29" s="276">
        <f>'Core Indicators'!FF29</f>
        <v>2</v>
      </c>
      <c r="AB29" s="27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76" t="str">
        <f>Lists!C:C</f>
        <v>TCD005</v>
      </c>
      <c r="B30" s="213">
        <f t="shared" si="1"/>
        <v>2</v>
      </c>
      <c r="C30" s="214">
        <f t="shared" si="2"/>
        <v>0</v>
      </c>
      <c r="D30" s="277">
        <f t="shared" si="3"/>
        <v>2.2000000000000002</v>
      </c>
      <c r="E30" s="276">
        <f>'Core Indicators'!R30</f>
        <v>2</v>
      </c>
      <c r="F30" s="276">
        <f>'Core Indicators'!Z30</f>
        <v>2</v>
      </c>
      <c r="G30" s="214">
        <f t="shared" si="4"/>
        <v>2</v>
      </c>
      <c r="H30" s="276">
        <f>'Core Indicators'!AH30</f>
        <v>2</v>
      </c>
      <c r="I30" s="276">
        <f>'Core Indicators'!AP30</f>
        <v>2</v>
      </c>
      <c r="J30" s="276">
        <f>'Core Indicators'!BN30</f>
        <v>3</v>
      </c>
      <c r="K30" s="276">
        <f t="shared" si="5"/>
        <v>2.5</v>
      </c>
      <c r="L30" s="213">
        <f t="shared" si="6"/>
        <v>2.2999999999999998</v>
      </c>
      <c r="M30" s="277">
        <f t="shared" si="14"/>
        <v>2</v>
      </c>
      <c r="N30" s="278">
        <f>'Core Indicators'!DJ30</f>
        <v>2</v>
      </c>
      <c r="O30" s="278">
        <f>'Core Indicators'!DR30</f>
        <v>2</v>
      </c>
      <c r="P30" s="278">
        <f>'Core Indicators'!DZ30</f>
        <v>2</v>
      </c>
      <c r="Q30" s="278">
        <f>'Core Indicators'!EH30</f>
        <v>2</v>
      </c>
      <c r="R30" s="278">
        <f>'Core Indicators'!EP30</f>
        <v>2</v>
      </c>
      <c r="S30" s="214">
        <f t="shared" si="7"/>
        <v>1.7</v>
      </c>
      <c r="T30" s="214">
        <f t="shared" si="8"/>
        <v>1.3333333333333333</v>
      </c>
      <c r="U30" s="276">
        <v>1</v>
      </c>
      <c r="V30" s="276">
        <v>1</v>
      </c>
      <c r="W30" s="276">
        <f>'Core Indicators'!EX30</f>
        <v>3</v>
      </c>
      <c r="X30" s="214">
        <f t="shared" si="9"/>
        <v>2</v>
      </c>
      <c r="Y30" s="276">
        <v>1</v>
      </c>
      <c r="Z30" s="214">
        <f t="shared" si="10"/>
        <v>2</v>
      </c>
      <c r="AA30" s="276">
        <f>'Core Indicators'!FF30</f>
        <v>2</v>
      </c>
      <c r="AB30" s="27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76" t="str">
        <f>Lists!C:C</f>
        <v>TCD006</v>
      </c>
      <c r="B31" s="213">
        <f t="shared" si="1"/>
        <v>2.5</v>
      </c>
      <c r="C31" s="214">
        <f t="shared" si="2"/>
        <v>0</v>
      </c>
      <c r="D31" s="277">
        <f t="shared" si="3"/>
        <v>2.7</v>
      </c>
      <c r="E31" s="276">
        <f>'Core Indicators'!R31</f>
        <v>2</v>
      </c>
      <c r="F31" s="276">
        <f>'Core Indicators'!Z31</f>
        <v>3</v>
      </c>
      <c r="G31" s="214">
        <f t="shared" si="4"/>
        <v>2.5</v>
      </c>
      <c r="H31" s="276">
        <f>'Core Indicators'!AH31</f>
        <v>3</v>
      </c>
      <c r="I31" s="276">
        <f>'Core Indicators'!AP31</f>
        <v>2</v>
      </c>
      <c r="J31" s="276">
        <f>'Core Indicators'!BN31</f>
        <v>3</v>
      </c>
      <c r="K31" s="276">
        <f t="shared" si="5"/>
        <v>2.5</v>
      </c>
      <c r="L31" s="213">
        <f t="shared" si="6"/>
        <v>2.8</v>
      </c>
      <c r="M31" s="277">
        <f t="shared" si="14"/>
        <v>3</v>
      </c>
      <c r="N31" s="278">
        <f>'Core Indicators'!DJ31</f>
        <v>3</v>
      </c>
      <c r="O31" s="278">
        <f>'Core Indicators'!DR31</f>
        <v>3</v>
      </c>
      <c r="P31" s="278">
        <f>'Core Indicators'!DZ31</f>
        <v>3</v>
      </c>
      <c r="Q31" s="278">
        <f>'Core Indicators'!EH31</f>
        <v>3</v>
      </c>
      <c r="R31" s="278">
        <f>'Core Indicators'!EP31</f>
        <v>3</v>
      </c>
      <c r="S31" s="214">
        <f t="shared" si="7"/>
        <v>1.4</v>
      </c>
      <c r="T31" s="214">
        <f t="shared" si="8"/>
        <v>1.3333333333333333</v>
      </c>
      <c r="U31" s="276">
        <v>1</v>
      </c>
      <c r="V31" s="276">
        <v>1</v>
      </c>
      <c r="W31" s="276">
        <f>'Core Indicators'!EX31</f>
        <v>3</v>
      </c>
      <c r="X31" s="214">
        <f t="shared" si="9"/>
        <v>2</v>
      </c>
      <c r="Y31" s="276">
        <v>1</v>
      </c>
      <c r="Z31" s="214">
        <f t="shared" si="10"/>
        <v>1.5</v>
      </c>
      <c r="AA31" s="276">
        <f>'Core Indicators'!FF31</f>
        <v>1</v>
      </c>
      <c r="AB31" s="27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76" t="str">
        <f>Lists!C:C</f>
        <v>TCD008</v>
      </c>
      <c r="B32" s="213">
        <f t="shared" si="1"/>
        <v>2.5</v>
      </c>
      <c r="C32" s="214">
        <f t="shared" si="2"/>
        <v>0</v>
      </c>
      <c r="D32" s="277">
        <f t="shared" si="3"/>
        <v>2.7</v>
      </c>
      <c r="E32" s="276">
        <f>'Core Indicators'!R32</f>
        <v>3</v>
      </c>
      <c r="F32" s="276">
        <f>'Core Indicators'!Z32</f>
        <v>3</v>
      </c>
      <c r="G32" s="214">
        <f t="shared" si="4"/>
        <v>3</v>
      </c>
      <c r="H32" s="276">
        <f>'Core Indicators'!AH32</f>
        <v>2</v>
      </c>
      <c r="I32" s="276">
        <f>'Core Indicators'!AP32</f>
        <v>3</v>
      </c>
      <c r="J32" s="276">
        <f>'Core Indicators'!BN32</f>
        <v>3</v>
      </c>
      <c r="K32" s="276">
        <f t="shared" si="5"/>
        <v>3</v>
      </c>
      <c r="L32" s="213">
        <f t="shared" si="6"/>
        <v>2.5</v>
      </c>
      <c r="M32" s="277">
        <f t="shared" si="14"/>
        <v>3</v>
      </c>
      <c r="N32" s="278">
        <f>'Core Indicators'!DJ32</f>
        <v>3</v>
      </c>
      <c r="O32" s="278">
        <f>'Core Indicators'!DR32</f>
        <v>3</v>
      </c>
      <c r="P32" s="278">
        <f>'Core Indicators'!DZ32</f>
        <v>3</v>
      </c>
      <c r="Q32" s="278">
        <f>'Core Indicators'!EH32</f>
        <v>3</v>
      </c>
      <c r="R32" s="278">
        <f>'Core Indicators'!EP32</f>
        <v>3</v>
      </c>
      <c r="S32" s="214">
        <f t="shared" si="7"/>
        <v>1.4</v>
      </c>
      <c r="T32" s="214">
        <f t="shared" si="8"/>
        <v>1.3333333333333333</v>
      </c>
      <c r="U32" s="276">
        <v>1</v>
      </c>
      <c r="V32" s="276">
        <v>1</v>
      </c>
      <c r="W32" s="276">
        <f>'Core Indicators'!EX32</f>
        <v>3</v>
      </c>
      <c r="X32" s="214">
        <f t="shared" si="9"/>
        <v>2</v>
      </c>
      <c r="Y32" s="276">
        <v>1</v>
      </c>
      <c r="Z32" s="214">
        <f t="shared" si="10"/>
        <v>1.5</v>
      </c>
      <c r="AA32" s="276">
        <f>'Core Indicators'!FF32</f>
        <v>1</v>
      </c>
      <c r="AB32" s="27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x14ac:dyDescent="0.3">
      <c r="A33" s="276" t="str">
        <f>Lists!C:C</f>
        <v>COL001</v>
      </c>
      <c r="B33" s="213">
        <f t="shared" si="1"/>
        <v>1.8</v>
      </c>
      <c r="C33" s="214">
        <f t="shared" si="2"/>
        <v>2</v>
      </c>
      <c r="D33" s="277">
        <f t="shared" si="3"/>
        <v>1.7</v>
      </c>
      <c r="E33" s="276">
        <f>'Core Indicators'!R33</f>
        <v>1</v>
      </c>
      <c r="F33" s="276">
        <f>'Core Indicators'!Z33</f>
        <v>1</v>
      </c>
      <c r="G33" s="214">
        <f t="shared" si="4"/>
        <v>1</v>
      </c>
      <c r="H33" s="276">
        <f>'Core Indicators'!AH33</f>
        <v>2</v>
      </c>
      <c r="I33" s="276">
        <f>'Core Indicators'!AP33</f>
        <v>2</v>
      </c>
      <c r="J33" s="276" t="str">
        <f>'Core Indicators'!BN33</f>
        <v>x</v>
      </c>
      <c r="K33" s="276">
        <f t="shared" si="5"/>
        <v>2</v>
      </c>
      <c r="L33" s="213">
        <f t="shared" si="6"/>
        <v>2</v>
      </c>
      <c r="M33" s="277">
        <f t="shared" si="14"/>
        <v>2</v>
      </c>
      <c r="N33" s="278">
        <f>'Core Indicators'!DJ33</f>
        <v>2</v>
      </c>
      <c r="O33" s="278">
        <f>'Core Indicators'!DR33</f>
        <v>2</v>
      </c>
      <c r="P33" s="278">
        <f>'Core Indicators'!DZ33</f>
        <v>2</v>
      </c>
      <c r="Q33" s="278">
        <f>'Core Indicators'!EH33</f>
        <v>2</v>
      </c>
      <c r="R33" s="278">
        <f>'Core Indicators'!EP33</f>
        <v>2</v>
      </c>
      <c r="S33" s="214">
        <f t="shared" si="7"/>
        <v>1.5</v>
      </c>
      <c r="T33" s="214">
        <f t="shared" si="8"/>
        <v>1</v>
      </c>
      <c r="U33" s="276">
        <v>1</v>
      </c>
      <c r="V33" s="276">
        <v>1</v>
      </c>
      <c r="W33" s="276" t="str">
        <f>'Core Indicators'!EX33</f>
        <v>x</v>
      </c>
      <c r="X33" s="214">
        <f t="shared" si="9"/>
        <v>1</v>
      </c>
      <c r="Y33" s="276">
        <v>1</v>
      </c>
      <c r="Z33" s="214">
        <f t="shared" si="10"/>
        <v>2</v>
      </c>
      <c r="AA33" s="276">
        <f>'Core Indicators'!FF33</f>
        <v>2</v>
      </c>
      <c r="AB33" s="27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0"/>
        <v>2</v>
      </c>
    </row>
    <row r="34" spans="1:40" x14ac:dyDescent="0.3">
      <c r="A34" s="276" t="str">
        <f>Lists!C:C</f>
        <v>COL002</v>
      </c>
      <c r="B34" s="213">
        <f t="shared" si="1"/>
        <v>1.8</v>
      </c>
      <c r="C34" s="214">
        <f t="shared" si="2"/>
        <v>2</v>
      </c>
      <c r="D34" s="277">
        <f t="shared" si="3"/>
        <v>1.8</v>
      </c>
      <c r="E34" s="276">
        <f>'Core Indicators'!R34</f>
        <v>2</v>
      </c>
      <c r="F34" s="276">
        <f>'Core Indicators'!Z34</f>
        <v>1</v>
      </c>
      <c r="G34" s="214">
        <f t="shared" si="4"/>
        <v>1.5</v>
      </c>
      <c r="H34" s="276">
        <f>'Core Indicators'!AH34</f>
        <v>2</v>
      </c>
      <c r="I34" s="276">
        <f>'Core Indicators'!AP34</f>
        <v>2</v>
      </c>
      <c r="J34" s="276" t="str">
        <f>'Core Indicators'!BN34</f>
        <v>x</v>
      </c>
      <c r="K34" s="276">
        <f t="shared" si="5"/>
        <v>2</v>
      </c>
      <c r="L34" s="213">
        <f t="shared" si="6"/>
        <v>2</v>
      </c>
      <c r="M34" s="277">
        <f t="shared" si="14"/>
        <v>2</v>
      </c>
      <c r="N34" s="278">
        <f>'Core Indicators'!DJ34</f>
        <v>2</v>
      </c>
      <c r="O34" s="278">
        <f>'Core Indicators'!DR34</f>
        <v>2</v>
      </c>
      <c r="P34" s="278">
        <f>'Core Indicators'!DZ34</f>
        <v>2</v>
      </c>
      <c r="Q34" s="278">
        <f>'Core Indicators'!EH34</f>
        <v>2</v>
      </c>
      <c r="R34" s="278">
        <f>'Core Indicators'!EP34</f>
        <v>2</v>
      </c>
      <c r="S34" s="214">
        <f t="shared" si="7"/>
        <v>1.5</v>
      </c>
      <c r="T34" s="214">
        <f t="shared" si="8"/>
        <v>1</v>
      </c>
      <c r="U34" s="276">
        <v>1</v>
      </c>
      <c r="V34" s="276">
        <v>1</v>
      </c>
      <c r="W34" s="276" t="str">
        <f>'Core Indicators'!EX34</f>
        <v>x</v>
      </c>
      <c r="X34" s="214">
        <f t="shared" si="9"/>
        <v>1</v>
      </c>
      <c r="Y34" s="276">
        <v>1</v>
      </c>
      <c r="Z34" s="214">
        <f t="shared" si="10"/>
        <v>2</v>
      </c>
      <c r="AA34" s="276">
        <f>'Core Indicators'!FF34</f>
        <v>2</v>
      </c>
      <c r="AB34" s="27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x14ac:dyDescent="0.3">
      <c r="A35" s="276" t="str">
        <f>Lists!C:C</f>
        <v>COG004</v>
      </c>
      <c r="B35" s="213">
        <f t="shared" si="1"/>
        <v>2.5</v>
      </c>
      <c r="C35" s="214">
        <f t="shared" si="2"/>
        <v>3</v>
      </c>
      <c r="D35" s="277">
        <f t="shared" si="3"/>
        <v>2.7</v>
      </c>
      <c r="E35" s="276">
        <f>'Core Indicators'!R35</f>
        <v>1</v>
      </c>
      <c r="F35" s="276">
        <f>'Core Indicators'!Z35</f>
        <v>3</v>
      </c>
      <c r="G35" s="214">
        <f t="shared" si="4"/>
        <v>2.1</v>
      </c>
      <c r="H35" s="276">
        <f>'Core Indicators'!AH35</f>
        <v>3</v>
      </c>
      <c r="I35" s="276" t="str">
        <f>'Core Indicators'!AP35</f>
        <v>x</v>
      </c>
      <c r="J35" s="276" t="str">
        <f>'Core Indicators'!BN35</f>
        <v>x</v>
      </c>
      <c r="K35" s="276" t="str">
        <f t="shared" si="5"/>
        <v>x</v>
      </c>
      <c r="L35" s="213">
        <f t="shared" si="6"/>
        <v>3</v>
      </c>
      <c r="M35" s="277">
        <f t="shared" si="14"/>
        <v>3</v>
      </c>
      <c r="N35" s="278">
        <f>'Core Indicators'!DJ35</f>
        <v>3</v>
      </c>
      <c r="O35" s="278">
        <f>'Core Indicators'!DR35</f>
        <v>3</v>
      </c>
      <c r="P35" s="278">
        <f>'Core Indicators'!DZ35</f>
        <v>3</v>
      </c>
      <c r="Q35" s="278">
        <f>'Core Indicators'!EH35</f>
        <v>3</v>
      </c>
      <c r="R35" s="278">
        <f>'Core Indicators'!EP35</f>
        <v>3</v>
      </c>
      <c r="S35" s="214">
        <f t="shared" si="7"/>
        <v>1.5</v>
      </c>
      <c r="T35" s="214">
        <f t="shared" si="8"/>
        <v>1</v>
      </c>
      <c r="U35" s="276">
        <v>1</v>
      </c>
      <c r="V35" s="276">
        <v>1</v>
      </c>
      <c r="W35" s="276" t="str">
        <f>'Core Indicators'!EX35</f>
        <v>x</v>
      </c>
      <c r="X35" s="214">
        <f t="shared" si="9"/>
        <v>1</v>
      </c>
      <c r="Y35" s="276">
        <v>1</v>
      </c>
      <c r="Z35" s="214">
        <f t="shared" si="10"/>
        <v>2</v>
      </c>
      <c r="AA35" s="276">
        <f>'Core Indicators'!FF35</f>
        <v>2</v>
      </c>
      <c r="AB35" s="276">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76" t="str">
        <f>Lists!C:C</f>
        <v>CRI002</v>
      </c>
      <c r="B36" s="213">
        <f t="shared" si="1"/>
        <v>1.9</v>
      </c>
      <c r="C36" s="214">
        <f t="shared" si="2"/>
        <v>0</v>
      </c>
      <c r="D36" s="277">
        <f t="shared" si="3"/>
        <v>2.5</v>
      </c>
      <c r="E36" s="276">
        <f>'Core Indicators'!R36</f>
        <v>3</v>
      </c>
      <c r="F36" s="276">
        <f>'Core Indicators'!Z36</f>
        <v>3</v>
      </c>
      <c r="G36" s="214">
        <f t="shared" si="4"/>
        <v>3</v>
      </c>
      <c r="H36" s="276">
        <f>'Core Indicators'!AH36</f>
        <v>2</v>
      </c>
      <c r="I36" s="276">
        <f>'Core Indicators'!AP36</f>
        <v>2</v>
      </c>
      <c r="J36" s="276">
        <f>'Core Indicators'!BN36</f>
        <v>3</v>
      </c>
      <c r="K36" s="276">
        <f t="shared" si="5"/>
        <v>2.5</v>
      </c>
      <c r="L36" s="213">
        <f t="shared" si="6"/>
        <v>2.2999999999999998</v>
      </c>
      <c r="M36" s="277">
        <f t="shared" si="14"/>
        <v>2</v>
      </c>
      <c r="N36" s="278">
        <f>'Core Indicators'!DJ36</f>
        <v>2</v>
      </c>
      <c r="O36" s="278">
        <f>'Core Indicators'!DR36</f>
        <v>2</v>
      </c>
      <c r="P36" s="278">
        <f>'Core Indicators'!DZ36</f>
        <v>2</v>
      </c>
      <c r="Q36" s="278">
        <f>'Core Indicators'!EH36</f>
        <v>2</v>
      </c>
      <c r="R36" s="278">
        <f>'Core Indicators'!EP36</f>
        <v>2</v>
      </c>
      <c r="S36" s="214">
        <f t="shared" si="7"/>
        <v>1.4</v>
      </c>
      <c r="T36" s="214">
        <f t="shared" si="8"/>
        <v>1.3333333333333333</v>
      </c>
      <c r="U36" s="276">
        <v>1</v>
      </c>
      <c r="V36" s="276">
        <v>1</v>
      </c>
      <c r="W36" s="276">
        <f>'Core Indicators'!EX36</f>
        <v>3</v>
      </c>
      <c r="X36" s="214">
        <f t="shared" si="9"/>
        <v>2</v>
      </c>
      <c r="Y36" s="276">
        <v>1</v>
      </c>
      <c r="Z36" s="214">
        <f t="shared" si="10"/>
        <v>1.5</v>
      </c>
      <c r="AA36" s="276">
        <f>'Core Indicators'!FF36</f>
        <v>2</v>
      </c>
      <c r="AB36" s="276">
        <f t="shared" si="11"/>
        <v>1</v>
      </c>
      <c r="AC36" s="11">
        <f>'Core Indicators'!GD36</f>
        <v>1</v>
      </c>
      <c r="AD36" s="11">
        <f>'Core Indicators'!GL36</f>
        <v>1</v>
      </c>
      <c r="AE36" s="11">
        <f>'Core Indicators'!GT36</f>
        <v>1</v>
      </c>
      <c r="AF36" s="11">
        <f>'Core Indicators'!HB36</f>
        <v>1</v>
      </c>
      <c r="AG36" s="11">
        <f t="shared" si="12"/>
        <v>1</v>
      </c>
      <c r="AH36" s="11">
        <f>'Core Indicators'!HJ36</f>
        <v>1</v>
      </c>
      <c r="AI36" s="11">
        <f>'Core Indicators'!HR36</f>
        <v>1</v>
      </c>
      <c r="AJ36" s="11">
        <f t="shared" si="13"/>
        <v>1</v>
      </c>
      <c r="AK36" s="11">
        <f>'Core Indicators'!HZ36</f>
        <v>1</v>
      </c>
      <c r="AL36" s="11">
        <f>'Core Indicators'!IH36</f>
        <v>1</v>
      </c>
      <c r="AM36" s="11">
        <f>'Core Indicators'!IP36</f>
        <v>1</v>
      </c>
      <c r="AN36" s="11">
        <f t="shared" si="0"/>
        <v>1</v>
      </c>
    </row>
    <row r="37" spans="1:40" x14ac:dyDescent="0.3">
      <c r="A37" s="276" t="str">
        <f>Lists!C:C</f>
        <v>DJI001</v>
      </c>
      <c r="B37" s="213">
        <f t="shared" si="1"/>
        <v>2</v>
      </c>
      <c r="C37" s="214">
        <f t="shared" si="2"/>
        <v>1</v>
      </c>
      <c r="D37" s="277">
        <f t="shared" si="3"/>
        <v>2.2999999999999998</v>
      </c>
      <c r="E37" s="276">
        <f>'Core Indicators'!R37</f>
        <v>2</v>
      </c>
      <c r="F37" s="276">
        <f>'Core Indicators'!Z37</f>
        <v>2</v>
      </c>
      <c r="G37" s="214">
        <f t="shared" si="4"/>
        <v>2</v>
      </c>
      <c r="H37" s="276">
        <f>'Core Indicators'!AH37</f>
        <v>3</v>
      </c>
      <c r="I37" s="276" t="str">
        <f>'Core Indicators'!AP37</f>
        <v>x</v>
      </c>
      <c r="J37" s="276">
        <f>'Core Indicators'!BN37</f>
        <v>2</v>
      </c>
      <c r="K37" s="276">
        <f t="shared" si="5"/>
        <v>2</v>
      </c>
      <c r="L37" s="213">
        <f t="shared" si="6"/>
        <v>2.5</v>
      </c>
      <c r="M37" s="277">
        <f t="shared" si="14"/>
        <v>2.2000000000000002</v>
      </c>
      <c r="N37" s="278">
        <f>'Core Indicators'!DJ37</f>
        <v>3</v>
      </c>
      <c r="O37" s="278">
        <f>'Core Indicators'!DR37</f>
        <v>2</v>
      </c>
      <c r="P37" s="278">
        <f>'Core Indicators'!DZ37</f>
        <v>2</v>
      </c>
      <c r="Q37" s="278">
        <f>'Core Indicators'!EH37</f>
        <v>2</v>
      </c>
      <c r="R37" s="278">
        <f>'Core Indicators'!EP37</f>
        <v>2</v>
      </c>
      <c r="S37" s="214">
        <f t="shared" si="7"/>
        <v>1.6</v>
      </c>
      <c r="T37" s="214">
        <f t="shared" si="8"/>
        <v>1.1666666666666667</v>
      </c>
      <c r="U37" s="276">
        <v>1</v>
      </c>
      <c r="V37" s="276">
        <v>1</v>
      </c>
      <c r="W37" s="276">
        <f>'Core Indicators'!EX37</f>
        <v>2</v>
      </c>
      <c r="X37" s="214">
        <f t="shared" si="9"/>
        <v>1.5</v>
      </c>
      <c r="Y37" s="276">
        <v>1</v>
      </c>
      <c r="Z37" s="214">
        <f t="shared" si="10"/>
        <v>2</v>
      </c>
      <c r="AA37" s="276">
        <f>'Core Indicators'!FF37</f>
        <v>2</v>
      </c>
      <c r="AB37" s="276">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f>'Core Indicators'!IP37</f>
        <v>2</v>
      </c>
      <c r="AN37" s="11">
        <f t="shared" si="0"/>
        <v>2</v>
      </c>
    </row>
    <row r="38" spans="1:40" x14ac:dyDescent="0.3">
      <c r="A38" s="276" t="str">
        <f>Lists!C:C</f>
        <v>DJI002</v>
      </c>
      <c r="B38" s="213">
        <f t="shared" si="1"/>
        <v>2</v>
      </c>
      <c r="C38" s="214">
        <f t="shared" si="2"/>
        <v>0</v>
      </c>
      <c r="D38" s="277">
        <f t="shared" si="3"/>
        <v>2</v>
      </c>
      <c r="E38" s="276">
        <f>'Core Indicators'!R38</f>
        <v>2</v>
      </c>
      <c r="F38" s="276">
        <f>'Core Indicators'!Z38</f>
        <v>2</v>
      </c>
      <c r="G38" s="214">
        <f t="shared" si="4"/>
        <v>2</v>
      </c>
      <c r="H38" s="276">
        <f>'Core Indicators'!AH38</f>
        <v>2</v>
      </c>
      <c r="I38" s="276">
        <f>'Core Indicators'!AP38</f>
        <v>2</v>
      </c>
      <c r="J38" s="276">
        <f>'Core Indicators'!BN38</f>
        <v>2</v>
      </c>
      <c r="K38" s="276">
        <f t="shared" si="5"/>
        <v>2</v>
      </c>
      <c r="L38" s="213">
        <f t="shared" si="6"/>
        <v>2</v>
      </c>
      <c r="M38" s="277">
        <f t="shared" si="14"/>
        <v>2.25</v>
      </c>
      <c r="N38" s="278">
        <f>'Core Indicators'!DJ38</f>
        <v>3</v>
      </c>
      <c r="O38" s="278">
        <f>'Core Indicators'!DR38</f>
        <v>2</v>
      </c>
      <c r="P38" s="278">
        <f>'Core Indicators'!DZ38</f>
        <v>2</v>
      </c>
      <c r="Q38" s="278" t="str">
        <f>'Core Indicators'!EH38</f>
        <v>x</v>
      </c>
      <c r="R38" s="278">
        <f>'Core Indicators'!EP38</f>
        <v>2</v>
      </c>
      <c r="S38" s="214">
        <f t="shared" si="7"/>
        <v>1.6</v>
      </c>
      <c r="T38" s="214">
        <f t="shared" si="8"/>
        <v>1.1666666666666667</v>
      </c>
      <c r="U38" s="276">
        <v>1</v>
      </c>
      <c r="V38" s="276">
        <v>1</v>
      </c>
      <c r="W38" s="276">
        <f>'Core Indicators'!EX38</f>
        <v>2</v>
      </c>
      <c r="X38" s="214">
        <f t="shared" si="9"/>
        <v>1.5</v>
      </c>
      <c r="Y38" s="276">
        <v>1</v>
      </c>
      <c r="Z38" s="214">
        <f t="shared" si="10"/>
        <v>2</v>
      </c>
      <c r="AA38" s="276">
        <f>'Core Indicators'!FF38</f>
        <v>2</v>
      </c>
      <c r="AB38" s="276">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x14ac:dyDescent="0.3">
      <c r="A39" s="276" t="str">
        <f>Lists!C:C</f>
        <v>DJI003</v>
      </c>
      <c r="B39" s="213">
        <f t="shared" si="1"/>
        <v>2.4</v>
      </c>
      <c r="C39" s="214">
        <f t="shared" si="2"/>
        <v>0</v>
      </c>
      <c r="D39" s="277">
        <f t="shared" si="3"/>
        <v>2.4</v>
      </c>
      <c r="E39" s="276">
        <f>'Core Indicators'!R39</f>
        <v>2</v>
      </c>
      <c r="F39" s="276">
        <f>'Core Indicators'!Z39</f>
        <v>3</v>
      </c>
      <c r="G39" s="214">
        <f t="shared" si="4"/>
        <v>2.5</v>
      </c>
      <c r="H39" s="276">
        <f>'Core Indicators'!AH39</f>
        <v>2</v>
      </c>
      <c r="I39" s="276">
        <f>'Core Indicators'!AP39</f>
        <v>2</v>
      </c>
      <c r="J39" s="276">
        <f>'Core Indicators'!BN39</f>
        <v>3</v>
      </c>
      <c r="K39" s="276">
        <f t="shared" si="5"/>
        <v>2.5</v>
      </c>
      <c r="L39" s="213">
        <f t="shared" si="6"/>
        <v>2.2999999999999998</v>
      </c>
      <c r="M39" s="277">
        <f t="shared" si="14"/>
        <v>3</v>
      </c>
      <c r="N39" s="278">
        <f>'Core Indicators'!DJ39</f>
        <v>3</v>
      </c>
      <c r="O39" s="278">
        <f>'Core Indicators'!DR39</f>
        <v>3</v>
      </c>
      <c r="P39" s="278">
        <f>'Core Indicators'!DZ39</f>
        <v>3</v>
      </c>
      <c r="Q39" s="278">
        <f>'Core Indicators'!EH39</f>
        <v>3</v>
      </c>
      <c r="R39" s="278">
        <f>'Core Indicators'!EP39</f>
        <v>3</v>
      </c>
      <c r="S39" s="214">
        <f t="shared" si="7"/>
        <v>1.6</v>
      </c>
      <c r="T39" s="214">
        <f t="shared" si="8"/>
        <v>1.1666666666666667</v>
      </c>
      <c r="U39" s="276">
        <v>1</v>
      </c>
      <c r="V39" s="276">
        <v>1</v>
      </c>
      <c r="W39" s="276">
        <f>'Core Indicators'!EX39</f>
        <v>2</v>
      </c>
      <c r="X39" s="214">
        <f t="shared" si="9"/>
        <v>1.5</v>
      </c>
      <c r="Y39" s="276">
        <v>1</v>
      </c>
      <c r="Z39" s="214">
        <f t="shared" si="10"/>
        <v>2</v>
      </c>
      <c r="AA39" s="276">
        <f>'Core Indicators'!FF39</f>
        <v>2</v>
      </c>
      <c r="AB39" s="276">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x14ac:dyDescent="0.3">
      <c r="A40" s="276" t="str">
        <f>Lists!C:C</f>
        <v>PRK001</v>
      </c>
      <c r="B40" s="213">
        <f t="shared" si="1"/>
        <v>2</v>
      </c>
      <c r="C40" s="214">
        <f t="shared" si="2"/>
        <v>3</v>
      </c>
      <c r="D40" s="277">
        <f t="shared" si="3"/>
        <v>2.7</v>
      </c>
      <c r="E40" s="276">
        <f>'Core Indicators'!R40</f>
        <v>1</v>
      </c>
      <c r="F40" s="276">
        <f>'Core Indicators'!Z40</f>
        <v>3</v>
      </c>
      <c r="G40" s="214">
        <f t="shared" si="4"/>
        <v>2.1</v>
      </c>
      <c r="H40" s="276">
        <f>'Core Indicators'!AH40</f>
        <v>3</v>
      </c>
      <c r="I40" s="276" t="str">
        <f>'Core Indicators'!AP40</f>
        <v>x</v>
      </c>
      <c r="J40" s="276" t="str">
        <f>'Core Indicators'!BN40</f>
        <v>x</v>
      </c>
      <c r="K40" s="276" t="str">
        <f t="shared" si="5"/>
        <v>x</v>
      </c>
      <c r="L40" s="213">
        <f t="shared" si="6"/>
        <v>3</v>
      </c>
      <c r="M40" s="277">
        <f t="shared" si="14"/>
        <v>2</v>
      </c>
      <c r="N40" s="278">
        <f>'Core Indicators'!DJ40</f>
        <v>2</v>
      </c>
      <c r="O40" s="278">
        <f>'Core Indicators'!DR40</f>
        <v>2</v>
      </c>
      <c r="P40" s="278">
        <f>'Core Indicators'!DZ40</f>
        <v>2</v>
      </c>
      <c r="Q40" s="278">
        <f>'Core Indicators'!EH40</f>
        <v>2</v>
      </c>
      <c r="R40" s="278">
        <f>'Core Indicators'!EP40</f>
        <v>2</v>
      </c>
      <c r="S40" s="214">
        <f t="shared" si="7"/>
        <v>1.3</v>
      </c>
      <c r="T40" s="214">
        <f t="shared" si="8"/>
        <v>1</v>
      </c>
      <c r="U40" s="276">
        <v>1</v>
      </c>
      <c r="V40" s="276">
        <v>1</v>
      </c>
      <c r="W40" s="276" t="str">
        <f>'Core Indicators'!EX40</f>
        <v>x</v>
      </c>
      <c r="X40" s="214">
        <f t="shared" si="9"/>
        <v>1</v>
      </c>
      <c r="Y40" s="276">
        <v>1</v>
      </c>
      <c r="Z40" s="214">
        <f t="shared" si="10"/>
        <v>1.5</v>
      </c>
      <c r="AA40" s="276">
        <f>'Core Indicators'!FF40</f>
        <v>2</v>
      </c>
      <c r="AB40" s="276">
        <f t="shared" si="11"/>
        <v>1</v>
      </c>
      <c r="AC40" s="11">
        <f>'Core Indicators'!GD40</f>
        <v>1</v>
      </c>
      <c r="AD40" s="11">
        <f>'Core Indicators'!GL40</f>
        <v>1</v>
      </c>
      <c r="AE40" s="11">
        <f>'Core Indicators'!GT40</f>
        <v>1</v>
      </c>
      <c r="AF40" s="11">
        <f>'Core Indicators'!HB40</f>
        <v>1</v>
      </c>
      <c r="AG40" s="11">
        <f t="shared" si="12"/>
        <v>1</v>
      </c>
      <c r="AH40" s="11">
        <f>'Core Indicators'!HJ40</f>
        <v>1</v>
      </c>
      <c r="AI40" s="11">
        <f>'Core Indicators'!HR40</f>
        <v>1</v>
      </c>
      <c r="AJ40" s="11">
        <f t="shared" si="13"/>
        <v>1</v>
      </c>
      <c r="AK40" s="11">
        <f>'Core Indicators'!HZ40</f>
        <v>1</v>
      </c>
      <c r="AL40" s="11">
        <f>'Core Indicators'!IH40</f>
        <v>1</v>
      </c>
      <c r="AM40" s="11">
        <f>'Core Indicators'!IP40</f>
        <v>1</v>
      </c>
      <c r="AN40" s="11">
        <f t="shared" si="0"/>
        <v>1</v>
      </c>
    </row>
    <row r="41" spans="1:40" x14ac:dyDescent="0.3">
      <c r="A41" s="276" t="str">
        <f>Lists!C:C</f>
        <v>COD001</v>
      </c>
      <c r="B41" s="213">
        <f t="shared" si="1"/>
        <v>2</v>
      </c>
      <c r="C41" s="214">
        <f t="shared" si="2"/>
        <v>0</v>
      </c>
      <c r="D41" s="277">
        <f t="shared" si="3"/>
        <v>2.2000000000000002</v>
      </c>
      <c r="E41" s="276">
        <f>'Core Indicators'!R41</f>
        <v>1</v>
      </c>
      <c r="F41" s="276">
        <f>'Core Indicators'!Z41</f>
        <v>2</v>
      </c>
      <c r="G41" s="214">
        <f t="shared" si="4"/>
        <v>1.5</v>
      </c>
      <c r="H41" s="276">
        <f>'Core Indicators'!AH41</f>
        <v>2</v>
      </c>
      <c r="I41" s="276">
        <f>'Core Indicators'!AP41</f>
        <v>3</v>
      </c>
      <c r="J41" s="276">
        <f>'Core Indicators'!BN41</f>
        <v>3</v>
      </c>
      <c r="K41" s="276">
        <f t="shared" si="5"/>
        <v>3</v>
      </c>
      <c r="L41" s="213">
        <f t="shared" si="6"/>
        <v>2.5</v>
      </c>
      <c r="M41" s="277">
        <f t="shared" si="14"/>
        <v>2</v>
      </c>
      <c r="N41" s="278">
        <f>'Core Indicators'!DJ41</f>
        <v>2</v>
      </c>
      <c r="O41" s="278">
        <f>'Core Indicators'!DR41</f>
        <v>2</v>
      </c>
      <c r="P41" s="278">
        <f>'Core Indicators'!DZ41</f>
        <v>2</v>
      </c>
      <c r="Q41" s="278">
        <f>'Core Indicators'!EH41</f>
        <v>2</v>
      </c>
      <c r="R41" s="278">
        <f>'Core Indicators'!EP41</f>
        <v>2</v>
      </c>
      <c r="S41" s="214">
        <f t="shared" si="7"/>
        <v>1.7</v>
      </c>
      <c r="T41" s="214">
        <f t="shared" si="8"/>
        <v>1.3333333333333333</v>
      </c>
      <c r="U41" s="276">
        <v>1</v>
      </c>
      <c r="V41" s="276">
        <v>1</v>
      </c>
      <c r="W41" s="276">
        <f>'Core Indicators'!EX41</f>
        <v>3</v>
      </c>
      <c r="X41" s="214">
        <f t="shared" si="9"/>
        <v>2</v>
      </c>
      <c r="Y41" s="276">
        <v>1</v>
      </c>
      <c r="Z41" s="214">
        <f t="shared" si="10"/>
        <v>2</v>
      </c>
      <c r="AA41" s="276">
        <f>'Core Indicators'!FF41</f>
        <v>2</v>
      </c>
      <c r="AB41" s="276">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76" t="str">
        <f>Lists!C:C</f>
        <v>COD003</v>
      </c>
      <c r="B42" s="213">
        <f t="shared" si="1"/>
        <v>2.5</v>
      </c>
      <c r="C42" s="214">
        <f t="shared" si="2"/>
        <v>2</v>
      </c>
      <c r="D42" s="277">
        <f t="shared" si="3"/>
        <v>2.7</v>
      </c>
      <c r="E42" s="276">
        <f>'Core Indicators'!R42</f>
        <v>2</v>
      </c>
      <c r="F42" s="276">
        <f>'Core Indicators'!Z42</f>
        <v>2</v>
      </c>
      <c r="G42" s="214">
        <f t="shared" si="4"/>
        <v>2</v>
      </c>
      <c r="H42" s="276">
        <f>'Core Indicators'!AH42</f>
        <v>3</v>
      </c>
      <c r="I42" s="276" t="str">
        <f>'Core Indicators'!AP42</f>
        <v>x</v>
      </c>
      <c r="J42" s="276" t="str">
        <f>'Core Indicators'!BN42</f>
        <v>x</v>
      </c>
      <c r="K42" s="276" t="str">
        <f t="shared" si="5"/>
        <v>x</v>
      </c>
      <c r="L42" s="213">
        <f t="shared" si="6"/>
        <v>3</v>
      </c>
      <c r="M42" s="277">
        <f t="shared" si="14"/>
        <v>3</v>
      </c>
      <c r="N42" s="278">
        <f>'Core Indicators'!DJ42</f>
        <v>3</v>
      </c>
      <c r="O42" s="278">
        <f>'Core Indicators'!DR42</f>
        <v>3</v>
      </c>
      <c r="P42" s="278">
        <f>'Core Indicators'!DZ42</f>
        <v>3</v>
      </c>
      <c r="Q42" s="278">
        <f>'Core Indicators'!EH42</f>
        <v>3</v>
      </c>
      <c r="R42" s="278">
        <f>'Core Indicators'!EP42</f>
        <v>3</v>
      </c>
      <c r="S42" s="214">
        <f t="shared" si="7"/>
        <v>1.7</v>
      </c>
      <c r="T42" s="214">
        <f t="shared" si="8"/>
        <v>1.3333333333333333</v>
      </c>
      <c r="U42" s="276">
        <v>1</v>
      </c>
      <c r="V42" s="276">
        <v>1</v>
      </c>
      <c r="W42" s="276">
        <f>'Core Indicators'!EX42</f>
        <v>3</v>
      </c>
      <c r="X42" s="214">
        <f t="shared" si="9"/>
        <v>2</v>
      </c>
      <c r="Y42" s="276">
        <v>1</v>
      </c>
      <c r="Z42" s="214">
        <f t="shared" si="10"/>
        <v>2</v>
      </c>
      <c r="AA42" s="276">
        <f>'Core Indicators'!FF42</f>
        <v>2</v>
      </c>
      <c r="AB42" s="276">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76" t="str">
        <f>Lists!C:C</f>
        <v>ECU002</v>
      </c>
      <c r="B43" s="213">
        <f t="shared" si="1"/>
        <v>1.9</v>
      </c>
      <c r="C43" s="214">
        <f t="shared" si="2"/>
        <v>0</v>
      </c>
      <c r="D43" s="277">
        <f t="shared" si="3"/>
        <v>2</v>
      </c>
      <c r="E43" s="276">
        <f>'Core Indicators'!R43</f>
        <v>2</v>
      </c>
      <c r="F43" s="276">
        <f>'Core Indicators'!Z43</f>
        <v>2</v>
      </c>
      <c r="G43" s="214">
        <f t="shared" si="4"/>
        <v>2</v>
      </c>
      <c r="H43" s="276">
        <f>'Core Indicators'!AH43</f>
        <v>2</v>
      </c>
      <c r="I43" s="276">
        <f>'Core Indicators'!AP43</f>
        <v>2</v>
      </c>
      <c r="J43" s="276">
        <f>'Core Indicators'!BN43</f>
        <v>2</v>
      </c>
      <c r="K43" s="276">
        <f t="shared" si="5"/>
        <v>2</v>
      </c>
      <c r="L43" s="213">
        <f t="shared" si="6"/>
        <v>2</v>
      </c>
      <c r="M43" s="277">
        <f t="shared" si="14"/>
        <v>2</v>
      </c>
      <c r="N43" s="278">
        <f>'Core Indicators'!DJ43</f>
        <v>2</v>
      </c>
      <c r="O43" s="278">
        <f>'Core Indicators'!DR43</f>
        <v>2</v>
      </c>
      <c r="P43" s="278">
        <f>'Core Indicators'!DZ43</f>
        <v>2</v>
      </c>
      <c r="Q43" s="278">
        <f>'Core Indicators'!EH43</f>
        <v>2</v>
      </c>
      <c r="R43" s="278">
        <f>'Core Indicators'!EP43</f>
        <v>2</v>
      </c>
      <c r="S43" s="214">
        <f t="shared" si="7"/>
        <v>1.6</v>
      </c>
      <c r="T43" s="214">
        <f t="shared" si="8"/>
        <v>1.1666666666666667</v>
      </c>
      <c r="U43" s="276">
        <v>1</v>
      </c>
      <c r="V43" s="276">
        <v>1</v>
      </c>
      <c r="W43" s="276">
        <f>'Core Indicators'!EX43</f>
        <v>2</v>
      </c>
      <c r="X43" s="214">
        <f t="shared" si="9"/>
        <v>1.5</v>
      </c>
      <c r="Y43" s="276">
        <v>1</v>
      </c>
      <c r="Z43" s="214">
        <f t="shared" si="10"/>
        <v>2</v>
      </c>
      <c r="AA43" s="276">
        <f>'Core Indicators'!FF43</f>
        <v>2</v>
      </c>
      <c r="AB43" s="276">
        <f t="shared" si="11"/>
        <v>2</v>
      </c>
      <c r="AC43" s="11">
        <f>'Core Indicators'!GD43</f>
        <v>2</v>
      </c>
      <c r="AD43" s="11">
        <f>'Core Indicators'!GL43</f>
        <v>2</v>
      </c>
      <c r="AE43" s="11">
        <f>'Core Indicators'!GT43</f>
        <v>2</v>
      </c>
      <c r="AF43" s="11">
        <f>'Core Indicators'!HB43</f>
        <v>2</v>
      </c>
      <c r="AG43" s="11">
        <f t="shared" si="12"/>
        <v>2</v>
      </c>
      <c r="AH43" s="11">
        <f>'Core Indicators'!HJ43</f>
        <v>2</v>
      </c>
      <c r="AI43" s="11">
        <f>'Core Indicators'!HR43</f>
        <v>2</v>
      </c>
      <c r="AJ43" s="11">
        <f t="shared" si="13"/>
        <v>2</v>
      </c>
      <c r="AK43" s="11">
        <f>'Core Indicators'!HZ43</f>
        <v>2</v>
      </c>
      <c r="AL43" s="11">
        <f>'Core Indicators'!IH43</f>
        <v>2</v>
      </c>
      <c r="AM43" s="11">
        <f>'Core Indicators'!IP43</f>
        <v>2</v>
      </c>
      <c r="AN43" s="11">
        <f t="shared" si="0"/>
        <v>2</v>
      </c>
    </row>
    <row r="44" spans="1:40" x14ac:dyDescent="0.3">
      <c r="A44" s="276" t="str">
        <f>Lists!C:C</f>
        <v>EGY002</v>
      </c>
      <c r="B44" s="213">
        <f t="shared" si="1"/>
        <v>1.8</v>
      </c>
      <c r="C44" s="214">
        <f t="shared" si="2"/>
        <v>0</v>
      </c>
      <c r="D44" s="277">
        <f t="shared" si="3"/>
        <v>2.2000000000000002</v>
      </c>
      <c r="E44" s="276">
        <f>'Core Indicators'!R44</f>
        <v>2</v>
      </c>
      <c r="F44" s="276">
        <f>'Core Indicators'!Z44</f>
        <v>3</v>
      </c>
      <c r="G44" s="214">
        <f t="shared" si="4"/>
        <v>2.5</v>
      </c>
      <c r="H44" s="276">
        <f>'Core Indicators'!AH44</f>
        <v>2</v>
      </c>
      <c r="I44" s="276">
        <f>'Core Indicators'!AP44</f>
        <v>2</v>
      </c>
      <c r="J44" s="276">
        <f>'Core Indicators'!BN44</f>
        <v>2</v>
      </c>
      <c r="K44" s="276">
        <f t="shared" si="5"/>
        <v>2</v>
      </c>
      <c r="L44" s="213">
        <f t="shared" si="6"/>
        <v>2</v>
      </c>
      <c r="M44" s="277">
        <f t="shared" si="14"/>
        <v>1.8</v>
      </c>
      <c r="N44" s="278">
        <f>'Core Indicators'!DJ44</f>
        <v>2</v>
      </c>
      <c r="O44" s="278">
        <f>'Core Indicators'!DR44</f>
        <v>2</v>
      </c>
      <c r="P44" s="278">
        <f>'Core Indicators'!DZ44</f>
        <v>2</v>
      </c>
      <c r="Q44" s="278">
        <f>'Core Indicators'!EH44</f>
        <v>2</v>
      </c>
      <c r="R44" s="278">
        <f>'Core Indicators'!EP44</f>
        <v>1</v>
      </c>
      <c r="S44" s="214">
        <f t="shared" si="7"/>
        <v>1.6</v>
      </c>
      <c r="T44" s="214">
        <f t="shared" si="8"/>
        <v>1.1666666666666667</v>
      </c>
      <c r="U44" s="276">
        <v>1</v>
      </c>
      <c r="V44" s="276">
        <v>1</v>
      </c>
      <c r="W44" s="276">
        <f>'Core Indicators'!EX44</f>
        <v>2</v>
      </c>
      <c r="X44" s="214">
        <f t="shared" si="9"/>
        <v>1.5</v>
      </c>
      <c r="Y44" s="276">
        <v>1</v>
      </c>
      <c r="Z44" s="214">
        <f t="shared" si="10"/>
        <v>2</v>
      </c>
      <c r="AA44" s="276">
        <f>'Core Indicators'!FF44</f>
        <v>2</v>
      </c>
      <c r="AB44" s="276">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76" t="str">
        <f>Lists!C:C</f>
        <v>SLV001</v>
      </c>
      <c r="B45" s="213">
        <f t="shared" si="1"/>
        <v>1.8</v>
      </c>
      <c r="C45" s="214">
        <f t="shared" si="2"/>
        <v>0</v>
      </c>
      <c r="D45" s="277">
        <f t="shared" si="3"/>
        <v>1.9</v>
      </c>
      <c r="E45" s="276">
        <f>'Core Indicators'!R45</f>
        <v>1</v>
      </c>
      <c r="F45" s="276">
        <f>'Core Indicators'!Z45</f>
        <v>1</v>
      </c>
      <c r="G45" s="214">
        <f t="shared" si="4"/>
        <v>1</v>
      </c>
      <c r="H45" s="276">
        <f>'Core Indicators'!AH45</f>
        <v>2</v>
      </c>
      <c r="I45" s="276">
        <f>'Core Indicators'!AP45</f>
        <v>2</v>
      </c>
      <c r="J45" s="276">
        <f>'Core Indicators'!BN45</f>
        <v>3</v>
      </c>
      <c r="K45" s="276">
        <f t="shared" si="5"/>
        <v>2.5</v>
      </c>
      <c r="L45" s="213">
        <f t="shared" si="6"/>
        <v>2.2999999999999998</v>
      </c>
      <c r="M45" s="277">
        <f t="shared" si="14"/>
        <v>2</v>
      </c>
      <c r="N45" s="278">
        <f>'Core Indicators'!DJ45</f>
        <v>2</v>
      </c>
      <c r="O45" s="278">
        <f>'Core Indicators'!DR45</f>
        <v>2</v>
      </c>
      <c r="P45" s="278">
        <f>'Core Indicators'!DZ45</f>
        <v>2</v>
      </c>
      <c r="Q45" s="278">
        <f>'Core Indicators'!EH45</f>
        <v>2</v>
      </c>
      <c r="R45" s="278">
        <f>'Core Indicators'!EP45</f>
        <v>2</v>
      </c>
      <c r="S45" s="214">
        <f t="shared" si="7"/>
        <v>1.4</v>
      </c>
      <c r="T45" s="214">
        <f t="shared" si="8"/>
        <v>1.3333333333333333</v>
      </c>
      <c r="U45" s="276">
        <v>1</v>
      </c>
      <c r="V45" s="276">
        <v>1</v>
      </c>
      <c r="W45" s="276">
        <f>'Core Indicators'!EX45</f>
        <v>3</v>
      </c>
      <c r="X45" s="214">
        <f t="shared" si="9"/>
        <v>2</v>
      </c>
      <c r="Y45" s="276">
        <v>1</v>
      </c>
      <c r="Z45" s="214">
        <f t="shared" si="10"/>
        <v>1.5</v>
      </c>
      <c r="AA45" s="276">
        <f>'Core Indicators'!FF45</f>
        <v>2</v>
      </c>
      <c r="AB45" s="276">
        <f t="shared" si="11"/>
        <v>1</v>
      </c>
      <c r="AC45" s="11">
        <f>'Core Indicators'!GD45</f>
        <v>1</v>
      </c>
      <c r="AD45" s="11">
        <f>'Core Indicators'!GL45</f>
        <v>1</v>
      </c>
      <c r="AE45" s="11">
        <f>'Core Indicators'!GT45</f>
        <v>1</v>
      </c>
      <c r="AF45" s="11">
        <f>'Core Indicators'!HB45</f>
        <v>1</v>
      </c>
      <c r="AG45" s="11">
        <f t="shared" si="12"/>
        <v>1</v>
      </c>
      <c r="AH45" s="11">
        <f>'Core Indicators'!HJ45</f>
        <v>1</v>
      </c>
      <c r="AI45" s="11">
        <f>'Core Indicators'!HR45</f>
        <v>1</v>
      </c>
      <c r="AJ45" s="11">
        <f t="shared" si="13"/>
        <v>1</v>
      </c>
      <c r="AK45" s="11">
        <f>'Core Indicators'!HZ45</f>
        <v>1</v>
      </c>
      <c r="AL45" s="11">
        <f>'Core Indicators'!IH45</f>
        <v>1</v>
      </c>
      <c r="AM45" s="11">
        <f>'Core Indicators'!IP45</f>
        <v>1</v>
      </c>
      <c r="AN45" s="11">
        <f t="shared" si="0"/>
        <v>1</v>
      </c>
    </row>
    <row r="46" spans="1:40" x14ac:dyDescent="0.3">
      <c r="A46" s="276" t="str">
        <f>Lists!C:C</f>
        <v>ERI001</v>
      </c>
      <c r="B46" s="213">
        <f t="shared" si="1"/>
        <v>2.5</v>
      </c>
      <c r="C46" s="214">
        <f t="shared" si="2"/>
        <v>1</v>
      </c>
      <c r="D46" s="277">
        <f t="shared" si="3"/>
        <v>2.7</v>
      </c>
      <c r="E46" s="276">
        <f>'Core Indicators'!R46</f>
        <v>2</v>
      </c>
      <c r="F46" s="276">
        <f>'Core Indicators'!Z46</f>
        <v>2</v>
      </c>
      <c r="G46" s="214">
        <f t="shared" si="4"/>
        <v>2</v>
      </c>
      <c r="H46" s="276">
        <f>'Core Indicators'!AH46</f>
        <v>3</v>
      </c>
      <c r="I46" s="276">
        <f>'Core Indicators'!AP46</f>
        <v>3</v>
      </c>
      <c r="J46" s="276">
        <f>'Core Indicators'!BN46</f>
        <v>3</v>
      </c>
      <c r="K46" s="276">
        <f t="shared" si="5"/>
        <v>3</v>
      </c>
      <c r="L46" s="213">
        <f t="shared" si="6"/>
        <v>3</v>
      </c>
      <c r="M46" s="277">
        <f t="shared" si="14"/>
        <v>3</v>
      </c>
      <c r="N46" s="278">
        <f>'Core Indicators'!DJ46</f>
        <v>3</v>
      </c>
      <c r="O46" s="278">
        <f>'Core Indicators'!DR46</f>
        <v>3</v>
      </c>
      <c r="P46" s="278">
        <f>'Core Indicators'!DZ46</f>
        <v>3</v>
      </c>
      <c r="Q46" s="278">
        <f>'Core Indicators'!EH46</f>
        <v>3</v>
      </c>
      <c r="R46" s="278">
        <f>'Core Indicators'!EP46</f>
        <v>3</v>
      </c>
      <c r="S46" s="214">
        <f t="shared" si="7"/>
        <v>1.5</v>
      </c>
      <c r="T46" s="214">
        <f t="shared" si="8"/>
        <v>1</v>
      </c>
      <c r="U46" s="276">
        <v>1</v>
      </c>
      <c r="V46" s="276">
        <v>1</v>
      </c>
      <c r="W46" s="276" t="str">
        <f>'Core Indicators'!EX46</f>
        <v>x</v>
      </c>
      <c r="X46" s="214">
        <f t="shared" si="9"/>
        <v>1</v>
      </c>
      <c r="Y46" s="276">
        <v>1</v>
      </c>
      <c r="Z46" s="214">
        <f t="shared" si="10"/>
        <v>2</v>
      </c>
      <c r="AA46" s="276">
        <f>'Core Indicators'!FF46</f>
        <v>2</v>
      </c>
      <c r="AB46" s="276">
        <f t="shared" si="11"/>
        <v>2</v>
      </c>
      <c r="AC46" s="11">
        <f>'Core Indicators'!GD46</f>
        <v>2</v>
      </c>
      <c r="AD46" s="11" t="str">
        <f>'Core Indicators'!GL46</f>
        <v>x</v>
      </c>
      <c r="AE46" s="11" t="str">
        <f>'Core Indicators'!GT46</f>
        <v>x</v>
      </c>
      <c r="AF46" s="11">
        <f>'Core Indicators'!HB46</f>
        <v>2</v>
      </c>
      <c r="AG46" s="11">
        <f t="shared" si="12"/>
        <v>2</v>
      </c>
      <c r="AH46" s="11" t="str">
        <f>'Core Indicators'!HJ46</f>
        <v>x</v>
      </c>
      <c r="AI46" s="11" t="str">
        <f>'Core Indicators'!HR46</f>
        <v>x</v>
      </c>
      <c r="AJ46" s="11" t="str">
        <f t="shared" si="13"/>
        <v>x</v>
      </c>
      <c r="AK46" s="11">
        <f>'Core Indicators'!HZ46</f>
        <v>2</v>
      </c>
      <c r="AL46" s="11">
        <f>'Core Indicators'!IH46</f>
        <v>2</v>
      </c>
      <c r="AM46" s="11" t="str">
        <f>'Core Indicators'!IP46</f>
        <v>x</v>
      </c>
      <c r="AN46" s="11">
        <f t="shared" si="0"/>
        <v>2</v>
      </c>
    </row>
    <row r="47" spans="1:40" x14ac:dyDescent="0.3">
      <c r="A47" s="276" t="str">
        <f>Lists!C:C</f>
        <v>SWZ001</v>
      </c>
      <c r="B47" s="213">
        <f t="shared" si="1"/>
        <v>1.8</v>
      </c>
      <c r="C47" s="214">
        <f t="shared" si="2"/>
        <v>3</v>
      </c>
      <c r="D47" s="277">
        <f t="shared" si="3"/>
        <v>1.8</v>
      </c>
      <c r="E47" s="276">
        <f>'Core Indicators'!R47</f>
        <v>1</v>
      </c>
      <c r="F47" s="276">
        <f>'Core Indicators'!Z47</f>
        <v>2</v>
      </c>
      <c r="G47" s="214">
        <f t="shared" si="4"/>
        <v>1.5</v>
      </c>
      <c r="H47" s="276">
        <f>'Core Indicators'!AH47</f>
        <v>2</v>
      </c>
      <c r="I47" s="276" t="str">
        <f>'Core Indicators'!AP47</f>
        <v>x</v>
      </c>
      <c r="J47" s="276" t="str">
        <f>'Core Indicators'!BN47</f>
        <v>x</v>
      </c>
      <c r="K47" s="276" t="str">
        <f t="shared" si="5"/>
        <v>x</v>
      </c>
      <c r="L47" s="213">
        <f t="shared" si="6"/>
        <v>2</v>
      </c>
      <c r="M47" s="277">
        <f t="shared" si="14"/>
        <v>2</v>
      </c>
      <c r="N47" s="278">
        <f>'Core Indicators'!DJ47</f>
        <v>2</v>
      </c>
      <c r="O47" s="278">
        <f>'Core Indicators'!DR47</f>
        <v>2</v>
      </c>
      <c r="P47" s="278">
        <f>'Core Indicators'!DZ47</f>
        <v>2</v>
      </c>
      <c r="Q47" s="278">
        <f>'Core Indicators'!EH47</f>
        <v>2</v>
      </c>
      <c r="R47" s="278">
        <f>'Core Indicators'!EP47</f>
        <v>2</v>
      </c>
      <c r="S47" s="214">
        <f t="shared" si="7"/>
        <v>1.5</v>
      </c>
      <c r="T47" s="214">
        <f t="shared" si="8"/>
        <v>1</v>
      </c>
      <c r="U47" s="276">
        <v>1</v>
      </c>
      <c r="V47" s="276">
        <v>1</v>
      </c>
      <c r="W47" s="276" t="str">
        <f>'Core Indicators'!EX47</f>
        <v>x</v>
      </c>
      <c r="X47" s="214">
        <f t="shared" si="9"/>
        <v>1</v>
      </c>
      <c r="Y47" s="276">
        <v>1</v>
      </c>
      <c r="Z47" s="214">
        <f t="shared" si="10"/>
        <v>2</v>
      </c>
      <c r="AA47" s="276">
        <f>'Core Indicators'!FF47</f>
        <v>2</v>
      </c>
      <c r="AB47" s="276">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x14ac:dyDescent="0.3">
      <c r="A48" s="276" t="str">
        <f>Lists!C:C</f>
        <v>ETH001</v>
      </c>
      <c r="B48" s="213">
        <f t="shared" si="1"/>
        <v>2</v>
      </c>
      <c r="C48" s="214">
        <f t="shared" si="2"/>
        <v>0</v>
      </c>
      <c r="D48" s="277">
        <f t="shared" si="3"/>
        <v>2.5</v>
      </c>
      <c r="E48" s="276">
        <f>'Core Indicators'!R48</f>
        <v>2</v>
      </c>
      <c r="F48" s="276">
        <f>'Core Indicators'!Z48</f>
        <v>3</v>
      </c>
      <c r="G48" s="214">
        <f t="shared" si="4"/>
        <v>2.5</v>
      </c>
      <c r="H48" s="276">
        <f>'Core Indicators'!AH48</f>
        <v>3</v>
      </c>
      <c r="I48" s="276">
        <f>'Core Indicators'!AP48</f>
        <v>2</v>
      </c>
      <c r="J48" s="276">
        <f>'Core Indicators'!BN48</f>
        <v>2</v>
      </c>
      <c r="K48" s="276">
        <f t="shared" si="5"/>
        <v>2</v>
      </c>
      <c r="L48" s="213">
        <f t="shared" si="6"/>
        <v>2.5</v>
      </c>
      <c r="M48" s="277">
        <f t="shared" si="14"/>
        <v>2</v>
      </c>
      <c r="N48" s="278">
        <f>'Core Indicators'!DJ48</f>
        <v>2</v>
      </c>
      <c r="O48" s="278">
        <f>'Core Indicators'!DR48</f>
        <v>2</v>
      </c>
      <c r="P48" s="278">
        <f>'Core Indicators'!DZ48</f>
        <v>2</v>
      </c>
      <c r="Q48" s="278">
        <f>'Core Indicators'!EH48</f>
        <v>2</v>
      </c>
      <c r="R48" s="278">
        <f>'Core Indicators'!EP48</f>
        <v>2</v>
      </c>
      <c r="S48" s="214">
        <f t="shared" si="7"/>
        <v>1.6</v>
      </c>
      <c r="T48" s="214">
        <f t="shared" si="8"/>
        <v>1.1666666666666667</v>
      </c>
      <c r="U48" s="276">
        <v>1</v>
      </c>
      <c r="V48" s="276">
        <v>1</v>
      </c>
      <c r="W48" s="276">
        <f>'Core Indicators'!EX48</f>
        <v>2</v>
      </c>
      <c r="X48" s="214">
        <f t="shared" si="9"/>
        <v>1.5</v>
      </c>
      <c r="Y48" s="276">
        <v>1</v>
      </c>
      <c r="Z48" s="214">
        <f t="shared" si="10"/>
        <v>2</v>
      </c>
      <c r="AA48" s="276">
        <f>'Core Indicators'!FF48</f>
        <v>2</v>
      </c>
      <c r="AB48" s="276">
        <f t="shared" si="11"/>
        <v>2</v>
      </c>
      <c r="AC48" s="11">
        <f>'Core Indicators'!GD48</f>
        <v>2</v>
      </c>
      <c r="AD48" s="11">
        <f>'Core Indicators'!GL48</f>
        <v>2</v>
      </c>
      <c r="AE48" s="11">
        <f>'Core Indicators'!GT48</f>
        <v>2</v>
      </c>
      <c r="AF48" s="11">
        <f>'Core Indicators'!HB48</f>
        <v>2</v>
      </c>
      <c r="AG48" s="11">
        <f t="shared" si="12"/>
        <v>2</v>
      </c>
      <c r="AH48" s="11">
        <f>'Core Indicators'!HJ48</f>
        <v>2</v>
      </c>
      <c r="AI48" s="11" t="str">
        <f>'Core Indicators'!HR48</f>
        <v>x</v>
      </c>
      <c r="AJ48" s="11">
        <f t="shared" si="13"/>
        <v>2</v>
      </c>
      <c r="AK48" s="11">
        <f>'Core Indicators'!HZ48</f>
        <v>2</v>
      </c>
      <c r="AL48" s="11">
        <f>'Core Indicators'!IH48</f>
        <v>2</v>
      </c>
      <c r="AM48" s="11">
        <f>'Core Indicators'!IP48</f>
        <v>2</v>
      </c>
      <c r="AN48" s="11">
        <f t="shared" si="0"/>
        <v>2</v>
      </c>
    </row>
    <row r="49" spans="1:40" x14ac:dyDescent="0.3">
      <c r="A49" s="276" t="str">
        <f>Lists!C:C</f>
        <v>ETH002</v>
      </c>
      <c r="B49" s="213">
        <f t="shared" si="1"/>
        <v>1.6</v>
      </c>
      <c r="C49" s="214">
        <f t="shared" si="2"/>
        <v>0</v>
      </c>
      <c r="D49" s="277">
        <f t="shared" si="3"/>
        <v>1.6</v>
      </c>
      <c r="E49" s="276">
        <f>'Core Indicators'!R49</f>
        <v>1</v>
      </c>
      <c r="F49" s="276">
        <f>'Core Indicators'!Z49</f>
        <v>3</v>
      </c>
      <c r="G49" s="214">
        <f t="shared" si="4"/>
        <v>2.1</v>
      </c>
      <c r="H49" s="276">
        <f>'Core Indicators'!AH49</f>
        <v>1</v>
      </c>
      <c r="I49" s="276">
        <f>'Core Indicators'!AP49</f>
        <v>1</v>
      </c>
      <c r="J49" s="276">
        <f>'Core Indicators'!BN49</f>
        <v>2</v>
      </c>
      <c r="K49" s="276">
        <f t="shared" si="5"/>
        <v>1.5</v>
      </c>
      <c r="L49" s="213">
        <f t="shared" si="6"/>
        <v>1.3</v>
      </c>
      <c r="M49" s="277">
        <f t="shared" si="14"/>
        <v>2</v>
      </c>
      <c r="N49" s="278">
        <f>'Core Indicators'!DJ49</f>
        <v>2</v>
      </c>
      <c r="O49" s="278">
        <f>'Core Indicators'!DR49</f>
        <v>2</v>
      </c>
      <c r="P49" s="278">
        <f>'Core Indicators'!DZ49</f>
        <v>2</v>
      </c>
      <c r="Q49" s="278">
        <f>'Core Indicators'!EH49</f>
        <v>2</v>
      </c>
      <c r="R49" s="278">
        <f>'Core Indicators'!EP49</f>
        <v>2</v>
      </c>
      <c r="S49" s="214">
        <f t="shared" si="7"/>
        <v>1.1000000000000001</v>
      </c>
      <c r="T49" s="214">
        <f t="shared" si="8"/>
        <v>1.1666666666666667</v>
      </c>
      <c r="U49" s="276">
        <v>1</v>
      </c>
      <c r="V49" s="276">
        <v>1</v>
      </c>
      <c r="W49" s="276">
        <f>'Core Indicators'!EX49</f>
        <v>2</v>
      </c>
      <c r="X49" s="214">
        <f t="shared" si="9"/>
        <v>1.5</v>
      </c>
      <c r="Y49" s="276">
        <v>1</v>
      </c>
      <c r="Z49" s="214">
        <f t="shared" si="10"/>
        <v>1</v>
      </c>
      <c r="AA49" s="276">
        <f>'Core Indicators'!FF49</f>
        <v>1</v>
      </c>
      <c r="AB49" s="276">
        <f t="shared" si="11"/>
        <v>1</v>
      </c>
      <c r="AC49" s="11" t="str">
        <f>'Core Indicators'!GD49</f>
        <v>x</v>
      </c>
      <c r="AD49" s="11" t="str">
        <f>'Core Indicators'!GL49</f>
        <v>x</v>
      </c>
      <c r="AE49" s="11" t="str">
        <f>'Core Indicators'!GT49</f>
        <v>x</v>
      </c>
      <c r="AF49" s="11" t="str">
        <f>'Core Indicators'!HB49</f>
        <v>x</v>
      </c>
      <c r="AG49" s="11" t="str">
        <f t="shared" si="12"/>
        <v>x</v>
      </c>
      <c r="AH49" s="11" t="str">
        <f>'Core Indicators'!HJ49</f>
        <v>x</v>
      </c>
      <c r="AI49" s="11" t="str">
        <f>'Core Indicators'!HR49</f>
        <v>x</v>
      </c>
      <c r="AJ49" s="11" t="str">
        <f t="shared" si="13"/>
        <v>x</v>
      </c>
      <c r="AK49" s="11" t="str">
        <f>'Core Indicators'!HZ49</f>
        <v>x</v>
      </c>
      <c r="AL49" s="11" t="str">
        <f>'Core Indicators'!IH49</f>
        <v>x</v>
      </c>
      <c r="AM49" s="11">
        <f>'Core Indicators'!IP49</f>
        <v>1</v>
      </c>
      <c r="AN49" s="11">
        <f t="shared" si="0"/>
        <v>1</v>
      </c>
    </row>
    <row r="50" spans="1:40" x14ac:dyDescent="0.3">
      <c r="A50" s="276" t="str">
        <f>Lists!C:C</f>
        <v>ETH003</v>
      </c>
      <c r="B50" s="213">
        <f t="shared" si="1"/>
        <v>1.9</v>
      </c>
      <c r="C50" s="214">
        <f t="shared" si="2"/>
        <v>1</v>
      </c>
      <c r="D50" s="277">
        <f t="shared" si="3"/>
        <v>2</v>
      </c>
      <c r="E50" s="276">
        <f>'Core Indicators'!R50</f>
        <v>2</v>
      </c>
      <c r="F50" s="276">
        <f>'Core Indicators'!Z50</f>
        <v>2</v>
      </c>
      <c r="G50" s="214">
        <f t="shared" si="4"/>
        <v>2</v>
      </c>
      <c r="H50" s="276">
        <f>'Core Indicators'!AH50</f>
        <v>2</v>
      </c>
      <c r="I50" s="276">
        <f>'Core Indicators'!AP50</f>
        <v>2</v>
      </c>
      <c r="J50" s="276" t="str">
        <f>'Core Indicators'!BN50</f>
        <v>x</v>
      </c>
      <c r="K50" s="276">
        <f t="shared" si="5"/>
        <v>2</v>
      </c>
      <c r="L50" s="213">
        <f t="shared" si="6"/>
        <v>2</v>
      </c>
      <c r="M50" s="277">
        <f t="shared" si="14"/>
        <v>2</v>
      </c>
      <c r="N50" s="278">
        <f>'Core Indicators'!DJ50</f>
        <v>2</v>
      </c>
      <c r="O50" s="278">
        <f>'Core Indicators'!DR50</f>
        <v>2</v>
      </c>
      <c r="P50" s="278">
        <f>'Core Indicators'!DZ50</f>
        <v>2</v>
      </c>
      <c r="Q50" s="278">
        <f>'Core Indicators'!EH50</f>
        <v>2</v>
      </c>
      <c r="R50" s="278">
        <f>'Core Indicators'!EP50</f>
        <v>2</v>
      </c>
      <c r="S50" s="214">
        <f t="shared" si="7"/>
        <v>1.6</v>
      </c>
      <c r="T50" s="214">
        <f t="shared" si="8"/>
        <v>1.1666666666666667</v>
      </c>
      <c r="U50" s="276">
        <v>1</v>
      </c>
      <c r="V50" s="276">
        <v>1</v>
      </c>
      <c r="W50" s="276">
        <f>'Core Indicators'!EX50</f>
        <v>2</v>
      </c>
      <c r="X50" s="214">
        <f t="shared" si="9"/>
        <v>1.5</v>
      </c>
      <c r="Y50" s="276">
        <v>1</v>
      </c>
      <c r="Z50" s="214">
        <f t="shared" si="10"/>
        <v>2</v>
      </c>
      <c r="AA50" s="276">
        <f>'Core Indicators'!FF50</f>
        <v>2</v>
      </c>
      <c r="AB50" s="276">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t="str">
        <f>'Core Indicators'!IP50</f>
        <v>x</v>
      </c>
      <c r="AN50" s="11">
        <f t="shared" si="0"/>
        <v>2</v>
      </c>
    </row>
    <row r="51" spans="1:40" x14ac:dyDescent="0.3">
      <c r="A51" s="276" t="str">
        <f>Lists!C:C</f>
        <v>GRC002</v>
      </c>
      <c r="B51" s="213">
        <f t="shared" si="1"/>
        <v>1.7</v>
      </c>
      <c r="C51" s="214">
        <f t="shared" si="2"/>
        <v>0</v>
      </c>
      <c r="D51" s="277">
        <f t="shared" si="3"/>
        <v>1.4</v>
      </c>
      <c r="E51" s="276">
        <f>'Core Indicators'!R51</f>
        <v>2</v>
      </c>
      <c r="F51" s="276">
        <f>'Core Indicators'!Z51</f>
        <v>1</v>
      </c>
      <c r="G51" s="214">
        <f t="shared" si="4"/>
        <v>1.5</v>
      </c>
      <c r="H51" s="276">
        <f>'Core Indicators'!AH51</f>
        <v>1</v>
      </c>
      <c r="I51" s="276">
        <f>'Core Indicators'!AP51</f>
        <v>1</v>
      </c>
      <c r="J51" s="276">
        <f>'Core Indicators'!BN51</f>
        <v>2</v>
      </c>
      <c r="K51" s="276">
        <f t="shared" si="5"/>
        <v>1.5</v>
      </c>
      <c r="L51" s="213">
        <f t="shared" si="6"/>
        <v>1.3</v>
      </c>
      <c r="M51" s="277">
        <f t="shared" si="14"/>
        <v>2</v>
      </c>
      <c r="N51" s="278">
        <f>'Core Indicators'!DJ51</f>
        <v>2</v>
      </c>
      <c r="O51" s="278">
        <f>'Core Indicators'!DR51</f>
        <v>2</v>
      </c>
      <c r="P51" s="278">
        <f>'Core Indicators'!DZ51</f>
        <v>2</v>
      </c>
      <c r="Q51" s="278">
        <f>'Core Indicators'!EH51</f>
        <v>2</v>
      </c>
      <c r="R51" s="278">
        <f>'Core Indicators'!EP51</f>
        <v>2</v>
      </c>
      <c r="S51" s="214">
        <f t="shared" si="7"/>
        <v>1.6</v>
      </c>
      <c r="T51" s="214">
        <f t="shared" si="8"/>
        <v>1.1666666666666667</v>
      </c>
      <c r="U51" s="276">
        <v>1</v>
      </c>
      <c r="V51" s="276">
        <v>1</v>
      </c>
      <c r="W51" s="276">
        <f>'Core Indicators'!EX51</f>
        <v>2</v>
      </c>
      <c r="X51" s="214">
        <f t="shared" si="9"/>
        <v>1.5</v>
      </c>
      <c r="Y51" s="276">
        <v>1</v>
      </c>
      <c r="Z51" s="214">
        <f t="shared" si="10"/>
        <v>2</v>
      </c>
      <c r="AA51" s="276">
        <f>'Core Indicators'!FF51</f>
        <v>2</v>
      </c>
      <c r="AB51" s="276">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x14ac:dyDescent="0.3">
      <c r="A52" s="276" t="str">
        <f>Lists!C:C</f>
        <v>GTM001</v>
      </c>
      <c r="B52" s="213">
        <f t="shared" si="1"/>
        <v>1.6</v>
      </c>
      <c r="C52" s="214">
        <f t="shared" si="2"/>
        <v>0</v>
      </c>
      <c r="D52" s="277">
        <f t="shared" si="3"/>
        <v>1.3</v>
      </c>
      <c r="E52" s="276">
        <f>'Core Indicators'!R52</f>
        <v>1</v>
      </c>
      <c r="F52" s="276">
        <f>'Core Indicators'!Z52</f>
        <v>1</v>
      </c>
      <c r="G52" s="214">
        <f t="shared" si="4"/>
        <v>1</v>
      </c>
      <c r="H52" s="276">
        <f>'Core Indicators'!AH52</f>
        <v>1</v>
      </c>
      <c r="I52" s="276">
        <f>'Core Indicators'!AP52</f>
        <v>2</v>
      </c>
      <c r="J52" s="276">
        <f>'Core Indicators'!BN52</f>
        <v>2</v>
      </c>
      <c r="K52" s="276">
        <f t="shared" si="5"/>
        <v>2</v>
      </c>
      <c r="L52" s="213">
        <f t="shared" si="6"/>
        <v>1.5</v>
      </c>
      <c r="M52" s="277">
        <f t="shared" si="14"/>
        <v>2</v>
      </c>
      <c r="N52" s="278">
        <f>'Core Indicators'!DJ52</f>
        <v>2</v>
      </c>
      <c r="O52" s="278">
        <f>'Core Indicators'!DR52</f>
        <v>2</v>
      </c>
      <c r="P52" s="278">
        <f>'Core Indicators'!DZ52</f>
        <v>2</v>
      </c>
      <c r="Q52" s="278">
        <f>'Core Indicators'!EH52</f>
        <v>2</v>
      </c>
      <c r="R52" s="278">
        <f>'Core Indicators'!EP52</f>
        <v>2</v>
      </c>
      <c r="S52" s="214">
        <f t="shared" si="7"/>
        <v>1.3</v>
      </c>
      <c r="T52" s="214">
        <f t="shared" si="8"/>
        <v>1.1666666666666667</v>
      </c>
      <c r="U52" s="276">
        <v>1</v>
      </c>
      <c r="V52" s="276">
        <v>1</v>
      </c>
      <c r="W52" s="276">
        <f>'Core Indicators'!EX52</f>
        <v>2</v>
      </c>
      <c r="X52" s="214">
        <f t="shared" si="9"/>
        <v>1.5</v>
      </c>
      <c r="Y52" s="276">
        <v>1</v>
      </c>
      <c r="Z52" s="214">
        <f t="shared" si="10"/>
        <v>1.5</v>
      </c>
      <c r="AA52" s="276">
        <f>'Core Indicators'!FF52</f>
        <v>2</v>
      </c>
      <c r="AB52" s="276">
        <f t="shared" si="11"/>
        <v>1</v>
      </c>
      <c r="AC52" s="11">
        <f>'Core Indicators'!GD52</f>
        <v>1</v>
      </c>
      <c r="AD52" s="11">
        <f>'Core Indicators'!GL52</f>
        <v>1</v>
      </c>
      <c r="AE52" s="11" t="b">
        <f>'Core Indicators'!GT52</f>
        <v>0</v>
      </c>
      <c r="AF52" s="11">
        <f>'Core Indicators'!HB52</f>
        <v>1</v>
      </c>
      <c r="AG52" s="11">
        <f t="shared" si="12"/>
        <v>1</v>
      </c>
      <c r="AH52" s="11">
        <f>'Core Indicators'!HJ52</f>
        <v>1</v>
      </c>
      <c r="AI52" s="11">
        <f>'Core Indicators'!HR52</f>
        <v>1</v>
      </c>
      <c r="AJ52" s="11">
        <f t="shared" si="13"/>
        <v>1</v>
      </c>
      <c r="AK52" s="11">
        <f>'Core Indicators'!HZ52</f>
        <v>1</v>
      </c>
      <c r="AL52" s="11">
        <f>'Core Indicators'!IH52</f>
        <v>1</v>
      </c>
      <c r="AM52" s="11">
        <f>'Core Indicators'!IP52</f>
        <v>1</v>
      </c>
      <c r="AN52" s="11">
        <f t="shared" si="0"/>
        <v>1</v>
      </c>
    </row>
    <row r="53" spans="1:40" x14ac:dyDescent="0.3">
      <c r="A53" s="276" t="str">
        <f>Lists!C:C</f>
        <v>HTI001</v>
      </c>
      <c r="B53" s="213">
        <f t="shared" si="1"/>
        <v>1.8</v>
      </c>
      <c r="C53" s="214">
        <f t="shared" si="2"/>
        <v>0</v>
      </c>
      <c r="D53" s="277">
        <f t="shared" si="3"/>
        <v>2.1</v>
      </c>
      <c r="E53" s="276">
        <f>'Core Indicators'!R53</f>
        <v>1</v>
      </c>
      <c r="F53" s="276">
        <f>'Core Indicators'!Z53</f>
        <v>1</v>
      </c>
      <c r="G53" s="214">
        <f t="shared" si="4"/>
        <v>1</v>
      </c>
      <c r="H53" s="276">
        <f>'Core Indicators'!AH53</f>
        <v>2</v>
      </c>
      <c r="I53" s="276">
        <f>'Core Indicators'!AP53</f>
        <v>3</v>
      </c>
      <c r="J53" s="276">
        <f>'Core Indicators'!BN53</f>
        <v>3</v>
      </c>
      <c r="K53" s="276">
        <f t="shared" si="5"/>
        <v>3</v>
      </c>
      <c r="L53" s="213">
        <f t="shared" si="6"/>
        <v>2.5</v>
      </c>
      <c r="M53" s="277">
        <f t="shared" si="14"/>
        <v>2</v>
      </c>
      <c r="N53" s="278">
        <f>'Core Indicators'!DJ53</f>
        <v>2</v>
      </c>
      <c r="O53" s="278">
        <f>'Core Indicators'!DR53</f>
        <v>2</v>
      </c>
      <c r="P53" s="278">
        <f>'Core Indicators'!DZ53</f>
        <v>2</v>
      </c>
      <c r="Q53" s="278">
        <f>'Core Indicators'!EH53</f>
        <v>2</v>
      </c>
      <c r="R53" s="278">
        <f>'Core Indicators'!EP53</f>
        <v>2</v>
      </c>
      <c r="S53" s="214">
        <f t="shared" si="7"/>
        <v>1.4</v>
      </c>
      <c r="T53" s="214">
        <f t="shared" si="8"/>
        <v>1.3333333333333333</v>
      </c>
      <c r="U53" s="276">
        <v>1</v>
      </c>
      <c r="V53" s="276">
        <v>1</v>
      </c>
      <c r="W53" s="276">
        <f>'Core Indicators'!EX53</f>
        <v>3</v>
      </c>
      <c r="X53" s="214">
        <f t="shared" si="9"/>
        <v>2</v>
      </c>
      <c r="Y53" s="276">
        <v>1</v>
      </c>
      <c r="Z53" s="214">
        <f t="shared" si="10"/>
        <v>1.5</v>
      </c>
      <c r="AA53" s="276">
        <f>'Core Indicators'!FF53</f>
        <v>1</v>
      </c>
      <c r="AB53" s="276">
        <f t="shared" si="11"/>
        <v>2</v>
      </c>
      <c r="AC53" s="11">
        <f>'Core Indicators'!GD53</f>
        <v>2</v>
      </c>
      <c r="AD53" s="11">
        <f>'Core Indicators'!GL53</f>
        <v>2</v>
      </c>
      <c r="AE53" s="11">
        <f>'Core Indicators'!GT53</f>
        <v>2</v>
      </c>
      <c r="AF53" s="11">
        <f>'Core Indicators'!HB53</f>
        <v>2</v>
      </c>
      <c r="AG53" s="11">
        <f t="shared" si="12"/>
        <v>2</v>
      </c>
      <c r="AH53" s="11">
        <f>'Core Indicators'!HJ53</f>
        <v>2</v>
      </c>
      <c r="AI53" s="11">
        <f>'Core Indicators'!HR53</f>
        <v>2</v>
      </c>
      <c r="AJ53" s="11">
        <f t="shared" si="13"/>
        <v>2</v>
      </c>
      <c r="AK53" s="11">
        <f>'Core Indicators'!HZ53</f>
        <v>2</v>
      </c>
      <c r="AL53" s="11">
        <f>'Core Indicators'!IH53</f>
        <v>2</v>
      </c>
      <c r="AM53" s="11">
        <f>'Core Indicators'!IP53</f>
        <v>2</v>
      </c>
      <c r="AN53" s="11">
        <f t="shared" si="0"/>
        <v>2</v>
      </c>
    </row>
    <row r="54" spans="1:40" x14ac:dyDescent="0.3">
      <c r="A54" s="276" t="str">
        <f>Lists!C:C</f>
        <v>HND001</v>
      </c>
      <c r="B54" s="213">
        <f t="shared" si="1"/>
        <v>1.6</v>
      </c>
      <c r="C54" s="214">
        <f t="shared" si="2"/>
        <v>0</v>
      </c>
      <c r="D54" s="277">
        <f t="shared" si="3"/>
        <v>1.3</v>
      </c>
      <c r="E54" s="276">
        <f>'Core Indicators'!R54</f>
        <v>1</v>
      </c>
      <c r="F54" s="276">
        <f>'Core Indicators'!Z54</f>
        <v>1</v>
      </c>
      <c r="G54" s="214">
        <f t="shared" si="4"/>
        <v>1</v>
      </c>
      <c r="H54" s="276">
        <f>'Core Indicators'!AH54</f>
        <v>1</v>
      </c>
      <c r="I54" s="276">
        <f>'Core Indicators'!AP54</f>
        <v>2</v>
      </c>
      <c r="J54" s="276">
        <f>'Core Indicators'!BN54</f>
        <v>2</v>
      </c>
      <c r="K54" s="276">
        <f t="shared" si="5"/>
        <v>2</v>
      </c>
      <c r="L54" s="213">
        <f t="shared" si="6"/>
        <v>1.5</v>
      </c>
      <c r="M54" s="277">
        <f t="shared" si="14"/>
        <v>2</v>
      </c>
      <c r="N54" s="278">
        <f>'Core Indicators'!DJ54</f>
        <v>2</v>
      </c>
      <c r="O54" s="278">
        <f>'Core Indicators'!DR54</f>
        <v>2</v>
      </c>
      <c r="P54" s="278">
        <f>'Core Indicators'!DZ54</f>
        <v>2</v>
      </c>
      <c r="Q54" s="278">
        <f>'Core Indicators'!EH54</f>
        <v>2</v>
      </c>
      <c r="R54" s="278">
        <f>'Core Indicators'!EP54</f>
        <v>2</v>
      </c>
      <c r="S54" s="214">
        <f t="shared" si="7"/>
        <v>1.3</v>
      </c>
      <c r="T54" s="214">
        <f t="shared" si="8"/>
        <v>1.1666666666666667</v>
      </c>
      <c r="U54" s="276">
        <v>1</v>
      </c>
      <c r="V54" s="276">
        <v>1</v>
      </c>
      <c r="W54" s="276">
        <f>'Core Indicators'!EX54</f>
        <v>2</v>
      </c>
      <c r="X54" s="214">
        <f t="shared" si="9"/>
        <v>1.5</v>
      </c>
      <c r="Y54" s="276">
        <v>1</v>
      </c>
      <c r="Z54" s="214">
        <f t="shared" si="10"/>
        <v>1.5</v>
      </c>
      <c r="AA54" s="276">
        <f>'Core Indicators'!FF54</f>
        <v>2</v>
      </c>
      <c r="AB54" s="276">
        <f t="shared" si="11"/>
        <v>1</v>
      </c>
      <c r="AC54" s="11">
        <f>'Core Indicators'!GD54</f>
        <v>1</v>
      </c>
      <c r="AD54" s="11">
        <f>'Core Indicators'!GL54</f>
        <v>1</v>
      </c>
      <c r="AE54" s="11">
        <f>'Core Indicators'!GT54</f>
        <v>1</v>
      </c>
      <c r="AF54" s="11">
        <f>'Core Indicators'!HB54</f>
        <v>1</v>
      </c>
      <c r="AG54" s="11">
        <f t="shared" si="12"/>
        <v>1</v>
      </c>
      <c r="AH54" s="11">
        <f>'Core Indicators'!HJ54</f>
        <v>1</v>
      </c>
      <c r="AI54" s="11">
        <f>'Core Indicators'!HR54</f>
        <v>1</v>
      </c>
      <c r="AJ54" s="11">
        <f t="shared" si="13"/>
        <v>1</v>
      </c>
      <c r="AK54" s="11">
        <f>'Core Indicators'!HZ54</f>
        <v>1</v>
      </c>
      <c r="AL54" s="11">
        <f>'Core Indicators'!IH54</f>
        <v>1</v>
      </c>
      <c r="AM54" s="11">
        <f>'Core Indicators'!IP54</f>
        <v>1</v>
      </c>
      <c r="AN54" s="11">
        <f t="shared" si="0"/>
        <v>1</v>
      </c>
    </row>
    <row r="55" spans="1:40" x14ac:dyDescent="0.3">
      <c r="A55" s="276" t="str">
        <f>Lists!C:C</f>
        <v>IND001</v>
      </c>
      <c r="B55" s="213">
        <f t="shared" si="1"/>
        <v>2.5</v>
      </c>
      <c r="C55" s="214">
        <f t="shared" si="2"/>
        <v>1</v>
      </c>
      <c r="D55" s="277">
        <f t="shared" si="3"/>
        <v>2.7</v>
      </c>
      <c r="E55" s="276">
        <f>'Core Indicators'!R55</f>
        <v>2</v>
      </c>
      <c r="F55" s="276">
        <f>'Core Indicators'!Z55</f>
        <v>2</v>
      </c>
      <c r="G55" s="214">
        <f t="shared" si="4"/>
        <v>2</v>
      </c>
      <c r="H55" s="276">
        <f>'Core Indicators'!AH55</f>
        <v>3</v>
      </c>
      <c r="I55" s="276">
        <f>'Core Indicators'!AP55</f>
        <v>3</v>
      </c>
      <c r="J55" s="276">
        <f>'Core Indicators'!BN55</f>
        <v>3</v>
      </c>
      <c r="K55" s="276">
        <f t="shared" si="5"/>
        <v>3</v>
      </c>
      <c r="L55" s="213">
        <f t="shared" si="6"/>
        <v>3</v>
      </c>
      <c r="M55" s="277">
        <f t="shared" si="14"/>
        <v>3</v>
      </c>
      <c r="N55" s="278">
        <f>'Core Indicators'!DJ55</f>
        <v>3</v>
      </c>
      <c r="O55" s="278">
        <f>'Core Indicators'!DR55</f>
        <v>3</v>
      </c>
      <c r="P55" s="278">
        <f>'Core Indicators'!DZ55</f>
        <v>3</v>
      </c>
      <c r="Q55" s="278">
        <f>'Core Indicators'!EH55</f>
        <v>3</v>
      </c>
      <c r="R55" s="278">
        <f>'Core Indicators'!EP55</f>
        <v>3</v>
      </c>
      <c r="S55" s="214">
        <f t="shared" si="7"/>
        <v>1.7</v>
      </c>
      <c r="T55" s="214">
        <f t="shared" si="8"/>
        <v>1.3333333333333333</v>
      </c>
      <c r="U55" s="276">
        <v>1</v>
      </c>
      <c r="V55" s="276">
        <v>1</v>
      </c>
      <c r="W55" s="276">
        <f>'Core Indicators'!EX55</f>
        <v>3</v>
      </c>
      <c r="X55" s="214">
        <f t="shared" si="9"/>
        <v>2</v>
      </c>
      <c r="Y55" s="276">
        <v>1</v>
      </c>
      <c r="Z55" s="214">
        <f t="shared" si="10"/>
        <v>2</v>
      </c>
      <c r="AA55" s="276" t="str">
        <f>'Core Indicators'!FF55</f>
        <v>x</v>
      </c>
      <c r="AB55" s="276">
        <f t="shared" si="11"/>
        <v>2</v>
      </c>
      <c r="AC55" s="11" t="str">
        <f>'Core Indicators'!GD55</f>
        <v>x</v>
      </c>
      <c r="AD55" s="11">
        <f>'Core Indicators'!GL55</f>
        <v>2</v>
      </c>
      <c r="AE55" s="11" t="str">
        <f>'Core Indicators'!GT55</f>
        <v>x</v>
      </c>
      <c r="AF55" s="11" t="str">
        <f>'Core Indicators'!HB55</f>
        <v>x</v>
      </c>
      <c r="AG55" s="11">
        <f t="shared" si="12"/>
        <v>2</v>
      </c>
      <c r="AH55" s="11" t="str">
        <f>'Core Indicators'!HJ55</f>
        <v>x</v>
      </c>
      <c r="AI55" s="11" t="str">
        <f>'Core Indicators'!HR55</f>
        <v>x</v>
      </c>
      <c r="AJ55" s="11" t="str">
        <f t="shared" si="13"/>
        <v>x</v>
      </c>
      <c r="AK55" s="11" t="str">
        <f>'Core Indicators'!HZ55</f>
        <v>x</v>
      </c>
      <c r="AL55" s="11" t="str">
        <f>'Core Indicators'!IH55</f>
        <v>x</v>
      </c>
      <c r="AM55" s="11" t="str">
        <f>'Core Indicators'!IP55</f>
        <v>x</v>
      </c>
      <c r="AN55" s="11" t="str">
        <f t="shared" si="0"/>
        <v>x</v>
      </c>
    </row>
    <row r="56" spans="1:40" x14ac:dyDescent="0.3">
      <c r="A56" s="276" t="str">
        <f>Lists!C:C</f>
        <v>IND002</v>
      </c>
      <c r="B56" s="213">
        <f t="shared" si="1"/>
        <v>2.5</v>
      </c>
      <c r="C56" s="214">
        <f t="shared" si="2"/>
        <v>3</v>
      </c>
      <c r="D56" s="277">
        <f t="shared" si="3"/>
        <v>2.6</v>
      </c>
      <c r="E56" s="276">
        <f>'Core Indicators'!R56</f>
        <v>1</v>
      </c>
      <c r="F56" s="276">
        <f>'Core Indicators'!Z56</f>
        <v>2</v>
      </c>
      <c r="G56" s="214">
        <f t="shared" si="4"/>
        <v>1.5</v>
      </c>
      <c r="H56" s="276" t="str">
        <f>'Core Indicators'!AH56</f>
        <v>x</v>
      </c>
      <c r="I56" s="276" t="str">
        <f>'Core Indicators'!AP56</f>
        <v>x</v>
      </c>
      <c r="J56" s="276">
        <f>'Core Indicators'!BN56</f>
        <v>3</v>
      </c>
      <c r="K56" s="276">
        <f t="shared" si="5"/>
        <v>3</v>
      </c>
      <c r="L56" s="213">
        <f t="shared" si="6"/>
        <v>3</v>
      </c>
      <c r="M56" s="277">
        <f t="shared" si="14"/>
        <v>2.8</v>
      </c>
      <c r="N56" s="278">
        <f>'Core Indicators'!DJ56</f>
        <v>3</v>
      </c>
      <c r="O56" s="278">
        <f>'Core Indicators'!DR56</f>
        <v>3</v>
      </c>
      <c r="P56" s="278">
        <f>'Core Indicators'!DZ56</f>
        <v>3</v>
      </c>
      <c r="Q56" s="278">
        <f>'Core Indicators'!EH56</f>
        <v>3</v>
      </c>
      <c r="R56" s="278">
        <f>'Core Indicators'!EP56</f>
        <v>2</v>
      </c>
      <c r="S56" s="214">
        <f t="shared" si="7"/>
        <v>2.1</v>
      </c>
      <c r="T56" s="214">
        <f t="shared" si="8"/>
        <v>1.3333333333333333</v>
      </c>
      <c r="U56" s="276">
        <v>1</v>
      </c>
      <c r="V56" s="276">
        <v>1</v>
      </c>
      <c r="W56" s="276">
        <f>'Core Indicators'!EX56</f>
        <v>3</v>
      </c>
      <c r="X56" s="214">
        <f t="shared" si="9"/>
        <v>2</v>
      </c>
      <c r="Y56" s="276">
        <v>1</v>
      </c>
      <c r="Z56" s="214">
        <f t="shared" si="10"/>
        <v>2.7222222222222219</v>
      </c>
      <c r="AA56" s="276" t="str">
        <f>'Core Indicators'!FF56</f>
        <v>x</v>
      </c>
      <c r="AB56" s="276">
        <f t="shared" si="11"/>
        <v>2.7222222222222219</v>
      </c>
      <c r="AC56" s="11">
        <f>'Core Indicators'!GD56</f>
        <v>1</v>
      </c>
      <c r="AD56" s="11">
        <f>'Core Indicators'!GL56</f>
        <v>3</v>
      </c>
      <c r="AE56" s="11">
        <f>'Core Indicators'!GT56</f>
        <v>3</v>
      </c>
      <c r="AF56" s="11">
        <f>'Core Indicators'!HB56</f>
        <v>3</v>
      </c>
      <c r="AG56" s="11">
        <f t="shared" si="12"/>
        <v>2.5</v>
      </c>
      <c r="AH56" s="11">
        <f>'Core Indicators'!HJ56</f>
        <v>3</v>
      </c>
      <c r="AI56" s="11">
        <f>'Core Indicators'!HR56</f>
        <v>3</v>
      </c>
      <c r="AJ56" s="11">
        <f t="shared" si="13"/>
        <v>3</v>
      </c>
      <c r="AK56" s="11">
        <f>'Core Indicators'!HZ56</f>
        <v>3</v>
      </c>
      <c r="AL56" s="11">
        <f>'Core Indicators'!IH56</f>
        <v>3</v>
      </c>
      <c r="AM56" s="11">
        <f>'Core Indicators'!IP56</f>
        <v>2</v>
      </c>
      <c r="AN56" s="11">
        <f t="shared" si="0"/>
        <v>2.6666666666666665</v>
      </c>
    </row>
    <row r="57" spans="1:40" x14ac:dyDescent="0.3">
      <c r="A57" s="276" t="str">
        <f>Lists!C:C</f>
        <v>IND003</v>
      </c>
      <c r="B57" s="213">
        <f t="shared" si="1"/>
        <v>2.2999999999999998</v>
      </c>
      <c r="C57" s="214">
        <f t="shared" si="2"/>
        <v>3</v>
      </c>
      <c r="D57" s="277">
        <f t="shared" si="3"/>
        <v>2.7</v>
      </c>
      <c r="E57" s="276">
        <f>'Core Indicators'!R57</f>
        <v>3</v>
      </c>
      <c r="F57" s="276">
        <f>'Core Indicators'!Z57</f>
        <v>2</v>
      </c>
      <c r="G57" s="214">
        <f t="shared" si="4"/>
        <v>2.5</v>
      </c>
      <c r="H57" s="276">
        <f>'Core Indicators'!AH57</f>
        <v>3</v>
      </c>
      <c r="I57" s="276">
        <f>'Core Indicators'!AP57</f>
        <v>3</v>
      </c>
      <c r="J57" s="276">
        <f>'Core Indicators'!BN57</f>
        <v>2</v>
      </c>
      <c r="K57" s="276">
        <f t="shared" si="5"/>
        <v>2.5</v>
      </c>
      <c r="L57" s="213">
        <f t="shared" si="6"/>
        <v>2.8</v>
      </c>
      <c r="M57" s="277">
        <f t="shared" si="14"/>
        <v>2.8</v>
      </c>
      <c r="N57" s="278">
        <f>'Core Indicators'!DJ57</f>
        <v>2</v>
      </c>
      <c r="O57" s="278">
        <f>'Core Indicators'!DR57</f>
        <v>3</v>
      </c>
      <c r="P57" s="278">
        <f>'Core Indicators'!DZ57</f>
        <v>3</v>
      </c>
      <c r="Q57" s="278">
        <f>'Core Indicators'!EH57</f>
        <v>3</v>
      </c>
      <c r="R57" s="278">
        <f>'Core Indicators'!EP57</f>
        <v>3</v>
      </c>
      <c r="S57" s="214">
        <f t="shared" si="7"/>
        <v>1.3333333333333333</v>
      </c>
      <c r="T57" s="214">
        <f t="shared" si="8"/>
        <v>1.3333333333333333</v>
      </c>
      <c r="U57" s="276">
        <v>1</v>
      </c>
      <c r="V57" s="276">
        <v>1</v>
      </c>
      <c r="W57" s="276">
        <f>'Core Indicators'!EX57</f>
        <v>3</v>
      </c>
      <c r="X57" s="214">
        <f t="shared" si="9"/>
        <v>2</v>
      </c>
      <c r="Y57" s="276">
        <v>1</v>
      </c>
      <c r="Z57" s="214" t="str">
        <f t="shared" si="10"/>
        <v>x</v>
      </c>
      <c r="AA57" s="276" t="str">
        <f>'Core Indicators'!FF57</f>
        <v>x</v>
      </c>
      <c r="AB57" s="276" t="str">
        <f t="shared" si="11"/>
        <v>x</v>
      </c>
      <c r="AC57" s="11" t="str">
        <f>'Core Indicators'!GD57</f>
        <v>x</v>
      </c>
      <c r="AD57" s="11" t="str">
        <f>'Core Indicators'!GL57</f>
        <v>x</v>
      </c>
      <c r="AE57" s="11" t="str">
        <f>'Core Indicators'!GT57</f>
        <v>x</v>
      </c>
      <c r="AF57" s="11" t="str">
        <f>'Core Indicators'!HB57</f>
        <v>x</v>
      </c>
      <c r="AG57" s="11" t="str">
        <f t="shared" si="12"/>
        <v>x</v>
      </c>
      <c r="AH57" s="11" t="str">
        <f>'Core Indicators'!HJ57</f>
        <v>x</v>
      </c>
      <c r="AI57" s="11" t="str">
        <f>'Core Indicators'!HR57</f>
        <v>x</v>
      </c>
      <c r="AJ57" s="11" t="str">
        <f t="shared" si="13"/>
        <v>x</v>
      </c>
      <c r="AK57" s="11" t="str">
        <f>'Core Indicators'!HZ57</f>
        <v>x</v>
      </c>
      <c r="AL57" s="11" t="str">
        <f>'Core Indicators'!IH57</f>
        <v>x</v>
      </c>
      <c r="AM57" s="11" t="str">
        <f>'Core Indicators'!IP57</f>
        <v>x</v>
      </c>
      <c r="AN57" s="11" t="str">
        <f t="shared" si="0"/>
        <v>x</v>
      </c>
    </row>
    <row r="58" spans="1:40" x14ac:dyDescent="0.3">
      <c r="A58" s="276" t="str">
        <f>Lists!C:C</f>
        <v>IND005</v>
      </c>
      <c r="B58" s="213">
        <f t="shared" si="1"/>
        <v>2.5</v>
      </c>
      <c r="C58" s="214">
        <f t="shared" si="2"/>
        <v>0</v>
      </c>
      <c r="D58" s="277">
        <f t="shared" si="3"/>
        <v>2.6</v>
      </c>
      <c r="E58" s="276">
        <f>'Core Indicators'!R58</f>
        <v>2</v>
      </c>
      <c r="F58" s="276">
        <f>'Core Indicators'!Z58</f>
        <v>2</v>
      </c>
      <c r="G58" s="214">
        <f t="shared" si="4"/>
        <v>2</v>
      </c>
      <c r="H58" s="276">
        <f>'Core Indicators'!AH58</f>
        <v>3</v>
      </c>
      <c r="I58" s="276">
        <f>'Core Indicators'!AP58</f>
        <v>3</v>
      </c>
      <c r="J58" s="276">
        <f>'Core Indicators'!BN58</f>
        <v>2</v>
      </c>
      <c r="K58" s="276">
        <f t="shared" si="5"/>
        <v>2.5</v>
      </c>
      <c r="L58" s="213">
        <f t="shared" si="6"/>
        <v>2.8</v>
      </c>
      <c r="M58" s="277">
        <f t="shared" si="14"/>
        <v>3</v>
      </c>
      <c r="N58" s="278">
        <f>'Core Indicators'!DJ58</f>
        <v>3</v>
      </c>
      <c r="O58" s="278">
        <f>'Core Indicators'!DR58</f>
        <v>3</v>
      </c>
      <c r="P58" s="278">
        <f>'Core Indicators'!DZ58</f>
        <v>3</v>
      </c>
      <c r="Q58" s="278">
        <f>'Core Indicators'!EH58</f>
        <v>3</v>
      </c>
      <c r="R58" s="278">
        <f>'Core Indicators'!EP58</f>
        <v>3</v>
      </c>
      <c r="S58" s="214">
        <f t="shared" si="7"/>
        <v>1.7</v>
      </c>
      <c r="T58" s="214">
        <f t="shared" si="8"/>
        <v>1.3333333333333333</v>
      </c>
      <c r="U58" s="276">
        <v>1</v>
      </c>
      <c r="V58" s="276">
        <v>1</v>
      </c>
      <c r="W58" s="276">
        <f>'Core Indicators'!EX58</f>
        <v>3</v>
      </c>
      <c r="X58" s="214">
        <f t="shared" si="9"/>
        <v>2</v>
      </c>
      <c r="Y58" s="276">
        <v>1</v>
      </c>
      <c r="Z58" s="214">
        <f t="shared" si="10"/>
        <v>2</v>
      </c>
      <c r="AA58" s="276">
        <f>'Core Indicators'!FF58</f>
        <v>2</v>
      </c>
      <c r="AB58" s="276">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76" t="str">
        <f>Lists!C:C</f>
        <v>REG003</v>
      </c>
      <c r="B59" s="213" t="str">
        <f t="shared" si="1"/>
        <v>x</v>
      </c>
      <c r="C59" s="214">
        <f t="shared" si="2"/>
        <v>2</v>
      </c>
      <c r="D59" s="277">
        <f t="shared" si="3"/>
        <v>2.2999999999999998</v>
      </c>
      <c r="E59" s="276">
        <f>'Core Indicators'!R59</f>
        <v>2</v>
      </c>
      <c r="F59" s="276">
        <f>'Core Indicators'!Z59</f>
        <v>2</v>
      </c>
      <c r="G59" s="214">
        <f t="shared" si="4"/>
        <v>2</v>
      </c>
      <c r="H59" s="276">
        <f>'Core Indicators'!AH59</f>
        <v>2</v>
      </c>
      <c r="I59" s="276" t="str">
        <f>'Core Indicators'!AP59</f>
        <v>x</v>
      </c>
      <c r="J59" s="276">
        <f>'Core Indicators'!BN59</f>
        <v>3</v>
      </c>
      <c r="K59" s="276">
        <f t="shared" si="5"/>
        <v>3</v>
      </c>
      <c r="L59" s="213">
        <f t="shared" si="6"/>
        <v>2.5</v>
      </c>
      <c r="M59" s="277" t="str">
        <f t="shared" si="14"/>
        <v>x</v>
      </c>
      <c r="N59" s="278" t="str">
        <f>'Core Indicators'!DJ59</f>
        <v>x</v>
      </c>
      <c r="O59" s="278">
        <f>'Core Indicators'!DR59</f>
        <v>3</v>
      </c>
      <c r="P59" s="278">
        <f>'Core Indicators'!DZ59</f>
        <v>3</v>
      </c>
      <c r="Q59" s="278">
        <f>'Core Indicators'!EH59</f>
        <v>3</v>
      </c>
      <c r="R59" s="278">
        <f>'Core Indicators'!EP59</f>
        <v>3</v>
      </c>
      <c r="S59" s="214">
        <f t="shared" si="7"/>
        <v>1.8</v>
      </c>
      <c r="T59" s="214">
        <f t="shared" si="8"/>
        <v>1.1666666666666667</v>
      </c>
      <c r="U59" s="276">
        <v>1</v>
      </c>
      <c r="V59" s="276">
        <v>1</v>
      </c>
      <c r="W59" s="276">
        <f>'Core Indicators'!EX59</f>
        <v>2</v>
      </c>
      <c r="X59" s="214">
        <f t="shared" si="9"/>
        <v>1.5</v>
      </c>
      <c r="Y59" s="276">
        <v>1</v>
      </c>
      <c r="Z59" s="214">
        <f t="shared" si="10"/>
        <v>2.3611111111111107</v>
      </c>
      <c r="AA59" s="276">
        <f>'Core Indicators'!FF59</f>
        <v>2</v>
      </c>
      <c r="AB59" s="276">
        <f t="shared" si="11"/>
        <v>2.7222222222222219</v>
      </c>
      <c r="AC59" s="11">
        <f>'Core Indicators'!GD59</f>
        <v>1</v>
      </c>
      <c r="AD59" s="11">
        <f>'Core Indicators'!GL59</f>
        <v>3</v>
      </c>
      <c r="AE59" s="11">
        <f>'Core Indicators'!GT59</f>
        <v>3</v>
      </c>
      <c r="AF59" s="11">
        <f>'Core Indicators'!HB59</f>
        <v>3</v>
      </c>
      <c r="AG59" s="11">
        <f t="shared" si="12"/>
        <v>2.5</v>
      </c>
      <c r="AH59" s="11">
        <f>'Core Indicators'!HJ59</f>
        <v>3</v>
      </c>
      <c r="AI59" s="11">
        <f>'Core Indicators'!HR59</f>
        <v>3</v>
      </c>
      <c r="AJ59" s="11">
        <f t="shared" si="13"/>
        <v>3</v>
      </c>
      <c r="AK59" s="11">
        <f>'Core Indicators'!HZ59</f>
        <v>3</v>
      </c>
      <c r="AL59" s="11">
        <f>'Core Indicators'!IH59</f>
        <v>3</v>
      </c>
      <c r="AM59" s="11">
        <f>'Core Indicators'!IP59</f>
        <v>2</v>
      </c>
      <c r="AN59" s="11">
        <f t="shared" si="0"/>
        <v>2.6666666666666665</v>
      </c>
    </row>
    <row r="60" spans="1:40" x14ac:dyDescent="0.3">
      <c r="A60" s="276" t="str">
        <f>Lists!C:C</f>
        <v>IDN002</v>
      </c>
      <c r="B60" s="213" t="str">
        <f t="shared" si="1"/>
        <v>x</v>
      </c>
      <c r="C60" s="214">
        <f t="shared" si="2"/>
        <v>2</v>
      </c>
      <c r="D60" s="277">
        <f t="shared" si="3"/>
        <v>3</v>
      </c>
      <c r="E60" s="276">
        <f>'Core Indicators'!R60</f>
        <v>3</v>
      </c>
      <c r="F60" s="276">
        <f>'Core Indicators'!Z60</f>
        <v>3</v>
      </c>
      <c r="G60" s="214">
        <f t="shared" si="4"/>
        <v>3</v>
      </c>
      <c r="H60" s="276">
        <f>'Core Indicators'!AH60</f>
        <v>3</v>
      </c>
      <c r="I60" s="276" t="str">
        <f>'Core Indicators'!AP60</f>
        <v>x</v>
      </c>
      <c r="J60" s="276">
        <f>'Core Indicators'!BN60</f>
        <v>3</v>
      </c>
      <c r="K60" s="276">
        <f t="shared" si="5"/>
        <v>3</v>
      </c>
      <c r="L60" s="213">
        <f t="shared" si="6"/>
        <v>3</v>
      </c>
      <c r="M60" s="277" t="str">
        <f t="shared" si="14"/>
        <v>x</v>
      </c>
      <c r="N60" s="278" t="str">
        <f>'Core Indicators'!DJ60</f>
        <v>x</v>
      </c>
      <c r="O60" s="278" t="str">
        <f>'Core Indicators'!DR60</f>
        <v>x</v>
      </c>
      <c r="P60" s="278" t="str">
        <f>'Core Indicators'!DZ60</f>
        <v>x</v>
      </c>
      <c r="Q60" s="278" t="str">
        <f>'Core Indicators'!EH60</f>
        <v>x</v>
      </c>
      <c r="R60" s="278" t="str">
        <f>'Core Indicators'!EP60</f>
        <v>x</v>
      </c>
      <c r="S60" s="214">
        <f t="shared" si="7"/>
        <v>1.2</v>
      </c>
      <c r="T60" s="214">
        <f t="shared" si="8"/>
        <v>1.3333333333333333</v>
      </c>
      <c r="U60" s="276">
        <v>1</v>
      </c>
      <c r="V60" s="276">
        <v>1</v>
      </c>
      <c r="W60" s="276">
        <f>'Core Indicators'!EX60</f>
        <v>3</v>
      </c>
      <c r="X60" s="214">
        <f t="shared" si="9"/>
        <v>2</v>
      </c>
      <c r="Y60" s="276">
        <v>1</v>
      </c>
      <c r="Z60" s="214">
        <f t="shared" si="10"/>
        <v>1</v>
      </c>
      <c r="AA60" s="276">
        <f>'Core Indicators'!FF60</f>
        <v>1</v>
      </c>
      <c r="AB60" s="276">
        <f t="shared" si="11"/>
        <v>1</v>
      </c>
      <c r="AC60" s="11">
        <f>'Core Indicators'!GD60</f>
        <v>1</v>
      </c>
      <c r="AD60" s="11">
        <f>'Core Indicators'!GL60</f>
        <v>1</v>
      </c>
      <c r="AE60" s="11">
        <f>'Core Indicators'!GT60</f>
        <v>1</v>
      </c>
      <c r="AF60" s="11">
        <f>'Core Indicators'!HB60</f>
        <v>1</v>
      </c>
      <c r="AG60" s="11">
        <f t="shared" si="12"/>
        <v>1</v>
      </c>
      <c r="AH60" s="11">
        <f>'Core Indicators'!HJ60</f>
        <v>1</v>
      </c>
      <c r="AI60" s="11">
        <f>'Core Indicators'!HR60</f>
        <v>1</v>
      </c>
      <c r="AJ60" s="11">
        <f t="shared" si="13"/>
        <v>1</v>
      </c>
      <c r="AK60" s="11">
        <f>'Core Indicators'!HZ60</f>
        <v>1</v>
      </c>
      <c r="AL60" s="11">
        <f>'Core Indicators'!IH60</f>
        <v>1</v>
      </c>
      <c r="AM60" s="11">
        <f>'Core Indicators'!IP60</f>
        <v>1</v>
      </c>
      <c r="AN60" s="11">
        <f t="shared" si="0"/>
        <v>1</v>
      </c>
    </row>
    <row r="61" spans="1:40" x14ac:dyDescent="0.3">
      <c r="A61" s="276" t="str">
        <f>Lists!C:C</f>
        <v>IRN004</v>
      </c>
      <c r="B61" s="213">
        <f t="shared" si="1"/>
        <v>2.7</v>
      </c>
      <c r="C61" s="214">
        <f t="shared" si="2"/>
        <v>0</v>
      </c>
      <c r="D61" s="277">
        <f t="shared" si="3"/>
        <v>3</v>
      </c>
      <c r="E61" s="276">
        <f>'Core Indicators'!R61</f>
        <v>3</v>
      </c>
      <c r="F61" s="276">
        <f>'Core Indicators'!Z61</f>
        <v>3</v>
      </c>
      <c r="G61" s="214">
        <f t="shared" si="4"/>
        <v>3</v>
      </c>
      <c r="H61" s="276">
        <f>'Core Indicators'!AH61</f>
        <v>3</v>
      </c>
      <c r="I61" s="276">
        <f>'Core Indicators'!AP61</f>
        <v>3</v>
      </c>
      <c r="J61" s="276">
        <f>'Core Indicators'!BN61</f>
        <v>3</v>
      </c>
      <c r="K61" s="276">
        <f t="shared" si="5"/>
        <v>3</v>
      </c>
      <c r="L61" s="213">
        <f t="shared" si="6"/>
        <v>3</v>
      </c>
      <c r="M61" s="277">
        <f t="shared" si="14"/>
        <v>3</v>
      </c>
      <c r="N61" s="278">
        <f>'Core Indicators'!DJ61</f>
        <v>3</v>
      </c>
      <c r="O61" s="278">
        <f>'Core Indicators'!DR61</f>
        <v>3</v>
      </c>
      <c r="P61" s="278">
        <f>'Core Indicators'!DZ61</f>
        <v>3</v>
      </c>
      <c r="Q61" s="278">
        <f>'Core Indicators'!EH61</f>
        <v>3</v>
      </c>
      <c r="R61" s="278">
        <f>'Core Indicators'!EP61</f>
        <v>3</v>
      </c>
      <c r="S61" s="214">
        <f t="shared" si="7"/>
        <v>1.9</v>
      </c>
      <c r="T61" s="214">
        <f t="shared" si="8"/>
        <v>1.3333333333333333</v>
      </c>
      <c r="U61" s="276">
        <v>1</v>
      </c>
      <c r="V61" s="276">
        <v>1</v>
      </c>
      <c r="W61" s="276">
        <f>'Core Indicators'!EX61</f>
        <v>3</v>
      </c>
      <c r="X61" s="214">
        <f t="shared" si="9"/>
        <v>2</v>
      </c>
      <c r="Y61" s="276">
        <v>1</v>
      </c>
      <c r="Z61" s="214">
        <f t="shared" si="10"/>
        <v>2.5</v>
      </c>
      <c r="AA61" s="276">
        <f>'Core Indicators'!FF61</f>
        <v>3</v>
      </c>
      <c r="AB61" s="276">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x14ac:dyDescent="0.3">
      <c r="A62" s="276" t="str">
        <f>Lists!C:C</f>
        <v>IRQ001</v>
      </c>
      <c r="B62" s="213">
        <f t="shared" si="1"/>
        <v>2</v>
      </c>
      <c r="C62" s="214">
        <f t="shared" si="2"/>
        <v>0</v>
      </c>
      <c r="D62" s="277">
        <f t="shared" si="3"/>
        <v>2.6</v>
      </c>
      <c r="E62" s="276">
        <f>'Core Indicators'!R62</f>
        <v>1</v>
      </c>
      <c r="F62" s="276">
        <f>'Core Indicators'!Z62</f>
        <v>3</v>
      </c>
      <c r="G62" s="214">
        <f t="shared" si="4"/>
        <v>2.1</v>
      </c>
      <c r="H62" s="276">
        <f>'Core Indicators'!AH62</f>
        <v>3</v>
      </c>
      <c r="I62" s="276">
        <f>'Core Indicators'!AP62</f>
        <v>2</v>
      </c>
      <c r="J62" s="276">
        <f>'Core Indicators'!BN62</f>
        <v>3</v>
      </c>
      <c r="K62" s="276">
        <f t="shared" si="5"/>
        <v>2.5</v>
      </c>
      <c r="L62" s="213">
        <f t="shared" si="6"/>
        <v>2.8</v>
      </c>
      <c r="M62" s="277">
        <f t="shared" si="14"/>
        <v>2</v>
      </c>
      <c r="N62" s="278">
        <f>'Core Indicators'!DJ62</f>
        <v>2</v>
      </c>
      <c r="O62" s="278">
        <f>'Core Indicators'!DR62</f>
        <v>2</v>
      </c>
      <c r="P62" s="278">
        <f>'Core Indicators'!DZ62</f>
        <v>2</v>
      </c>
      <c r="Q62" s="278">
        <f>'Core Indicators'!EH62</f>
        <v>2</v>
      </c>
      <c r="R62" s="278">
        <f>'Core Indicators'!EP62</f>
        <v>2</v>
      </c>
      <c r="S62" s="214">
        <f t="shared" si="7"/>
        <v>1.4</v>
      </c>
      <c r="T62" s="214">
        <f t="shared" si="8"/>
        <v>1.3333333333333333</v>
      </c>
      <c r="U62" s="276">
        <v>1</v>
      </c>
      <c r="V62" s="276">
        <v>1</v>
      </c>
      <c r="W62" s="276">
        <f>'Core Indicators'!EX62</f>
        <v>3</v>
      </c>
      <c r="X62" s="214">
        <f t="shared" si="9"/>
        <v>2</v>
      </c>
      <c r="Y62" s="276">
        <v>1</v>
      </c>
      <c r="Z62" s="214">
        <f t="shared" si="10"/>
        <v>1.5</v>
      </c>
      <c r="AA62" s="276">
        <f>'Core Indicators'!FF62</f>
        <v>1</v>
      </c>
      <c r="AB62" s="276">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x14ac:dyDescent="0.3">
      <c r="A63" s="276" t="str">
        <f>Lists!C:C</f>
        <v>IRQ002</v>
      </c>
      <c r="B63" s="213">
        <f t="shared" si="1"/>
        <v>1.9</v>
      </c>
      <c r="C63" s="214">
        <f t="shared" si="2"/>
        <v>0</v>
      </c>
      <c r="D63" s="277">
        <f t="shared" si="3"/>
        <v>2.4</v>
      </c>
      <c r="E63" s="276">
        <f>'Core Indicators'!R63</f>
        <v>1</v>
      </c>
      <c r="F63" s="276">
        <f>'Core Indicators'!Z63</f>
        <v>2</v>
      </c>
      <c r="G63" s="214">
        <f t="shared" si="4"/>
        <v>1.5</v>
      </c>
      <c r="H63" s="276">
        <f>'Core Indicators'!AH63</f>
        <v>3</v>
      </c>
      <c r="I63" s="276">
        <f>'Core Indicators'!AP63</f>
        <v>2</v>
      </c>
      <c r="J63" s="276">
        <f>'Core Indicators'!BN63</f>
        <v>3</v>
      </c>
      <c r="K63" s="276">
        <f t="shared" si="5"/>
        <v>2.5</v>
      </c>
      <c r="L63" s="213">
        <f t="shared" si="6"/>
        <v>2.8</v>
      </c>
      <c r="M63" s="277">
        <f t="shared" si="14"/>
        <v>2</v>
      </c>
      <c r="N63" s="278">
        <f>'Core Indicators'!DJ63</f>
        <v>2</v>
      </c>
      <c r="O63" s="278">
        <f>'Core Indicators'!DR63</f>
        <v>2</v>
      </c>
      <c r="P63" s="278">
        <f>'Core Indicators'!DZ63</f>
        <v>2</v>
      </c>
      <c r="Q63" s="278">
        <f>'Core Indicators'!EH63</f>
        <v>2</v>
      </c>
      <c r="R63" s="278">
        <f>'Core Indicators'!EP63</f>
        <v>2</v>
      </c>
      <c r="S63" s="214">
        <f t="shared" si="7"/>
        <v>1.4</v>
      </c>
      <c r="T63" s="214">
        <f t="shared" si="8"/>
        <v>1.3333333333333333</v>
      </c>
      <c r="U63" s="276">
        <v>1</v>
      </c>
      <c r="V63" s="276">
        <v>1</v>
      </c>
      <c r="W63" s="276">
        <f>'Core Indicators'!EX63</f>
        <v>3</v>
      </c>
      <c r="X63" s="214">
        <f t="shared" si="9"/>
        <v>2</v>
      </c>
      <c r="Y63" s="276">
        <v>1</v>
      </c>
      <c r="Z63" s="214">
        <f t="shared" si="10"/>
        <v>1.5</v>
      </c>
      <c r="AA63" s="276">
        <f>'Core Indicators'!FF63</f>
        <v>1</v>
      </c>
      <c r="AB63" s="276">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x14ac:dyDescent="0.3">
      <c r="A64" s="276" t="str">
        <f>Lists!C:C</f>
        <v>IRQ003</v>
      </c>
      <c r="B64" s="213">
        <f t="shared" si="1"/>
        <v>2.1</v>
      </c>
      <c r="C64" s="214">
        <f t="shared" si="2"/>
        <v>0</v>
      </c>
      <c r="D64" s="277">
        <f t="shared" si="3"/>
        <v>2.7</v>
      </c>
      <c r="E64" s="276">
        <f>'Core Indicators'!R64</f>
        <v>2</v>
      </c>
      <c r="F64" s="276">
        <f>'Core Indicators'!Z64</f>
        <v>3</v>
      </c>
      <c r="G64" s="214">
        <f t="shared" si="4"/>
        <v>2.5</v>
      </c>
      <c r="H64" s="276">
        <f>'Core Indicators'!AH64</f>
        <v>3</v>
      </c>
      <c r="I64" s="276">
        <f>'Core Indicators'!AP64</f>
        <v>2</v>
      </c>
      <c r="J64" s="276">
        <f>'Core Indicators'!BN64</f>
        <v>3</v>
      </c>
      <c r="K64" s="276">
        <f t="shared" si="5"/>
        <v>2.5</v>
      </c>
      <c r="L64" s="213">
        <f t="shared" si="6"/>
        <v>2.8</v>
      </c>
      <c r="M64" s="277">
        <f t="shared" si="14"/>
        <v>2</v>
      </c>
      <c r="N64" s="278">
        <f>'Core Indicators'!DJ64</f>
        <v>2</v>
      </c>
      <c r="O64" s="278">
        <f>'Core Indicators'!DR64</f>
        <v>2</v>
      </c>
      <c r="P64" s="278">
        <f>'Core Indicators'!DZ64</f>
        <v>2</v>
      </c>
      <c r="Q64" s="278">
        <f>'Core Indicators'!EH64</f>
        <v>2</v>
      </c>
      <c r="R64" s="278">
        <f>'Core Indicators'!EP64</f>
        <v>2</v>
      </c>
      <c r="S64" s="214">
        <f t="shared" si="7"/>
        <v>1.7</v>
      </c>
      <c r="T64" s="214">
        <f t="shared" si="8"/>
        <v>1.3333333333333333</v>
      </c>
      <c r="U64" s="276">
        <v>1</v>
      </c>
      <c r="V64" s="276">
        <v>1</v>
      </c>
      <c r="W64" s="276">
        <f>'Core Indicators'!EX64</f>
        <v>3</v>
      </c>
      <c r="X64" s="214">
        <f t="shared" si="9"/>
        <v>2</v>
      </c>
      <c r="Y64" s="276">
        <v>1</v>
      </c>
      <c r="Z64" s="214">
        <f t="shared" si="10"/>
        <v>2</v>
      </c>
      <c r="AA64" s="276">
        <f>'Core Indicators'!FF64</f>
        <v>2</v>
      </c>
      <c r="AB64" s="276">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76" t="str">
        <f>Lists!C:C</f>
        <v>JOR002</v>
      </c>
      <c r="B65" s="213">
        <f t="shared" si="1"/>
        <v>2</v>
      </c>
      <c r="C65" s="214">
        <f t="shared" si="2"/>
        <v>0</v>
      </c>
      <c r="D65" s="277">
        <f t="shared" si="3"/>
        <v>2.2999999999999998</v>
      </c>
      <c r="E65" s="276">
        <f>'Core Indicators'!R65</f>
        <v>2</v>
      </c>
      <c r="F65" s="276">
        <f>'Core Indicators'!Z65</f>
        <v>2</v>
      </c>
      <c r="G65" s="214">
        <f t="shared" si="4"/>
        <v>2</v>
      </c>
      <c r="H65" s="276">
        <f>'Core Indicators'!AH65</f>
        <v>3</v>
      </c>
      <c r="I65" s="276">
        <f>'Core Indicators'!AP65</f>
        <v>2</v>
      </c>
      <c r="J65" s="276">
        <f>'Core Indicators'!BN65</f>
        <v>2</v>
      </c>
      <c r="K65" s="276">
        <f t="shared" si="5"/>
        <v>2</v>
      </c>
      <c r="L65" s="213">
        <f t="shared" si="6"/>
        <v>2.5</v>
      </c>
      <c r="M65" s="277">
        <f t="shared" si="14"/>
        <v>2</v>
      </c>
      <c r="N65" s="278">
        <f>'Core Indicators'!DJ65</f>
        <v>2</v>
      </c>
      <c r="O65" s="278">
        <f>'Core Indicators'!DR65</f>
        <v>2</v>
      </c>
      <c r="P65" s="278">
        <f>'Core Indicators'!DZ65</f>
        <v>2</v>
      </c>
      <c r="Q65" s="278">
        <f>'Core Indicators'!EH65</f>
        <v>2</v>
      </c>
      <c r="R65" s="278">
        <f>'Core Indicators'!EP65</f>
        <v>2</v>
      </c>
      <c r="S65" s="214">
        <f t="shared" si="7"/>
        <v>1.6</v>
      </c>
      <c r="T65" s="214">
        <f t="shared" si="8"/>
        <v>1.1666666666666667</v>
      </c>
      <c r="U65" s="276">
        <v>1</v>
      </c>
      <c r="V65" s="276">
        <v>1</v>
      </c>
      <c r="W65" s="276">
        <f>'Core Indicators'!EX65</f>
        <v>2</v>
      </c>
      <c r="X65" s="214">
        <f t="shared" si="9"/>
        <v>1.5</v>
      </c>
      <c r="Y65" s="276">
        <v>1</v>
      </c>
      <c r="Z65" s="214">
        <f t="shared" si="10"/>
        <v>2</v>
      </c>
      <c r="AA65" s="276">
        <f>'Core Indicators'!FF65</f>
        <v>2</v>
      </c>
      <c r="AB65" s="276">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76" t="str">
        <f>Lists!C:C</f>
        <v>KEN001</v>
      </c>
      <c r="B66" s="213">
        <f t="shared" si="1"/>
        <v>1.7</v>
      </c>
      <c r="C66" s="214">
        <f t="shared" si="2"/>
        <v>0</v>
      </c>
      <c r="D66" s="277">
        <f t="shared" si="3"/>
        <v>1.8</v>
      </c>
      <c r="E66" s="276">
        <f>'Core Indicators'!R66</f>
        <v>2</v>
      </c>
      <c r="F66" s="276">
        <f>'Core Indicators'!Z66</f>
        <v>1</v>
      </c>
      <c r="G66" s="214">
        <f t="shared" si="4"/>
        <v>1.5</v>
      </c>
      <c r="H66" s="276">
        <f>'Core Indicators'!AH66</f>
        <v>2</v>
      </c>
      <c r="I66" s="276">
        <f>'Core Indicators'!AP66</f>
        <v>2</v>
      </c>
      <c r="J66" s="276">
        <f>'Core Indicators'!BN66</f>
        <v>2</v>
      </c>
      <c r="K66" s="276">
        <f t="shared" si="5"/>
        <v>2</v>
      </c>
      <c r="L66" s="213">
        <f t="shared" si="6"/>
        <v>2</v>
      </c>
      <c r="M66" s="277">
        <f t="shared" si="14"/>
        <v>2</v>
      </c>
      <c r="N66" s="278">
        <f>'Core Indicators'!DJ66</f>
        <v>2</v>
      </c>
      <c r="O66" s="278">
        <f>'Core Indicators'!DR66</f>
        <v>2</v>
      </c>
      <c r="P66" s="278">
        <f>'Core Indicators'!DZ66</f>
        <v>2</v>
      </c>
      <c r="Q66" s="278">
        <f>'Core Indicators'!EH66</f>
        <v>2</v>
      </c>
      <c r="R66" s="278">
        <f>'Core Indicators'!EP66</f>
        <v>2</v>
      </c>
      <c r="S66" s="214">
        <f t="shared" si="7"/>
        <v>1.3</v>
      </c>
      <c r="T66" s="214">
        <f t="shared" si="8"/>
        <v>1.1666666666666667</v>
      </c>
      <c r="U66" s="276">
        <v>1</v>
      </c>
      <c r="V66" s="276">
        <v>1</v>
      </c>
      <c r="W66" s="276">
        <f>'Core Indicators'!EX66</f>
        <v>2</v>
      </c>
      <c r="X66" s="214">
        <f t="shared" si="9"/>
        <v>1.5</v>
      </c>
      <c r="Y66" s="276">
        <v>1</v>
      </c>
      <c r="Z66" s="214">
        <f t="shared" si="10"/>
        <v>1.5</v>
      </c>
      <c r="AA66" s="276">
        <f>'Core Indicators'!FF66</f>
        <v>2</v>
      </c>
      <c r="AB66" s="276">
        <f t="shared" si="11"/>
        <v>1</v>
      </c>
      <c r="AC66" s="11">
        <f>'Core Indicators'!GD66</f>
        <v>1</v>
      </c>
      <c r="AD66" s="11">
        <f>'Core Indicators'!GL66</f>
        <v>1</v>
      </c>
      <c r="AE66" s="11">
        <f>'Core Indicators'!GT66</f>
        <v>1</v>
      </c>
      <c r="AF66" s="11">
        <f>'Core Indicators'!HB66</f>
        <v>1</v>
      </c>
      <c r="AG66" s="11">
        <f t="shared" si="12"/>
        <v>1</v>
      </c>
      <c r="AH66" s="11">
        <f>'Core Indicators'!HJ66</f>
        <v>1</v>
      </c>
      <c r="AI66" s="11">
        <f>'Core Indicators'!HR66</f>
        <v>1</v>
      </c>
      <c r="AJ66" s="11">
        <f t="shared" si="13"/>
        <v>1</v>
      </c>
      <c r="AK66" s="11">
        <f>'Core Indicators'!HZ66</f>
        <v>1</v>
      </c>
      <c r="AL66" s="11">
        <f>'Core Indicators'!IH66</f>
        <v>1</v>
      </c>
      <c r="AM66" s="11">
        <f>'Core Indicators'!IP66</f>
        <v>1</v>
      </c>
      <c r="AN66" s="11">
        <f t="shared" si="0"/>
        <v>1</v>
      </c>
    </row>
    <row r="67" spans="1:40" x14ac:dyDescent="0.3">
      <c r="A67" s="276" t="str">
        <f>Lists!C:C</f>
        <v>KEN002</v>
      </c>
      <c r="B67" s="213">
        <f t="shared" si="1"/>
        <v>1.8</v>
      </c>
      <c r="C67" s="214">
        <f t="shared" si="2"/>
        <v>1</v>
      </c>
      <c r="D67" s="277">
        <f t="shared" si="3"/>
        <v>2</v>
      </c>
      <c r="E67" s="276">
        <f>'Core Indicators'!R67</f>
        <v>2</v>
      </c>
      <c r="F67" s="276">
        <f>'Core Indicators'!Z67</f>
        <v>2</v>
      </c>
      <c r="G67" s="214">
        <f t="shared" si="4"/>
        <v>2</v>
      </c>
      <c r="H67" s="276">
        <f>'Core Indicators'!AH67</f>
        <v>2</v>
      </c>
      <c r="I67" s="276">
        <f>'Core Indicators'!AP67</f>
        <v>2</v>
      </c>
      <c r="J67" s="276" t="str">
        <f>'Core Indicators'!BN67</f>
        <v>x</v>
      </c>
      <c r="K67" s="276">
        <f t="shared" si="5"/>
        <v>2</v>
      </c>
      <c r="L67" s="213">
        <f t="shared" si="6"/>
        <v>2</v>
      </c>
      <c r="M67" s="277">
        <f t="shared" si="14"/>
        <v>2</v>
      </c>
      <c r="N67" s="278">
        <f>'Core Indicators'!DJ67</f>
        <v>2</v>
      </c>
      <c r="O67" s="278">
        <f>'Core Indicators'!DR67</f>
        <v>2</v>
      </c>
      <c r="P67" s="278">
        <f>'Core Indicators'!DZ67</f>
        <v>2</v>
      </c>
      <c r="Q67" s="278">
        <f>'Core Indicators'!EH67</f>
        <v>2</v>
      </c>
      <c r="R67" s="278">
        <f>'Core Indicators'!EP67</f>
        <v>2</v>
      </c>
      <c r="S67" s="214">
        <f t="shared" si="7"/>
        <v>1.3</v>
      </c>
      <c r="T67" s="214">
        <f t="shared" si="8"/>
        <v>1.1666666666666667</v>
      </c>
      <c r="U67" s="276">
        <v>1</v>
      </c>
      <c r="V67" s="276">
        <v>1</v>
      </c>
      <c r="W67" s="276">
        <f>'Core Indicators'!EX67</f>
        <v>2</v>
      </c>
      <c r="X67" s="214">
        <f t="shared" si="9"/>
        <v>1.5</v>
      </c>
      <c r="Y67" s="276">
        <v>1</v>
      </c>
      <c r="Z67" s="214">
        <f t="shared" si="10"/>
        <v>1.5</v>
      </c>
      <c r="AA67" s="276">
        <f>'Core Indicators'!FF67</f>
        <v>2</v>
      </c>
      <c r="AB67" s="276">
        <f t="shared" si="11"/>
        <v>1</v>
      </c>
      <c r="AC67" s="11">
        <f>'Core Indicators'!GD67</f>
        <v>1</v>
      </c>
      <c r="AD67" s="11">
        <f>'Core Indicators'!GL67</f>
        <v>1</v>
      </c>
      <c r="AE67" s="11">
        <f>'Core Indicators'!GT67</f>
        <v>1</v>
      </c>
      <c r="AF67" s="11">
        <f>'Core Indicators'!HB67</f>
        <v>1</v>
      </c>
      <c r="AG67" s="11">
        <f t="shared" si="12"/>
        <v>1</v>
      </c>
      <c r="AH67" s="11">
        <f>'Core Indicators'!HJ67</f>
        <v>1</v>
      </c>
      <c r="AI67" s="11">
        <f>'Core Indicators'!HR67</f>
        <v>1</v>
      </c>
      <c r="AJ67" s="11">
        <f t="shared" si="13"/>
        <v>1</v>
      </c>
      <c r="AK67" s="11">
        <f>'Core Indicators'!HZ67</f>
        <v>1</v>
      </c>
      <c r="AL67" s="11">
        <f>'Core Indicators'!IH67</f>
        <v>1</v>
      </c>
      <c r="AM67" s="11">
        <f>'Core Indicators'!IP67</f>
        <v>1</v>
      </c>
      <c r="AN67" s="11">
        <f t="shared" ref="AN67:AN92" si="15">IF(AND(AK67="x",AL67="x",AM67="x"),"x",AVERAGE(AK67:AM67))</f>
        <v>1</v>
      </c>
    </row>
    <row r="68" spans="1:40" x14ac:dyDescent="0.3">
      <c r="A68" s="276" t="str">
        <f>Lists!C:C</f>
        <v>KEN003</v>
      </c>
      <c r="B68" s="213">
        <f t="shared" ref="B68:B131" si="16">IF(OR(M68="x",D68="x"),"x",ROUND((5-GEOMEAN(((5-D68)/5*4+1),((5-M68)/5*4+1),((5-M68)/5*4+1)))/4*3.5+S68*0.3,1))</f>
        <v>1.8</v>
      </c>
      <c r="C68" s="214">
        <f t="shared" ref="C68:C131" si="17">COUNTIF(E68:F68,"x")+COUNTIF(H68:I68,"x")+COUNTIF(J68:J68,"x")+COUNTIF(M68,"x")+COUNTIF(U68:W68,"x")+COUNTIF(Y68:AB68,"x")</f>
        <v>2</v>
      </c>
      <c r="D68" s="277">
        <f t="shared" ref="D68:D131" si="18">IF(OR(L68="x",G68="x"),"x",ROUND((5-GEOMEAN(((5-L68)/5*4+1),((5-L68)/5*4+1),((5-G68)/5*4+1)))/4*5,1))</f>
        <v>2</v>
      </c>
      <c r="E68" s="276">
        <f>'Core Indicators'!R68</f>
        <v>2</v>
      </c>
      <c r="F68" s="276">
        <f>'Core Indicators'!Z68</f>
        <v>2</v>
      </c>
      <c r="G68" s="214">
        <f t="shared" ref="G68:G131" si="19">IF(AND(F68="x",E68="x"),"x",IF(OR(F68="x",E68="x"),AVERAGE(E68,F68),ROUND((10-GEOMEAN(((10-E68)/10*9+1),((10-F68)/10*9+1)))/9*10,1)))</f>
        <v>2</v>
      </c>
      <c r="H68" s="276">
        <f>'Core Indicators'!AH68</f>
        <v>2</v>
      </c>
      <c r="I68" s="276" t="str">
        <f>'Core Indicators'!AP68</f>
        <v>x</v>
      </c>
      <c r="J68" s="276" t="str">
        <f>'Core Indicators'!BN68</f>
        <v>x</v>
      </c>
      <c r="K68" s="276" t="str">
        <f t="shared" ref="K68:K131" si="20">IF(AND(J68="x",I68="x"),"x",IF(OR(J68="x",I68="x"),AVERAGE(I68,J68),ROUND((10-GEOMEAN(((10-I68)/10*9+1),((10-J68)/10*9+1)))/9*10,1)))</f>
        <v>x</v>
      </c>
      <c r="L68" s="213">
        <f t="shared" ref="L68:L131" si="21">IF(AND(H68="x",K68="x"),"x",IF(OR(H68="x",K68="x"),AVERAGE(H68,K68),ROUND((10-GEOMEAN(((10-H68)/10*9+1),((10-K68)/10*9+1)))/9*10,1)))</f>
        <v>2</v>
      </c>
      <c r="M68" s="277">
        <f t="shared" si="14"/>
        <v>2</v>
      </c>
      <c r="N68" s="278">
        <f>'Core Indicators'!DJ68</f>
        <v>2</v>
      </c>
      <c r="O68" s="278">
        <f>'Core Indicators'!DR68</f>
        <v>2</v>
      </c>
      <c r="P68" s="278">
        <f>'Core Indicators'!DZ68</f>
        <v>2</v>
      </c>
      <c r="Q68" s="278">
        <f>'Core Indicators'!EH68</f>
        <v>2</v>
      </c>
      <c r="R68" s="278">
        <f>'Core Indicators'!EP68</f>
        <v>2</v>
      </c>
      <c r="S68" s="214">
        <f t="shared" ref="S68:S131" si="22">IF(OR(Z68="x",T68="x"),T68,ROUND((10-GEOMEAN(((10-T68)/10*9+1),((10-Z68)/10*9+1)))/9*10,1))</f>
        <v>1.3</v>
      </c>
      <c r="T68" s="214">
        <f t="shared" ref="T68:T131" si="23">AVERAGE(U68,X68,Y68)</f>
        <v>1.1666666666666667</v>
      </c>
      <c r="U68" s="276">
        <v>1</v>
      </c>
      <c r="V68" s="276">
        <v>1</v>
      </c>
      <c r="W68" s="276">
        <f>'Core Indicators'!EX68</f>
        <v>2</v>
      </c>
      <c r="X68" s="214">
        <f t="shared" ref="X68:X131" si="24">AVERAGE(V68:W68)</f>
        <v>1.5</v>
      </c>
      <c r="Y68" s="276">
        <v>1</v>
      </c>
      <c r="Z68" s="214">
        <f t="shared" ref="Z68:Z131" si="25">IF(AND(AA68="x",AB68="x"),"x",AVERAGE(AA68:AB68))</f>
        <v>1.5</v>
      </c>
      <c r="AA68" s="276">
        <f>'Core Indicators'!FF68</f>
        <v>2</v>
      </c>
      <c r="AB68" s="276">
        <f t="shared" ref="AB68:AB131" si="26">IF(AND(AJ68="x",AN68="x",AG68="x"),"x",(AVERAGE(AJ68,AN68,AG68)))</f>
        <v>1</v>
      </c>
      <c r="AC68" s="11">
        <f>'Core Indicators'!GD68</f>
        <v>1</v>
      </c>
      <c r="AD68" s="11">
        <f>'Core Indicators'!GL68</f>
        <v>1</v>
      </c>
      <c r="AE68" s="11">
        <f>'Core Indicators'!GT68</f>
        <v>1</v>
      </c>
      <c r="AF68" s="11">
        <f>'Core Indicators'!HB68</f>
        <v>1</v>
      </c>
      <c r="AG68" s="11">
        <f t="shared" ref="AG68:AG131" si="27">IF(AND(AC68="x",AD68="x",AE68="x",AF68="x"),"x",AVERAGE(AC68:AF68))</f>
        <v>1</v>
      </c>
      <c r="AH68" s="11">
        <f>'Core Indicators'!HJ68</f>
        <v>1</v>
      </c>
      <c r="AI68" s="11">
        <f>'Core Indicators'!HR68</f>
        <v>1</v>
      </c>
      <c r="AJ68" s="11">
        <f t="shared" ref="AJ68:AJ131" si="28">IF(AND(AH68="x",AI68="x"),"x",AVERAGE(AH68:AI68))</f>
        <v>1</v>
      </c>
      <c r="AK68" s="11">
        <f>'Core Indicators'!HZ68</f>
        <v>1</v>
      </c>
      <c r="AL68" s="11">
        <f>'Core Indicators'!IH68</f>
        <v>1</v>
      </c>
      <c r="AM68" s="11">
        <f>'Core Indicators'!IP68</f>
        <v>1</v>
      </c>
      <c r="AN68" s="11">
        <f t="shared" si="15"/>
        <v>1</v>
      </c>
    </row>
    <row r="69" spans="1:40" x14ac:dyDescent="0.3">
      <c r="A69" s="276" t="str">
        <f>Lists!C:C</f>
        <v>KEN005</v>
      </c>
      <c r="B69" s="213">
        <f t="shared" si="16"/>
        <v>2.5</v>
      </c>
      <c r="C69" s="214">
        <f t="shared" si="17"/>
        <v>1</v>
      </c>
      <c r="D69" s="277">
        <f t="shared" si="18"/>
        <v>2.6</v>
      </c>
      <c r="E69" s="276">
        <f>'Core Indicators'!R69</f>
        <v>2</v>
      </c>
      <c r="F69" s="276">
        <f>'Core Indicators'!Z69</f>
        <v>2</v>
      </c>
      <c r="G69" s="214">
        <f t="shared" si="19"/>
        <v>2</v>
      </c>
      <c r="H69" s="276">
        <f>'Core Indicators'!AH69</f>
        <v>3</v>
      </c>
      <c r="I69" s="276">
        <f>'Core Indicators'!AP69</f>
        <v>3</v>
      </c>
      <c r="J69" s="276">
        <f>'Core Indicators'!BN69</f>
        <v>2</v>
      </c>
      <c r="K69" s="276">
        <f t="shared" si="20"/>
        <v>2.5</v>
      </c>
      <c r="L69" s="213">
        <f t="shared" si="21"/>
        <v>2.8</v>
      </c>
      <c r="M69" s="277">
        <f t="shared" si="14"/>
        <v>3</v>
      </c>
      <c r="N69" s="278">
        <f>'Core Indicators'!DJ69</f>
        <v>3</v>
      </c>
      <c r="O69" s="278">
        <f>'Core Indicators'!DR69</f>
        <v>3</v>
      </c>
      <c r="P69" s="278">
        <f>'Core Indicators'!DZ69</f>
        <v>3</v>
      </c>
      <c r="Q69" s="278">
        <f>'Core Indicators'!EH69</f>
        <v>3</v>
      </c>
      <c r="R69" s="278">
        <f>'Core Indicators'!EP69</f>
        <v>3</v>
      </c>
      <c r="S69" s="214">
        <f t="shared" si="22"/>
        <v>1.6</v>
      </c>
      <c r="T69" s="214">
        <f t="shared" si="23"/>
        <v>1.1666666666666667</v>
      </c>
      <c r="U69" s="276">
        <v>1</v>
      </c>
      <c r="V69" s="276">
        <v>1</v>
      </c>
      <c r="W69" s="276">
        <f>'Core Indicators'!EX69</f>
        <v>2</v>
      </c>
      <c r="X69" s="214">
        <f t="shared" si="24"/>
        <v>1.5</v>
      </c>
      <c r="Y69" s="276">
        <v>1</v>
      </c>
      <c r="Z69" s="214">
        <f t="shared" si="25"/>
        <v>2</v>
      </c>
      <c r="AA69" s="276" t="str">
        <f>'Core Indicators'!FF69</f>
        <v>x</v>
      </c>
      <c r="AB69" s="276">
        <f t="shared" si="26"/>
        <v>2</v>
      </c>
      <c r="AC69" s="11">
        <f>'Core Indicators'!GD69</f>
        <v>2</v>
      </c>
      <c r="AD69" s="11">
        <f>'Core Indicators'!GL69</f>
        <v>2</v>
      </c>
      <c r="AE69" s="11">
        <f>'Core Indicators'!GT69</f>
        <v>2</v>
      </c>
      <c r="AF69" s="11">
        <f>'Core Indicators'!HB69</f>
        <v>2</v>
      </c>
      <c r="AG69" s="11">
        <f t="shared" si="27"/>
        <v>2</v>
      </c>
      <c r="AH69" s="11">
        <f>'Core Indicators'!HJ69</f>
        <v>2</v>
      </c>
      <c r="AI69" s="11">
        <f>'Core Indicators'!HR69</f>
        <v>2</v>
      </c>
      <c r="AJ69" s="11">
        <f t="shared" si="28"/>
        <v>2</v>
      </c>
      <c r="AK69" s="11">
        <f>'Core Indicators'!HZ69</f>
        <v>2</v>
      </c>
      <c r="AL69" s="11">
        <f>'Core Indicators'!IH69</f>
        <v>2</v>
      </c>
      <c r="AM69" s="11">
        <f>'Core Indicators'!IP69</f>
        <v>2</v>
      </c>
      <c r="AN69" s="11">
        <f t="shared" si="15"/>
        <v>2</v>
      </c>
    </row>
    <row r="70" spans="1:40" x14ac:dyDescent="0.3">
      <c r="A70" s="276" t="str">
        <f>Lists!C:C</f>
        <v>LBN002</v>
      </c>
      <c r="B70" s="213">
        <f t="shared" si="16"/>
        <v>2.2999999999999998</v>
      </c>
      <c r="C70" s="214">
        <f t="shared" si="17"/>
        <v>0</v>
      </c>
      <c r="D70" s="277">
        <f t="shared" si="18"/>
        <v>2</v>
      </c>
      <c r="E70" s="276">
        <f>'Core Indicators'!R70</f>
        <v>1</v>
      </c>
      <c r="F70" s="276">
        <f>'Core Indicators'!Z70</f>
        <v>2</v>
      </c>
      <c r="G70" s="214">
        <f t="shared" si="19"/>
        <v>1.5</v>
      </c>
      <c r="H70" s="276">
        <f>'Core Indicators'!AH70</f>
        <v>2</v>
      </c>
      <c r="I70" s="276">
        <f>'Core Indicators'!AP70</f>
        <v>2</v>
      </c>
      <c r="J70" s="276">
        <f>'Core Indicators'!BN70</f>
        <v>3</v>
      </c>
      <c r="K70" s="276">
        <f t="shared" si="20"/>
        <v>2.5</v>
      </c>
      <c r="L70" s="213">
        <f t="shared" si="21"/>
        <v>2.2999999999999998</v>
      </c>
      <c r="M70" s="277">
        <f t="shared" si="14"/>
        <v>3</v>
      </c>
      <c r="N70" s="278">
        <f>'Core Indicators'!DJ70</f>
        <v>3</v>
      </c>
      <c r="O70" s="278">
        <f>'Core Indicators'!DR70</f>
        <v>3</v>
      </c>
      <c r="P70" s="278">
        <f>'Core Indicators'!DZ70</f>
        <v>3</v>
      </c>
      <c r="Q70" s="278">
        <f>'Core Indicators'!EH70</f>
        <v>3</v>
      </c>
      <c r="R70" s="278">
        <f>'Core Indicators'!EP70</f>
        <v>3</v>
      </c>
      <c r="S70" s="214">
        <f t="shared" si="22"/>
        <v>1.4</v>
      </c>
      <c r="T70" s="214">
        <f t="shared" si="23"/>
        <v>1.3333333333333333</v>
      </c>
      <c r="U70" s="276">
        <v>1</v>
      </c>
      <c r="V70" s="276">
        <v>1</v>
      </c>
      <c r="W70" s="276">
        <f>'Core Indicators'!EX70</f>
        <v>3</v>
      </c>
      <c r="X70" s="214">
        <f t="shared" si="24"/>
        <v>2</v>
      </c>
      <c r="Y70" s="276">
        <v>1</v>
      </c>
      <c r="Z70" s="214">
        <f t="shared" si="25"/>
        <v>1.5</v>
      </c>
      <c r="AA70" s="276">
        <f>'Core Indicators'!FF70</f>
        <v>1</v>
      </c>
      <c r="AB70" s="276">
        <f t="shared" si="26"/>
        <v>2</v>
      </c>
      <c r="AC70" s="11">
        <f>'Core Indicators'!GD70</f>
        <v>2</v>
      </c>
      <c r="AD70" s="11">
        <f>'Core Indicators'!GL70</f>
        <v>2</v>
      </c>
      <c r="AE70" s="11">
        <f>'Core Indicators'!GT70</f>
        <v>2</v>
      </c>
      <c r="AF70" s="11">
        <f>'Core Indicators'!HB70</f>
        <v>2</v>
      </c>
      <c r="AG70" s="11">
        <f t="shared" si="27"/>
        <v>2</v>
      </c>
      <c r="AH70" s="11">
        <f>'Core Indicators'!HJ70</f>
        <v>2</v>
      </c>
      <c r="AI70" s="11">
        <f>'Core Indicators'!HR70</f>
        <v>2</v>
      </c>
      <c r="AJ70" s="11">
        <f t="shared" si="28"/>
        <v>2</v>
      </c>
      <c r="AK70" s="11">
        <f>'Core Indicators'!HZ70</f>
        <v>2</v>
      </c>
      <c r="AL70" s="11">
        <f>'Core Indicators'!IH70</f>
        <v>2</v>
      </c>
      <c r="AM70" s="11">
        <f>'Core Indicators'!IP70</f>
        <v>2</v>
      </c>
      <c r="AN70" s="11">
        <f t="shared" si="15"/>
        <v>2</v>
      </c>
    </row>
    <row r="71" spans="1:40" x14ac:dyDescent="0.3">
      <c r="A71" s="276" t="str">
        <f>Lists!C:C</f>
        <v>LBN004</v>
      </c>
      <c r="B71" s="213">
        <f t="shared" si="16"/>
        <v>2.4</v>
      </c>
      <c r="C71" s="214">
        <f t="shared" si="17"/>
        <v>1</v>
      </c>
      <c r="D71" s="277">
        <f t="shared" si="18"/>
        <v>2.6</v>
      </c>
      <c r="E71" s="276">
        <f>'Core Indicators'!R71</f>
        <v>1</v>
      </c>
      <c r="F71" s="276">
        <f>'Core Indicators'!Z71</f>
        <v>2</v>
      </c>
      <c r="G71" s="214">
        <f t="shared" si="19"/>
        <v>1.5</v>
      </c>
      <c r="H71" s="276">
        <f>'Core Indicators'!AH71</f>
        <v>3</v>
      </c>
      <c r="I71" s="276" t="str">
        <f>'Core Indicators'!AP71</f>
        <v>x</v>
      </c>
      <c r="J71" s="276">
        <f>'Core Indicators'!BN71</f>
        <v>3</v>
      </c>
      <c r="K71" s="276">
        <f t="shared" si="20"/>
        <v>3</v>
      </c>
      <c r="L71" s="213">
        <f t="shared" si="21"/>
        <v>3</v>
      </c>
      <c r="M71" s="277">
        <f t="shared" ref="M71:M134" si="29">IF(N71="x","x",AVERAGE(N71:R71))</f>
        <v>3</v>
      </c>
      <c r="N71" s="278">
        <f>'Core Indicators'!DJ71</f>
        <v>3</v>
      </c>
      <c r="O71" s="278">
        <f>'Core Indicators'!DR71</f>
        <v>3</v>
      </c>
      <c r="P71" s="278">
        <f>'Core Indicators'!DZ71</f>
        <v>3</v>
      </c>
      <c r="Q71" s="278">
        <f>'Core Indicators'!EH71</f>
        <v>3</v>
      </c>
      <c r="R71" s="278">
        <f>'Core Indicators'!EP71</f>
        <v>3</v>
      </c>
      <c r="S71" s="214">
        <f t="shared" si="22"/>
        <v>1.4</v>
      </c>
      <c r="T71" s="214">
        <f t="shared" si="23"/>
        <v>1.3333333333333333</v>
      </c>
      <c r="U71" s="276">
        <v>1</v>
      </c>
      <c r="V71" s="276">
        <v>1</v>
      </c>
      <c r="W71" s="276">
        <f>'Core Indicators'!EX71</f>
        <v>3</v>
      </c>
      <c r="X71" s="214">
        <f t="shared" si="24"/>
        <v>2</v>
      </c>
      <c r="Y71" s="276">
        <v>1</v>
      </c>
      <c r="Z71" s="214">
        <f t="shared" si="25"/>
        <v>1.375</v>
      </c>
      <c r="AA71" s="276">
        <f>'Core Indicators'!FF71</f>
        <v>1</v>
      </c>
      <c r="AB71" s="276">
        <f t="shared" si="26"/>
        <v>1.75</v>
      </c>
      <c r="AC71" s="11">
        <f>'Core Indicators'!GD71</f>
        <v>3</v>
      </c>
      <c r="AD71" s="11">
        <f>'Core Indicators'!GL71</f>
        <v>1</v>
      </c>
      <c r="AE71" s="11">
        <f>'Core Indicators'!GT71</f>
        <v>1</v>
      </c>
      <c r="AF71" s="11">
        <f>'Core Indicators'!HB71</f>
        <v>2</v>
      </c>
      <c r="AG71" s="11">
        <f t="shared" si="27"/>
        <v>1.75</v>
      </c>
      <c r="AH71" s="11">
        <f>'Core Indicators'!HJ71</f>
        <v>2</v>
      </c>
      <c r="AI71" s="11">
        <f>'Core Indicators'!HR71</f>
        <v>1</v>
      </c>
      <c r="AJ71" s="11">
        <f t="shared" si="28"/>
        <v>1.5</v>
      </c>
      <c r="AK71" s="11">
        <f>'Core Indicators'!HZ71</f>
        <v>2</v>
      </c>
      <c r="AL71" s="11">
        <f>'Core Indicators'!IH71</f>
        <v>2</v>
      </c>
      <c r="AM71" s="11">
        <f>'Core Indicators'!IP71</f>
        <v>2</v>
      </c>
      <c r="AN71" s="11">
        <f t="shared" si="15"/>
        <v>2</v>
      </c>
    </row>
    <row r="72" spans="1:40" x14ac:dyDescent="0.3">
      <c r="A72" s="276" t="str">
        <f>Lists!C:C</f>
        <v>LBN005</v>
      </c>
      <c r="B72" s="213">
        <f t="shared" si="16"/>
        <v>2.4</v>
      </c>
      <c r="C72" s="214">
        <f t="shared" si="17"/>
        <v>0</v>
      </c>
      <c r="D72" s="277">
        <f t="shared" si="18"/>
        <v>2.5</v>
      </c>
      <c r="E72" s="276">
        <f>'Core Indicators'!R72</f>
        <v>3</v>
      </c>
      <c r="F72" s="276">
        <f>'Core Indicators'!Z72</f>
        <v>2</v>
      </c>
      <c r="G72" s="214">
        <f t="shared" si="19"/>
        <v>2.5</v>
      </c>
      <c r="H72" s="276">
        <f>'Core Indicators'!AH72</f>
        <v>3</v>
      </c>
      <c r="I72" s="276">
        <f>'Core Indicators'!AP72</f>
        <v>2</v>
      </c>
      <c r="J72" s="276">
        <f>'Core Indicators'!BN72</f>
        <v>2</v>
      </c>
      <c r="K72" s="276">
        <f t="shared" si="20"/>
        <v>2</v>
      </c>
      <c r="L72" s="213">
        <f t="shared" si="21"/>
        <v>2.5</v>
      </c>
      <c r="M72" s="277">
        <f t="shared" si="29"/>
        <v>3</v>
      </c>
      <c r="N72" s="278">
        <f>'Core Indicators'!DJ72</f>
        <v>3</v>
      </c>
      <c r="O72" s="278">
        <f>'Core Indicators'!DR72</f>
        <v>3</v>
      </c>
      <c r="P72" s="278">
        <f>'Core Indicators'!DZ72</f>
        <v>3</v>
      </c>
      <c r="Q72" s="278">
        <f>'Core Indicators'!EH72</f>
        <v>3</v>
      </c>
      <c r="R72" s="278">
        <f>'Core Indicators'!EP72</f>
        <v>3</v>
      </c>
      <c r="S72" s="214">
        <f t="shared" si="22"/>
        <v>1.4</v>
      </c>
      <c r="T72" s="214">
        <f t="shared" si="23"/>
        <v>1.3333333333333333</v>
      </c>
      <c r="U72" s="276">
        <v>1</v>
      </c>
      <c r="V72" s="276">
        <v>1</v>
      </c>
      <c r="W72" s="276">
        <f>'Core Indicators'!EX72</f>
        <v>3</v>
      </c>
      <c r="X72" s="214">
        <f t="shared" si="24"/>
        <v>2</v>
      </c>
      <c r="Y72" s="276">
        <v>1</v>
      </c>
      <c r="Z72" s="214">
        <f t="shared" si="25"/>
        <v>1.5</v>
      </c>
      <c r="AA72" s="276">
        <f>'Core Indicators'!FF72</f>
        <v>1</v>
      </c>
      <c r="AB72" s="276">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76" t="str">
        <f>Lists!C:C</f>
        <v>LSO002</v>
      </c>
      <c r="B73" s="213">
        <f t="shared" si="16"/>
        <v>1.8</v>
      </c>
      <c r="C73" s="214">
        <f t="shared" si="17"/>
        <v>0</v>
      </c>
      <c r="D73" s="277">
        <f t="shared" si="18"/>
        <v>2.2000000000000002</v>
      </c>
      <c r="E73" s="276">
        <f>'Core Indicators'!R73</f>
        <v>2</v>
      </c>
      <c r="F73" s="276">
        <f>'Core Indicators'!Z73</f>
        <v>2</v>
      </c>
      <c r="G73" s="214">
        <f t="shared" si="19"/>
        <v>2</v>
      </c>
      <c r="H73" s="276">
        <f>'Core Indicators'!AH73</f>
        <v>2</v>
      </c>
      <c r="I73" s="276">
        <f>'Core Indicators'!AP73</f>
        <v>3</v>
      </c>
      <c r="J73" s="276">
        <f>'Core Indicators'!BN73</f>
        <v>2</v>
      </c>
      <c r="K73" s="276">
        <f t="shared" si="20"/>
        <v>2.5</v>
      </c>
      <c r="L73" s="213">
        <f t="shared" si="21"/>
        <v>2.2999999999999998</v>
      </c>
      <c r="M73" s="277">
        <f t="shared" si="29"/>
        <v>2</v>
      </c>
      <c r="N73" s="278">
        <f>'Core Indicators'!DJ73</f>
        <v>2</v>
      </c>
      <c r="O73" s="278">
        <f>'Core Indicators'!DR73</f>
        <v>2</v>
      </c>
      <c r="P73" s="278">
        <f>'Core Indicators'!DZ73</f>
        <v>2</v>
      </c>
      <c r="Q73" s="278">
        <f>'Core Indicators'!EH73</f>
        <v>2</v>
      </c>
      <c r="R73" s="278">
        <f>'Core Indicators'!EP73</f>
        <v>2</v>
      </c>
      <c r="S73" s="214">
        <f t="shared" si="22"/>
        <v>1.3</v>
      </c>
      <c r="T73" s="214">
        <f t="shared" si="23"/>
        <v>1.1666666666666667</v>
      </c>
      <c r="U73" s="276">
        <v>1</v>
      </c>
      <c r="V73" s="276">
        <v>1</v>
      </c>
      <c r="W73" s="276">
        <f>'Core Indicators'!EX73</f>
        <v>2</v>
      </c>
      <c r="X73" s="214">
        <f t="shared" si="24"/>
        <v>1.5</v>
      </c>
      <c r="Y73" s="276">
        <v>1</v>
      </c>
      <c r="Z73" s="214">
        <f t="shared" si="25"/>
        <v>1.5</v>
      </c>
      <c r="AA73" s="276">
        <f>'Core Indicators'!FF73</f>
        <v>2</v>
      </c>
      <c r="AB73" s="276">
        <f t="shared" si="26"/>
        <v>1</v>
      </c>
      <c r="AC73" s="11">
        <f>'Core Indicators'!GD73</f>
        <v>1</v>
      </c>
      <c r="AD73" s="11">
        <f>'Core Indicators'!GL73</f>
        <v>1</v>
      </c>
      <c r="AE73" s="11">
        <f>'Core Indicators'!GT73</f>
        <v>1</v>
      </c>
      <c r="AF73" s="11">
        <f>'Core Indicators'!HB73</f>
        <v>1</v>
      </c>
      <c r="AG73" s="11">
        <f t="shared" si="27"/>
        <v>1</v>
      </c>
      <c r="AH73" s="11">
        <f>'Core Indicators'!HJ73</f>
        <v>1</v>
      </c>
      <c r="AI73" s="11">
        <f>'Core Indicators'!HR73</f>
        <v>1</v>
      </c>
      <c r="AJ73" s="11">
        <f t="shared" si="28"/>
        <v>1</v>
      </c>
      <c r="AK73" s="11">
        <f>'Core Indicators'!HZ73</f>
        <v>1</v>
      </c>
      <c r="AL73" s="11">
        <f>'Core Indicators'!IH73</f>
        <v>1</v>
      </c>
      <c r="AM73" s="11">
        <f>'Core Indicators'!IP73</f>
        <v>1</v>
      </c>
      <c r="AN73" s="11">
        <f t="shared" si="15"/>
        <v>1</v>
      </c>
    </row>
    <row r="74" spans="1:40" x14ac:dyDescent="0.3">
      <c r="A74" s="276" t="str">
        <f>Lists!C:C</f>
        <v>REG012</v>
      </c>
      <c r="B74" s="213">
        <f t="shared" si="16"/>
        <v>1.8</v>
      </c>
      <c r="C74" s="214">
        <f t="shared" si="17"/>
        <v>0</v>
      </c>
      <c r="D74" s="277">
        <f t="shared" si="18"/>
        <v>2</v>
      </c>
      <c r="E74" s="276">
        <f>'Core Indicators'!R74</f>
        <v>2</v>
      </c>
      <c r="F74" s="276">
        <f>'Core Indicators'!Z74</f>
        <v>2</v>
      </c>
      <c r="G74" s="214">
        <f t="shared" si="19"/>
        <v>2</v>
      </c>
      <c r="H74" s="276">
        <f>'Core Indicators'!AH74</f>
        <v>2</v>
      </c>
      <c r="I74" s="276">
        <f>'Core Indicators'!AP74</f>
        <v>2</v>
      </c>
      <c r="J74" s="276">
        <f>'Core Indicators'!BN74</f>
        <v>2</v>
      </c>
      <c r="K74" s="276">
        <f t="shared" si="20"/>
        <v>2</v>
      </c>
      <c r="L74" s="213">
        <f t="shared" si="21"/>
        <v>2</v>
      </c>
      <c r="M74" s="277">
        <f t="shared" si="29"/>
        <v>2</v>
      </c>
      <c r="N74" s="278">
        <f>'Core Indicators'!DJ74</f>
        <v>2</v>
      </c>
      <c r="O74" s="278">
        <f>'Core Indicators'!DR74</f>
        <v>2</v>
      </c>
      <c r="P74" s="278">
        <f>'Core Indicators'!DZ74</f>
        <v>2</v>
      </c>
      <c r="Q74" s="278">
        <f>'Core Indicators'!EH74</f>
        <v>2</v>
      </c>
      <c r="R74" s="278">
        <f>'Core Indicators'!EP74</f>
        <v>2</v>
      </c>
      <c r="S74" s="214">
        <f t="shared" si="22"/>
        <v>1.3</v>
      </c>
      <c r="T74" s="214">
        <f t="shared" si="23"/>
        <v>1.1666666666666667</v>
      </c>
      <c r="U74" s="276">
        <v>1</v>
      </c>
      <c r="V74" s="276">
        <v>1</v>
      </c>
      <c r="W74" s="276">
        <f>'Core Indicators'!EX74</f>
        <v>2</v>
      </c>
      <c r="X74" s="214">
        <f t="shared" si="24"/>
        <v>1.5</v>
      </c>
      <c r="Y74" s="276">
        <v>1</v>
      </c>
      <c r="Z74" s="214">
        <f t="shared" si="25"/>
        <v>1.5</v>
      </c>
      <c r="AA74" s="276">
        <f>'Core Indicators'!FF74</f>
        <v>1</v>
      </c>
      <c r="AB74" s="276">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76" t="str">
        <f>Lists!C:C</f>
        <v>LBY001</v>
      </c>
      <c r="B75" s="213">
        <f t="shared" si="16"/>
        <v>1.8</v>
      </c>
      <c r="C75" s="214">
        <f t="shared" si="17"/>
        <v>0</v>
      </c>
      <c r="D75" s="277">
        <f t="shared" si="18"/>
        <v>1.9</v>
      </c>
      <c r="E75" s="276">
        <f>'Core Indicators'!R75</f>
        <v>1</v>
      </c>
      <c r="F75" s="276">
        <f>'Core Indicators'!Z75</f>
        <v>1</v>
      </c>
      <c r="G75" s="214">
        <f t="shared" si="19"/>
        <v>1</v>
      </c>
      <c r="H75" s="276">
        <f>'Core Indicators'!AH75</f>
        <v>2</v>
      </c>
      <c r="I75" s="276">
        <f>'Core Indicators'!AP75</f>
        <v>2</v>
      </c>
      <c r="J75" s="276">
        <f>'Core Indicators'!BN75</f>
        <v>3</v>
      </c>
      <c r="K75" s="276">
        <f t="shared" si="20"/>
        <v>2.5</v>
      </c>
      <c r="L75" s="213">
        <f t="shared" si="21"/>
        <v>2.2999999999999998</v>
      </c>
      <c r="M75" s="277">
        <f t="shared" si="29"/>
        <v>2</v>
      </c>
      <c r="N75" s="278">
        <f>'Core Indicators'!DJ75</f>
        <v>2</v>
      </c>
      <c r="O75" s="278">
        <f>'Core Indicators'!DR75</f>
        <v>2</v>
      </c>
      <c r="P75" s="278">
        <f>'Core Indicators'!DZ75</f>
        <v>2</v>
      </c>
      <c r="Q75" s="278">
        <f>'Core Indicators'!EH75</f>
        <v>2</v>
      </c>
      <c r="R75" s="278">
        <f>'Core Indicators'!EP75</f>
        <v>2</v>
      </c>
      <c r="S75" s="214">
        <f t="shared" si="22"/>
        <v>1.4</v>
      </c>
      <c r="T75" s="214">
        <f t="shared" si="23"/>
        <v>1.3333333333333333</v>
      </c>
      <c r="U75" s="276">
        <v>1</v>
      </c>
      <c r="V75" s="276">
        <v>1</v>
      </c>
      <c r="W75" s="276">
        <f>'Core Indicators'!EX75</f>
        <v>3</v>
      </c>
      <c r="X75" s="214">
        <f t="shared" si="24"/>
        <v>2</v>
      </c>
      <c r="Y75" s="276">
        <v>1</v>
      </c>
      <c r="Z75" s="214">
        <f t="shared" si="25"/>
        <v>1.5</v>
      </c>
      <c r="AA75" s="276">
        <f>'Core Indicators'!FF75</f>
        <v>1</v>
      </c>
      <c r="AB75" s="276">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76" t="str">
        <f>Lists!C:C</f>
        <v>LBY002</v>
      </c>
      <c r="B76" s="213">
        <f t="shared" si="16"/>
        <v>1.8</v>
      </c>
      <c r="C76" s="214">
        <f t="shared" si="17"/>
        <v>0</v>
      </c>
      <c r="D76" s="277">
        <f t="shared" si="18"/>
        <v>2</v>
      </c>
      <c r="E76" s="276">
        <f>'Core Indicators'!R76</f>
        <v>1</v>
      </c>
      <c r="F76" s="276">
        <f>'Core Indicators'!Z76</f>
        <v>2</v>
      </c>
      <c r="G76" s="214">
        <f t="shared" si="19"/>
        <v>1.5</v>
      </c>
      <c r="H76" s="276">
        <f>'Core Indicators'!AH76</f>
        <v>2</v>
      </c>
      <c r="I76" s="276">
        <f>'Core Indicators'!AP76</f>
        <v>2</v>
      </c>
      <c r="J76" s="276">
        <f>'Core Indicators'!BN76</f>
        <v>3</v>
      </c>
      <c r="K76" s="276">
        <f t="shared" si="20"/>
        <v>2.5</v>
      </c>
      <c r="L76" s="213">
        <f t="shared" si="21"/>
        <v>2.2999999999999998</v>
      </c>
      <c r="M76" s="277">
        <f t="shared" si="29"/>
        <v>2</v>
      </c>
      <c r="N76" s="278">
        <f>'Core Indicators'!DJ76</f>
        <v>2</v>
      </c>
      <c r="O76" s="278">
        <f>'Core Indicators'!DR76</f>
        <v>2</v>
      </c>
      <c r="P76" s="278">
        <f>'Core Indicators'!DZ76</f>
        <v>2</v>
      </c>
      <c r="Q76" s="278">
        <f>'Core Indicators'!EH76</f>
        <v>2</v>
      </c>
      <c r="R76" s="278">
        <f>'Core Indicators'!EP76</f>
        <v>2</v>
      </c>
      <c r="S76" s="214">
        <f t="shared" si="22"/>
        <v>1.4</v>
      </c>
      <c r="T76" s="214">
        <f t="shared" si="23"/>
        <v>1.3333333333333333</v>
      </c>
      <c r="U76" s="276">
        <v>1</v>
      </c>
      <c r="V76" s="276">
        <v>1</v>
      </c>
      <c r="W76" s="276">
        <f>'Core Indicators'!EX76</f>
        <v>3</v>
      </c>
      <c r="X76" s="214">
        <f t="shared" si="24"/>
        <v>2</v>
      </c>
      <c r="Y76" s="276">
        <v>1</v>
      </c>
      <c r="Z76" s="214">
        <f t="shared" si="25"/>
        <v>1.5</v>
      </c>
      <c r="AA76" s="276">
        <f>'Core Indicators'!FF76</f>
        <v>1</v>
      </c>
      <c r="AB76" s="276">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76" t="str">
        <f>Lists!C:C</f>
        <v>MDG002</v>
      </c>
      <c r="B77" s="213">
        <f t="shared" si="16"/>
        <v>1.8</v>
      </c>
      <c r="C77" s="214">
        <f t="shared" si="17"/>
        <v>1</v>
      </c>
      <c r="D77" s="277">
        <f t="shared" si="18"/>
        <v>2.2000000000000002</v>
      </c>
      <c r="E77" s="276">
        <f>'Core Indicators'!R77</f>
        <v>1</v>
      </c>
      <c r="F77" s="276">
        <f>'Core Indicators'!Z77</f>
        <v>2</v>
      </c>
      <c r="G77" s="214">
        <f t="shared" si="19"/>
        <v>1.5</v>
      </c>
      <c r="H77" s="276">
        <f>'Core Indicators'!AH77</f>
        <v>2</v>
      </c>
      <c r="I77" s="276">
        <f>'Core Indicators'!AP77</f>
        <v>3</v>
      </c>
      <c r="J77" s="276" t="str">
        <f>'Core Indicators'!BN77</f>
        <v>x</v>
      </c>
      <c r="K77" s="276">
        <f t="shared" si="20"/>
        <v>3</v>
      </c>
      <c r="L77" s="213">
        <f t="shared" si="21"/>
        <v>2.5</v>
      </c>
      <c r="M77" s="277">
        <f t="shared" si="29"/>
        <v>2</v>
      </c>
      <c r="N77" s="278">
        <f>'Core Indicators'!DJ77</f>
        <v>2</v>
      </c>
      <c r="O77" s="278">
        <f>'Core Indicators'!DR77</f>
        <v>2</v>
      </c>
      <c r="P77" s="278">
        <f>'Core Indicators'!DZ77</f>
        <v>2</v>
      </c>
      <c r="Q77" s="278">
        <f>'Core Indicators'!EH77</f>
        <v>2</v>
      </c>
      <c r="R77" s="278">
        <f>'Core Indicators'!EP77</f>
        <v>2</v>
      </c>
      <c r="S77" s="214">
        <f t="shared" si="22"/>
        <v>1.2</v>
      </c>
      <c r="T77" s="214">
        <f t="shared" si="23"/>
        <v>1.3333333333333333</v>
      </c>
      <c r="U77" s="276">
        <v>1</v>
      </c>
      <c r="V77" s="276">
        <v>1</v>
      </c>
      <c r="W77" s="276">
        <f>'Core Indicators'!EX77</f>
        <v>3</v>
      </c>
      <c r="X77" s="214">
        <f t="shared" si="24"/>
        <v>2</v>
      </c>
      <c r="Y77" s="276">
        <v>1</v>
      </c>
      <c r="Z77" s="214">
        <f t="shared" si="25"/>
        <v>1</v>
      </c>
      <c r="AA77" s="276">
        <f>'Core Indicators'!FF77</f>
        <v>1</v>
      </c>
      <c r="AB77" s="276">
        <f t="shared" si="26"/>
        <v>1</v>
      </c>
      <c r="AC77" s="11">
        <f>'Core Indicators'!GD77</f>
        <v>1</v>
      </c>
      <c r="AD77" s="11">
        <f>'Core Indicators'!GL77</f>
        <v>1</v>
      </c>
      <c r="AE77" s="11">
        <f>'Core Indicators'!GT77</f>
        <v>1</v>
      </c>
      <c r="AF77" s="11">
        <f>'Core Indicators'!HB77</f>
        <v>1</v>
      </c>
      <c r="AG77" s="11">
        <f t="shared" si="27"/>
        <v>1</v>
      </c>
      <c r="AH77" s="11">
        <f>'Core Indicators'!HJ77</f>
        <v>1</v>
      </c>
      <c r="AI77" s="11">
        <f>'Core Indicators'!HR77</f>
        <v>1</v>
      </c>
      <c r="AJ77" s="11">
        <f t="shared" si="28"/>
        <v>1</v>
      </c>
      <c r="AK77" s="11">
        <f>'Core Indicators'!HZ77</f>
        <v>1</v>
      </c>
      <c r="AL77" s="11">
        <f>'Core Indicators'!IH77</f>
        <v>1</v>
      </c>
      <c r="AM77" s="11">
        <f>'Core Indicators'!IP77</f>
        <v>1</v>
      </c>
      <c r="AN77" s="11">
        <f t="shared" si="15"/>
        <v>1</v>
      </c>
    </row>
    <row r="78" spans="1:40" x14ac:dyDescent="0.3">
      <c r="A78" s="276" t="str">
        <f>Lists!C:C</f>
        <v>MDG004</v>
      </c>
      <c r="B78" s="213">
        <f t="shared" si="16"/>
        <v>1.9</v>
      </c>
      <c r="C78" s="214">
        <f t="shared" si="17"/>
        <v>0</v>
      </c>
      <c r="D78" s="277">
        <f t="shared" si="18"/>
        <v>1.8</v>
      </c>
      <c r="E78" s="276">
        <f>'Core Indicators'!R78</f>
        <v>1</v>
      </c>
      <c r="F78" s="276">
        <f>'Core Indicators'!Z78</f>
        <v>2</v>
      </c>
      <c r="G78" s="214">
        <f t="shared" si="19"/>
        <v>1.5</v>
      </c>
      <c r="H78" s="276">
        <f>'Core Indicators'!AH78</f>
        <v>2</v>
      </c>
      <c r="I78" s="276">
        <f>'Core Indicators'!AP78</f>
        <v>2</v>
      </c>
      <c r="J78" s="276">
        <f>'Core Indicators'!BN78</f>
        <v>2</v>
      </c>
      <c r="K78" s="276">
        <f t="shared" si="20"/>
        <v>2</v>
      </c>
      <c r="L78" s="213">
        <f t="shared" si="21"/>
        <v>2</v>
      </c>
      <c r="M78" s="277">
        <f t="shared" si="29"/>
        <v>2</v>
      </c>
      <c r="N78" s="278">
        <f>'Core Indicators'!DJ78</f>
        <v>2</v>
      </c>
      <c r="O78" s="278">
        <f>'Core Indicators'!DR78</f>
        <v>2</v>
      </c>
      <c r="P78" s="278">
        <f>'Core Indicators'!DZ78</f>
        <v>2</v>
      </c>
      <c r="Q78" s="278">
        <f>'Core Indicators'!EH78</f>
        <v>2</v>
      </c>
      <c r="R78" s="278">
        <f>'Core Indicators'!EP78</f>
        <v>2</v>
      </c>
      <c r="S78" s="214">
        <f t="shared" si="22"/>
        <v>1.7</v>
      </c>
      <c r="T78" s="214">
        <f t="shared" si="23"/>
        <v>1.3333333333333333</v>
      </c>
      <c r="U78" s="276">
        <v>1</v>
      </c>
      <c r="V78" s="276">
        <v>1</v>
      </c>
      <c r="W78" s="276">
        <f>'Core Indicators'!EX78</f>
        <v>3</v>
      </c>
      <c r="X78" s="214">
        <f t="shared" si="24"/>
        <v>2</v>
      </c>
      <c r="Y78" s="276">
        <v>1</v>
      </c>
      <c r="Z78" s="214">
        <f t="shared" si="25"/>
        <v>2</v>
      </c>
      <c r="AA78" s="276">
        <f>'Core Indicators'!FF78</f>
        <v>2</v>
      </c>
      <c r="AB78" s="276">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76" t="str">
        <f>Lists!C:C</f>
        <v>MDG005</v>
      </c>
      <c r="B79" s="213">
        <f t="shared" si="16"/>
        <v>1.9</v>
      </c>
      <c r="C79" s="214">
        <f t="shared" si="17"/>
        <v>0</v>
      </c>
      <c r="D79" s="277">
        <f t="shared" si="18"/>
        <v>2</v>
      </c>
      <c r="E79" s="276">
        <f>'Core Indicators'!R79</f>
        <v>1</v>
      </c>
      <c r="F79" s="276">
        <f>'Core Indicators'!Z79</f>
        <v>2</v>
      </c>
      <c r="G79" s="214">
        <f t="shared" si="19"/>
        <v>1.5</v>
      </c>
      <c r="H79" s="276">
        <f>'Core Indicators'!AH79</f>
        <v>2</v>
      </c>
      <c r="I79" s="276">
        <f>'Core Indicators'!AP79</f>
        <v>3</v>
      </c>
      <c r="J79" s="276">
        <f>'Core Indicators'!BN79</f>
        <v>2</v>
      </c>
      <c r="K79" s="276">
        <f t="shared" si="20"/>
        <v>2.5</v>
      </c>
      <c r="L79" s="213">
        <f t="shared" si="21"/>
        <v>2.2999999999999998</v>
      </c>
      <c r="M79" s="277">
        <f t="shared" si="29"/>
        <v>2</v>
      </c>
      <c r="N79" s="278">
        <f>'Core Indicators'!DJ79</f>
        <v>2</v>
      </c>
      <c r="O79" s="278">
        <f>'Core Indicators'!DR79</f>
        <v>2</v>
      </c>
      <c r="P79" s="278">
        <f>'Core Indicators'!DZ79</f>
        <v>2</v>
      </c>
      <c r="Q79" s="278">
        <f>'Core Indicators'!EH79</f>
        <v>2</v>
      </c>
      <c r="R79" s="278">
        <f>'Core Indicators'!EP79</f>
        <v>2</v>
      </c>
      <c r="S79" s="214">
        <f t="shared" si="22"/>
        <v>1.7</v>
      </c>
      <c r="T79" s="214">
        <f t="shared" si="23"/>
        <v>1.3333333333333333</v>
      </c>
      <c r="U79" s="276">
        <v>1</v>
      </c>
      <c r="V79" s="276">
        <v>1</v>
      </c>
      <c r="W79" s="276">
        <f>'Core Indicators'!EX79</f>
        <v>3</v>
      </c>
      <c r="X79" s="214">
        <f t="shared" si="24"/>
        <v>2</v>
      </c>
      <c r="Y79" s="276">
        <v>1</v>
      </c>
      <c r="Z79" s="214">
        <f t="shared" si="25"/>
        <v>2</v>
      </c>
      <c r="AA79" s="276">
        <f>'Core Indicators'!FF79</f>
        <v>2</v>
      </c>
      <c r="AB79" s="276">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76" t="str">
        <f>Lists!C:C</f>
        <v>MWI002</v>
      </c>
      <c r="B80" s="213">
        <f t="shared" si="16"/>
        <v>1.8</v>
      </c>
      <c r="C80" s="214">
        <f t="shared" si="17"/>
        <v>1</v>
      </c>
      <c r="D80" s="277">
        <f t="shared" si="18"/>
        <v>1.8</v>
      </c>
      <c r="E80" s="276">
        <f>'Core Indicators'!R80</f>
        <v>1</v>
      </c>
      <c r="F80" s="276">
        <f>'Core Indicators'!Z80</f>
        <v>2</v>
      </c>
      <c r="G80" s="214">
        <f t="shared" si="19"/>
        <v>1.5</v>
      </c>
      <c r="H80" s="276">
        <f>'Core Indicators'!AH80</f>
        <v>2</v>
      </c>
      <c r="I80" s="276">
        <f>'Core Indicators'!AP80</f>
        <v>2</v>
      </c>
      <c r="J80" s="276">
        <f>'Core Indicators'!BN80</f>
        <v>2</v>
      </c>
      <c r="K80" s="276">
        <f t="shared" si="20"/>
        <v>2</v>
      </c>
      <c r="L80" s="213">
        <f t="shared" si="21"/>
        <v>2</v>
      </c>
      <c r="M80" s="277">
        <f t="shared" si="29"/>
        <v>2</v>
      </c>
      <c r="N80" s="278">
        <f>'Core Indicators'!DJ80</f>
        <v>2</v>
      </c>
      <c r="O80" s="278">
        <f>'Core Indicators'!DR80</f>
        <v>2</v>
      </c>
      <c r="P80" s="278">
        <f>'Core Indicators'!DZ80</f>
        <v>2</v>
      </c>
      <c r="Q80" s="278">
        <f>'Core Indicators'!EH80</f>
        <v>2</v>
      </c>
      <c r="R80" s="278">
        <f>'Core Indicators'!EP80</f>
        <v>2</v>
      </c>
      <c r="S80" s="214">
        <f t="shared" si="22"/>
        <v>1.4</v>
      </c>
      <c r="T80" s="214">
        <f t="shared" si="23"/>
        <v>1.1666666666666667</v>
      </c>
      <c r="U80" s="276">
        <v>1</v>
      </c>
      <c r="V80" s="276">
        <v>1</v>
      </c>
      <c r="W80" s="276">
        <f>'Core Indicators'!EX80</f>
        <v>2</v>
      </c>
      <c r="X80" s="214">
        <f t="shared" si="24"/>
        <v>1.5</v>
      </c>
      <c r="Y80" s="276">
        <v>1</v>
      </c>
      <c r="Z80" s="214">
        <f t="shared" si="25"/>
        <v>1.5555555555555556</v>
      </c>
      <c r="AA80" s="276" t="str">
        <f>'Core Indicators'!FF80</f>
        <v>x</v>
      </c>
      <c r="AB80" s="276">
        <f t="shared" si="26"/>
        <v>1.5555555555555556</v>
      </c>
      <c r="AC80" s="11">
        <f>'Core Indicators'!GD80</f>
        <v>1</v>
      </c>
      <c r="AD80" s="11">
        <f>'Core Indicators'!GL80</f>
        <v>1</v>
      </c>
      <c r="AE80" s="11">
        <f>'Core Indicators'!GT80</f>
        <v>1</v>
      </c>
      <c r="AF80" s="11">
        <f>'Core Indicators'!HB80</f>
        <v>1</v>
      </c>
      <c r="AG80" s="11">
        <f t="shared" si="27"/>
        <v>1</v>
      </c>
      <c r="AH80" s="11">
        <f>'Core Indicators'!HJ80</f>
        <v>2</v>
      </c>
      <c r="AI80" s="11">
        <f>'Core Indicators'!HR80</f>
        <v>2</v>
      </c>
      <c r="AJ80" s="11">
        <f t="shared" si="28"/>
        <v>2</v>
      </c>
      <c r="AK80" s="11">
        <f>'Core Indicators'!HZ80</f>
        <v>1</v>
      </c>
      <c r="AL80" s="11">
        <f>'Core Indicators'!IH80</f>
        <v>2</v>
      </c>
      <c r="AM80" s="11">
        <f>'Core Indicators'!IP80</f>
        <v>2</v>
      </c>
      <c r="AN80" s="11">
        <f t="shared" si="15"/>
        <v>1.6666666666666667</v>
      </c>
    </row>
    <row r="81" spans="1:40" x14ac:dyDescent="0.3">
      <c r="A81" s="276" t="str">
        <f>Lists!C:C</f>
        <v>MLI001</v>
      </c>
      <c r="B81" s="213">
        <f t="shared" si="16"/>
        <v>1.7</v>
      </c>
      <c r="C81" s="214">
        <f t="shared" si="17"/>
        <v>0</v>
      </c>
      <c r="D81" s="277">
        <f t="shared" si="18"/>
        <v>1.8</v>
      </c>
      <c r="E81" s="276">
        <f>'Core Indicators'!R81</f>
        <v>1</v>
      </c>
      <c r="F81" s="276">
        <f>'Core Indicators'!Z81</f>
        <v>2</v>
      </c>
      <c r="G81" s="214">
        <f t="shared" si="19"/>
        <v>1.5</v>
      </c>
      <c r="H81" s="276">
        <f>'Core Indicators'!AH81</f>
        <v>2</v>
      </c>
      <c r="I81" s="276">
        <f>'Core Indicators'!AP81</f>
        <v>2</v>
      </c>
      <c r="J81" s="276">
        <f>'Core Indicators'!BN81</f>
        <v>2</v>
      </c>
      <c r="K81" s="276">
        <f t="shared" si="20"/>
        <v>2</v>
      </c>
      <c r="L81" s="213">
        <f t="shared" si="21"/>
        <v>2</v>
      </c>
      <c r="M81" s="277">
        <f t="shared" si="29"/>
        <v>2</v>
      </c>
      <c r="N81" s="278">
        <f>'Core Indicators'!DJ81</f>
        <v>2</v>
      </c>
      <c r="O81" s="278">
        <f>'Core Indicators'!DR81</f>
        <v>2</v>
      </c>
      <c r="P81" s="278">
        <f>'Core Indicators'!DZ81</f>
        <v>2</v>
      </c>
      <c r="Q81" s="278">
        <f>'Core Indicators'!EH81</f>
        <v>2</v>
      </c>
      <c r="R81" s="278">
        <f>'Core Indicators'!EP81</f>
        <v>2</v>
      </c>
      <c r="S81" s="214">
        <f t="shared" si="22"/>
        <v>1.3</v>
      </c>
      <c r="T81" s="214">
        <f t="shared" si="23"/>
        <v>1.1666666666666667</v>
      </c>
      <c r="U81" s="276">
        <v>1</v>
      </c>
      <c r="V81" s="276">
        <v>1</v>
      </c>
      <c r="W81" s="276">
        <f>'Core Indicators'!EX81</f>
        <v>2</v>
      </c>
      <c r="X81" s="214">
        <f t="shared" si="24"/>
        <v>1.5</v>
      </c>
      <c r="Y81" s="276">
        <v>1</v>
      </c>
      <c r="Z81" s="214">
        <f t="shared" si="25"/>
        <v>1.5</v>
      </c>
      <c r="AA81" s="276">
        <f>'Core Indicators'!FF81</f>
        <v>2</v>
      </c>
      <c r="AB81" s="276">
        <f t="shared" si="26"/>
        <v>1</v>
      </c>
      <c r="AC81" s="11">
        <f>'Core Indicators'!GD81</f>
        <v>1</v>
      </c>
      <c r="AD81" s="11">
        <f>'Core Indicators'!GL81</f>
        <v>1</v>
      </c>
      <c r="AE81" s="11">
        <f>'Core Indicators'!GT81</f>
        <v>1</v>
      </c>
      <c r="AF81" s="11">
        <f>'Core Indicators'!HB81</f>
        <v>1</v>
      </c>
      <c r="AG81" s="11">
        <f t="shared" si="27"/>
        <v>1</v>
      </c>
      <c r="AH81" s="11">
        <f>'Core Indicators'!HJ81</f>
        <v>1</v>
      </c>
      <c r="AI81" s="11">
        <f>'Core Indicators'!HR81</f>
        <v>1</v>
      </c>
      <c r="AJ81" s="11">
        <f t="shared" si="28"/>
        <v>1</v>
      </c>
      <c r="AK81" s="11">
        <f>'Core Indicators'!HZ81</f>
        <v>1</v>
      </c>
      <c r="AL81" s="11">
        <f>'Core Indicators'!IH81</f>
        <v>1</v>
      </c>
      <c r="AM81" s="11">
        <f>'Core Indicators'!IP81</f>
        <v>1</v>
      </c>
      <c r="AN81" s="11">
        <f t="shared" si="15"/>
        <v>1</v>
      </c>
    </row>
    <row r="82" spans="1:40" x14ac:dyDescent="0.3">
      <c r="A82" s="276" t="str">
        <f>Lists!C:C</f>
        <v>MRT002</v>
      </c>
      <c r="B82" s="213">
        <f t="shared" si="16"/>
        <v>1.8</v>
      </c>
      <c r="C82" s="214">
        <f t="shared" si="17"/>
        <v>2</v>
      </c>
      <c r="D82" s="277">
        <f t="shared" si="18"/>
        <v>2.2000000000000002</v>
      </c>
      <c r="E82" s="276">
        <f>'Core Indicators'!R82</f>
        <v>2</v>
      </c>
      <c r="F82" s="276">
        <f>'Core Indicators'!Z82</f>
        <v>3</v>
      </c>
      <c r="G82" s="214">
        <f t="shared" si="19"/>
        <v>2.5</v>
      </c>
      <c r="H82" s="276">
        <f>'Core Indicators'!AH82</f>
        <v>2</v>
      </c>
      <c r="I82" s="276">
        <f>'Core Indicators'!AP82</f>
        <v>2</v>
      </c>
      <c r="J82" s="276" t="str">
        <f>'Core Indicators'!BN82</f>
        <v>x</v>
      </c>
      <c r="K82" s="276">
        <f t="shared" si="20"/>
        <v>2</v>
      </c>
      <c r="L82" s="213">
        <f t="shared" si="21"/>
        <v>2</v>
      </c>
      <c r="M82" s="277">
        <f t="shared" si="29"/>
        <v>2</v>
      </c>
      <c r="N82" s="278">
        <f>'Core Indicators'!DJ82</f>
        <v>2</v>
      </c>
      <c r="O82" s="278">
        <f>'Core Indicators'!DR82</f>
        <v>2</v>
      </c>
      <c r="P82" s="278">
        <f>'Core Indicators'!DZ82</f>
        <v>2</v>
      </c>
      <c r="Q82" s="278">
        <f>'Core Indicators'!EH82</f>
        <v>2</v>
      </c>
      <c r="R82" s="278">
        <f>'Core Indicators'!EP82</f>
        <v>2</v>
      </c>
      <c r="S82" s="214">
        <f t="shared" si="22"/>
        <v>1.3</v>
      </c>
      <c r="T82" s="214">
        <f t="shared" si="23"/>
        <v>1</v>
      </c>
      <c r="U82" s="276">
        <v>1</v>
      </c>
      <c r="V82" s="276">
        <v>1</v>
      </c>
      <c r="W82" s="276" t="str">
        <f>'Core Indicators'!EX82</f>
        <v>x</v>
      </c>
      <c r="X82" s="214">
        <f t="shared" si="24"/>
        <v>1</v>
      </c>
      <c r="Y82" s="276">
        <v>1</v>
      </c>
      <c r="Z82" s="214">
        <f t="shared" si="25"/>
        <v>1.5</v>
      </c>
      <c r="AA82" s="276">
        <f>'Core Indicators'!FF82</f>
        <v>2</v>
      </c>
      <c r="AB82" s="276">
        <f t="shared" si="26"/>
        <v>1</v>
      </c>
      <c r="AC82" s="11">
        <f>'Core Indicators'!GD82</f>
        <v>1</v>
      </c>
      <c r="AD82" s="11">
        <f>'Core Indicators'!GL82</f>
        <v>1</v>
      </c>
      <c r="AE82" s="11">
        <f>'Core Indicators'!GT82</f>
        <v>1</v>
      </c>
      <c r="AF82" s="11">
        <f>'Core Indicators'!HB82</f>
        <v>1</v>
      </c>
      <c r="AG82" s="11">
        <f t="shared" si="27"/>
        <v>1</v>
      </c>
      <c r="AH82" s="11">
        <f>'Core Indicators'!HJ82</f>
        <v>1</v>
      </c>
      <c r="AI82" s="11">
        <f>'Core Indicators'!HR82</f>
        <v>1</v>
      </c>
      <c r="AJ82" s="11">
        <f t="shared" si="28"/>
        <v>1</v>
      </c>
      <c r="AK82" s="11">
        <f>'Core Indicators'!HZ82</f>
        <v>1</v>
      </c>
      <c r="AL82" s="11">
        <f>'Core Indicators'!IH82</f>
        <v>1</v>
      </c>
      <c r="AM82" s="11">
        <f>'Core Indicators'!IP82</f>
        <v>1</v>
      </c>
      <c r="AN82" s="11">
        <f t="shared" si="15"/>
        <v>1</v>
      </c>
    </row>
    <row r="83" spans="1:40" x14ac:dyDescent="0.3">
      <c r="A83" s="276" t="str">
        <f>Lists!C:C</f>
        <v>MRT003</v>
      </c>
      <c r="B83" s="213">
        <f t="shared" si="16"/>
        <v>1.9</v>
      </c>
      <c r="C83" s="214">
        <f t="shared" si="17"/>
        <v>4</v>
      </c>
      <c r="D83" s="277">
        <f t="shared" si="18"/>
        <v>2</v>
      </c>
      <c r="E83" s="276">
        <f>'Core Indicators'!R83</f>
        <v>2</v>
      </c>
      <c r="F83" s="276">
        <f>'Core Indicators'!Z83</f>
        <v>2</v>
      </c>
      <c r="G83" s="214">
        <f t="shared" si="19"/>
        <v>2</v>
      </c>
      <c r="H83" s="276">
        <f>'Core Indicators'!AH83</f>
        <v>2</v>
      </c>
      <c r="I83" s="276" t="str">
        <f>'Core Indicators'!AP83</f>
        <v>x</v>
      </c>
      <c r="J83" s="276" t="str">
        <f>'Core Indicators'!BN83</f>
        <v>x</v>
      </c>
      <c r="K83" s="276" t="str">
        <f t="shared" si="20"/>
        <v>x</v>
      </c>
      <c r="L83" s="213">
        <f t="shared" si="21"/>
        <v>2</v>
      </c>
      <c r="M83" s="277">
        <f t="shared" si="29"/>
        <v>2</v>
      </c>
      <c r="N83" s="278">
        <f>'Core Indicators'!DJ83</f>
        <v>2</v>
      </c>
      <c r="O83" s="278">
        <f>'Core Indicators'!DR83</f>
        <v>2</v>
      </c>
      <c r="P83" s="278">
        <f>'Core Indicators'!DZ83</f>
        <v>2</v>
      </c>
      <c r="Q83" s="278">
        <f>'Core Indicators'!EH83</f>
        <v>2</v>
      </c>
      <c r="R83" s="278">
        <f>'Core Indicators'!EP83</f>
        <v>2</v>
      </c>
      <c r="S83" s="214">
        <f t="shared" si="22"/>
        <v>1.5</v>
      </c>
      <c r="T83" s="214">
        <f t="shared" si="23"/>
        <v>1</v>
      </c>
      <c r="U83" s="276">
        <v>1</v>
      </c>
      <c r="V83" s="276">
        <v>1</v>
      </c>
      <c r="W83" s="276" t="str">
        <f>'Core Indicators'!EX83</f>
        <v>x</v>
      </c>
      <c r="X83" s="214">
        <f t="shared" si="24"/>
        <v>1</v>
      </c>
      <c r="Y83" s="276">
        <v>1</v>
      </c>
      <c r="Z83" s="214">
        <f t="shared" si="25"/>
        <v>2</v>
      </c>
      <c r="AA83" s="276" t="str">
        <f>'Core Indicators'!FF83</f>
        <v>x</v>
      </c>
      <c r="AB83" s="276">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x14ac:dyDescent="0.3">
      <c r="A84" s="276" t="str">
        <f>Lists!C:C</f>
        <v>MEX001</v>
      </c>
      <c r="B84" s="213" t="str">
        <f t="shared" si="16"/>
        <v>x</v>
      </c>
      <c r="C84" s="214">
        <f t="shared" si="17"/>
        <v>3</v>
      </c>
      <c r="D84" s="277">
        <f t="shared" si="18"/>
        <v>2.7</v>
      </c>
      <c r="E84" s="276">
        <f>'Core Indicators'!R84</f>
        <v>2</v>
      </c>
      <c r="F84" s="276">
        <f>'Core Indicators'!Z84</f>
        <v>2</v>
      </c>
      <c r="G84" s="214">
        <f t="shared" si="19"/>
        <v>2</v>
      </c>
      <c r="H84" s="276" t="str">
        <f>'Core Indicators'!AH84</f>
        <v>x</v>
      </c>
      <c r="I84" s="276">
        <f>'Core Indicators'!AP84</f>
        <v>3</v>
      </c>
      <c r="J84" s="276" t="str">
        <f>'Core Indicators'!BN84</f>
        <v>x</v>
      </c>
      <c r="K84" s="276">
        <f t="shared" si="20"/>
        <v>3</v>
      </c>
      <c r="L84" s="213">
        <f t="shared" si="21"/>
        <v>3</v>
      </c>
      <c r="M84" s="277" t="str">
        <f t="shared" si="29"/>
        <v>x</v>
      </c>
      <c r="N84" s="278" t="str">
        <f>'Core Indicators'!DJ84</f>
        <v>x</v>
      </c>
      <c r="O84" s="278" t="str">
        <f>'Core Indicators'!DR84</f>
        <v>x</v>
      </c>
      <c r="P84" s="278" t="str">
        <f>'Core Indicators'!DZ84</f>
        <v>x</v>
      </c>
      <c r="Q84" s="278" t="str">
        <f>'Core Indicators'!EH84</f>
        <v>x</v>
      </c>
      <c r="R84" s="278" t="str">
        <f>'Core Indicators'!EP84</f>
        <v>x</v>
      </c>
      <c r="S84" s="214">
        <f t="shared" si="22"/>
        <v>1.8</v>
      </c>
      <c r="T84" s="214">
        <f t="shared" si="23"/>
        <v>1.3333333333333333</v>
      </c>
      <c r="U84" s="276">
        <v>1</v>
      </c>
      <c r="V84" s="276">
        <v>1</v>
      </c>
      <c r="W84" s="276">
        <f>'Core Indicators'!EX84</f>
        <v>3</v>
      </c>
      <c r="X84" s="214">
        <f t="shared" si="24"/>
        <v>2</v>
      </c>
      <c r="Y84" s="276">
        <v>1</v>
      </c>
      <c r="Z84" s="214">
        <f t="shared" si="25"/>
        <v>2.1944444444444446</v>
      </c>
      <c r="AA84" s="276">
        <f>'Core Indicators'!FF84</f>
        <v>2</v>
      </c>
      <c r="AB84" s="276">
        <f t="shared" si="26"/>
        <v>2.3888888888888888</v>
      </c>
      <c r="AC84" s="11" t="str">
        <f>'Core Indicators'!GD84</f>
        <v>x</v>
      </c>
      <c r="AD84" s="11">
        <f>'Core Indicators'!GL84</f>
        <v>3</v>
      </c>
      <c r="AE84" s="11">
        <f>'Core Indicators'!GT84</f>
        <v>2</v>
      </c>
      <c r="AF84" s="11">
        <f>'Core Indicators'!HB84</f>
        <v>3</v>
      </c>
      <c r="AG84" s="11">
        <f t="shared" si="27"/>
        <v>2.6666666666666665</v>
      </c>
      <c r="AH84" s="11">
        <f>'Core Indicators'!HJ84</f>
        <v>2</v>
      </c>
      <c r="AI84" s="11">
        <f>'Core Indicators'!HR84</f>
        <v>3</v>
      </c>
      <c r="AJ84" s="11">
        <f t="shared" si="28"/>
        <v>2.5</v>
      </c>
      <c r="AK84" s="11">
        <f>'Core Indicators'!HZ84</f>
        <v>2</v>
      </c>
      <c r="AL84" s="11" t="str">
        <f>'Core Indicators'!IH84</f>
        <v>x</v>
      </c>
      <c r="AM84" s="11" t="str">
        <f>'Core Indicators'!IP84</f>
        <v>x</v>
      </c>
      <c r="AN84" s="11">
        <f t="shared" si="15"/>
        <v>2</v>
      </c>
    </row>
    <row r="85" spans="1:40" x14ac:dyDescent="0.3">
      <c r="A85" s="276" t="str">
        <f>Lists!C:C</f>
        <v>MEX002</v>
      </c>
      <c r="B85" s="213" t="str">
        <f t="shared" si="16"/>
        <v>x</v>
      </c>
      <c r="C85" s="214">
        <f t="shared" si="17"/>
        <v>3</v>
      </c>
      <c r="D85" s="277">
        <f t="shared" si="18"/>
        <v>2.5</v>
      </c>
      <c r="E85" s="276">
        <f>'Core Indicators'!R85</f>
        <v>2</v>
      </c>
      <c r="F85" s="276">
        <f>'Core Indicators'!Z85</f>
        <v>3</v>
      </c>
      <c r="G85" s="214">
        <f t="shared" si="19"/>
        <v>2.5</v>
      </c>
      <c r="H85" s="276">
        <f>'Core Indicators'!AH85</f>
        <v>3</v>
      </c>
      <c r="I85" s="276">
        <f>'Core Indicators'!AP85</f>
        <v>2</v>
      </c>
      <c r="J85" s="276" t="str">
        <f>'Core Indicators'!BN85</f>
        <v>x</v>
      </c>
      <c r="K85" s="276">
        <f t="shared" si="20"/>
        <v>2</v>
      </c>
      <c r="L85" s="213">
        <f t="shared" si="21"/>
        <v>2.5</v>
      </c>
      <c r="M85" s="277" t="str">
        <f t="shared" si="29"/>
        <v>x</v>
      </c>
      <c r="N85" s="278" t="str">
        <f>'Core Indicators'!DJ85</f>
        <v>x</v>
      </c>
      <c r="O85" s="278" t="str">
        <f>'Core Indicators'!DR85</f>
        <v>x</v>
      </c>
      <c r="P85" s="278" t="str">
        <f>'Core Indicators'!DZ85</f>
        <v>x</v>
      </c>
      <c r="Q85" s="278" t="str">
        <f>'Core Indicators'!EH85</f>
        <v>x</v>
      </c>
      <c r="R85" s="278" t="str">
        <f>'Core Indicators'!EP85</f>
        <v>x</v>
      </c>
      <c r="S85" s="214">
        <f t="shared" si="22"/>
        <v>2.1</v>
      </c>
      <c r="T85" s="214">
        <f t="shared" si="23"/>
        <v>1.3333333333333333</v>
      </c>
      <c r="U85" s="276">
        <v>1</v>
      </c>
      <c r="V85" s="276">
        <v>1</v>
      </c>
      <c r="W85" s="276">
        <f>'Core Indicators'!EX85</f>
        <v>3</v>
      </c>
      <c r="X85" s="214">
        <f t="shared" si="24"/>
        <v>2</v>
      </c>
      <c r="Y85" s="276">
        <v>1</v>
      </c>
      <c r="Z85" s="214">
        <f t="shared" si="25"/>
        <v>2.833333333333333</v>
      </c>
      <c r="AA85" s="276" t="str">
        <f>'Core Indicators'!FF85</f>
        <v>x</v>
      </c>
      <c r="AB85" s="276">
        <f t="shared" si="26"/>
        <v>2.833333333333333</v>
      </c>
      <c r="AC85" s="11" t="str">
        <f>'Core Indicators'!GD85</f>
        <v>x</v>
      </c>
      <c r="AD85" s="11">
        <f>'Core Indicators'!GL85</f>
        <v>3</v>
      </c>
      <c r="AE85" s="11">
        <f>'Core Indicators'!GT85</f>
        <v>2</v>
      </c>
      <c r="AF85" s="11">
        <f>'Core Indicators'!HB85</f>
        <v>3</v>
      </c>
      <c r="AG85" s="11">
        <f t="shared" si="27"/>
        <v>2.6666666666666665</v>
      </c>
      <c r="AH85" s="11" t="str">
        <f>'Core Indicators'!HJ85</f>
        <v>x</v>
      </c>
      <c r="AI85" s="11">
        <f>'Core Indicators'!HR85</f>
        <v>3</v>
      </c>
      <c r="AJ85" s="11">
        <f t="shared" si="28"/>
        <v>3</v>
      </c>
      <c r="AK85" s="11" t="str">
        <f>'Core Indicators'!HZ85</f>
        <v>x</v>
      </c>
      <c r="AL85" s="11" t="str">
        <f>'Core Indicators'!IH85</f>
        <v>x</v>
      </c>
      <c r="AM85" s="11" t="str">
        <f>'Core Indicators'!IP85</f>
        <v>x</v>
      </c>
      <c r="AN85" s="11" t="str">
        <f t="shared" si="15"/>
        <v>x</v>
      </c>
    </row>
    <row r="86" spans="1:40" x14ac:dyDescent="0.3">
      <c r="A86" s="276" t="str">
        <f>Lists!C:C</f>
        <v>MEX003</v>
      </c>
      <c r="B86" s="213" t="str">
        <f t="shared" si="16"/>
        <v>x</v>
      </c>
      <c r="C86" s="214">
        <f t="shared" si="17"/>
        <v>1</v>
      </c>
      <c r="D86" s="277">
        <f t="shared" si="18"/>
        <v>2.8</v>
      </c>
      <c r="E86" s="276">
        <f>'Core Indicators'!R86</f>
        <v>2</v>
      </c>
      <c r="F86" s="276">
        <f>'Core Indicators'!Z86</f>
        <v>3</v>
      </c>
      <c r="G86" s="214">
        <f t="shared" si="19"/>
        <v>2.5</v>
      </c>
      <c r="H86" s="276">
        <f>'Core Indicators'!AH86</f>
        <v>3</v>
      </c>
      <c r="I86" s="276">
        <f>'Core Indicators'!AP86</f>
        <v>3</v>
      </c>
      <c r="J86" s="276">
        <f>'Core Indicators'!BN86</f>
        <v>3</v>
      </c>
      <c r="K86" s="276">
        <f t="shared" si="20"/>
        <v>3</v>
      </c>
      <c r="L86" s="213">
        <f t="shared" si="21"/>
        <v>3</v>
      </c>
      <c r="M86" s="277" t="str">
        <f t="shared" si="29"/>
        <v>x</v>
      </c>
      <c r="N86" s="278" t="str">
        <f>'Core Indicators'!DJ86</f>
        <v>x</v>
      </c>
      <c r="O86" s="278" t="str">
        <f>'Core Indicators'!DR86</f>
        <v>x</v>
      </c>
      <c r="P86" s="278" t="str">
        <f>'Core Indicators'!DZ86</f>
        <v>x</v>
      </c>
      <c r="Q86" s="278" t="str">
        <f>'Core Indicators'!EH86</f>
        <v>x</v>
      </c>
      <c r="R86" s="278" t="str">
        <f>'Core Indicators'!EP86</f>
        <v>x</v>
      </c>
      <c r="S86" s="214">
        <f t="shared" si="22"/>
        <v>1.4</v>
      </c>
      <c r="T86" s="214">
        <f t="shared" si="23"/>
        <v>1.3333333333333333</v>
      </c>
      <c r="U86" s="276">
        <v>1</v>
      </c>
      <c r="V86" s="276">
        <v>1</v>
      </c>
      <c r="W86" s="276">
        <f>'Core Indicators'!EX86</f>
        <v>3</v>
      </c>
      <c r="X86" s="214">
        <f t="shared" si="24"/>
        <v>2</v>
      </c>
      <c r="Y86" s="276">
        <v>1</v>
      </c>
      <c r="Z86" s="214">
        <f t="shared" si="25"/>
        <v>1.5277777777777777</v>
      </c>
      <c r="AA86" s="276">
        <f>'Core Indicators'!FF86</f>
        <v>1</v>
      </c>
      <c r="AB86" s="276">
        <f t="shared" si="26"/>
        <v>2.0555555555555554</v>
      </c>
      <c r="AC86" s="11" t="str">
        <f>'Core Indicators'!GD86</f>
        <v>x</v>
      </c>
      <c r="AD86" s="11">
        <f>'Core Indicators'!GL86</f>
        <v>3</v>
      </c>
      <c r="AE86" s="11">
        <f>'Core Indicators'!GT86</f>
        <v>2</v>
      </c>
      <c r="AF86" s="11">
        <f>'Core Indicators'!HB86</f>
        <v>3</v>
      </c>
      <c r="AG86" s="11">
        <f t="shared" si="27"/>
        <v>2.6666666666666665</v>
      </c>
      <c r="AH86" s="11">
        <f>'Core Indicators'!HJ86</f>
        <v>2</v>
      </c>
      <c r="AI86" s="11">
        <f>'Core Indicators'!HR86</f>
        <v>1</v>
      </c>
      <c r="AJ86" s="11">
        <f t="shared" si="28"/>
        <v>1.5</v>
      </c>
      <c r="AK86" s="11">
        <f>'Core Indicators'!HZ86</f>
        <v>2</v>
      </c>
      <c r="AL86" s="11" t="str">
        <f>'Core Indicators'!IH86</f>
        <v>x</v>
      </c>
      <c r="AM86" s="11" t="str">
        <f>'Core Indicators'!IP86</f>
        <v>x</v>
      </c>
      <c r="AN86" s="11">
        <f t="shared" si="15"/>
        <v>2</v>
      </c>
    </row>
    <row r="87" spans="1:40" x14ac:dyDescent="0.3">
      <c r="A87" s="276" t="str">
        <f>Lists!C:C</f>
        <v>MAR002</v>
      </c>
      <c r="B87" s="213" t="str">
        <f t="shared" si="16"/>
        <v>x</v>
      </c>
      <c r="C87" s="214">
        <f t="shared" si="17"/>
        <v>3</v>
      </c>
      <c r="D87" s="277">
        <f t="shared" si="18"/>
        <v>2.7</v>
      </c>
      <c r="E87" s="276">
        <f>'Core Indicators'!R87</f>
        <v>1</v>
      </c>
      <c r="F87" s="276">
        <f>'Core Indicators'!Z87</f>
        <v>3</v>
      </c>
      <c r="G87" s="214">
        <f t="shared" si="19"/>
        <v>2.1</v>
      </c>
      <c r="H87" s="276" t="str">
        <f>'Core Indicators'!AH87</f>
        <v>x</v>
      </c>
      <c r="I87" s="276" t="str">
        <f>'Core Indicators'!AP87</f>
        <v>x</v>
      </c>
      <c r="J87" s="276">
        <f>'Core Indicators'!BN87</f>
        <v>3</v>
      </c>
      <c r="K87" s="276">
        <f t="shared" si="20"/>
        <v>3</v>
      </c>
      <c r="L87" s="213">
        <f t="shared" si="21"/>
        <v>3</v>
      </c>
      <c r="M87" s="277" t="str">
        <f t="shared" si="29"/>
        <v>x</v>
      </c>
      <c r="N87" s="278" t="str">
        <f>'Core Indicators'!DJ87</f>
        <v>x</v>
      </c>
      <c r="O87" s="278" t="str">
        <f>'Core Indicators'!DR87</f>
        <v>x</v>
      </c>
      <c r="P87" s="278" t="str">
        <f>'Core Indicators'!DZ87</f>
        <v>x</v>
      </c>
      <c r="Q87" s="278" t="str">
        <f>'Core Indicators'!EH87</f>
        <v>x</v>
      </c>
      <c r="R87" s="278" t="str">
        <f>'Core Indicators'!EP87</f>
        <v>x</v>
      </c>
      <c r="S87" s="214">
        <f t="shared" si="22"/>
        <v>1.7</v>
      </c>
      <c r="T87" s="214">
        <f t="shared" si="23"/>
        <v>1.3333333333333333</v>
      </c>
      <c r="U87" s="276">
        <v>1</v>
      </c>
      <c r="V87" s="276">
        <v>1</v>
      </c>
      <c r="W87" s="276">
        <f>'Core Indicators'!EX87</f>
        <v>3</v>
      </c>
      <c r="X87" s="214">
        <f t="shared" si="24"/>
        <v>2</v>
      </c>
      <c r="Y87" s="276">
        <v>1</v>
      </c>
      <c r="Z87" s="214">
        <f t="shared" si="25"/>
        <v>2</v>
      </c>
      <c r="AA87" s="276">
        <f>'Core Indicators'!FF87</f>
        <v>2</v>
      </c>
      <c r="AB87" s="276">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76" t="str">
        <f>Lists!C:C</f>
        <v>MOZ001</v>
      </c>
      <c r="B88" s="213">
        <f t="shared" si="16"/>
        <v>2</v>
      </c>
      <c r="C88" s="214">
        <f t="shared" si="17"/>
        <v>0</v>
      </c>
      <c r="D88" s="277">
        <f t="shared" si="18"/>
        <v>2.7</v>
      </c>
      <c r="E88" s="276">
        <f>'Core Indicators'!R88</f>
        <v>3</v>
      </c>
      <c r="F88" s="276">
        <f>'Core Indicators'!Z88</f>
        <v>2</v>
      </c>
      <c r="G88" s="214">
        <f t="shared" si="19"/>
        <v>2.5</v>
      </c>
      <c r="H88" s="276">
        <f>'Core Indicators'!AH88</f>
        <v>3</v>
      </c>
      <c r="I88" s="276">
        <f>'Core Indicators'!AP88</f>
        <v>2</v>
      </c>
      <c r="J88" s="276">
        <f>'Core Indicators'!BN88</f>
        <v>3</v>
      </c>
      <c r="K88" s="276">
        <f t="shared" si="20"/>
        <v>2.5</v>
      </c>
      <c r="L88" s="213">
        <f t="shared" si="21"/>
        <v>2.8</v>
      </c>
      <c r="M88" s="277">
        <f t="shared" si="29"/>
        <v>2</v>
      </c>
      <c r="N88" s="278">
        <f>'Core Indicators'!DJ88</f>
        <v>2</v>
      </c>
      <c r="O88" s="278">
        <f>'Core Indicators'!DR88</f>
        <v>2</v>
      </c>
      <c r="P88" s="278">
        <f>'Core Indicators'!DZ88</f>
        <v>2</v>
      </c>
      <c r="Q88" s="278">
        <f>'Core Indicators'!EH88</f>
        <v>2</v>
      </c>
      <c r="R88" s="278">
        <f>'Core Indicators'!EP88</f>
        <v>2</v>
      </c>
      <c r="S88" s="214">
        <f t="shared" si="22"/>
        <v>1.4</v>
      </c>
      <c r="T88" s="214">
        <f t="shared" si="23"/>
        <v>1.1666666666666667</v>
      </c>
      <c r="U88" s="276">
        <v>1</v>
      </c>
      <c r="V88" s="276">
        <v>1</v>
      </c>
      <c r="W88" s="276">
        <f>'Core Indicators'!EX88</f>
        <v>2</v>
      </c>
      <c r="X88" s="214">
        <f t="shared" si="24"/>
        <v>1.5</v>
      </c>
      <c r="Y88" s="276">
        <v>1</v>
      </c>
      <c r="Z88" s="214">
        <f t="shared" si="25"/>
        <v>1.5416666666666667</v>
      </c>
      <c r="AA88" s="276">
        <f>'Core Indicators'!FF88</f>
        <v>1</v>
      </c>
      <c r="AB88" s="276">
        <f t="shared" si="26"/>
        <v>2.0833333333333335</v>
      </c>
      <c r="AC88" s="11">
        <f>'Core Indicators'!GD88</f>
        <v>1</v>
      </c>
      <c r="AD88" s="11">
        <f>'Core Indicators'!GL88</f>
        <v>2</v>
      </c>
      <c r="AE88" s="11">
        <f>'Core Indicators'!GT88</f>
        <v>2</v>
      </c>
      <c r="AF88" s="11">
        <f>'Core Indicators'!HB88</f>
        <v>2</v>
      </c>
      <c r="AG88" s="11">
        <f t="shared" si="27"/>
        <v>1.75</v>
      </c>
      <c r="AH88" s="11">
        <f>'Core Indicators'!HJ88</f>
        <v>3</v>
      </c>
      <c r="AI88" s="11">
        <f>'Core Indicators'!HR88</f>
        <v>2</v>
      </c>
      <c r="AJ88" s="11">
        <f t="shared" si="28"/>
        <v>2.5</v>
      </c>
      <c r="AK88" s="11">
        <f>'Core Indicators'!HZ88</f>
        <v>2</v>
      </c>
      <c r="AL88" s="11">
        <f>'Core Indicators'!IH88</f>
        <v>2</v>
      </c>
      <c r="AM88" s="11">
        <f>'Core Indicators'!IP88</f>
        <v>2</v>
      </c>
      <c r="AN88" s="11">
        <f t="shared" si="15"/>
        <v>2</v>
      </c>
    </row>
    <row r="89" spans="1:40" x14ac:dyDescent="0.3">
      <c r="A89" s="276" t="str">
        <f>Lists!C:C</f>
        <v>MOZ004</v>
      </c>
      <c r="B89" s="213">
        <f t="shared" si="16"/>
        <v>1.8</v>
      </c>
      <c r="C89" s="214">
        <f t="shared" si="17"/>
        <v>0</v>
      </c>
      <c r="D89" s="277">
        <f t="shared" si="18"/>
        <v>1.7</v>
      </c>
      <c r="E89" s="276">
        <f>'Core Indicators'!R89</f>
        <v>1</v>
      </c>
      <c r="F89" s="276">
        <f>'Core Indicators'!Z89</f>
        <v>2</v>
      </c>
      <c r="G89" s="214">
        <f t="shared" si="19"/>
        <v>1.5</v>
      </c>
      <c r="H89" s="276">
        <f>'Core Indicators'!AH89</f>
        <v>2</v>
      </c>
      <c r="I89" s="276">
        <f>'Core Indicators'!AP89</f>
        <v>1</v>
      </c>
      <c r="J89" s="276">
        <f>'Core Indicators'!BN89</f>
        <v>2</v>
      </c>
      <c r="K89" s="276">
        <f t="shared" si="20"/>
        <v>1.5</v>
      </c>
      <c r="L89" s="213">
        <f t="shared" si="21"/>
        <v>1.8</v>
      </c>
      <c r="M89" s="277">
        <f t="shared" si="29"/>
        <v>2</v>
      </c>
      <c r="N89" s="278">
        <f>'Core Indicators'!DJ89</f>
        <v>2</v>
      </c>
      <c r="O89" s="278">
        <f>'Core Indicators'!DR89</f>
        <v>2</v>
      </c>
      <c r="P89" s="278">
        <f>'Core Indicators'!DZ89</f>
        <v>2</v>
      </c>
      <c r="Q89" s="278">
        <f>'Core Indicators'!EH89</f>
        <v>2</v>
      </c>
      <c r="R89" s="278">
        <f>'Core Indicators'!EP89</f>
        <v>2</v>
      </c>
      <c r="S89" s="214">
        <f t="shared" si="22"/>
        <v>1.6</v>
      </c>
      <c r="T89" s="214">
        <f t="shared" si="23"/>
        <v>1.1666666666666667</v>
      </c>
      <c r="U89" s="276">
        <v>1</v>
      </c>
      <c r="V89" s="276">
        <v>1</v>
      </c>
      <c r="W89" s="276">
        <f>'Core Indicators'!EX89</f>
        <v>2</v>
      </c>
      <c r="X89" s="214">
        <f t="shared" si="24"/>
        <v>1.5</v>
      </c>
      <c r="Y89" s="276">
        <v>1</v>
      </c>
      <c r="Z89" s="214">
        <f t="shared" si="25"/>
        <v>2.041666666666667</v>
      </c>
      <c r="AA89" s="276">
        <f>'Core Indicators'!FF89</f>
        <v>2</v>
      </c>
      <c r="AB89" s="276">
        <f t="shared" si="26"/>
        <v>2.0833333333333335</v>
      </c>
      <c r="AC89" s="11">
        <f>'Core Indicators'!GD89</f>
        <v>1</v>
      </c>
      <c r="AD89" s="11">
        <f>'Core Indicators'!GL89</f>
        <v>2</v>
      </c>
      <c r="AE89" s="11">
        <f>'Core Indicators'!GT89</f>
        <v>2</v>
      </c>
      <c r="AF89" s="11">
        <f>'Core Indicators'!HB89</f>
        <v>2</v>
      </c>
      <c r="AG89" s="11">
        <f t="shared" si="27"/>
        <v>1.75</v>
      </c>
      <c r="AH89" s="11">
        <f>'Core Indicators'!HJ89</f>
        <v>3</v>
      </c>
      <c r="AI89" s="11">
        <f>'Core Indicators'!HR89</f>
        <v>2</v>
      </c>
      <c r="AJ89" s="11">
        <f t="shared" si="28"/>
        <v>2.5</v>
      </c>
      <c r="AK89" s="11">
        <f>'Core Indicators'!HZ89</f>
        <v>2</v>
      </c>
      <c r="AL89" s="11">
        <f>'Core Indicators'!IH89</f>
        <v>2</v>
      </c>
      <c r="AM89" s="11">
        <f>'Core Indicators'!IP89</f>
        <v>2</v>
      </c>
      <c r="AN89" s="11">
        <f t="shared" si="15"/>
        <v>2</v>
      </c>
    </row>
    <row r="90" spans="1:40" x14ac:dyDescent="0.3">
      <c r="A90" s="276" t="str">
        <f>Lists!C:C</f>
        <v>MOZ006</v>
      </c>
      <c r="B90" s="213">
        <f t="shared" si="16"/>
        <v>2.4</v>
      </c>
      <c r="C90" s="214">
        <f t="shared" si="17"/>
        <v>1</v>
      </c>
      <c r="D90" s="277">
        <f t="shared" si="18"/>
        <v>2.4</v>
      </c>
      <c r="E90" s="276">
        <f>'Core Indicators'!R90</f>
        <v>1</v>
      </c>
      <c r="F90" s="276">
        <f>'Core Indicators'!Z90</f>
        <v>3</v>
      </c>
      <c r="G90" s="214">
        <f t="shared" si="19"/>
        <v>2.1</v>
      </c>
      <c r="H90" s="276">
        <f>'Core Indicators'!AH90</f>
        <v>3</v>
      </c>
      <c r="I90" s="276">
        <f>'Core Indicators'!AP90</f>
        <v>2</v>
      </c>
      <c r="J90" s="276" t="str">
        <f>'Core Indicators'!BN90</f>
        <v>x</v>
      </c>
      <c r="K90" s="276">
        <f t="shared" si="20"/>
        <v>2</v>
      </c>
      <c r="L90" s="213">
        <f t="shared" si="21"/>
        <v>2.5</v>
      </c>
      <c r="M90" s="277">
        <f t="shared" si="29"/>
        <v>3</v>
      </c>
      <c r="N90" s="278">
        <f>'Core Indicators'!DJ90</f>
        <v>3</v>
      </c>
      <c r="O90" s="278">
        <f>'Core Indicators'!DR90</f>
        <v>3</v>
      </c>
      <c r="P90" s="278">
        <f>'Core Indicators'!DZ90</f>
        <v>3</v>
      </c>
      <c r="Q90" s="278">
        <f>'Core Indicators'!EH90</f>
        <v>3</v>
      </c>
      <c r="R90" s="278">
        <f>'Core Indicators'!EP90</f>
        <v>3</v>
      </c>
      <c r="S90" s="214">
        <f t="shared" si="22"/>
        <v>1.6</v>
      </c>
      <c r="T90" s="214">
        <f t="shared" si="23"/>
        <v>1.1666666666666667</v>
      </c>
      <c r="U90" s="276">
        <v>1</v>
      </c>
      <c r="V90" s="276">
        <v>1</v>
      </c>
      <c r="W90" s="276">
        <f>'Core Indicators'!EX90</f>
        <v>2</v>
      </c>
      <c r="X90" s="214">
        <f t="shared" si="24"/>
        <v>1.5</v>
      </c>
      <c r="Y90" s="276">
        <v>1</v>
      </c>
      <c r="Z90" s="214">
        <f t="shared" si="25"/>
        <v>2</v>
      </c>
      <c r="AA90" s="276">
        <f>'Core Indicators'!FF90</f>
        <v>2</v>
      </c>
      <c r="AB90" s="276">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x14ac:dyDescent="0.3">
      <c r="A91" s="276" t="str">
        <f>Lists!C:C</f>
        <v>MMR001</v>
      </c>
      <c r="B91" s="213">
        <f t="shared" si="16"/>
        <v>1.9</v>
      </c>
      <c r="C91" s="214">
        <f t="shared" si="17"/>
        <v>0</v>
      </c>
      <c r="D91" s="277">
        <f t="shared" si="18"/>
        <v>2.2999999999999998</v>
      </c>
      <c r="E91" s="276">
        <f>'Core Indicators'!R91</f>
        <v>2</v>
      </c>
      <c r="F91" s="276">
        <f>'Core Indicators'!Z91</f>
        <v>2</v>
      </c>
      <c r="G91" s="214">
        <f t="shared" si="19"/>
        <v>2</v>
      </c>
      <c r="H91" s="276">
        <f>'Core Indicators'!AH91</f>
        <v>2</v>
      </c>
      <c r="I91" s="276">
        <f>'Core Indicators'!AP91</f>
        <v>3</v>
      </c>
      <c r="J91" s="276">
        <f>'Core Indicators'!BN91</f>
        <v>3</v>
      </c>
      <c r="K91" s="276">
        <f t="shared" si="20"/>
        <v>3</v>
      </c>
      <c r="L91" s="213">
        <f t="shared" si="21"/>
        <v>2.5</v>
      </c>
      <c r="M91" s="277">
        <f t="shared" si="29"/>
        <v>2</v>
      </c>
      <c r="N91" s="278">
        <f>'Core Indicators'!DJ91</f>
        <v>2</v>
      </c>
      <c r="O91" s="278">
        <f>'Core Indicators'!DR91</f>
        <v>2</v>
      </c>
      <c r="P91" s="278">
        <f>'Core Indicators'!DZ91</f>
        <v>2</v>
      </c>
      <c r="Q91" s="278">
        <f>'Core Indicators'!EH91</f>
        <v>2</v>
      </c>
      <c r="R91" s="278">
        <f>'Core Indicators'!EP91</f>
        <v>2</v>
      </c>
      <c r="S91" s="214">
        <f t="shared" si="22"/>
        <v>1.3</v>
      </c>
      <c r="T91" s="214">
        <f t="shared" si="23"/>
        <v>1.3333333333333333</v>
      </c>
      <c r="U91" s="276">
        <v>1</v>
      </c>
      <c r="V91" s="276">
        <v>1</v>
      </c>
      <c r="W91" s="276">
        <f>'Core Indicators'!EX91</f>
        <v>3</v>
      </c>
      <c r="X91" s="214">
        <f t="shared" si="24"/>
        <v>2</v>
      </c>
      <c r="Y91" s="276">
        <v>1</v>
      </c>
      <c r="Z91" s="214">
        <f t="shared" si="25"/>
        <v>1.1805555555555554</v>
      </c>
      <c r="AA91" s="276">
        <f>'Core Indicators'!FF91</f>
        <v>1</v>
      </c>
      <c r="AB91" s="276">
        <f t="shared" si="26"/>
        <v>1.3611111111111109</v>
      </c>
      <c r="AC91" s="11">
        <f>'Core Indicators'!GD91</f>
        <v>1</v>
      </c>
      <c r="AD91" s="11">
        <f>'Core Indicators'!GL91</f>
        <v>2</v>
      </c>
      <c r="AE91" s="11">
        <f>'Core Indicators'!GT91</f>
        <v>2</v>
      </c>
      <c r="AF91" s="11">
        <f>'Core Indicators'!HB91</f>
        <v>2</v>
      </c>
      <c r="AG91" s="11">
        <f t="shared" si="27"/>
        <v>1.75</v>
      </c>
      <c r="AH91" s="11">
        <f>'Core Indicators'!HJ91</f>
        <v>1</v>
      </c>
      <c r="AI91" s="11">
        <f>'Core Indicators'!HR91</f>
        <v>1</v>
      </c>
      <c r="AJ91" s="11">
        <f t="shared" si="28"/>
        <v>1</v>
      </c>
      <c r="AK91" s="11">
        <f>'Core Indicators'!HZ91</f>
        <v>1</v>
      </c>
      <c r="AL91" s="11">
        <f>'Core Indicators'!IH91</f>
        <v>2</v>
      </c>
      <c r="AM91" s="11">
        <f>'Core Indicators'!IP91</f>
        <v>1</v>
      </c>
      <c r="AN91" s="11">
        <f t="shared" si="15"/>
        <v>1.3333333333333333</v>
      </c>
    </row>
    <row r="92" spans="1:40" x14ac:dyDescent="0.3">
      <c r="A92" s="276" t="str">
        <f>Lists!C:C</f>
        <v>MMR002</v>
      </c>
      <c r="B92" s="213">
        <f t="shared" si="16"/>
        <v>1.8</v>
      </c>
      <c r="C92" s="214">
        <f t="shared" si="17"/>
        <v>0</v>
      </c>
      <c r="D92" s="277">
        <f t="shared" si="18"/>
        <v>2</v>
      </c>
      <c r="E92" s="276">
        <f>'Core Indicators'!R92</f>
        <v>2</v>
      </c>
      <c r="F92" s="276">
        <f>'Core Indicators'!Z92</f>
        <v>2</v>
      </c>
      <c r="G92" s="214">
        <f t="shared" si="19"/>
        <v>2</v>
      </c>
      <c r="H92" s="276">
        <f>'Core Indicators'!AH92</f>
        <v>2</v>
      </c>
      <c r="I92" s="276">
        <f>'Core Indicators'!AP92</f>
        <v>2</v>
      </c>
      <c r="J92" s="276">
        <f>'Core Indicators'!BN92</f>
        <v>2</v>
      </c>
      <c r="K92" s="276">
        <f t="shared" si="20"/>
        <v>2</v>
      </c>
      <c r="L92" s="213">
        <f t="shared" si="21"/>
        <v>2</v>
      </c>
      <c r="M92" s="277">
        <f t="shared" si="29"/>
        <v>2</v>
      </c>
      <c r="N92" s="278">
        <f>'Core Indicators'!DJ92</f>
        <v>2</v>
      </c>
      <c r="O92" s="278">
        <f>'Core Indicators'!DR92</f>
        <v>2</v>
      </c>
      <c r="P92" s="278">
        <f>'Core Indicators'!DZ92</f>
        <v>2</v>
      </c>
      <c r="Q92" s="278">
        <f>'Core Indicators'!EH92</f>
        <v>2</v>
      </c>
      <c r="R92" s="278">
        <f>'Core Indicators'!EP92</f>
        <v>2</v>
      </c>
      <c r="S92" s="214">
        <f t="shared" si="22"/>
        <v>1.2</v>
      </c>
      <c r="T92" s="214">
        <f t="shared" si="23"/>
        <v>1.1666666666666667</v>
      </c>
      <c r="U92" s="276">
        <v>1</v>
      </c>
      <c r="V92" s="276">
        <v>1</v>
      </c>
      <c r="W92" s="276">
        <f>'Core Indicators'!EX92</f>
        <v>2</v>
      </c>
      <c r="X92" s="214">
        <f t="shared" si="24"/>
        <v>1.5</v>
      </c>
      <c r="Y92" s="276">
        <v>1</v>
      </c>
      <c r="Z92" s="214">
        <f t="shared" si="25"/>
        <v>1.1666666666666665</v>
      </c>
      <c r="AA92" s="276">
        <f>'Core Indicators'!FF92</f>
        <v>1</v>
      </c>
      <c r="AB92" s="276">
        <f t="shared" si="26"/>
        <v>1.3333333333333333</v>
      </c>
      <c r="AC92" s="11">
        <f>'Core Indicators'!GD92</f>
        <v>1</v>
      </c>
      <c r="AD92" s="11">
        <f>'Core Indicators'!GL92</f>
        <v>1</v>
      </c>
      <c r="AE92" s="11">
        <f>'Core Indicators'!GT92</f>
        <v>1</v>
      </c>
      <c r="AF92" s="11">
        <f>'Core Indicators'!HB92</f>
        <v>1</v>
      </c>
      <c r="AG92" s="11">
        <f t="shared" si="27"/>
        <v>1</v>
      </c>
      <c r="AH92" s="11">
        <f>'Core Indicators'!HJ92</f>
        <v>1</v>
      </c>
      <c r="AI92" s="11">
        <f>'Core Indicators'!HR92</f>
        <v>1</v>
      </c>
      <c r="AJ92" s="11">
        <f t="shared" si="28"/>
        <v>1</v>
      </c>
      <c r="AK92" s="11">
        <f>'Core Indicators'!HZ92</f>
        <v>2</v>
      </c>
      <c r="AL92" s="11">
        <f>'Core Indicators'!IH92</f>
        <v>2</v>
      </c>
      <c r="AM92" s="11">
        <f>'Core Indicators'!IP92</f>
        <v>2</v>
      </c>
      <c r="AN92" s="11">
        <f t="shared" si="15"/>
        <v>2</v>
      </c>
    </row>
    <row r="93" spans="1:40" x14ac:dyDescent="0.3">
      <c r="A93" s="276" t="str">
        <f>Lists!C:C</f>
        <v>MMR003</v>
      </c>
      <c r="B93" s="213">
        <f t="shared" si="16"/>
        <v>1.8</v>
      </c>
      <c r="C93" s="214">
        <f t="shared" si="17"/>
        <v>0</v>
      </c>
      <c r="D93" s="277">
        <f t="shared" si="18"/>
        <v>2</v>
      </c>
      <c r="E93" s="276">
        <f>'Core Indicators'!R93</f>
        <v>2</v>
      </c>
      <c r="F93" s="276">
        <f>'Core Indicators'!Z93</f>
        <v>2</v>
      </c>
      <c r="G93" s="214">
        <f t="shared" si="19"/>
        <v>2</v>
      </c>
      <c r="H93" s="276">
        <f>'Core Indicators'!AH93</f>
        <v>2</v>
      </c>
      <c r="I93" s="276">
        <f>'Core Indicators'!AP93</f>
        <v>2</v>
      </c>
      <c r="J93" s="276">
        <f>'Core Indicators'!BN93</f>
        <v>2</v>
      </c>
      <c r="K93" s="276">
        <f t="shared" si="20"/>
        <v>2</v>
      </c>
      <c r="L93" s="213">
        <f t="shared" si="21"/>
        <v>2</v>
      </c>
      <c r="M93" s="277">
        <f t="shared" si="29"/>
        <v>2</v>
      </c>
      <c r="N93" s="278">
        <f>'Core Indicators'!DJ93</f>
        <v>2</v>
      </c>
      <c r="O93" s="278">
        <f>'Core Indicators'!DR93</f>
        <v>2</v>
      </c>
      <c r="P93" s="278">
        <f>'Core Indicators'!DZ93</f>
        <v>2</v>
      </c>
      <c r="Q93" s="278">
        <f>'Core Indicators'!EH93</f>
        <v>2</v>
      </c>
      <c r="R93" s="278">
        <f>'Core Indicators'!EP93</f>
        <v>2</v>
      </c>
      <c r="S93" s="214">
        <f t="shared" si="22"/>
        <v>1.2</v>
      </c>
      <c r="T93" s="214">
        <f t="shared" si="23"/>
        <v>1.1666666666666667</v>
      </c>
      <c r="U93" s="276">
        <v>1</v>
      </c>
      <c r="V93" s="276">
        <v>1</v>
      </c>
      <c r="W93" s="276">
        <f>'Core Indicators'!EX93</f>
        <v>2</v>
      </c>
      <c r="X93" s="214">
        <f t="shared" si="24"/>
        <v>1.5</v>
      </c>
      <c r="Y93" s="276">
        <v>1</v>
      </c>
      <c r="Z93" s="214">
        <f t="shared" si="25"/>
        <v>1.3055555555555554</v>
      </c>
      <c r="AA93" s="276">
        <f>'Core Indicators'!FF93</f>
        <v>1</v>
      </c>
      <c r="AB93" s="276">
        <f t="shared" si="26"/>
        <v>1.6111111111111109</v>
      </c>
      <c r="AC93" s="11">
        <f>'Core Indicators'!GD93</f>
        <v>1</v>
      </c>
      <c r="AD93" s="11">
        <f>'Core Indicators'!GL93</f>
        <v>2</v>
      </c>
      <c r="AE93" s="11">
        <f>'Core Indicators'!GT93</f>
        <v>2</v>
      </c>
      <c r="AF93" s="11">
        <f>'Core Indicators'!HB93</f>
        <v>1</v>
      </c>
      <c r="AG93" s="11">
        <f t="shared" si="27"/>
        <v>1.5</v>
      </c>
      <c r="AH93" s="11">
        <f>'Core Indicators'!HJ93</f>
        <v>2</v>
      </c>
      <c r="AI93" s="11">
        <f>'Core Indicators'!HR93</f>
        <v>2</v>
      </c>
      <c r="AJ93" s="11">
        <f t="shared" si="28"/>
        <v>2</v>
      </c>
      <c r="AK93" s="11">
        <f>'Core Indicators'!HZ93</f>
        <v>1</v>
      </c>
      <c r="AL93" s="11">
        <f>'Core Indicators'!IH93</f>
        <v>2</v>
      </c>
      <c r="AM93" s="11">
        <f>'Core Indicators'!IP93</f>
        <v>1</v>
      </c>
      <c r="AN93" s="11">
        <f>IF(AND(AK93="x",AL93="x",AM93="x"),"x",AVERAGE(AK93:AM93))</f>
        <v>1.3333333333333333</v>
      </c>
    </row>
    <row r="94" spans="1:40" x14ac:dyDescent="0.3">
      <c r="A94" s="276" t="str">
        <f>Lists!C:C</f>
        <v>NAM002</v>
      </c>
      <c r="B94" s="213">
        <f t="shared" si="16"/>
        <v>1.8</v>
      </c>
      <c r="C94" s="214">
        <f t="shared" si="17"/>
        <v>3</v>
      </c>
      <c r="D94" s="277">
        <f t="shared" si="18"/>
        <v>1.8</v>
      </c>
      <c r="E94" s="276">
        <f>'Core Indicators'!R94</f>
        <v>1</v>
      </c>
      <c r="F94" s="276">
        <f>'Core Indicators'!Z94</f>
        <v>2</v>
      </c>
      <c r="G94" s="214">
        <f t="shared" si="19"/>
        <v>1.5</v>
      </c>
      <c r="H94" s="276">
        <f>'Core Indicators'!AH94</f>
        <v>2</v>
      </c>
      <c r="I94" s="276" t="str">
        <f>'Core Indicators'!AP94</f>
        <v>x</v>
      </c>
      <c r="J94" s="276" t="str">
        <f>'Core Indicators'!BN94</f>
        <v>x</v>
      </c>
      <c r="K94" s="276" t="str">
        <f t="shared" si="20"/>
        <v>x</v>
      </c>
      <c r="L94" s="213">
        <f t="shared" si="21"/>
        <v>2</v>
      </c>
      <c r="M94" s="277">
        <f t="shared" si="29"/>
        <v>2</v>
      </c>
      <c r="N94" s="278">
        <f>'Core Indicators'!DJ94</f>
        <v>2</v>
      </c>
      <c r="O94" s="278">
        <f>'Core Indicators'!DR94</f>
        <v>2</v>
      </c>
      <c r="P94" s="278">
        <f>'Core Indicators'!DZ94</f>
        <v>2</v>
      </c>
      <c r="Q94" s="278">
        <f>'Core Indicators'!EH94</f>
        <v>2</v>
      </c>
      <c r="R94" s="278">
        <f>'Core Indicators'!EP94</f>
        <v>2</v>
      </c>
      <c r="S94" s="214">
        <f t="shared" si="22"/>
        <v>1.5</v>
      </c>
      <c r="T94" s="214">
        <f t="shared" si="23"/>
        <v>1</v>
      </c>
      <c r="U94" s="276">
        <v>1</v>
      </c>
      <c r="V94" s="276">
        <v>1</v>
      </c>
      <c r="W94" s="276" t="str">
        <f>'Core Indicators'!EX94</f>
        <v>x</v>
      </c>
      <c r="X94" s="214">
        <f t="shared" si="24"/>
        <v>1</v>
      </c>
      <c r="Y94" s="276">
        <v>1</v>
      </c>
      <c r="Z94" s="214">
        <f t="shared" si="25"/>
        <v>2</v>
      </c>
      <c r="AA94" s="276">
        <f>'Core Indicators'!FF94</f>
        <v>2</v>
      </c>
      <c r="AB94" s="276">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76" t="str">
        <f>Lists!C:C</f>
        <v>NIC001</v>
      </c>
      <c r="B95" s="213" t="str">
        <f t="shared" si="16"/>
        <v>x</v>
      </c>
      <c r="C95" s="214">
        <f t="shared" si="17"/>
        <v>1</v>
      </c>
      <c r="D95" s="277">
        <f t="shared" si="18"/>
        <v>2</v>
      </c>
      <c r="E95" s="276">
        <f>'Core Indicators'!R95</f>
        <v>1</v>
      </c>
      <c r="F95" s="276">
        <f>'Core Indicators'!Z95</f>
        <v>2</v>
      </c>
      <c r="G95" s="214">
        <f t="shared" si="19"/>
        <v>1.5</v>
      </c>
      <c r="H95" s="276">
        <f>'Core Indicators'!AH95</f>
        <v>2</v>
      </c>
      <c r="I95" s="276">
        <f>'Core Indicators'!AP95</f>
        <v>2</v>
      </c>
      <c r="J95" s="276">
        <f>'Core Indicators'!BN95</f>
        <v>3</v>
      </c>
      <c r="K95" s="276">
        <f t="shared" si="20"/>
        <v>2.5</v>
      </c>
      <c r="L95" s="213">
        <f t="shared" si="21"/>
        <v>2.2999999999999998</v>
      </c>
      <c r="M95" s="277" t="str">
        <f t="shared" si="29"/>
        <v>x</v>
      </c>
      <c r="N95" s="278" t="str">
        <f>'Core Indicators'!DJ95</f>
        <v>x</v>
      </c>
      <c r="O95" s="278" t="str">
        <f>'Core Indicators'!DR95</f>
        <v>x</v>
      </c>
      <c r="P95" s="278" t="str">
        <f>'Core Indicators'!DZ95</f>
        <v>x</v>
      </c>
      <c r="Q95" s="278">
        <f>'Core Indicators'!EH95</f>
        <v>1</v>
      </c>
      <c r="R95" s="278">
        <f>'Core Indicators'!EP95</f>
        <v>1</v>
      </c>
      <c r="S95" s="214">
        <f t="shared" si="22"/>
        <v>1.4</v>
      </c>
      <c r="T95" s="214">
        <f t="shared" si="23"/>
        <v>1.3333333333333333</v>
      </c>
      <c r="U95" s="276">
        <v>1</v>
      </c>
      <c r="V95" s="276">
        <v>1</v>
      </c>
      <c r="W95" s="276">
        <f>'Core Indicators'!EX95</f>
        <v>3</v>
      </c>
      <c r="X95" s="214">
        <f t="shared" si="24"/>
        <v>2</v>
      </c>
      <c r="Y95" s="276">
        <v>1</v>
      </c>
      <c r="Z95" s="214">
        <f t="shared" si="25"/>
        <v>1.5</v>
      </c>
      <c r="AA95" s="276">
        <f>'Core Indicators'!FF95</f>
        <v>2</v>
      </c>
      <c r="AB95" s="276">
        <f t="shared" si="26"/>
        <v>1</v>
      </c>
      <c r="AC95" s="11" t="str">
        <f>'Core Indicators'!GD95</f>
        <v>x</v>
      </c>
      <c r="AD95" s="11" t="str">
        <f>'Core Indicators'!GL95</f>
        <v>x</v>
      </c>
      <c r="AE95" s="11">
        <f>'Core Indicators'!GT95</f>
        <v>1</v>
      </c>
      <c r="AF95" s="11">
        <f>'Core Indicators'!HB95</f>
        <v>1</v>
      </c>
      <c r="AG95" s="11">
        <f t="shared" si="27"/>
        <v>1</v>
      </c>
      <c r="AH95" s="11">
        <f>'Core Indicators'!HJ95</f>
        <v>1</v>
      </c>
      <c r="AI95" s="11">
        <f>'Core Indicators'!HR95</f>
        <v>1</v>
      </c>
      <c r="AJ95" s="11">
        <f t="shared" si="28"/>
        <v>1</v>
      </c>
      <c r="AK95" s="11">
        <f>'Core Indicators'!HZ95</f>
        <v>1</v>
      </c>
      <c r="AL95" s="11">
        <f>'Core Indicators'!IH95</f>
        <v>1</v>
      </c>
      <c r="AM95" s="11">
        <f>'Core Indicators'!IP95</f>
        <v>1</v>
      </c>
      <c r="AN95" s="11">
        <f t="shared" si="30"/>
        <v>1</v>
      </c>
    </row>
    <row r="96" spans="1:40" x14ac:dyDescent="0.3">
      <c r="A96" s="276" t="str">
        <f>Lists!C:C</f>
        <v>NER001</v>
      </c>
      <c r="B96" s="213">
        <f t="shared" si="16"/>
        <v>2.2999999999999998</v>
      </c>
      <c r="C96" s="214">
        <f t="shared" si="17"/>
        <v>0</v>
      </c>
      <c r="D96" s="277">
        <f t="shared" si="18"/>
        <v>2</v>
      </c>
      <c r="E96" s="276">
        <f>'Core Indicators'!R96</f>
        <v>1</v>
      </c>
      <c r="F96" s="276">
        <f>'Core Indicators'!Z96</f>
        <v>2</v>
      </c>
      <c r="G96" s="214">
        <f t="shared" si="19"/>
        <v>1.5</v>
      </c>
      <c r="H96" s="276">
        <f>'Core Indicators'!AH96</f>
        <v>2</v>
      </c>
      <c r="I96" s="276">
        <f>'Core Indicators'!AP96</f>
        <v>2</v>
      </c>
      <c r="J96" s="276">
        <f>'Core Indicators'!BN96</f>
        <v>3</v>
      </c>
      <c r="K96" s="276">
        <f t="shared" si="20"/>
        <v>2.5</v>
      </c>
      <c r="L96" s="213">
        <f t="shared" si="21"/>
        <v>2.2999999999999998</v>
      </c>
      <c r="M96" s="277">
        <f t="shared" si="29"/>
        <v>3</v>
      </c>
      <c r="N96" s="278">
        <f>'Core Indicators'!DJ96</f>
        <v>3</v>
      </c>
      <c r="O96" s="278">
        <f>'Core Indicators'!DR96</f>
        <v>3</v>
      </c>
      <c r="P96" s="278">
        <f>'Core Indicators'!DZ96</f>
        <v>3</v>
      </c>
      <c r="Q96" s="278">
        <f>'Core Indicators'!EH96</f>
        <v>3</v>
      </c>
      <c r="R96" s="278">
        <f>'Core Indicators'!EP96</f>
        <v>3</v>
      </c>
      <c r="S96" s="214">
        <f t="shared" si="22"/>
        <v>1.4</v>
      </c>
      <c r="T96" s="214">
        <f t="shared" si="23"/>
        <v>1.3333333333333333</v>
      </c>
      <c r="U96" s="276">
        <v>1</v>
      </c>
      <c r="V96" s="276">
        <v>1</v>
      </c>
      <c r="W96" s="276">
        <f>'Core Indicators'!EX96</f>
        <v>3</v>
      </c>
      <c r="X96" s="214">
        <f t="shared" si="24"/>
        <v>2</v>
      </c>
      <c r="Y96" s="276">
        <v>1</v>
      </c>
      <c r="Z96" s="214">
        <f t="shared" si="25"/>
        <v>1.5</v>
      </c>
      <c r="AA96" s="276">
        <f>'Core Indicators'!FF96</f>
        <v>1</v>
      </c>
      <c r="AB96" s="276">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x14ac:dyDescent="0.3">
      <c r="A97" s="276" t="str">
        <f>Lists!C:C</f>
        <v>NER002</v>
      </c>
      <c r="B97" s="213">
        <f t="shared" si="16"/>
        <v>2.4</v>
      </c>
      <c r="C97" s="214">
        <f t="shared" si="17"/>
        <v>0</v>
      </c>
      <c r="D97" s="277">
        <f t="shared" si="18"/>
        <v>2.4</v>
      </c>
      <c r="E97" s="276">
        <f>'Core Indicators'!R97</f>
        <v>1</v>
      </c>
      <c r="F97" s="276">
        <f>'Core Indicators'!Z97</f>
        <v>2</v>
      </c>
      <c r="G97" s="214">
        <f t="shared" si="19"/>
        <v>1.5</v>
      </c>
      <c r="H97" s="276">
        <f>'Core Indicators'!AH97</f>
        <v>3</v>
      </c>
      <c r="I97" s="276">
        <f>'Core Indicators'!AP97</f>
        <v>2</v>
      </c>
      <c r="J97" s="276">
        <f>'Core Indicators'!BN97</f>
        <v>3</v>
      </c>
      <c r="K97" s="276">
        <f t="shared" si="20"/>
        <v>2.5</v>
      </c>
      <c r="L97" s="213">
        <f t="shared" si="21"/>
        <v>2.8</v>
      </c>
      <c r="M97" s="277">
        <f t="shared" si="29"/>
        <v>3</v>
      </c>
      <c r="N97" s="278">
        <f>'Core Indicators'!DJ97</f>
        <v>3</v>
      </c>
      <c r="O97" s="278">
        <f>'Core Indicators'!DR97</f>
        <v>3</v>
      </c>
      <c r="P97" s="278">
        <f>'Core Indicators'!DZ97</f>
        <v>3</v>
      </c>
      <c r="Q97" s="278">
        <f>'Core Indicators'!EH97</f>
        <v>3</v>
      </c>
      <c r="R97" s="278">
        <f>'Core Indicators'!EP97</f>
        <v>3</v>
      </c>
      <c r="S97" s="214">
        <f t="shared" si="22"/>
        <v>1.4</v>
      </c>
      <c r="T97" s="214">
        <f t="shared" si="23"/>
        <v>1.3333333333333333</v>
      </c>
      <c r="U97" s="276">
        <v>1</v>
      </c>
      <c r="V97" s="276">
        <v>1</v>
      </c>
      <c r="W97" s="276">
        <f>'Core Indicators'!EX97</f>
        <v>3</v>
      </c>
      <c r="X97" s="214">
        <f t="shared" si="24"/>
        <v>2</v>
      </c>
      <c r="Y97" s="276">
        <v>1</v>
      </c>
      <c r="Z97" s="214">
        <f t="shared" si="25"/>
        <v>1.5</v>
      </c>
      <c r="AA97" s="276">
        <f>'Core Indicators'!FF97</f>
        <v>1</v>
      </c>
      <c r="AB97" s="276">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76" t="str">
        <f>Lists!C:C</f>
        <v>NER003</v>
      </c>
      <c r="B98" s="213">
        <f t="shared" si="16"/>
        <v>2.5</v>
      </c>
      <c r="C98" s="214">
        <f t="shared" si="17"/>
        <v>0</v>
      </c>
      <c r="D98" s="277">
        <f t="shared" si="18"/>
        <v>2.6</v>
      </c>
      <c r="E98" s="276">
        <f>'Core Indicators'!R98</f>
        <v>2</v>
      </c>
      <c r="F98" s="276">
        <f>'Core Indicators'!Z98</f>
        <v>2</v>
      </c>
      <c r="G98" s="214">
        <f t="shared" si="19"/>
        <v>2</v>
      </c>
      <c r="H98" s="276">
        <f>'Core Indicators'!AH98</f>
        <v>3</v>
      </c>
      <c r="I98" s="276">
        <f>'Core Indicators'!AP98</f>
        <v>2</v>
      </c>
      <c r="J98" s="276">
        <f>'Core Indicators'!BN98</f>
        <v>3</v>
      </c>
      <c r="K98" s="276">
        <f t="shared" si="20"/>
        <v>2.5</v>
      </c>
      <c r="L98" s="213">
        <f t="shared" si="21"/>
        <v>2.8</v>
      </c>
      <c r="M98" s="277">
        <f t="shared" si="29"/>
        <v>3</v>
      </c>
      <c r="N98" s="278">
        <f>'Core Indicators'!DJ98</f>
        <v>3</v>
      </c>
      <c r="O98" s="278">
        <f>'Core Indicators'!DR98</f>
        <v>3</v>
      </c>
      <c r="P98" s="278">
        <f>'Core Indicators'!DZ98</f>
        <v>3</v>
      </c>
      <c r="Q98" s="278">
        <f>'Core Indicators'!EH98</f>
        <v>3</v>
      </c>
      <c r="R98" s="278">
        <f>'Core Indicators'!EP98</f>
        <v>3</v>
      </c>
      <c r="S98" s="214">
        <f t="shared" si="22"/>
        <v>1.7</v>
      </c>
      <c r="T98" s="214">
        <f t="shared" si="23"/>
        <v>1.3333333333333333</v>
      </c>
      <c r="U98" s="276">
        <v>1</v>
      </c>
      <c r="V98" s="276">
        <v>1</v>
      </c>
      <c r="W98" s="276">
        <f>'Core Indicators'!EX98</f>
        <v>3</v>
      </c>
      <c r="X98" s="214">
        <f t="shared" si="24"/>
        <v>2</v>
      </c>
      <c r="Y98" s="276">
        <v>1</v>
      </c>
      <c r="Z98" s="214">
        <f t="shared" si="25"/>
        <v>2</v>
      </c>
      <c r="AA98" s="276">
        <f>'Core Indicators'!FF98</f>
        <v>2</v>
      </c>
      <c r="AB98" s="276">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f>'Core Indicators'!IH98</f>
        <v>2</v>
      </c>
      <c r="AM98" s="11">
        <f>'Core Indicators'!IP98</f>
        <v>2</v>
      </c>
      <c r="AN98" s="11">
        <f t="shared" si="30"/>
        <v>2</v>
      </c>
    </row>
    <row r="99" spans="1:40" x14ac:dyDescent="0.3">
      <c r="A99" s="276" t="str">
        <f>Lists!C:C</f>
        <v>NER004</v>
      </c>
      <c r="B99" s="213">
        <f t="shared" si="16"/>
        <v>2.5</v>
      </c>
      <c r="C99" s="214">
        <f t="shared" si="17"/>
        <v>0</v>
      </c>
      <c r="D99" s="277">
        <f t="shared" si="18"/>
        <v>2.7</v>
      </c>
      <c r="E99" s="276">
        <f>'Core Indicators'!R99</f>
        <v>2</v>
      </c>
      <c r="F99" s="276">
        <f>'Core Indicators'!Z99</f>
        <v>2</v>
      </c>
      <c r="G99" s="214">
        <f t="shared" si="19"/>
        <v>2</v>
      </c>
      <c r="H99" s="276">
        <f>'Core Indicators'!AH99</f>
        <v>3</v>
      </c>
      <c r="I99" s="276">
        <f>'Core Indicators'!AP99</f>
        <v>3</v>
      </c>
      <c r="J99" s="276">
        <f>'Core Indicators'!BN99</f>
        <v>3</v>
      </c>
      <c r="K99" s="276">
        <f t="shared" si="20"/>
        <v>3</v>
      </c>
      <c r="L99" s="213">
        <f t="shared" si="21"/>
        <v>3</v>
      </c>
      <c r="M99" s="277">
        <f t="shared" si="29"/>
        <v>3</v>
      </c>
      <c r="N99" s="278">
        <f>'Core Indicators'!DJ99</f>
        <v>3</v>
      </c>
      <c r="O99" s="278">
        <f>'Core Indicators'!DR99</f>
        <v>3</v>
      </c>
      <c r="P99" s="278">
        <f>'Core Indicators'!DZ99</f>
        <v>3</v>
      </c>
      <c r="Q99" s="278">
        <f>'Core Indicators'!EH99</f>
        <v>3</v>
      </c>
      <c r="R99" s="278">
        <f>'Core Indicators'!EP99</f>
        <v>3</v>
      </c>
      <c r="S99" s="214">
        <f t="shared" si="22"/>
        <v>1.4</v>
      </c>
      <c r="T99" s="214">
        <f t="shared" si="23"/>
        <v>1.3333333333333333</v>
      </c>
      <c r="U99" s="276">
        <v>1</v>
      </c>
      <c r="V99" s="276">
        <v>1</v>
      </c>
      <c r="W99" s="276">
        <f>'Core Indicators'!EX99</f>
        <v>3</v>
      </c>
      <c r="X99" s="214">
        <f t="shared" si="24"/>
        <v>2</v>
      </c>
      <c r="Y99" s="276">
        <v>1</v>
      </c>
      <c r="Z99" s="214">
        <f t="shared" si="25"/>
        <v>1.5</v>
      </c>
      <c r="AA99" s="276">
        <f>'Core Indicators'!FF99</f>
        <v>1</v>
      </c>
      <c r="AB99" s="276">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76" t="str">
        <f>Lists!C:C</f>
        <v>NER005</v>
      </c>
      <c r="B100" s="213">
        <f t="shared" si="16"/>
        <v>2.4</v>
      </c>
      <c r="C100" s="214">
        <f t="shared" si="17"/>
        <v>1</v>
      </c>
      <c r="D100" s="277">
        <f t="shared" si="18"/>
        <v>2.2000000000000002</v>
      </c>
      <c r="E100" s="276">
        <f>'Core Indicators'!R100</f>
        <v>3</v>
      </c>
      <c r="F100" s="276">
        <f>'Core Indicators'!Z100</f>
        <v>2</v>
      </c>
      <c r="G100" s="214">
        <f t="shared" si="19"/>
        <v>2.5</v>
      </c>
      <c r="H100" s="276">
        <f>'Core Indicators'!AH100</f>
        <v>2</v>
      </c>
      <c r="I100" s="276" t="str">
        <f>'Core Indicators'!AP100</f>
        <v>x</v>
      </c>
      <c r="J100" s="276">
        <f>'Core Indicators'!BN100</f>
        <v>2</v>
      </c>
      <c r="K100" s="276">
        <f t="shared" si="20"/>
        <v>2</v>
      </c>
      <c r="L100" s="213">
        <f t="shared" si="21"/>
        <v>2</v>
      </c>
      <c r="M100" s="277">
        <f t="shared" si="29"/>
        <v>3</v>
      </c>
      <c r="N100" s="278">
        <f>'Core Indicators'!DJ100</f>
        <v>3</v>
      </c>
      <c r="O100" s="278">
        <f>'Core Indicators'!DR100</f>
        <v>3</v>
      </c>
      <c r="P100" s="278">
        <f>'Core Indicators'!DZ100</f>
        <v>3</v>
      </c>
      <c r="Q100" s="278">
        <f>'Core Indicators'!EH100</f>
        <v>3</v>
      </c>
      <c r="R100" s="278">
        <f>'Core Indicators'!EP100</f>
        <v>3</v>
      </c>
      <c r="S100" s="214">
        <f t="shared" si="22"/>
        <v>1.7</v>
      </c>
      <c r="T100" s="214">
        <f t="shared" si="23"/>
        <v>1.3333333333333333</v>
      </c>
      <c r="U100" s="276">
        <v>1</v>
      </c>
      <c r="V100" s="276">
        <v>1</v>
      </c>
      <c r="W100" s="276">
        <f>'Core Indicators'!EX100</f>
        <v>3</v>
      </c>
      <c r="X100" s="214">
        <f t="shared" si="24"/>
        <v>2</v>
      </c>
      <c r="Y100" s="276">
        <v>1</v>
      </c>
      <c r="Z100" s="214">
        <f t="shared" si="25"/>
        <v>2</v>
      </c>
      <c r="AA100" s="276">
        <f>'Core Indicators'!FF100</f>
        <v>2</v>
      </c>
      <c r="AB100" s="276">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76" t="str">
        <f>Lists!C:C</f>
        <v>NGA001</v>
      </c>
      <c r="B101" s="213">
        <f t="shared" si="16"/>
        <v>1.8</v>
      </c>
      <c r="C101" s="214">
        <f t="shared" si="17"/>
        <v>0</v>
      </c>
      <c r="D101" s="277">
        <f t="shared" si="18"/>
        <v>2</v>
      </c>
      <c r="E101" s="276">
        <f>'Core Indicators'!R101</f>
        <v>2</v>
      </c>
      <c r="F101" s="276">
        <f>'Core Indicators'!Z101</f>
        <v>2</v>
      </c>
      <c r="G101" s="214">
        <f t="shared" si="19"/>
        <v>2</v>
      </c>
      <c r="H101" s="276">
        <f>'Core Indicators'!AH101</f>
        <v>2</v>
      </c>
      <c r="I101" s="276">
        <f>'Core Indicators'!AP101</f>
        <v>2</v>
      </c>
      <c r="J101" s="276">
        <f>'Core Indicators'!BN101</f>
        <v>2</v>
      </c>
      <c r="K101" s="276">
        <f t="shared" si="20"/>
        <v>2</v>
      </c>
      <c r="L101" s="213">
        <f t="shared" si="21"/>
        <v>2</v>
      </c>
      <c r="M101" s="277">
        <f t="shared" si="29"/>
        <v>2</v>
      </c>
      <c r="N101" s="278">
        <f>'Core Indicators'!DJ101</f>
        <v>2</v>
      </c>
      <c r="O101" s="278">
        <f>'Core Indicators'!DR101</f>
        <v>2</v>
      </c>
      <c r="P101" s="278">
        <f>'Core Indicators'!DZ101</f>
        <v>2</v>
      </c>
      <c r="Q101" s="278">
        <f>'Core Indicators'!EH101</f>
        <v>2</v>
      </c>
      <c r="R101" s="278">
        <f>'Core Indicators'!EP101</f>
        <v>2</v>
      </c>
      <c r="S101" s="214">
        <f t="shared" si="22"/>
        <v>1.3</v>
      </c>
      <c r="T101" s="214">
        <f t="shared" si="23"/>
        <v>1.1666666666666667</v>
      </c>
      <c r="U101" s="276">
        <v>1</v>
      </c>
      <c r="V101" s="276">
        <v>1</v>
      </c>
      <c r="W101" s="276">
        <f>'Core Indicators'!EX101</f>
        <v>2</v>
      </c>
      <c r="X101" s="214">
        <f t="shared" si="24"/>
        <v>1.5</v>
      </c>
      <c r="Y101" s="276">
        <v>1</v>
      </c>
      <c r="Z101" s="214">
        <f t="shared" si="25"/>
        <v>1.5</v>
      </c>
      <c r="AA101" s="276">
        <f>'Core Indicators'!FF101</f>
        <v>2</v>
      </c>
      <c r="AB101" s="276">
        <f t="shared" si="26"/>
        <v>1</v>
      </c>
      <c r="AC101" s="11">
        <f>'Core Indicators'!GD101</f>
        <v>1</v>
      </c>
      <c r="AD101" s="11">
        <f>'Core Indicators'!GL101</f>
        <v>1</v>
      </c>
      <c r="AE101" s="11">
        <f>'Core Indicators'!GT101</f>
        <v>1</v>
      </c>
      <c r="AF101" s="11">
        <f>'Core Indicators'!HB101</f>
        <v>1</v>
      </c>
      <c r="AG101" s="11">
        <f t="shared" si="27"/>
        <v>1</v>
      </c>
      <c r="AH101" s="11">
        <f>'Core Indicators'!HJ101</f>
        <v>1</v>
      </c>
      <c r="AI101" s="11">
        <f>'Core Indicators'!HR101</f>
        <v>1</v>
      </c>
      <c r="AJ101" s="11">
        <f t="shared" si="28"/>
        <v>1</v>
      </c>
      <c r="AK101" s="11">
        <f>'Core Indicators'!HZ101</f>
        <v>1</v>
      </c>
      <c r="AL101" s="11">
        <f>'Core Indicators'!IH101</f>
        <v>1</v>
      </c>
      <c r="AM101" s="11">
        <f>'Core Indicators'!IP101</f>
        <v>1</v>
      </c>
      <c r="AN101" s="11">
        <f t="shared" si="30"/>
        <v>1</v>
      </c>
    </row>
    <row r="102" spans="1:40" x14ac:dyDescent="0.3">
      <c r="A102" s="276" t="str">
        <f>Lists!C:C</f>
        <v>NGA003</v>
      </c>
      <c r="B102" s="213" t="str">
        <f t="shared" si="16"/>
        <v>x</v>
      </c>
      <c r="C102" s="214">
        <f t="shared" si="17"/>
        <v>2</v>
      </c>
      <c r="D102" s="277">
        <f t="shared" si="18"/>
        <v>2</v>
      </c>
      <c r="E102" s="276">
        <f>'Core Indicators'!R102</f>
        <v>2</v>
      </c>
      <c r="F102" s="276">
        <f>'Core Indicators'!Z102</f>
        <v>2</v>
      </c>
      <c r="G102" s="214">
        <f t="shared" si="19"/>
        <v>2</v>
      </c>
      <c r="H102" s="276">
        <f>'Core Indicators'!AH102</f>
        <v>2</v>
      </c>
      <c r="I102" s="276" t="str">
        <f>'Core Indicators'!AP102</f>
        <v>x</v>
      </c>
      <c r="J102" s="276">
        <f>'Core Indicators'!BN102</f>
        <v>2</v>
      </c>
      <c r="K102" s="276">
        <f t="shared" si="20"/>
        <v>2</v>
      </c>
      <c r="L102" s="213">
        <f t="shared" si="21"/>
        <v>2</v>
      </c>
      <c r="M102" s="277" t="str">
        <f t="shared" si="29"/>
        <v>x</v>
      </c>
      <c r="N102" s="278" t="str">
        <f>'Core Indicators'!DJ102</f>
        <v>x</v>
      </c>
      <c r="O102" s="278">
        <f>'Core Indicators'!DR102</f>
        <v>2</v>
      </c>
      <c r="P102" s="278" t="str">
        <f>'Core Indicators'!DZ102</f>
        <v>x</v>
      </c>
      <c r="Q102" s="278">
        <f>'Core Indicators'!EH102</f>
        <v>2</v>
      </c>
      <c r="R102" s="278">
        <f>'Core Indicators'!EP102</f>
        <v>2</v>
      </c>
      <c r="S102" s="214">
        <f t="shared" si="22"/>
        <v>1.3</v>
      </c>
      <c r="T102" s="214">
        <f t="shared" si="23"/>
        <v>1.1666666666666667</v>
      </c>
      <c r="U102" s="276">
        <v>1</v>
      </c>
      <c r="V102" s="276">
        <v>1</v>
      </c>
      <c r="W102" s="276">
        <f>'Core Indicators'!EX102</f>
        <v>2</v>
      </c>
      <c r="X102" s="214">
        <f t="shared" si="24"/>
        <v>1.5</v>
      </c>
      <c r="Y102" s="276">
        <v>1</v>
      </c>
      <c r="Z102" s="214">
        <f t="shared" si="25"/>
        <v>1.5</v>
      </c>
      <c r="AA102" s="276">
        <f>'Core Indicators'!FF102</f>
        <v>2</v>
      </c>
      <c r="AB102" s="276">
        <f t="shared" si="26"/>
        <v>1</v>
      </c>
      <c r="AC102" s="11">
        <f>'Core Indicators'!GD102</f>
        <v>1</v>
      </c>
      <c r="AD102" s="11">
        <f>'Core Indicators'!GL102</f>
        <v>1</v>
      </c>
      <c r="AE102" s="11">
        <f>'Core Indicators'!GT102</f>
        <v>1</v>
      </c>
      <c r="AF102" s="11">
        <f>'Core Indicators'!HB102</f>
        <v>1</v>
      </c>
      <c r="AG102" s="11">
        <f t="shared" si="27"/>
        <v>1</v>
      </c>
      <c r="AH102" s="11">
        <f>'Core Indicators'!HJ102</f>
        <v>1</v>
      </c>
      <c r="AI102" s="11">
        <f>'Core Indicators'!HR102</f>
        <v>1</v>
      </c>
      <c r="AJ102" s="11">
        <f t="shared" si="28"/>
        <v>1</v>
      </c>
      <c r="AK102" s="11">
        <f>'Core Indicators'!HZ102</f>
        <v>1</v>
      </c>
      <c r="AL102" s="11">
        <f>'Core Indicators'!IH102</f>
        <v>1</v>
      </c>
      <c r="AM102" s="11">
        <f>'Core Indicators'!IP102</f>
        <v>1</v>
      </c>
      <c r="AN102" s="11">
        <f t="shared" si="30"/>
        <v>1</v>
      </c>
    </row>
    <row r="103" spans="1:40" x14ac:dyDescent="0.3">
      <c r="A103" s="276" t="str">
        <f>Lists!C:C</f>
        <v>NGA004</v>
      </c>
      <c r="B103" s="213">
        <f t="shared" si="16"/>
        <v>1.7</v>
      </c>
      <c r="C103" s="214">
        <f t="shared" si="17"/>
        <v>1</v>
      </c>
      <c r="D103" s="277">
        <f t="shared" si="18"/>
        <v>1.7</v>
      </c>
      <c r="E103" s="276">
        <f>'Core Indicators'!R103</f>
        <v>1</v>
      </c>
      <c r="F103" s="276">
        <f>'Core Indicators'!Z103</f>
        <v>1</v>
      </c>
      <c r="G103" s="214">
        <f t="shared" si="19"/>
        <v>1</v>
      </c>
      <c r="H103" s="276">
        <f>'Core Indicators'!AH103</f>
        <v>2</v>
      </c>
      <c r="I103" s="276">
        <f>'Core Indicators'!AP103</f>
        <v>2</v>
      </c>
      <c r="J103" s="276">
        <f>'Core Indicators'!BN103</f>
        <v>2</v>
      </c>
      <c r="K103" s="276">
        <f t="shared" si="20"/>
        <v>2</v>
      </c>
      <c r="L103" s="213">
        <f t="shared" si="21"/>
        <v>2</v>
      </c>
      <c r="M103" s="277">
        <f t="shared" si="29"/>
        <v>2</v>
      </c>
      <c r="N103" s="278">
        <f>'Core Indicators'!DJ103</f>
        <v>2</v>
      </c>
      <c r="O103" s="278">
        <f>'Core Indicators'!DR103</f>
        <v>2</v>
      </c>
      <c r="P103" s="278">
        <f>'Core Indicators'!DZ103</f>
        <v>2</v>
      </c>
      <c r="Q103" s="278">
        <f>'Core Indicators'!EH103</f>
        <v>2</v>
      </c>
      <c r="R103" s="278">
        <f>'Core Indicators'!EP103</f>
        <v>2</v>
      </c>
      <c r="S103" s="214">
        <f t="shared" si="22"/>
        <v>1.1000000000000001</v>
      </c>
      <c r="T103" s="214">
        <f t="shared" si="23"/>
        <v>1.1666666666666667</v>
      </c>
      <c r="U103" s="276">
        <v>1</v>
      </c>
      <c r="V103" s="276">
        <v>1</v>
      </c>
      <c r="W103" s="276">
        <f>'Core Indicators'!EX103</f>
        <v>2</v>
      </c>
      <c r="X103" s="214">
        <f t="shared" si="24"/>
        <v>1.5</v>
      </c>
      <c r="Y103" s="276">
        <v>1</v>
      </c>
      <c r="Z103" s="214">
        <f t="shared" si="25"/>
        <v>1</v>
      </c>
      <c r="AA103" s="276" t="str">
        <f>'Core Indicators'!FF103</f>
        <v>x</v>
      </c>
      <c r="AB103" s="276">
        <f t="shared" si="26"/>
        <v>1</v>
      </c>
      <c r="AC103" s="11">
        <f>'Core Indicators'!GD103</f>
        <v>1</v>
      </c>
      <c r="AD103" s="11">
        <f>'Core Indicators'!GL103</f>
        <v>1</v>
      </c>
      <c r="AE103" s="11">
        <f>'Core Indicators'!GT103</f>
        <v>1</v>
      </c>
      <c r="AF103" s="11">
        <f>'Core Indicators'!HB103</f>
        <v>1</v>
      </c>
      <c r="AG103" s="11">
        <f t="shared" si="27"/>
        <v>1</v>
      </c>
      <c r="AH103" s="11">
        <f>'Core Indicators'!HJ103</f>
        <v>1</v>
      </c>
      <c r="AI103" s="11">
        <f>'Core Indicators'!HR103</f>
        <v>1</v>
      </c>
      <c r="AJ103" s="11">
        <f t="shared" si="28"/>
        <v>1</v>
      </c>
      <c r="AK103" s="11">
        <f>'Core Indicators'!HZ103</f>
        <v>1</v>
      </c>
      <c r="AL103" s="11">
        <f>'Core Indicators'!IH103</f>
        <v>1</v>
      </c>
      <c r="AM103" s="11">
        <f>'Core Indicators'!IP103</f>
        <v>1</v>
      </c>
      <c r="AN103" s="11">
        <f t="shared" si="30"/>
        <v>1</v>
      </c>
    </row>
    <row r="104" spans="1:40" x14ac:dyDescent="0.3">
      <c r="A104" s="276" t="str">
        <f>Lists!C:C</f>
        <v>NGA007</v>
      </c>
      <c r="B104" s="213">
        <f t="shared" si="16"/>
        <v>1.8</v>
      </c>
      <c r="C104" s="214">
        <f t="shared" si="17"/>
        <v>0</v>
      </c>
      <c r="D104" s="277">
        <f t="shared" si="18"/>
        <v>2</v>
      </c>
      <c r="E104" s="276">
        <f>'Core Indicators'!R104</f>
        <v>2</v>
      </c>
      <c r="F104" s="276">
        <f>'Core Indicators'!Z104</f>
        <v>2</v>
      </c>
      <c r="G104" s="214">
        <f t="shared" si="19"/>
        <v>2</v>
      </c>
      <c r="H104" s="276">
        <f>'Core Indicators'!AH104</f>
        <v>2</v>
      </c>
      <c r="I104" s="276">
        <f>'Core Indicators'!AP104</f>
        <v>2</v>
      </c>
      <c r="J104" s="276">
        <f>'Core Indicators'!BN104</f>
        <v>2</v>
      </c>
      <c r="K104" s="276">
        <f t="shared" si="20"/>
        <v>2</v>
      </c>
      <c r="L104" s="213">
        <f t="shared" si="21"/>
        <v>2</v>
      </c>
      <c r="M104" s="277">
        <f t="shared" si="29"/>
        <v>2</v>
      </c>
      <c r="N104" s="278">
        <f>'Core Indicators'!DJ104</f>
        <v>2</v>
      </c>
      <c r="O104" s="278">
        <f>'Core Indicators'!DR104</f>
        <v>2</v>
      </c>
      <c r="P104" s="278">
        <f>'Core Indicators'!DZ104</f>
        <v>2</v>
      </c>
      <c r="Q104" s="278">
        <f>'Core Indicators'!EH104</f>
        <v>2</v>
      </c>
      <c r="R104" s="278">
        <f>'Core Indicators'!EP104</f>
        <v>2</v>
      </c>
      <c r="S104" s="214">
        <f t="shared" si="22"/>
        <v>1.3</v>
      </c>
      <c r="T104" s="214">
        <f t="shared" si="23"/>
        <v>1.1666666666666667</v>
      </c>
      <c r="U104" s="276">
        <v>1</v>
      </c>
      <c r="V104" s="276">
        <v>1</v>
      </c>
      <c r="W104" s="276">
        <f>'Core Indicators'!EX104</f>
        <v>2</v>
      </c>
      <c r="X104" s="214">
        <f t="shared" si="24"/>
        <v>1.5</v>
      </c>
      <c r="Y104" s="276">
        <v>1</v>
      </c>
      <c r="Z104" s="214">
        <f t="shared" si="25"/>
        <v>1.5</v>
      </c>
      <c r="AA104" s="276">
        <f>'Core Indicators'!FF104</f>
        <v>1</v>
      </c>
      <c r="AB104" s="276">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x14ac:dyDescent="0.3">
      <c r="A105" s="276" t="str">
        <f>Lists!C:C</f>
        <v>NGA008</v>
      </c>
      <c r="B105" s="213">
        <f t="shared" si="16"/>
        <v>1.8</v>
      </c>
      <c r="C105" s="214">
        <f t="shared" si="17"/>
        <v>1</v>
      </c>
      <c r="D105" s="277">
        <f t="shared" si="18"/>
        <v>1.8</v>
      </c>
      <c r="E105" s="276">
        <f>'Core Indicators'!R105</f>
        <v>1</v>
      </c>
      <c r="F105" s="276">
        <f>'Core Indicators'!Z105</f>
        <v>2</v>
      </c>
      <c r="G105" s="214">
        <f t="shared" si="19"/>
        <v>1.5</v>
      </c>
      <c r="H105" s="276">
        <f>'Core Indicators'!AH105</f>
        <v>2</v>
      </c>
      <c r="I105" s="276">
        <f>'Core Indicators'!AP105</f>
        <v>2</v>
      </c>
      <c r="J105" s="276" t="str">
        <f>'Core Indicators'!BN105</f>
        <v>x</v>
      </c>
      <c r="K105" s="276">
        <f t="shared" si="20"/>
        <v>2</v>
      </c>
      <c r="L105" s="213">
        <f t="shared" si="21"/>
        <v>2</v>
      </c>
      <c r="M105" s="277">
        <f t="shared" si="29"/>
        <v>2</v>
      </c>
      <c r="N105" s="278">
        <f>'Core Indicators'!DJ105</f>
        <v>2</v>
      </c>
      <c r="O105" s="278">
        <f>'Core Indicators'!DR105</f>
        <v>2</v>
      </c>
      <c r="P105" s="278">
        <f>'Core Indicators'!DZ105</f>
        <v>2</v>
      </c>
      <c r="Q105" s="278">
        <f>'Core Indicators'!EH105</f>
        <v>2</v>
      </c>
      <c r="R105" s="278">
        <f>'Core Indicators'!EP105</f>
        <v>2</v>
      </c>
      <c r="S105" s="214">
        <f t="shared" si="22"/>
        <v>1.6</v>
      </c>
      <c r="T105" s="214">
        <f t="shared" si="23"/>
        <v>1.1666666666666667</v>
      </c>
      <c r="U105" s="276">
        <v>1</v>
      </c>
      <c r="V105" s="276">
        <v>1</v>
      </c>
      <c r="W105" s="276">
        <f>'Core Indicators'!EX105</f>
        <v>2</v>
      </c>
      <c r="X105" s="214">
        <f t="shared" si="24"/>
        <v>1.5</v>
      </c>
      <c r="Y105" s="276">
        <v>1</v>
      </c>
      <c r="Z105" s="214">
        <f t="shared" si="25"/>
        <v>2</v>
      </c>
      <c r="AA105" s="276">
        <f>'Core Indicators'!FF105</f>
        <v>2</v>
      </c>
      <c r="AB105" s="276">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76" t="str">
        <f>Lists!C:C</f>
        <v>REG001</v>
      </c>
      <c r="B106" s="213">
        <f t="shared" si="16"/>
        <v>1.8</v>
      </c>
      <c r="C106" s="214">
        <f t="shared" si="17"/>
        <v>0</v>
      </c>
      <c r="D106" s="277">
        <f t="shared" si="18"/>
        <v>2</v>
      </c>
      <c r="E106" s="276">
        <f>'Core Indicators'!R106</f>
        <v>2</v>
      </c>
      <c r="F106" s="276">
        <f>'Core Indicators'!Z106</f>
        <v>2</v>
      </c>
      <c r="G106" s="214">
        <f t="shared" si="19"/>
        <v>2</v>
      </c>
      <c r="H106" s="276">
        <f>'Core Indicators'!AH106</f>
        <v>2</v>
      </c>
      <c r="I106" s="276">
        <f>'Core Indicators'!AP106</f>
        <v>2</v>
      </c>
      <c r="J106" s="276">
        <f>'Core Indicators'!BN106</f>
        <v>2</v>
      </c>
      <c r="K106" s="276">
        <f t="shared" si="20"/>
        <v>2</v>
      </c>
      <c r="L106" s="213">
        <f t="shared" si="21"/>
        <v>2</v>
      </c>
      <c r="M106" s="277">
        <f t="shared" si="29"/>
        <v>2</v>
      </c>
      <c r="N106" s="278">
        <f>'Core Indicators'!DJ106</f>
        <v>2</v>
      </c>
      <c r="O106" s="278">
        <f>'Core Indicators'!DR106</f>
        <v>2</v>
      </c>
      <c r="P106" s="278">
        <f>'Core Indicators'!DZ106</f>
        <v>2</v>
      </c>
      <c r="Q106" s="278">
        <f>'Core Indicators'!EH106</f>
        <v>2</v>
      </c>
      <c r="R106" s="278">
        <f>'Core Indicators'!EP106</f>
        <v>2</v>
      </c>
      <c r="S106" s="214">
        <f t="shared" si="22"/>
        <v>1.3</v>
      </c>
      <c r="T106" s="214">
        <f t="shared" si="23"/>
        <v>1.1666666666666667</v>
      </c>
      <c r="U106" s="276">
        <v>1</v>
      </c>
      <c r="V106" s="276">
        <v>1</v>
      </c>
      <c r="W106" s="276">
        <f>'Core Indicators'!EX106</f>
        <v>2</v>
      </c>
      <c r="X106" s="214">
        <f t="shared" si="24"/>
        <v>1.5</v>
      </c>
      <c r="Y106" s="276">
        <v>1</v>
      </c>
      <c r="Z106" s="214">
        <f t="shared" si="25"/>
        <v>1.5</v>
      </c>
      <c r="AA106" s="276">
        <f>'Core Indicators'!FF106</f>
        <v>2</v>
      </c>
      <c r="AB106" s="276">
        <f t="shared" si="26"/>
        <v>1</v>
      </c>
      <c r="AC106" s="11">
        <f>'Core Indicators'!GD106</f>
        <v>1</v>
      </c>
      <c r="AD106" s="11">
        <f>'Core Indicators'!GL106</f>
        <v>1</v>
      </c>
      <c r="AE106" s="11">
        <f>'Core Indicators'!GT106</f>
        <v>1</v>
      </c>
      <c r="AF106" s="11">
        <f>'Core Indicators'!HB106</f>
        <v>1</v>
      </c>
      <c r="AG106" s="11">
        <f t="shared" si="27"/>
        <v>1</v>
      </c>
      <c r="AH106" s="11">
        <f>'Core Indicators'!HJ106</f>
        <v>1</v>
      </c>
      <c r="AI106" s="11">
        <f>'Core Indicators'!HR106</f>
        <v>1</v>
      </c>
      <c r="AJ106" s="11">
        <f t="shared" si="28"/>
        <v>1</v>
      </c>
      <c r="AK106" s="11">
        <f>'Core Indicators'!HZ106</f>
        <v>1</v>
      </c>
      <c r="AL106" s="11">
        <f>'Core Indicators'!IH106</f>
        <v>1</v>
      </c>
      <c r="AM106" s="11">
        <f>'Core Indicators'!IP106</f>
        <v>1</v>
      </c>
      <c r="AN106" s="11">
        <f t="shared" si="30"/>
        <v>1</v>
      </c>
    </row>
    <row r="107" spans="1:40" x14ac:dyDescent="0.3">
      <c r="A107" s="276" t="str">
        <f>Lists!C:C</f>
        <v>PAK001</v>
      </c>
      <c r="B107" s="213">
        <f t="shared" si="16"/>
        <v>1.9</v>
      </c>
      <c r="C107" s="214">
        <f t="shared" si="17"/>
        <v>0</v>
      </c>
      <c r="D107" s="277">
        <f t="shared" si="18"/>
        <v>2.6</v>
      </c>
      <c r="E107" s="276">
        <f>'Core Indicators'!R107</f>
        <v>2</v>
      </c>
      <c r="F107" s="276">
        <f>'Core Indicators'!Z107</f>
        <v>2</v>
      </c>
      <c r="G107" s="214">
        <f t="shared" si="19"/>
        <v>2</v>
      </c>
      <c r="H107" s="276">
        <f>'Core Indicators'!AH107</f>
        <v>3</v>
      </c>
      <c r="I107" s="276">
        <f>'Core Indicators'!AP107</f>
        <v>2</v>
      </c>
      <c r="J107" s="276">
        <f>'Core Indicators'!BN107</f>
        <v>3</v>
      </c>
      <c r="K107" s="276">
        <f t="shared" si="20"/>
        <v>2.5</v>
      </c>
      <c r="L107" s="213">
        <f t="shared" si="21"/>
        <v>2.8</v>
      </c>
      <c r="M107" s="277">
        <f t="shared" si="29"/>
        <v>2</v>
      </c>
      <c r="N107" s="278">
        <f>'Core Indicators'!DJ107</f>
        <v>2</v>
      </c>
      <c r="O107" s="278">
        <f>'Core Indicators'!DR107</f>
        <v>2</v>
      </c>
      <c r="P107" s="278">
        <f>'Core Indicators'!DZ107</f>
        <v>2</v>
      </c>
      <c r="Q107" s="278">
        <f>'Core Indicators'!EH107</f>
        <v>2</v>
      </c>
      <c r="R107" s="278">
        <f>'Core Indicators'!EP107</f>
        <v>2</v>
      </c>
      <c r="S107" s="214">
        <f t="shared" si="22"/>
        <v>1.3</v>
      </c>
      <c r="T107" s="214">
        <f t="shared" si="23"/>
        <v>1.3333333333333333</v>
      </c>
      <c r="U107" s="276">
        <v>1</v>
      </c>
      <c r="V107" s="276">
        <v>1</v>
      </c>
      <c r="W107" s="276">
        <f>'Core Indicators'!EX107</f>
        <v>3</v>
      </c>
      <c r="X107" s="214">
        <f t="shared" si="24"/>
        <v>2</v>
      </c>
      <c r="Y107" s="276">
        <v>1</v>
      </c>
      <c r="Z107" s="214">
        <f t="shared" si="25"/>
        <v>1.3194444444444446</v>
      </c>
      <c r="AA107" s="276">
        <f>'Core Indicators'!FF107</f>
        <v>1</v>
      </c>
      <c r="AB107" s="276">
        <f t="shared" si="26"/>
        <v>1.6388888888888891</v>
      </c>
      <c r="AC107" s="11">
        <f>'Core Indicators'!GD107</f>
        <v>1</v>
      </c>
      <c r="AD107" s="11">
        <f>'Core Indicators'!GL107</f>
        <v>2</v>
      </c>
      <c r="AE107" s="11">
        <f>'Core Indicators'!GT107</f>
        <v>2</v>
      </c>
      <c r="AF107" s="11">
        <f>'Core Indicators'!HB107</f>
        <v>2</v>
      </c>
      <c r="AG107" s="11">
        <f t="shared" si="27"/>
        <v>1.75</v>
      </c>
      <c r="AH107" s="11">
        <f>'Core Indicators'!HJ107</f>
        <v>2</v>
      </c>
      <c r="AI107" s="11">
        <f>'Core Indicators'!HR107</f>
        <v>1</v>
      </c>
      <c r="AJ107" s="11">
        <f t="shared" si="28"/>
        <v>1.5</v>
      </c>
      <c r="AK107" s="11">
        <f>'Core Indicators'!HZ107</f>
        <v>2</v>
      </c>
      <c r="AL107" s="11">
        <f>'Core Indicators'!IH107</f>
        <v>2</v>
      </c>
      <c r="AM107" s="11">
        <f>'Core Indicators'!IP107</f>
        <v>1</v>
      </c>
      <c r="AN107" s="11">
        <f t="shared" si="30"/>
        <v>1.6666666666666667</v>
      </c>
    </row>
    <row r="108" spans="1:40" x14ac:dyDescent="0.3">
      <c r="A108" s="276" t="str">
        <f>Lists!C:C</f>
        <v>PAK004</v>
      </c>
      <c r="B108" s="213">
        <f t="shared" si="16"/>
        <v>2.5</v>
      </c>
      <c r="C108" s="214">
        <f t="shared" si="17"/>
        <v>1</v>
      </c>
      <c r="D108" s="277">
        <f t="shared" si="18"/>
        <v>2.2000000000000002</v>
      </c>
      <c r="E108" s="276">
        <f>'Core Indicators'!R108</f>
        <v>1</v>
      </c>
      <c r="F108" s="276">
        <f>'Core Indicators'!Z108</f>
        <v>2</v>
      </c>
      <c r="G108" s="214">
        <f t="shared" si="19"/>
        <v>1.5</v>
      </c>
      <c r="H108" s="276">
        <f>'Core Indicators'!AH108</f>
        <v>2</v>
      </c>
      <c r="I108" s="276" t="str">
        <f>'Core Indicators'!AP108</f>
        <v>x</v>
      </c>
      <c r="J108" s="276">
        <f>'Core Indicators'!BN108</f>
        <v>3</v>
      </c>
      <c r="K108" s="276">
        <f t="shared" si="20"/>
        <v>3</v>
      </c>
      <c r="L108" s="213">
        <f t="shared" si="21"/>
        <v>2.5</v>
      </c>
      <c r="M108" s="277">
        <f t="shared" si="29"/>
        <v>3</v>
      </c>
      <c r="N108" s="278">
        <f>'Core Indicators'!DJ108</f>
        <v>3</v>
      </c>
      <c r="O108" s="278">
        <f>'Core Indicators'!DR108</f>
        <v>3</v>
      </c>
      <c r="P108" s="278">
        <f>'Core Indicators'!DZ108</f>
        <v>3</v>
      </c>
      <c r="Q108" s="278">
        <f>'Core Indicators'!EH108</f>
        <v>3</v>
      </c>
      <c r="R108" s="278">
        <f>'Core Indicators'!EP108</f>
        <v>3</v>
      </c>
      <c r="S108" s="214">
        <f t="shared" si="22"/>
        <v>1.8</v>
      </c>
      <c r="T108" s="214">
        <f t="shared" si="23"/>
        <v>1.3333333333333333</v>
      </c>
      <c r="U108" s="276">
        <v>1</v>
      </c>
      <c r="V108" s="276">
        <v>1</v>
      </c>
      <c r="W108" s="276">
        <f>'Core Indicators'!EX108</f>
        <v>3</v>
      </c>
      <c r="X108" s="214">
        <f t="shared" si="24"/>
        <v>2</v>
      </c>
      <c r="Y108" s="276">
        <v>1</v>
      </c>
      <c r="Z108" s="214">
        <f t="shared" si="25"/>
        <v>2.2361111111111107</v>
      </c>
      <c r="AA108" s="276">
        <f>'Core Indicators'!FF108</f>
        <v>2</v>
      </c>
      <c r="AB108" s="276">
        <f t="shared" si="26"/>
        <v>2.4722222222222219</v>
      </c>
      <c r="AC108" s="11">
        <f>'Core Indicators'!GD108</f>
        <v>1</v>
      </c>
      <c r="AD108" s="11">
        <f>'Core Indicators'!GL108</f>
        <v>3</v>
      </c>
      <c r="AE108" s="11">
        <f>'Core Indicators'!GT108</f>
        <v>2</v>
      </c>
      <c r="AF108" s="11">
        <f>'Core Indicators'!HB108</f>
        <v>3</v>
      </c>
      <c r="AG108" s="11">
        <f t="shared" si="27"/>
        <v>2.25</v>
      </c>
      <c r="AH108" s="11">
        <f>'Core Indicators'!HJ108</f>
        <v>3</v>
      </c>
      <c r="AI108" s="11">
        <f>'Core Indicators'!HR108</f>
        <v>2</v>
      </c>
      <c r="AJ108" s="11">
        <f t="shared" si="28"/>
        <v>2.5</v>
      </c>
      <c r="AK108" s="11">
        <f>'Core Indicators'!HZ108</f>
        <v>3</v>
      </c>
      <c r="AL108" s="11">
        <f>'Core Indicators'!IH108</f>
        <v>3</v>
      </c>
      <c r="AM108" s="11">
        <f>'Core Indicators'!IP108</f>
        <v>2</v>
      </c>
      <c r="AN108" s="11">
        <f t="shared" si="30"/>
        <v>2.6666666666666665</v>
      </c>
    </row>
    <row r="109" spans="1:40" x14ac:dyDescent="0.3">
      <c r="A109" s="276" t="str">
        <f>Lists!C:C</f>
        <v>PSE002</v>
      </c>
      <c r="B109" s="213">
        <f t="shared" si="16"/>
        <v>1.9</v>
      </c>
      <c r="C109" s="214">
        <f t="shared" si="17"/>
        <v>0</v>
      </c>
      <c r="D109" s="277">
        <f t="shared" si="18"/>
        <v>2</v>
      </c>
      <c r="E109" s="276">
        <f>'Core Indicators'!R109</f>
        <v>2</v>
      </c>
      <c r="F109" s="276">
        <f>'Core Indicators'!Z109</f>
        <v>2</v>
      </c>
      <c r="G109" s="214">
        <f t="shared" si="19"/>
        <v>2</v>
      </c>
      <c r="H109" s="276">
        <f>'Core Indicators'!AH109</f>
        <v>2</v>
      </c>
      <c r="I109" s="276">
        <f>'Core Indicators'!AP109</f>
        <v>2</v>
      </c>
      <c r="J109" s="276">
        <f>'Core Indicators'!BN109</f>
        <v>2</v>
      </c>
      <c r="K109" s="276">
        <f t="shared" si="20"/>
        <v>2</v>
      </c>
      <c r="L109" s="213">
        <f t="shared" si="21"/>
        <v>2</v>
      </c>
      <c r="M109" s="277">
        <f t="shared" si="29"/>
        <v>2</v>
      </c>
      <c r="N109" s="278">
        <f>'Core Indicators'!DJ109</f>
        <v>2</v>
      </c>
      <c r="O109" s="278">
        <f>'Core Indicators'!DR109</f>
        <v>2</v>
      </c>
      <c r="P109" s="278">
        <f>'Core Indicators'!DZ109</f>
        <v>2</v>
      </c>
      <c r="Q109" s="278">
        <f>'Core Indicators'!EH109</f>
        <v>2</v>
      </c>
      <c r="R109" s="278">
        <f>'Core Indicators'!EP109</f>
        <v>2</v>
      </c>
      <c r="S109" s="214">
        <f t="shared" si="22"/>
        <v>1.6</v>
      </c>
      <c r="T109" s="214">
        <f t="shared" si="23"/>
        <v>1.1666666666666667</v>
      </c>
      <c r="U109" s="276">
        <v>1</v>
      </c>
      <c r="V109" s="276">
        <v>1</v>
      </c>
      <c r="W109" s="276">
        <f>'Core Indicators'!EX109</f>
        <v>2</v>
      </c>
      <c r="X109" s="214">
        <f t="shared" si="24"/>
        <v>1.5</v>
      </c>
      <c r="Y109" s="276">
        <v>1</v>
      </c>
      <c r="Z109" s="214">
        <f t="shared" si="25"/>
        <v>2</v>
      </c>
      <c r="AA109" s="276">
        <f>'Core Indicators'!FF109</f>
        <v>2</v>
      </c>
      <c r="AB109" s="276">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x14ac:dyDescent="0.3">
      <c r="A110" s="276" t="str">
        <f>Lists!C:C</f>
        <v>PER002</v>
      </c>
      <c r="B110" s="213">
        <f t="shared" si="16"/>
        <v>2.4</v>
      </c>
      <c r="C110" s="214">
        <f t="shared" si="17"/>
        <v>0</v>
      </c>
      <c r="D110" s="277">
        <f t="shared" si="18"/>
        <v>2.2000000000000002</v>
      </c>
      <c r="E110" s="276">
        <f>'Core Indicators'!R110</f>
        <v>2</v>
      </c>
      <c r="F110" s="276">
        <f>'Core Indicators'!Z110</f>
        <v>2</v>
      </c>
      <c r="G110" s="214">
        <f t="shared" si="19"/>
        <v>2</v>
      </c>
      <c r="H110" s="276">
        <f>'Core Indicators'!AH110</f>
        <v>2</v>
      </c>
      <c r="I110" s="276">
        <f>'Core Indicators'!AP110</f>
        <v>2</v>
      </c>
      <c r="J110" s="276">
        <f>'Core Indicators'!BN110</f>
        <v>3</v>
      </c>
      <c r="K110" s="276">
        <f t="shared" si="20"/>
        <v>2.5</v>
      </c>
      <c r="L110" s="213">
        <f t="shared" si="21"/>
        <v>2.2999999999999998</v>
      </c>
      <c r="M110" s="277">
        <f t="shared" si="29"/>
        <v>3</v>
      </c>
      <c r="N110" s="278">
        <f>'Core Indicators'!DJ110</f>
        <v>3</v>
      </c>
      <c r="O110" s="278">
        <f>'Core Indicators'!DR110</f>
        <v>3</v>
      </c>
      <c r="P110" s="278">
        <f>'Core Indicators'!DZ110</f>
        <v>3</v>
      </c>
      <c r="Q110" s="278">
        <f>'Core Indicators'!EH110</f>
        <v>3</v>
      </c>
      <c r="R110" s="278">
        <f>'Core Indicators'!EP110</f>
        <v>3</v>
      </c>
      <c r="S110" s="214">
        <f t="shared" si="22"/>
        <v>1.7</v>
      </c>
      <c r="T110" s="214">
        <f t="shared" si="23"/>
        <v>1.3333333333333333</v>
      </c>
      <c r="U110" s="276">
        <v>1</v>
      </c>
      <c r="V110" s="276">
        <v>1</v>
      </c>
      <c r="W110" s="276">
        <f>'Core Indicators'!EX110</f>
        <v>3</v>
      </c>
      <c r="X110" s="214">
        <f t="shared" si="24"/>
        <v>2</v>
      </c>
      <c r="Y110" s="276">
        <v>1</v>
      </c>
      <c r="Z110" s="214">
        <f t="shared" si="25"/>
        <v>2</v>
      </c>
      <c r="AA110" s="276">
        <f>'Core Indicators'!FF110</f>
        <v>2</v>
      </c>
      <c r="AB110" s="276">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76" t="str">
        <f>Lists!C:C</f>
        <v>PHL001</v>
      </c>
      <c r="B111" s="213">
        <f t="shared" si="16"/>
        <v>1.7</v>
      </c>
      <c r="C111" s="214">
        <f t="shared" si="17"/>
        <v>0</v>
      </c>
      <c r="D111" s="277">
        <f t="shared" si="18"/>
        <v>1.8</v>
      </c>
      <c r="E111" s="276">
        <f>'Core Indicators'!R111</f>
        <v>1</v>
      </c>
      <c r="F111" s="276">
        <f>'Core Indicators'!Z111</f>
        <v>2</v>
      </c>
      <c r="G111" s="214">
        <f t="shared" si="19"/>
        <v>1.5</v>
      </c>
      <c r="H111" s="276">
        <f>'Core Indicators'!AH111</f>
        <v>2</v>
      </c>
      <c r="I111" s="276">
        <f>'Core Indicators'!AP111</f>
        <v>2</v>
      </c>
      <c r="J111" s="276">
        <f>'Core Indicators'!BN111</f>
        <v>2</v>
      </c>
      <c r="K111" s="276">
        <f t="shared" si="20"/>
        <v>2</v>
      </c>
      <c r="L111" s="213">
        <f t="shared" si="21"/>
        <v>2</v>
      </c>
      <c r="M111" s="277">
        <f t="shared" si="29"/>
        <v>2</v>
      </c>
      <c r="N111" s="278">
        <f>'Core Indicators'!DJ111</f>
        <v>2</v>
      </c>
      <c r="O111" s="278">
        <f>'Core Indicators'!DR111</f>
        <v>2</v>
      </c>
      <c r="P111" s="278">
        <f>'Core Indicators'!DZ111</f>
        <v>2</v>
      </c>
      <c r="Q111" s="278">
        <f>'Core Indicators'!EH111</f>
        <v>2</v>
      </c>
      <c r="R111" s="278">
        <f>'Core Indicators'!EP111</f>
        <v>2</v>
      </c>
      <c r="S111" s="214">
        <f t="shared" si="22"/>
        <v>1.3</v>
      </c>
      <c r="T111" s="214">
        <f t="shared" si="23"/>
        <v>1.1666666666666667</v>
      </c>
      <c r="U111" s="276">
        <v>1</v>
      </c>
      <c r="V111" s="276">
        <v>1</v>
      </c>
      <c r="W111" s="276">
        <f>'Core Indicators'!EX111</f>
        <v>2</v>
      </c>
      <c r="X111" s="214">
        <f t="shared" si="24"/>
        <v>1.5</v>
      </c>
      <c r="Y111" s="276">
        <v>1</v>
      </c>
      <c r="Z111" s="214">
        <f t="shared" si="25"/>
        <v>1.5</v>
      </c>
      <c r="AA111" s="276">
        <f>'Core Indicators'!FF111</f>
        <v>2</v>
      </c>
      <c r="AB111" s="276">
        <f t="shared" si="26"/>
        <v>1</v>
      </c>
      <c r="AC111" s="11">
        <f>'Core Indicators'!GD111</f>
        <v>1</v>
      </c>
      <c r="AD111" s="11">
        <f>'Core Indicators'!GL111</f>
        <v>1</v>
      </c>
      <c r="AE111" s="11">
        <f>'Core Indicators'!GT111</f>
        <v>1</v>
      </c>
      <c r="AF111" s="11">
        <f>'Core Indicators'!HB111</f>
        <v>1</v>
      </c>
      <c r="AG111" s="11">
        <f t="shared" si="27"/>
        <v>1</v>
      </c>
      <c r="AH111" s="11">
        <f>'Core Indicators'!HJ111</f>
        <v>1</v>
      </c>
      <c r="AI111" s="11">
        <f>'Core Indicators'!HR111</f>
        <v>1</v>
      </c>
      <c r="AJ111" s="11">
        <f t="shared" si="28"/>
        <v>1</v>
      </c>
      <c r="AK111" s="11">
        <f>'Core Indicators'!HZ111</f>
        <v>1</v>
      </c>
      <c r="AL111" s="11">
        <f>'Core Indicators'!IH111</f>
        <v>1</v>
      </c>
      <c r="AM111" s="11">
        <f>'Core Indicators'!IP111</f>
        <v>1</v>
      </c>
      <c r="AN111" s="11">
        <f t="shared" si="30"/>
        <v>1</v>
      </c>
    </row>
    <row r="112" spans="1:40" x14ac:dyDescent="0.3">
      <c r="A112" s="276" t="str">
        <f>Lists!C:C</f>
        <v>PHL003</v>
      </c>
      <c r="B112" s="213">
        <f t="shared" si="16"/>
        <v>2.2999999999999998</v>
      </c>
      <c r="C112" s="214">
        <f t="shared" si="17"/>
        <v>0</v>
      </c>
      <c r="D112" s="277">
        <f t="shared" si="18"/>
        <v>2.2999999999999998</v>
      </c>
      <c r="E112" s="276">
        <f>'Core Indicators'!R112</f>
        <v>2</v>
      </c>
      <c r="F112" s="276">
        <f>'Core Indicators'!Z112</f>
        <v>2</v>
      </c>
      <c r="G112" s="214">
        <f t="shared" si="19"/>
        <v>2</v>
      </c>
      <c r="H112" s="276">
        <f>'Core Indicators'!AH112</f>
        <v>3</v>
      </c>
      <c r="I112" s="276">
        <f>'Core Indicators'!AP112</f>
        <v>2</v>
      </c>
      <c r="J112" s="276">
        <f>'Core Indicators'!BN112</f>
        <v>2</v>
      </c>
      <c r="K112" s="276">
        <f t="shared" si="20"/>
        <v>2</v>
      </c>
      <c r="L112" s="213">
        <f t="shared" si="21"/>
        <v>2.5</v>
      </c>
      <c r="M112" s="277">
        <f t="shared" si="29"/>
        <v>3</v>
      </c>
      <c r="N112" s="278">
        <f>'Core Indicators'!DJ112</f>
        <v>3</v>
      </c>
      <c r="O112" s="278">
        <f>'Core Indicators'!DR112</f>
        <v>3</v>
      </c>
      <c r="P112" s="278">
        <f>'Core Indicators'!DZ112</f>
        <v>3</v>
      </c>
      <c r="Q112" s="278">
        <f>'Core Indicators'!EH112</f>
        <v>3</v>
      </c>
      <c r="R112" s="278">
        <f>'Core Indicators'!EP112</f>
        <v>3</v>
      </c>
      <c r="S112" s="214">
        <f t="shared" si="22"/>
        <v>1.1000000000000001</v>
      </c>
      <c r="T112" s="214">
        <f t="shared" si="23"/>
        <v>1.1666666666666667</v>
      </c>
      <c r="U112" s="276">
        <v>1</v>
      </c>
      <c r="V112" s="276">
        <v>1</v>
      </c>
      <c r="W112" s="276">
        <f>'Core Indicators'!EX112</f>
        <v>2</v>
      </c>
      <c r="X112" s="214">
        <f t="shared" si="24"/>
        <v>1.5</v>
      </c>
      <c r="Y112" s="276">
        <v>1</v>
      </c>
      <c r="Z112" s="214">
        <f t="shared" si="25"/>
        <v>1</v>
      </c>
      <c r="AA112" s="276" t="b">
        <f>'Core Indicators'!FF112</f>
        <v>0</v>
      </c>
      <c r="AB112" s="276">
        <f t="shared" si="26"/>
        <v>1</v>
      </c>
      <c r="AC112" s="11">
        <f>'Core Indicators'!GD112</f>
        <v>1</v>
      </c>
      <c r="AD112" s="11">
        <f>'Core Indicators'!GL112</f>
        <v>1</v>
      </c>
      <c r="AE112" s="11">
        <f>'Core Indicators'!GT112</f>
        <v>1</v>
      </c>
      <c r="AF112" s="11">
        <f>'Core Indicators'!HB112</f>
        <v>1</v>
      </c>
      <c r="AG112" s="11">
        <f t="shared" si="27"/>
        <v>1</v>
      </c>
      <c r="AH112" s="11">
        <f>'Core Indicators'!HJ112</f>
        <v>1</v>
      </c>
      <c r="AI112" s="11">
        <f>'Core Indicators'!HR112</f>
        <v>1</v>
      </c>
      <c r="AJ112" s="11">
        <f t="shared" si="28"/>
        <v>1</v>
      </c>
      <c r="AK112" s="11">
        <f>'Core Indicators'!HZ112</f>
        <v>1</v>
      </c>
      <c r="AL112" s="11">
        <f>'Core Indicators'!IH112</f>
        <v>1</v>
      </c>
      <c r="AM112" s="11">
        <f>'Core Indicators'!IP112</f>
        <v>1</v>
      </c>
      <c r="AN112" s="11">
        <f t="shared" si="30"/>
        <v>1</v>
      </c>
    </row>
    <row r="113" spans="1:40" x14ac:dyDescent="0.3">
      <c r="A113" s="276" t="str">
        <f>Lists!C:C</f>
        <v>PHL004</v>
      </c>
      <c r="B113" s="213">
        <f t="shared" si="16"/>
        <v>1.8</v>
      </c>
      <c r="C113" s="214">
        <f t="shared" si="17"/>
        <v>0</v>
      </c>
      <c r="D113" s="277">
        <f t="shared" si="18"/>
        <v>2.2000000000000002</v>
      </c>
      <c r="E113" s="276">
        <f>'Core Indicators'!R113</f>
        <v>2</v>
      </c>
      <c r="F113" s="276">
        <f>'Core Indicators'!Z113</f>
        <v>2</v>
      </c>
      <c r="G113" s="214">
        <f t="shared" si="19"/>
        <v>2</v>
      </c>
      <c r="H113" s="276">
        <f>'Core Indicators'!AH113</f>
        <v>3</v>
      </c>
      <c r="I113" s="276">
        <f>'Core Indicators'!AP113</f>
        <v>2</v>
      </c>
      <c r="J113" s="276">
        <f>'Core Indicators'!BN113</f>
        <v>1</v>
      </c>
      <c r="K113" s="276">
        <f t="shared" si="20"/>
        <v>1.5</v>
      </c>
      <c r="L113" s="213">
        <f t="shared" si="21"/>
        <v>2.2999999999999998</v>
      </c>
      <c r="M113" s="277">
        <f t="shared" si="29"/>
        <v>2</v>
      </c>
      <c r="N113" s="278">
        <f>'Core Indicators'!DJ113</f>
        <v>2</v>
      </c>
      <c r="O113" s="278">
        <f>'Core Indicators'!DR113</f>
        <v>2</v>
      </c>
      <c r="P113" s="278">
        <f>'Core Indicators'!DZ113</f>
        <v>2</v>
      </c>
      <c r="Q113" s="278">
        <f>'Core Indicators'!EH113</f>
        <v>2</v>
      </c>
      <c r="R113" s="278">
        <f>'Core Indicators'!EP113</f>
        <v>2</v>
      </c>
      <c r="S113" s="214">
        <f t="shared" si="22"/>
        <v>1.1000000000000001</v>
      </c>
      <c r="T113" s="214">
        <f t="shared" si="23"/>
        <v>1.1666666666666667</v>
      </c>
      <c r="U113" s="276">
        <v>1</v>
      </c>
      <c r="V113" s="276">
        <v>1</v>
      </c>
      <c r="W113" s="276">
        <f>'Core Indicators'!EX113</f>
        <v>2</v>
      </c>
      <c r="X113" s="214">
        <f t="shared" si="24"/>
        <v>1.5</v>
      </c>
      <c r="Y113" s="276">
        <v>1</v>
      </c>
      <c r="Z113" s="214">
        <f t="shared" si="25"/>
        <v>1</v>
      </c>
      <c r="AA113" s="276">
        <f>'Core Indicators'!FF113</f>
        <v>1</v>
      </c>
      <c r="AB113" s="276">
        <f t="shared" si="26"/>
        <v>1</v>
      </c>
      <c r="AC113" s="11">
        <f>'Core Indicators'!GD113</f>
        <v>1</v>
      </c>
      <c r="AD113" s="11">
        <f>'Core Indicators'!GL113</f>
        <v>1</v>
      </c>
      <c r="AE113" s="11">
        <f>'Core Indicators'!GT113</f>
        <v>1</v>
      </c>
      <c r="AF113" s="11">
        <f>'Core Indicators'!HB113</f>
        <v>1</v>
      </c>
      <c r="AG113" s="11">
        <f t="shared" si="27"/>
        <v>1</v>
      </c>
      <c r="AH113" s="11">
        <f>'Core Indicators'!HJ113</f>
        <v>1</v>
      </c>
      <c r="AI113" s="11">
        <f>'Core Indicators'!HR113</f>
        <v>1</v>
      </c>
      <c r="AJ113" s="11">
        <f t="shared" si="28"/>
        <v>1</v>
      </c>
      <c r="AK113" s="11">
        <f>'Core Indicators'!HZ113</f>
        <v>1</v>
      </c>
      <c r="AL113" s="11">
        <f>'Core Indicators'!IH113</f>
        <v>1</v>
      </c>
      <c r="AM113" s="11">
        <f>'Core Indicators'!IP113</f>
        <v>1</v>
      </c>
      <c r="AN113" s="11">
        <f t="shared" si="30"/>
        <v>1</v>
      </c>
    </row>
    <row r="114" spans="1:40" x14ac:dyDescent="0.3">
      <c r="A114" s="276" t="str">
        <f>Lists!C:C</f>
        <v>RWA002</v>
      </c>
      <c r="B114" s="213">
        <f t="shared" si="16"/>
        <v>1.8</v>
      </c>
      <c r="C114" s="214">
        <f t="shared" si="17"/>
        <v>2</v>
      </c>
      <c r="D114" s="277">
        <f t="shared" si="18"/>
        <v>2</v>
      </c>
      <c r="E114" s="276">
        <f>'Core Indicators'!R114</f>
        <v>2</v>
      </c>
      <c r="F114" s="276">
        <f>'Core Indicators'!Z114</f>
        <v>2</v>
      </c>
      <c r="G114" s="214">
        <f t="shared" si="19"/>
        <v>2</v>
      </c>
      <c r="H114" s="276">
        <f>'Core Indicators'!AH114</f>
        <v>2</v>
      </c>
      <c r="I114" s="276">
        <f>'Core Indicators'!AP114</f>
        <v>2</v>
      </c>
      <c r="J114" s="276" t="str">
        <f>'Core Indicators'!BN114</f>
        <v>x</v>
      </c>
      <c r="K114" s="276">
        <f t="shared" si="20"/>
        <v>2</v>
      </c>
      <c r="L114" s="213">
        <f t="shared" si="21"/>
        <v>2</v>
      </c>
      <c r="M114" s="277">
        <f t="shared" si="29"/>
        <v>2</v>
      </c>
      <c r="N114" s="278">
        <f>'Core Indicators'!DJ114</f>
        <v>2</v>
      </c>
      <c r="O114" s="278">
        <f>'Core Indicators'!DR114</f>
        <v>2</v>
      </c>
      <c r="P114" s="278">
        <f>'Core Indicators'!DZ114</f>
        <v>2</v>
      </c>
      <c r="Q114" s="278">
        <f>'Core Indicators'!EH114</f>
        <v>2</v>
      </c>
      <c r="R114" s="278">
        <f>'Core Indicators'!EP114</f>
        <v>2</v>
      </c>
      <c r="S114" s="214">
        <f t="shared" si="22"/>
        <v>1.3</v>
      </c>
      <c r="T114" s="214">
        <f t="shared" si="23"/>
        <v>1</v>
      </c>
      <c r="U114" s="276">
        <v>1</v>
      </c>
      <c r="V114" s="276">
        <v>1</v>
      </c>
      <c r="W114" s="276" t="str">
        <f>'Core Indicators'!EX114</f>
        <v>x</v>
      </c>
      <c r="X114" s="214">
        <f t="shared" si="24"/>
        <v>1</v>
      </c>
      <c r="Y114" s="276">
        <v>1</v>
      </c>
      <c r="Z114" s="214">
        <f t="shared" si="25"/>
        <v>1.5</v>
      </c>
      <c r="AA114" s="276">
        <f>'Core Indicators'!FF114</f>
        <v>2</v>
      </c>
      <c r="AB114" s="276">
        <f t="shared" si="26"/>
        <v>1</v>
      </c>
      <c r="AC114" s="11">
        <f>'Core Indicators'!GD114</f>
        <v>1</v>
      </c>
      <c r="AD114" s="11">
        <f>'Core Indicators'!GL114</f>
        <v>1</v>
      </c>
      <c r="AE114" s="11">
        <f>'Core Indicators'!GT114</f>
        <v>1</v>
      </c>
      <c r="AF114" s="11">
        <f>'Core Indicators'!HB114</f>
        <v>1</v>
      </c>
      <c r="AG114" s="11">
        <f t="shared" si="27"/>
        <v>1</v>
      </c>
      <c r="AH114" s="11">
        <f>'Core Indicators'!HJ114</f>
        <v>1</v>
      </c>
      <c r="AI114" s="11">
        <f>'Core Indicators'!HR114</f>
        <v>1</v>
      </c>
      <c r="AJ114" s="11">
        <f t="shared" si="28"/>
        <v>1</v>
      </c>
      <c r="AK114" s="11">
        <f>'Core Indicators'!HZ114</f>
        <v>1</v>
      </c>
      <c r="AL114" s="11">
        <f>'Core Indicators'!IH114</f>
        <v>1</v>
      </c>
      <c r="AM114" s="11">
        <f>'Core Indicators'!IP114</f>
        <v>1</v>
      </c>
      <c r="AN114" s="11">
        <f t="shared" si="30"/>
        <v>1</v>
      </c>
    </row>
    <row r="115" spans="1:40" x14ac:dyDescent="0.3">
      <c r="A115" s="276" t="str">
        <f>Lists!C:C</f>
        <v>SEN002</v>
      </c>
      <c r="B115" s="213">
        <f t="shared" si="16"/>
        <v>1.7</v>
      </c>
      <c r="C115" s="214">
        <f t="shared" si="17"/>
        <v>1</v>
      </c>
      <c r="D115" s="277">
        <f t="shared" si="18"/>
        <v>1.8</v>
      </c>
      <c r="E115" s="276">
        <f>'Core Indicators'!R115</f>
        <v>1</v>
      </c>
      <c r="F115" s="276">
        <f>'Core Indicators'!Z115</f>
        <v>2</v>
      </c>
      <c r="G115" s="214">
        <f t="shared" si="19"/>
        <v>1.5</v>
      </c>
      <c r="H115" s="276">
        <f>'Core Indicators'!AH115</f>
        <v>2</v>
      </c>
      <c r="I115" s="276" t="str">
        <f>'Core Indicators'!AP115</f>
        <v>x</v>
      </c>
      <c r="J115" s="276">
        <f>'Core Indicators'!BN115</f>
        <v>2</v>
      </c>
      <c r="K115" s="276">
        <f t="shared" si="20"/>
        <v>2</v>
      </c>
      <c r="L115" s="213">
        <f t="shared" si="21"/>
        <v>2</v>
      </c>
      <c r="M115" s="277">
        <f t="shared" si="29"/>
        <v>2</v>
      </c>
      <c r="N115" s="278">
        <f>'Core Indicators'!DJ115</f>
        <v>2</v>
      </c>
      <c r="O115" s="278">
        <f>'Core Indicators'!DR115</f>
        <v>2</v>
      </c>
      <c r="P115" s="278">
        <f>'Core Indicators'!DZ115</f>
        <v>2</v>
      </c>
      <c r="Q115" s="278">
        <f>'Core Indicators'!EH115</f>
        <v>2</v>
      </c>
      <c r="R115" s="278">
        <f>'Core Indicators'!EP115</f>
        <v>2</v>
      </c>
      <c r="S115" s="214">
        <f t="shared" si="22"/>
        <v>1.1000000000000001</v>
      </c>
      <c r="T115" s="214">
        <f t="shared" si="23"/>
        <v>1.1666666666666667</v>
      </c>
      <c r="U115" s="276">
        <v>1</v>
      </c>
      <c r="V115" s="276">
        <v>1</v>
      </c>
      <c r="W115" s="276">
        <f>'Core Indicators'!EX115</f>
        <v>2</v>
      </c>
      <c r="X115" s="214">
        <f t="shared" si="24"/>
        <v>1.5</v>
      </c>
      <c r="Y115" s="276">
        <v>1</v>
      </c>
      <c r="Z115" s="214">
        <f t="shared" si="25"/>
        <v>1</v>
      </c>
      <c r="AA115" s="276">
        <f>'Core Indicators'!FF115</f>
        <v>1</v>
      </c>
      <c r="AB115" s="276">
        <f t="shared" si="26"/>
        <v>1</v>
      </c>
      <c r="AC115" s="11">
        <f>'Core Indicators'!GD115</f>
        <v>1</v>
      </c>
      <c r="AD115" s="11">
        <f>'Core Indicators'!GL115</f>
        <v>1</v>
      </c>
      <c r="AE115" s="11">
        <f>'Core Indicators'!GT115</f>
        <v>1</v>
      </c>
      <c r="AF115" s="11">
        <f>'Core Indicators'!HB115</f>
        <v>1</v>
      </c>
      <c r="AG115" s="11">
        <f t="shared" si="27"/>
        <v>1</v>
      </c>
      <c r="AH115" s="11">
        <f>'Core Indicators'!HJ115</f>
        <v>1</v>
      </c>
      <c r="AI115" s="11">
        <f>'Core Indicators'!HR115</f>
        <v>1</v>
      </c>
      <c r="AJ115" s="11">
        <f t="shared" si="28"/>
        <v>1</v>
      </c>
      <c r="AK115" s="11">
        <f>'Core Indicators'!HZ115</f>
        <v>1</v>
      </c>
      <c r="AL115" s="11">
        <f>'Core Indicators'!IH115</f>
        <v>1</v>
      </c>
      <c r="AM115" s="11">
        <f>'Core Indicators'!IP115</f>
        <v>1</v>
      </c>
      <c r="AN115" s="11">
        <f t="shared" si="30"/>
        <v>1</v>
      </c>
    </row>
    <row r="116" spans="1:40" x14ac:dyDescent="0.3">
      <c r="A116" s="276" t="str">
        <f>Lists!C:C</f>
        <v>SOM001</v>
      </c>
      <c r="B116" s="213">
        <f t="shared" si="16"/>
        <v>1.8</v>
      </c>
      <c r="C116" s="214">
        <f t="shared" si="17"/>
        <v>0</v>
      </c>
      <c r="D116" s="277">
        <f t="shared" si="18"/>
        <v>2</v>
      </c>
      <c r="E116" s="276">
        <f>'Core Indicators'!R116</f>
        <v>1</v>
      </c>
      <c r="F116" s="276">
        <f>'Core Indicators'!Z116</f>
        <v>2</v>
      </c>
      <c r="G116" s="214">
        <f t="shared" si="19"/>
        <v>1.5</v>
      </c>
      <c r="H116" s="276">
        <f>'Core Indicators'!AH116</f>
        <v>2</v>
      </c>
      <c r="I116" s="276">
        <f>'Core Indicators'!AP116</f>
        <v>3</v>
      </c>
      <c r="J116" s="276">
        <f>'Core Indicators'!BN116</f>
        <v>2</v>
      </c>
      <c r="K116" s="276">
        <f t="shared" si="20"/>
        <v>2.5</v>
      </c>
      <c r="L116" s="213">
        <f t="shared" si="21"/>
        <v>2.2999999999999998</v>
      </c>
      <c r="M116" s="277">
        <f t="shared" si="29"/>
        <v>2</v>
      </c>
      <c r="N116" s="278">
        <f>'Core Indicators'!DJ116</f>
        <v>2</v>
      </c>
      <c r="O116" s="278">
        <f>'Core Indicators'!DR116</f>
        <v>2</v>
      </c>
      <c r="P116" s="278">
        <f>'Core Indicators'!DZ116</f>
        <v>2</v>
      </c>
      <c r="Q116" s="278">
        <f>'Core Indicators'!EH116</f>
        <v>2</v>
      </c>
      <c r="R116" s="278">
        <f>'Core Indicators'!EP116</f>
        <v>2</v>
      </c>
      <c r="S116" s="214">
        <f t="shared" si="22"/>
        <v>1.2</v>
      </c>
      <c r="T116" s="214">
        <f t="shared" si="23"/>
        <v>1.3333333333333333</v>
      </c>
      <c r="U116" s="276">
        <v>1</v>
      </c>
      <c r="V116" s="276">
        <v>1</v>
      </c>
      <c r="W116" s="276">
        <f>'Core Indicators'!EX116</f>
        <v>3</v>
      </c>
      <c r="X116" s="214">
        <f t="shared" si="24"/>
        <v>2</v>
      </c>
      <c r="Y116" s="276">
        <v>1</v>
      </c>
      <c r="Z116" s="214">
        <f t="shared" si="25"/>
        <v>1</v>
      </c>
      <c r="AA116" s="276">
        <f>'Core Indicators'!FF116</f>
        <v>1</v>
      </c>
      <c r="AB116" s="276">
        <f t="shared" si="26"/>
        <v>1</v>
      </c>
      <c r="AC116" s="11">
        <f>'Core Indicators'!GD116</f>
        <v>1</v>
      </c>
      <c r="AD116" s="11">
        <f>'Core Indicators'!GL116</f>
        <v>1</v>
      </c>
      <c r="AE116" s="11">
        <f>'Core Indicators'!GT116</f>
        <v>1</v>
      </c>
      <c r="AF116" s="11">
        <f>'Core Indicators'!HB116</f>
        <v>1</v>
      </c>
      <c r="AG116" s="11">
        <f t="shared" si="27"/>
        <v>1</v>
      </c>
      <c r="AH116" s="11">
        <f>'Core Indicators'!HJ116</f>
        <v>1</v>
      </c>
      <c r="AI116" s="11">
        <f>'Core Indicators'!HR116</f>
        <v>1</v>
      </c>
      <c r="AJ116" s="11">
        <f t="shared" si="28"/>
        <v>1</v>
      </c>
      <c r="AK116" s="11">
        <f>'Core Indicators'!HZ116</f>
        <v>1</v>
      </c>
      <c r="AL116" s="11">
        <f>'Core Indicators'!IH116</f>
        <v>1</v>
      </c>
      <c r="AM116" s="11">
        <f>'Core Indicators'!IP116</f>
        <v>1</v>
      </c>
      <c r="AN116" s="11">
        <f t="shared" si="30"/>
        <v>1</v>
      </c>
    </row>
    <row r="117" spans="1:40" x14ac:dyDescent="0.3">
      <c r="A117" s="276" t="str">
        <f>Lists!C:C</f>
        <v>SOM002</v>
      </c>
      <c r="B117" s="213">
        <f t="shared" si="16"/>
        <v>1.9</v>
      </c>
      <c r="C117" s="214">
        <f t="shared" si="17"/>
        <v>1</v>
      </c>
      <c r="D117" s="277">
        <f t="shared" si="18"/>
        <v>2.4</v>
      </c>
      <c r="E117" s="276">
        <f>'Core Indicators'!R117</f>
        <v>1</v>
      </c>
      <c r="F117" s="276">
        <f>'Core Indicators'!Z117</f>
        <v>1</v>
      </c>
      <c r="G117" s="214">
        <f t="shared" si="19"/>
        <v>1</v>
      </c>
      <c r="H117" s="276">
        <f>'Core Indicators'!AH117</f>
        <v>3</v>
      </c>
      <c r="I117" s="276">
        <f>'Core Indicators'!AP117</f>
        <v>3</v>
      </c>
      <c r="J117" s="276" t="str">
        <f>'Core Indicators'!BN117</f>
        <v>x</v>
      </c>
      <c r="K117" s="276">
        <f t="shared" si="20"/>
        <v>3</v>
      </c>
      <c r="L117" s="213">
        <f t="shared" si="21"/>
        <v>3</v>
      </c>
      <c r="M117" s="277">
        <f t="shared" si="29"/>
        <v>2</v>
      </c>
      <c r="N117" s="278">
        <f>'Core Indicators'!DJ117</f>
        <v>2</v>
      </c>
      <c r="O117" s="278">
        <f>'Core Indicators'!DR117</f>
        <v>2</v>
      </c>
      <c r="P117" s="278">
        <f>'Core Indicators'!DZ117</f>
        <v>2</v>
      </c>
      <c r="Q117" s="278">
        <f>'Core Indicators'!EH117</f>
        <v>2</v>
      </c>
      <c r="R117" s="278" t="str">
        <f>'Core Indicators'!EP117</f>
        <v>x</v>
      </c>
      <c r="S117" s="214">
        <f t="shared" si="22"/>
        <v>1.4</v>
      </c>
      <c r="T117" s="214">
        <f t="shared" si="23"/>
        <v>1.3333333333333333</v>
      </c>
      <c r="U117" s="276">
        <v>1</v>
      </c>
      <c r="V117" s="276">
        <v>1</v>
      </c>
      <c r="W117" s="276">
        <f>'Core Indicators'!EX117</f>
        <v>3</v>
      </c>
      <c r="X117" s="214">
        <f t="shared" si="24"/>
        <v>2</v>
      </c>
      <c r="Y117" s="276">
        <v>1</v>
      </c>
      <c r="Z117" s="214">
        <f t="shared" si="25"/>
        <v>1.5</v>
      </c>
      <c r="AA117" s="276">
        <f>'Core Indicators'!FF117</f>
        <v>2</v>
      </c>
      <c r="AB117" s="276">
        <f t="shared" si="26"/>
        <v>1</v>
      </c>
      <c r="AC117" s="11">
        <f>'Core Indicators'!GD117</f>
        <v>1</v>
      </c>
      <c r="AD117" s="11">
        <f>'Core Indicators'!GL117</f>
        <v>1</v>
      </c>
      <c r="AE117" s="11">
        <f>'Core Indicators'!GT117</f>
        <v>1</v>
      </c>
      <c r="AF117" s="11">
        <f>'Core Indicators'!HB117</f>
        <v>1</v>
      </c>
      <c r="AG117" s="11">
        <f t="shared" si="27"/>
        <v>1</v>
      </c>
      <c r="AH117" s="11">
        <f>'Core Indicators'!HJ117</f>
        <v>1</v>
      </c>
      <c r="AI117" s="11">
        <f>'Core Indicators'!HR117</f>
        <v>1</v>
      </c>
      <c r="AJ117" s="11">
        <f t="shared" si="28"/>
        <v>1</v>
      </c>
      <c r="AK117" s="11">
        <f>'Core Indicators'!HZ117</f>
        <v>1</v>
      </c>
      <c r="AL117" s="11">
        <f>'Core Indicators'!IH117</f>
        <v>1</v>
      </c>
      <c r="AM117" s="11">
        <f>'Core Indicators'!IP117</f>
        <v>1</v>
      </c>
      <c r="AN117" s="11">
        <f t="shared" si="30"/>
        <v>1</v>
      </c>
    </row>
    <row r="118" spans="1:40" x14ac:dyDescent="0.3">
      <c r="A118" s="276" t="str">
        <f>Lists!C:C</f>
        <v>SOM004</v>
      </c>
      <c r="B118" s="213">
        <f t="shared" si="16"/>
        <v>1.8</v>
      </c>
      <c r="C118" s="214">
        <f t="shared" si="17"/>
        <v>0</v>
      </c>
      <c r="D118" s="277">
        <f t="shared" si="18"/>
        <v>1.4</v>
      </c>
      <c r="E118" s="276">
        <f>'Core Indicators'!R118</f>
        <v>1</v>
      </c>
      <c r="F118" s="276">
        <f>'Core Indicators'!Z118</f>
        <v>2</v>
      </c>
      <c r="G118" s="214">
        <f t="shared" si="19"/>
        <v>1.5</v>
      </c>
      <c r="H118" s="276" t="b">
        <f>'Core Indicators'!AH118</f>
        <v>0</v>
      </c>
      <c r="I118" s="276">
        <f>'Core Indicators'!AP118</f>
        <v>2</v>
      </c>
      <c r="J118" s="276">
        <f>'Core Indicators'!BN118</f>
        <v>3</v>
      </c>
      <c r="K118" s="276">
        <f t="shared" si="20"/>
        <v>2.5</v>
      </c>
      <c r="L118" s="213">
        <f t="shared" si="21"/>
        <v>1.3</v>
      </c>
      <c r="M118" s="277">
        <f t="shared" si="29"/>
        <v>2</v>
      </c>
      <c r="N118" s="278">
        <f>'Core Indicators'!DJ118</f>
        <v>2</v>
      </c>
      <c r="O118" s="278">
        <f>'Core Indicators'!DR118</f>
        <v>2</v>
      </c>
      <c r="P118" s="278">
        <f>'Core Indicators'!DZ118</f>
        <v>2</v>
      </c>
      <c r="Q118" s="278">
        <f>'Core Indicators'!EH118</f>
        <v>2</v>
      </c>
      <c r="R118" s="278">
        <f>'Core Indicators'!EP118</f>
        <v>2</v>
      </c>
      <c r="S118" s="214">
        <f t="shared" si="22"/>
        <v>1.8</v>
      </c>
      <c r="T118" s="214">
        <f t="shared" si="23"/>
        <v>1.3333333333333333</v>
      </c>
      <c r="U118" s="276">
        <v>1</v>
      </c>
      <c r="V118" s="276">
        <v>1</v>
      </c>
      <c r="W118" s="276">
        <f>'Core Indicators'!EX118</f>
        <v>3</v>
      </c>
      <c r="X118" s="214">
        <f t="shared" si="24"/>
        <v>2</v>
      </c>
      <c r="Y118" s="276">
        <v>1</v>
      </c>
      <c r="Z118" s="214">
        <f t="shared" si="25"/>
        <v>2.2222222222222223</v>
      </c>
      <c r="AA118" s="276">
        <f>'Core Indicators'!FF118</f>
        <v>3</v>
      </c>
      <c r="AB118" s="276">
        <f t="shared" si="26"/>
        <v>1.4444444444444444</v>
      </c>
      <c r="AC118" s="11">
        <f>'Core Indicators'!GD118</f>
        <v>2</v>
      </c>
      <c r="AD118" s="11">
        <f>'Core Indicators'!GL118</f>
        <v>1</v>
      </c>
      <c r="AE118" s="11">
        <f>'Core Indicators'!GT118</f>
        <v>2</v>
      </c>
      <c r="AF118" s="11">
        <f>'Core Indicators'!HB118</f>
        <v>1</v>
      </c>
      <c r="AG118" s="11">
        <f t="shared" si="27"/>
        <v>1.5</v>
      </c>
      <c r="AH118" s="11">
        <f>'Core Indicators'!HJ118</f>
        <v>2</v>
      </c>
      <c r="AI118" s="11">
        <f>'Core Indicators'!HR118</f>
        <v>1</v>
      </c>
      <c r="AJ118" s="11">
        <f t="shared" si="28"/>
        <v>1.5</v>
      </c>
      <c r="AK118" s="11">
        <f>'Core Indicators'!HZ118</f>
        <v>2</v>
      </c>
      <c r="AL118" s="11">
        <f>'Core Indicators'!IH118</f>
        <v>1</v>
      </c>
      <c r="AM118" s="11">
        <f>'Core Indicators'!IP118</f>
        <v>1</v>
      </c>
      <c r="AN118" s="11">
        <f t="shared" si="30"/>
        <v>1.3333333333333333</v>
      </c>
    </row>
    <row r="119" spans="1:40" x14ac:dyDescent="0.3">
      <c r="A119" s="276" t="str">
        <f>Lists!C:C</f>
        <v>SSD001</v>
      </c>
      <c r="B119" s="213">
        <f t="shared" si="16"/>
        <v>1.7</v>
      </c>
      <c r="C119" s="214">
        <f t="shared" si="17"/>
        <v>0</v>
      </c>
      <c r="D119" s="277">
        <f t="shared" si="18"/>
        <v>1.8</v>
      </c>
      <c r="E119" s="276">
        <f>'Core Indicators'!R119</f>
        <v>1</v>
      </c>
      <c r="F119" s="276">
        <f>'Core Indicators'!Z119</f>
        <v>2</v>
      </c>
      <c r="G119" s="214">
        <f t="shared" si="19"/>
        <v>1.5</v>
      </c>
      <c r="H119" s="276">
        <f>'Core Indicators'!AH119</f>
        <v>2</v>
      </c>
      <c r="I119" s="276">
        <f>'Core Indicators'!AP119</f>
        <v>2</v>
      </c>
      <c r="J119" s="276">
        <f>'Core Indicators'!BN119</f>
        <v>2</v>
      </c>
      <c r="K119" s="276">
        <f t="shared" si="20"/>
        <v>2</v>
      </c>
      <c r="L119" s="213">
        <f t="shared" si="21"/>
        <v>2</v>
      </c>
      <c r="M119" s="277">
        <f t="shared" si="29"/>
        <v>2</v>
      </c>
      <c r="N119" s="278">
        <f>'Core Indicators'!DJ119</f>
        <v>2</v>
      </c>
      <c r="O119" s="278">
        <f>'Core Indicators'!DR119</f>
        <v>2</v>
      </c>
      <c r="P119" s="278">
        <f>'Core Indicators'!DZ119</f>
        <v>2</v>
      </c>
      <c r="Q119" s="278">
        <f>'Core Indicators'!EH119</f>
        <v>2</v>
      </c>
      <c r="R119" s="278">
        <f>'Core Indicators'!EP119</f>
        <v>2</v>
      </c>
      <c r="S119" s="214">
        <f t="shared" si="22"/>
        <v>1.2</v>
      </c>
      <c r="T119" s="214">
        <f t="shared" si="23"/>
        <v>1.3333333333333333</v>
      </c>
      <c r="U119" s="276">
        <v>1</v>
      </c>
      <c r="V119" s="276">
        <v>1</v>
      </c>
      <c r="W119" s="276">
        <f>'Core Indicators'!EX119</f>
        <v>3</v>
      </c>
      <c r="X119" s="214">
        <f t="shared" si="24"/>
        <v>2</v>
      </c>
      <c r="Y119" s="276">
        <v>1</v>
      </c>
      <c r="Z119" s="214">
        <f t="shared" si="25"/>
        <v>1</v>
      </c>
      <c r="AA119" s="276">
        <f>'Core Indicators'!FF119</f>
        <v>1</v>
      </c>
      <c r="AB119" s="276">
        <f t="shared" si="26"/>
        <v>1</v>
      </c>
      <c r="AC119" s="11">
        <f>'Core Indicators'!GD119</f>
        <v>1</v>
      </c>
      <c r="AD119" s="11">
        <f>'Core Indicators'!GL119</f>
        <v>1</v>
      </c>
      <c r="AE119" s="11">
        <f>'Core Indicators'!GT119</f>
        <v>1</v>
      </c>
      <c r="AF119" s="11">
        <f>'Core Indicators'!HB119</f>
        <v>1</v>
      </c>
      <c r="AG119" s="11">
        <f t="shared" si="27"/>
        <v>1</v>
      </c>
      <c r="AH119" s="11">
        <f>'Core Indicators'!HJ119</f>
        <v>1</v>
      </c>
      <c r="AI119" s="11">
        <f>'Core Indicators'!HR119</f>
        <v>1</v>
      </c>
      <c r="AJ119" s="11">
        <f t="shared" si="28"/>
        <v>1</v>
      </c>
      <c r="AK119" s="11">
        <f>'Core Indicators'!HZ119</f>
        <v>1</v>
      </c>
      <c r="AL119" s="11">
        <f>'Core Indicators'!IH119</f>
        <v>1</v>
      </c>
      <c r="AM119" s="11">
        <f>'Core Indicators'!IP119</f>
        <v>1</v>
      </c>
      <c r="AN119" s="11">
        <f t="shared" si="30"/>
        <v>1</v>
      </c>
    </row>
    <row r="120" spans="1:40" x14ac:dyDescent="0.3">
      <c r="A120" s="276" t="str">
        <f>Lists!C:C</f>
        <v>SDN001</v>
      </c>
      <c r="B120" s="213">
        <f t="shared" si="16"/>
        <v>1.7</v>
      </c>
      <c r="C120" s="214">
        <f t="shared" si="17"/>
        <v>0</v>
      </c>
      <c r="D120" s="277">
        <f t="shared" si="18"/>
        <v>1.7</v>
      </c>
      <c r="E120" s="276">
        <f>'Core Indicators'!R120</f>
        <v>1</v>
      </c>
      <c r="F120" s="276">
        <f>'Core Indicators'!Z120</f>
        <v>1</v>
      </c>
      <c r="G120" s="214">
        <f t="shared" si="19"/>
        <v>1</v>
      </c>
      <c r="H120" s="276">
        <f>'Core Indicators'!AH120</f>
        <v>2</v>
      </c>
      <c r="I120" s="276">
        <f>'Core Indicators'!AP120</f>
        <v>2</v>
      </c>
      <c r="J120" s="276">
        <f>'Core Indicators'!BN120</f>
        <v>2</v>
      </c>
      <c r="K120" s="276">
        <f t="shared" si="20"/>
        <v>2</v>
      </c>
      <c r="L120" s="213">
        <f t="shared" si="21"/>
        <v>2</v>
      </c>
      <c r="M120" s="277">
        <f t="shared" si="29"/>
        <v>2</v>
      </c>
      <c r="N120" s="278">
        <f>'Core Indicators'!DJ120</f>
        <v>2</v>
      </c>
      <c r="O120" s="278">
        <f>'Core Indicators'!DR120</f>
        <v>2</v>
      </c>
      <c r="P120" s="278">
        <f>'Core Indicators'!DZ120</f>
        <v>2</v>
      </c>
      <c r="Q120" s="278">
        <f>'Core Indicators'!EH120</f>
        <v>2</v>
      </c>
      <c r="R120" s="278">
        <f>'Core Indicators'!EP120</f>
        <v>2</v>
      </c>
      <c r="S120" s="214">
        <f t="shared" si="22"/>
        <v>1.2</v>
      </c>
      <c r="T120" s="214">
        <f t="shared" si="23"/>
        <v>1.3333333333333333</v>
      </c>
      <c r="U120" s="276">
        <v>1</v>
      </c>
      <c r="V120" s="276">
        <v>1</v>
      </c>
      <c r="W120" s="276">
        <f>'Core Indicators'!EX120</f>
        <v>3</v>
      </c>
      <c r="X120" s="214">
        <f t="shared" si="24"/>
        <v>2</v>
      </c>
      <c r="Y120" s="276">
        <v>1</v>
      </c>
      <c r="Z120" s="214">
        <f t="shared" si="25"/>
        <v>1</v>
      </c>
      <c r="AA120" s="276">
        <f>'Core Indicators'!FF120</f>
        <v>1</v>
      </c>
      <c r="AB120" s="276">
        <f t="shared" si="26"/>
        <v>1</v>
      </c>
      <c r="AC120" s="11">
        <f>'Core Indicators'!GD120</f>
        <v>1</v>
      </c>
      <c r="AD120" s="11">
        <f>'Core Indicators'!GL120</f>
        <v>1</v>
      </c>
      <c r="AE120" s="11">
        <f>'Core Indicators'!GT120</f>
        <v>1</v>
      </c>
      <c r="AF120" s="11">
        <f>'Core Indicators'!HB120</f>
        <v>1</v>
      </c>
      <c r="AG120" s="11">
        <f t="shared" si="27"/>
        <v>1</v>
      </c>
      <c r="AH120" s="11">
        <f>'Core Indicators'!HJ120</f>
        <v>1</v>
      </c>
      <c r="AI120" s="11">
        <f>'Core Indicators'!HR120</f>
        <v>1</v>
      </c>
      <c r="AJ120" s="11">
        <f t="shared" si="28"/>
        <v>1</v>
      </c>
      <c r="AK120" s="11">
        <f>'Core Indicators'!HZ120</f>
        <v>1</v>
      </c>
      <c r="AL120" s="11">
        <f>'Core Indicators'!IH120</f>
        <v>1</v>
      </c>
      <c r="AM120" s="11">
        <f>'Core Indicators'!IP120</f>
        <v>1</v>
      </c>
      <c r="AN120" s="11">
        <f t="shared" si="30"/>
        <v>1</v>
      </c>
    </row>
    <row r="121" spans="1:40" x14ac:dyDescent="0.3">
      <c r="A121" s="276" t="str">
        <f>Lists!C:C</f>
        <v>SDN005</v>
      </c>
      <c r="B121" s="213">
        <f t="shared" si="16"/>
        <v>1.8</v>
      </c>
      <c r="C121" s="214">
        <f t="shared" si="17"/>
        <v>1</v>
      </c>
      <c r="D121" s="277">
        <f t="shared" si="18"/>
        <v>1.8</v>
      </c>
      <c r="E121" s="276">
        <f>'Core Indicators'!R121</f>
        <v>1</v>
      </c>
      <c r="F121" s="276">
        <f>'Core Indicators'!Z121</f>
        <v>2</v>
      </c>
      <c r="G121" s="214">
        <f t="shared" si="19"/>
        <v>1.5</v>
      </c>
      <c r="H121" s="276">
        <f>'Core Indicators'!AH121</f>
        <v>2</v>
      </c>
      <c r="I121" s="276">
        <f>'Core Indicators'!AP121</f>
        <v>2</v>
      </c>
      <c r="J121" s="276" t="str">
        <f>'Core Indicators'!BN121</f>
        <v>x</v>
      </c>
      <c r="K121" s="276">
        <f t="shared" si="20"/>
        <v>2</v>
      </c>
      <c r="L121" s="213">
        <f t="shared" si="21"/>
        <v>2</v>
      </c>
      <c r="M121" s="277">
        <f t="shared" si="29"/>
        <v>2</v>
      </c>
      <c r="N121" s="278">
        <f>'Core Indicators'!DJ121</f>
        <v>2</v>
      </c>
      <c r="O121" s="278">
        <f>'Core Indicators'!DR121</f>
        <v>2</v>
      </c>
      <c r="P121" s="278">
        <f>'Core Indicators'!DZ121</f>
        <v>2</v>
      </c>
      <c r="Q121" s="278">
        <f>'Core Indicators'!EH121</f>
        <v>2</v>
      </c>
      <c r="R121" s="278">
        <f>'Core Indicators'!EP121</f>
        <v>2</v>
      </c>
      <c r="S121" s="214">
        <f t="shared" si="22"/>
        <v>1.4</v>
      </c>
      <c r="T121" s="214">
        <f t="shared" si="23"/>
        <v>1.3333333333333333</v>
      </c>
      <c r="U121" s="276">
        <v>1</v>
      </c>
      <c r="V121" s="276">
        <v>1</v>
      </c>
      <c r="W121" s="276">
        <f>'Core Indicators'!EX121</f>
        <v>3</v>
      </c>
      <c r="X121" s="214">
        <f t="shared" si="24"/>
        <v>2</v>
      </c>
      <c r="Y121" s="276">
        <v>1</v>
      </c>
      <c r="Z121" s="214">
        <f t="shared" si="25"/>
        <v>1.5</v>
      </c>
      <c r="AA121" s="276">
        <f>'Core Indicators'!FF121</f>
        <v>2</v>
      </c>
      <c r="AB121" s="276">
        <f t="shared" si="26"/>
        <v>1</v>
      </c>
      <c r="AC121" s="11">
        <f>'Core Indicators'!GD121</f>
        <v>1</v>
      </c>
      <c r="AD121" s="11">
        <f>'Core Indicators'!GL121</f>
        <v>1</v>
      </c>
      <c r="AE121" s="11">
        <f>'Core Indicators'!GT121</f>
        <v>1</v>
      </c>
      <c r="AF121" s="11">
        <f>'Core Indicators'!HB121</f>
        <v>1</v>
      </c>
      <c r="AG121" s="11">
        <f t="shared" si="27"/>
        <v>1</v>
      </c>
      <c r="AH121" s="11">
        <f>'Core Indicators'!HJ121</f>
        <v>1</v>
      </c>
      <c r="AI121" s="11" t="str">
        <f>'Core Indicators'!HR121</f>
        <v>x</v>
      </c>
      <c r="AJ121" s="11">
        <f t="shared" si="28"/>
        <v>1</v>
      </c>
      <c r="AK121" s="11">
        <f>'Core Indicators'!HZ121</f>
        <v>1</v>
      </c>
      <c r="AL121" s="11">
        <f>'Core Indicators'!IH121</f>
        <v>1</v>
      </c>
      <c r="AM121" s="11">
        <f>'Core Indicators'!IP121</f>
        <v>1</v>
      </c>
      <c r="AN121" s="11">
        <f t="shared" si="30"/>
        <v>1</v>
      </c>
    </row>
    <row r="122" spans="1:40" x14ac:dyDescent="0.3">
      <c r="A122" s="276" t="str">
        <f>Lists!C:C</f>
        <v>SDN006</v>
      </c>
      <c r="B122" s="213">
        <f t="shared" si="16"/>
        <v>2.4</v>
      </c>
      <c r="C122" s="214">
        <f t="shared" si="17"/>
        <v>1</v>
      </c>
      <c r="D122" s="277">
        <f t="shared" si="18"/>
        <v>2</v>
      </c>
      <c r="E122" s="276">
        <f>'Core Indicators'!R122</f>
        <v>2</v>
      </c>
      <c r="F122" s="276">
        <f>'Core Indicators'!Z122</f>
        <v>2</v>
      </c>
      <c r="G122" s="214">
        <f t="shared" si="19"/>
        <v>2</v>
      </c>
      <c r="H122" s="276">
        <f>'Core Indicators'!AH122</f>
        <v>2</v>
      </c>
      <c r="I122" s="276">
        <f>'Core Indicators'!AP122</f>
        <v>2</v>
      </c>
      <c r="J122" s="276">
        <f>'Core Indicators'!BN122</f>
        <v>2</v>
      </c>
      <c r="K122" s="276">
        <f t="shared" si="20"/>
        <v>2</v>
      </c>
      <c r="L122" s="213">
        <f t="shared" si="21"/>
        <v>2</v>
      </c>
      <c r="M122" s="277">
        <f t="shared" si="29"/>
        <v>3</v>
      </c>
      <c r="N122" s="278">
        <f>'Core Indicators'!DJ122</f>
        <v>3</v>
      </c>
      <c r="O122" s="278">
        <f>'Core Indicators'!DR122</f>
        <v>3</v>
      </c>
      <c r="P122" s="278">
        <f>'Core Indicators'!DZ122</f>
        <v>3</v>
      </c>
      <c r="Q122" s="278">
        <f>'Core Indicators'!EH122</f>
        <v>3</v>
      </c>
      <c r="R122" s="278">
        <f>'Core Indicators'!EP122</f>
        <v>3</v>
      </c>
      <c r="S122" s="214">
        <f t="shared" si="22"/>
        <v>1.7</v>
      </c>
      <c r="T122" s="214">
        <f t="shared" si="23"/>
        <v>1.3333333333333333</v>
      </c>
      <c r="U122" s="276">
        <v>1</v>
      </c>
      <c r="V122" s="276">
        <v>1</v>
      </c>
      <c r="W122" s="276">
        <f>'Core Indicators'!EX122</f>
        <v>3</v>
      </c>
      <c r="X122" s="214">
        <f t="shared" si="24"/>
        <v>2</v>
      </c>
      <c r="Y122" s="276">
        <v>1</v>
      </c>
      <c r="Z122" s="214">
        <f t="shared" si="25"/>
        <v>2</v>
      </c>
      <c r="AA122" s="276" t="str">
        <f>'Core Indicators'!FF122</f>
        <v>x</v>
      </c>
      <c r="AB122" s="276">
        <f t="shared" si="26"/>
        <v>2</v>
      </c>
      <c r="AC122" s="11">
        <f>'Core Indicators'!GD122</f>
        <v>2</v>
      </c>
      <c r="AD122" s="11">
        <f>'Core Indicators'!GL122</f>
        <v>2</v>
      </c>
      <c r="AE122" s="11">
        <f>'Core Indicators'!GT122</f>
        <v>2</v>
      </c>
      <c r="AF122" s="11">
        <f>'Core Indicators'!HB122</f>
        <v>2</v>
      </c>
      <c r="AG122" s="11">
        <f t="shared" si="27"/>
        <v>2</v>
      </c>
      <c r="AH122" s="11">
        <f>'Core Indicators'!HJ122</f>
        <v>2</v>
      </c>
      <c r="AI122" s="11">
        <f>'Core Indicators'!HR122</f>
        <v>2</v>
      </c>
      <c r="AJ122" s="11">
        <f t="shared" si="28"/>
        <v>2</v>
      </c>
      <c r="AK122" s="11">
        <f>'Core Indicators'!HZ122</f>
        <v>2</v>
      </c>
      <c r="AL122" s="11">
        <f>'Core Indicators'!IH122</f>
        <v>2</v>
      </c>
      <c r="AM122" s="11">
        <f>'Core Indicators'!IP122</f>
        <v>2</v>
      </c>
      <c r="AN122" s="11">
        <f t="shared" si="30"/>
        <v>2</v>
      </c>
    </row>
    <row r="123" spans="1:40" x14ac:dyDescent="0.3">
      <c r="A123" s="276" t="str">
        <f>Lists!C:C</f>
        <v>SYR001</v>
      </c>
      <c r="B123" s="213">
        <f t="shared" si="16"/>
        <v>2.4</v>
      </c>
      <c r="C123" s="214">
        <f t="shared" si="17"/>
        <v>0</v>
      </c>
      <c r="D123" s="277">
        <f t="shared" si="18"/>
        <v>2.2999999999999998</v>
      </c>
      <c r="E123" s="276">
        <f>'Core Indicators'!R123</f>
        <v>2</v>
      </c>
      <c r="F123" s="276">
        <f>'Core Indicators'!Z123</f>
        <v>2</v>
      </c>
      <c r="G123" s="214">
        <f t="shared" si="19"/>
        <v>2</v>
      </c>
      <c r="H123" s="276">
        <f>'Core Indicators'!AH123</f>
        <v>2</v>
      </c>
      <c r="I123" s="276">
        <f>'Core Indicators'!AP123</f>
        <v>3</v>
      </c>
      <c r="J123" s="276">
        <f>'Core Indicators'!BN123</f>
        <v>3</v>
      </c>
      <c r="K123" s="276">
        <f t="shared" si="20"/>
        <v>3</v>
      </c>
      <c r="L123" s="213">
        <f t="shared" si="21"/>
        <v>2.5</v>
      </c>
      <c r="M123" s="277">
        <f t="shared" si="29"/>
        <v>3</v>
      </c>
      <c r="N123" s="278">
        <f>'Core Indicators'!DJ123</f>
        <v>3</v>
      </c>
      <c r="O123" s="278">
        <f>'Core Indicators'!DR123</f>
        <v>3</v>
      </c>
      <c r="P123" s="278">
        <f>'Core Indicators'!DZ123</f>
        <v>3</v>
      </c>
      <c r="Q123" s="278">
        <f>'Core Indicators'!EH123</f>
        <v>3</v>
      </c>
      <c r="R123" s="278">
        <f>'Core Indicators'!EP123</f>
        <v>3</v>
      </c>
      <c r="S123" s="214">
        <f t="shared" si="22"/>
        <v>1.4</v>
      </c>
      <c r="T123" s="214">
        <f t="shared" si="23"/>
        <v>1.3333333333333333</v>
      </c>
      <c r="U123" s="276">
        <v>1</v>
      </c>
      <c r="V123" s="276">
        <v>1</v>
      </c>
      <c r="W123" s="276">
        <f>'Core Indicators'!EX123</f>
        <v>3</v>
      </c>
      <c r="X123" s="214">
        <f t="shared" si="24"/>
        <v>2</v>
      </c>
      <c r="Y123" s="276">
        <v>1</v>
      </c>
      <c r="Z123" s="214">
        <f t="shared" si="25"/>
        <v>1.5</v>
      </c>
      <c r="AA123" s="276">
        <f>'Core Indicators'!FF123</f>
        <v>1</v>
      </c>
      <c r="AB123" s="276">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x14ac:dyDescent="0.3">
      <c r="A124" s="276" t="str">
        <f>Lists!C:C</f>
        <v>REG004</v>
      </c>
      <c r="B124" s="213">
        <f t="shared" si="16"/>
        <v>2</v>
      </c>
      <c r="C124" s="214">
        <f t="shared" si="17"/>
        <v>0</v>
      </c>
      <c r="D124" s="277">
        <f t="shared" si="18"/>
        <v>2.2000000000000002</v>
      </c>
      <c r="E124" s="276">
        <f>'Core Indicators'!R124</f>
        <v>2</v>
      </c>
      <c r="F124" s="276">
        <f>'Core Indicators'!Z124</f>
        <v>2</v>
      </c>
      <c r="G124" s="214">
        <f t="shared" si="19"/>
        <v>2</v>
      </c>
      <c r="H124" s="276">
        <f>'Core Indicators'!AH124</f>
        <v>2</v>
      </c>
      <c r="I124" s="276">
        <f>'Core Indicators'!AP124</f>
        <v>2</v>
      </c>
      <c r="J124" s="276">
        <f>'Core Indicators'!BN124</f>
        <v>3</v>
      </c>
      <c r="K124" s="276">
        <f t="shared" si="20"/>
        <v>2.5</v>
      </c>
      <c r="L124" s="213">
        <f t="shared" si="21"/>
        <v>2.2999999999999998</v>
      </c>
      <c r="M124" s="277">
        <f t="shared" si="29"/>
        <v>2</v>
      </c>
      <c r="N124" s="278">
        <f>'Core Indicators'!DJ124</f>
        <v>2</v>
      </c>
      <c r="O124" s="278">
        <f>'Core Indicators'!DR124</f>
        <v>2</v>
      </c>
      <c r="P124" s="278">
        <f>'Core Indicators'!DZ124</f>
        <v>2</v>
      </c>
      <c r="Q124" s="278">
        <f>'Core Indicators'!EH124</f>
        <v>2</v>
      </c>
      <c r="R124" s="278">
        <f>'Core Indicators'!EP124</f>
        <v>2</v>
      </c>
      <c r="S124" s="214">
        <f t="shared" si="22"/>
        <v>1.7</v>
      </c>
      <c r="T124" s="214">
        <f t="shared" si="23"/>
        <v>1.3333333333333333</v>
      </c>
      <c r="U124" s="276">
        <v>1</v>
      </c>
      <c r="V124" s="276">
        <v>1</v>
      </c>
      <c r="W124" s="276">
        <f>'Core Indicators'!EX124</f>
        <v>3</v>
      </c>
      <c r="X124" s="214">
        <f t="shared" si="24"/>
        <v>2</v>
      </c>
      <c r="Y124" s="276">
        <v>1</v>
      </c>
      <c r="Z124" s="214">
        <f t="shared" si="25"/>
        <v>2</v>
      </c>
      <c r="AA124" s="276">
        <f>'Core Indicators'!FF124</f>
        <v>2</v>
      </c>
      <c r="AB124" s="276">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x14ac:dyDescent="0.3">
      <c r="A125" s="276" t="str">
        <f>Lists!C:C</f>
        <v>TZA002</v>
      </c>
      <c r="B125" s="213">
        <f t="shared" si="16"/>
        <v>1.7</v>
      </c>
      <c r="C125" s="214">
        <f t="shared" si="17"/>
        <v>0</v>
      </c>
      <c r="D125" s="277">
        <f t="shared" si="18"/>
        <v>2</v>
      </c>
      <c r="E125" s="276">
        <f>'Core Indicators'!R125</f>
        <v>2</v>
      </c>
      <c r="F125" s="276">
        <f>'Core Indicators'!Z125</f>
        <v>2</v>
      </c>
      <c r="G125" s="214">
        <f t="shared" si="19"/>
        <v>2</v>
      </c>
      <c r="H125" s="276">
        <f>'Core Indicators'!AH125</f>
        <v>2</v>
      </c>
      <c r="I125" s="276">
        <f>'Core Indicators'!AP125</f>
        <v>2</v>
      </c>
      <c r="J125" s="276">
        <f>'Core Indicators'!BN125</f>
        <v>2</v>
      </c>
      <c r="K125" s="276">
        <f t="shared" si="20"/>
        <v>2</v>
      </c>
      <c r="L125" s="213">
        <f t="shared" si="21"/>
        <v>2</v>
      </c>
      <c r="M125" s="277">
        <f t="shared" si="29"/>
        <v>2</v>
      </c>
      <c r="N125" s="278">
        <f>'Core Indicators'!DJ125</f>
        <v>2</v>
      </c>
      <c r="O125" s="278">
        <f>'Core Indicators'!DR125</f>
        <v>2</v>
      </c>
      <c r="P125" s="278">
        <f>'Core Indicators'!DZ125</f>
        <v>2</v>
      </c>
      <c r="Q125" s="278">
        <f>'Core Indicators'!EH125</f>
        <v>2</v>
      </c>
      <c r="R125" s="278">
        <f>'Core Indicators'!EP125</f>
        <v>2</v>
      </c>
      <c r="S125" s="214">
        <f t="shared" si="22"/>
        <v>1.1000000000000001</v>
      </c>
      <c r="T125" s="214">
        <f t="shared" si="23"/>
        <v>1.1666666666666667</v>
      </c>
      <c r="U125" s="276">
        <v>1</v>
      </c>
      <c r="V125" s="276">
        <v>1</v>
      </c>
      <c r="W125" s="276">
        <f>'Core Indicators'!EX125</f>
        <v>2</v>
      </c>
      <c r="X125" s="214">
        <f t="shared" si="24"/>
        <v>1.5</v>
      </c>
      <c r="Y125" s="276">
        <v>1</v>
      </c>
      <c r="Z125" s="214">
        <f t="shared" si="25"/>
        <v>1</v>
      </c>
      <c r="AA125" s="276">
        <f>'Core Indicators'!FF125</f>
        <v>1</v>
      </c>
      <c r="AB125" s="276">
        <f t="shared" si="26"/>
        <v>1</v>
      </c>
      <c r="AC125" s="11">
        <f>'Core Indicators'!GD125</f>
        <v>1</v>
      </c>
      <c r="AD125" s="11">
        <f>'Core Indicators'!GL125</f>
        <v>1</v>
      </c>
      <c r="AE125" s="11">
        <f>'Core Indicators'!GT125</f>
        <v>1</v>
      </c>
      <c r="AF125" s="11">
        <f>'Core Indicators'!HB125</f>
        <v>1</v>
      </c>
      <c r="AG125" s="11">
        <f t="shared" si="27"/>
        <v>1</v>
      </c>
      <c r="AH125" s="11">
        <f>'Core Indicators'!HJ125</f>
        <v>1</v>
      </c>
      <c r="AI125" s="11">
        <f>'Core Indicators'!HR125</f>
        <v>1</v>
      </c>
      <c r="AJ125" s="11">
        <f t="shared" si="28"/>
        <v>1</v>
      </c>
      <c r="AK125" s="11">
        <f>'Core Indicators'!HZ125</f>
        <v>1</v>
      </c>
      <c r="AL125" s="11">
        <f>'Core Indicators'!IH125</f>
        <v>1</v>
      </c>
      <c r="AM125" s="11">
        <f>'Core Indicators'!IP125</f>
        <v>1</v>
      </c>
      <c r="AN125" s="11">
        <f t="shared" si="30"/>
        <v>1</v>
      </c>
    </row>
    <row r="126" spans="1:40" x14ac:dyDescent="0.3">
      <c r="A126" s="276" t="str">
        <f>Lists!C:C</f>
        <v>THA001</v>
      </c>
      <c r="B126" s="213">
        <f t="shared" si="16"/>
        <v>1.8</v>
      </c>
      <c r="C126" s="214">
        <f t="shared" si="17"/>
        <v>0</v>
      </c>
      <c r="D126" s="277">
        <f t="shared" si="18"/>
        <v>2</v>
      </c>
      <c r="E126" s="276">
        <f>'Core Indicators'!R126</f>
        <v>2</v>
      </c>
      <c r="F126" s="276">
        <f>'Core Indicators'!Z126</f>
        <v>2</v>
      </c>
      <c r="G126" s="214">
        <f t="shared" si="19"/>
        <v>2</v>
      </c>
      <c r="H126" s="276">
        <f>'Core Indicators'!AH126</f>
        <v>2</v>
      </c>
      <c r="I126" s="276">
        <f>'Core Indicators'!AP126</f>
        <v>2</v>
      </c>
      <c r="J126" s="276">
        <f>'Core Indicators'!BN126</f>
        <v>2</v>
      </c>
      <c r="K126" s="276">
        <f t="shared" si="20"/>
        <v>2</v>
      </c>
      <c r="L126" s="213">
        <f t="shared" si="21"/>
        <v>2</v>
      </c>
      <c r="M126" s="277">
        <f t="shared" si="29"/>
        <v>2</v>
      </c>
      <c r="N126" s="278">
        <f>'Core Indicators'!DJ126</f>
        <v>2</v>
      </c>
      <c r="O126" s="278">
        <f>'Core Indicators'!DR126</f>
        <v>2</v>
      </c>
      <c r="P126" s="278">
        <f>'Core Indicators'!DZ126</f>
        <v>2</v>
      </c>
      <c r="Q126" s="278">
        <f>'Core Indicators'!EH126</f>
        <v>2</v>
      </c>
      <c r="R126" s="278">
        <f>'Core Indicators'!EP126</f>
        <v>2</v>
      </c>
      <c r="S126" s="214">
        <f t="shared" si="22"/>
        <v>1.3</v>
      </c>
      <c r="T126" s="214">
        <f t="shared" si="23"/>
        <v>1.1666666666666667</v>
      </c>
      <c r="U126" s="276">
        <v>1</v>
      </c>
      <c r="V126" s="276">
        <v>1</v>
      </c>
      <c r="W126" s="276">
        <f>'Core Indicators'!EX126</f>
        <v>2</v>
      </c>
      <c r="X126" s="214">
        <f t="shared" si="24"/>
        <v>1.5</v>
      </c>
      <c r="Y126" s="276">
        <v>1</v>
      </c>
      <c r="Z126" s="214">
        <f t="shared" si="25"/>
        <v>1.5</v>
      </c>
      <c r="AA126" s="276">
        <f>'Core Indicators'!FF126</f>
        <v>2</v>
      </c>
      <c r="AB126" s="276">
        <f t="shared" si="26"/>
        <v>1</v>
      </c>
      <c r="AC126" s="11">
        <f>'Core Indicators'!GD126</f>
        <v>1</v>
      </c>
      <c r="AD126" s="11">
        <f>'Core Indicators'!GL126</f>
        <v>1</v>
      </c>
      <c r="AE126" s="11">
        <f>'Core Indicators'!GT126</f>
        <v>1</v>
      </c>
      <c r="AF126" s="11">
        <f>'Core Indicators'!HB126</f>
        <v>1</v>
      </c>
      <c r="AG126" s="11">
        <f t="shared" si="27"/>
        <v>1</v>
      </c>
      <c r="AH126" s="11">
        <f>'Core Indicators'!HJ126</f>
        <v>1</v>
      </c>
      <c r="AI126" s="11">
        <f>'Core Indicators'!HR126</f>
        <v>1</v>
      </c>
      <c r="AJ126" s="11">
        <f t="shared" si="28"/>
        <v>1</v>
      </c>
      <c r="AK126" s="11">
        <f>'Core Indicators'!HZ126</f>
        <v>1</v>
      </c>
      <c r="AL126" s="11">
        <f>'Core Indicators'!IH126</f>
        <v>1</v>
      </c>
      <c r="AM126" s="11">
        <f>'Core Indicators'!IP126</f>
        <v>1</v>
      </c>
      <c r="AN126" s="11">
        <f t="shared" si="30"/>
        <v>1</v>
      </c>
    </row>
    <row r="127" spans="1:40" x14ac:dyDescent="0.3">
      <c r="A127" s="276" t="str">
        <f>Lists!C:C</f>
        <v>THA002</v>
      </c>
      <c r="B127" s="213" t="str">
        <f t="shared" si="16"/>
        <v>x</v>
      </c>
      <c r="C127" s="214">
        <f t="shared" si="17"/>
        <v>2</v>
      </c>
      <c r="D127" s="277">
        <f t="shared" si="18"/>
        <v>2</v>
      </c>
      <c r="E127" s="276">
        <f>'Core Indicators'!R127</f>
        <v>2</v>
      </c>
      <c r="F127" s="276">
        <f>'Core Indicators'!Z127</f>
        <v>2</v>
      </c>
      <c r="G127" s="214">
        <f t="shared" si="19"/>
        <v>2</v>
      </c>
      <c r="H127" s="276">
        <f>'Core Indicators'!AH127</f>
        <v>2</v>
      </c>
      <c r="I127" s="276" t="str">
        <f>'Core Indicators'!AP127</f>
        <v>x</v>
      </c>
      <c r="J127" s="276">
        <f>'Core Indicators'!BN127</f>
        <v>2</v>
      </c>
      <c r="K127" s="276">
        <f t="shared" si="20"/>
        <v>2</v>
      </c>
      <c r="L127" s="213">
        <f t="shared" si="21"/>
        <v>2</v>
      </c>
      <c r="M127" s="277" t="str">
        <f t="shared" si="29"/>
        <v>x</v>
      </c>
      <c r="N127" s="278" t="str">
        <f>'Core Indicators'!DJ127</f>
        <v>x</v>
      </c>
      <c r="O127" s="278" t="str">
        <f>'Core Indicators'!DR127</f>
        <v>x</v>
      </c>
      <c r="P127" s="278" t="str">
        <f>'Core Indicators'!DZ127</f>
        <v>x</v>
      </c>
      <c r="Q127" s="278" t="str">
        <f>'Core Indicators'!EH127</f>
        <v>x</v>
      </c>
      <c r="R127" s="278" t="str">
        <f>'Core Indicators'!EP127</f>
        <v>x</v>
      </c>
      <c r="S127" s="214">
        <f t="shared" si="22"/>
        <v>1.3</v>
      </c>
      <c r="T127" s="214">
        <f t="shared" si="23"/>
        <v>1.1666666666666667</v>
      </c>
      <c r="U127" s="276">
        <v>1</v>
      </c>
      <c r="V127" s="276">
        <v>1</v>
      </c>
      <c r="W127" s="276">
        <f>'Core Indicators'!EX127</f>
        <v>2</v>
      </c>
      <c r="X127" s="214">
        <f t="shared" si="24"/>
        <v>1.5</v>
      </c>
      <c r="Y127" s="276">
        <v>1</v>
      </c>
      <c r="Z127" s="214">
        <f t="shared" si="25"/>
        <v>1.5</v>
      </c>
      <c r="AA127" s="276">
        <f>'Core Indicators'!FF127</f>
        <v>2</v>
      </c>
      <c r="AB127" s="276">
        <f t="shared" si="26"/>
        <v>1</v>
      </c>
      <c r="AC127" s="11">
        <f>'Core Indicators'!GD127</f>
        <v>1</v>
      </c>
      <c r="AD127" s="11">
        <f>'Core Indicators'!GL127</f>
        <v>1</v>
      </c>
      <c r="AE127" s="11">
        <f>'Core Indicators'!GT127</f>
        <v>1</v>
      </c>
      <c r="AF127" s="11">
        <f>'Core Indicators'!HB127</f>
        <v>1</v>
      </c>
      <c r="AG127" s="11">
        <f t="shared" si="27"/>
        <v>1</v>
      </c>
      <c r="AH127" s="11">
        <f>'Core Indicators'!HJ127</f>
        <v>1</v>
      </c>
      <c r="AI127" s="11">
        <f>'Core Indicators'!HR127</f>
        <v>1</v>
      </c>
      <c r="AJ127" s="11">
        <f t="shared" si="28"/>
        <v>1</v>
      </c>
      <c r="AK127" s="11">
        <f>'Core Indicators'!HZ127</f>
        <v>1</v>
      </c>
      <c r="AL127" s="11">
        <f>'Core Indicators'!IH127</f>
        <v>1</v>
      </c>
      <c r="AM127" s="11">
        <f>'Core Indicators'!IP127</f>
        <v>1</v>
      </c>
      <c r="AN127" s="11">
        <f t="shared" si="30"/>
        <v>1</v>
      </c>
    </row>
    <row r="128" spans="1:40" x14ac:dyDescent="0.3">
      <c r="A128" s="276" t="str">
        <f>Lists!C:C</f>
        <v>THA003</v>
      </c>
      <c r="B128" s="213">
        <f t="shared" si="16"/>
        <v>1.8</v>
      </c>
      <c r="C128" s="214">
        <f t="shared" si="17"/>
        <v>1</v>
      </c>
      <c r="D128" s="277">
        <f t="shared" si="18"/>
        <v>2</v>
      </c>
      <c r="E128" s="276">
        <f>'Core Indicators'!R128</f>
        <v>2</v>
      </c>
      <c r="F128" s="276">
        <f>'Core Indicators'!Z128</f>
        <v>2</v>
      </c>
      <c r="G128" s="214">
        <f t="shared" si="19"/>
        <v>2</v>
      </c>
      <c r="H128" s="276">
        <f>'Core Indicators'!AH128</f>
        <v>2</v>
      </c>
      <c r="I128" s="276">
        <f>'Core Indicators'!AP128</f>
        <v>2</v>
      </c>
      <c r="J128" s="276" t="str">
        <f>'Core Indicators'!BN128</f>
        <v>x</v>
      </c>
      <c r="K128" s="276">
        <f t="shared" si="20"/>
        <v>2</v>
      </c>
      <c r="L128" s="213">
        <f t="shared" si="21"/>
        <v>2</v>
      </c>
      <c r="M128" s="277">
        <f t="shared" si="29"/>
        <v>2</v>
      </c>
      <c r="N128" s="278">
        <f>'Core Indicators'!DJ128</f>
        <v>2</v>
      </c>
      <c r="O128" s="278">
        <f>'Core Indicators'!DR128</f>
        <v>2</v>
      </c>
      <c r="P128" s="278">
        <f>'Core Indicators'!DZ128</f>
        <v>2</v>
      </c>
      <c r="Q128" s="278">
        <f>'Core Indicators'!EH128</f>
        <v>2</v>
      </c>
      <c r="R128" s="278">
        <f>'Core Indicators'!EP128</f>
        <v>2</v>
      </c>
      <c r="S128" s="214">
        <f t="shared" si="22"/>
        <v>1.3</v>
      </c>
      <c r="T128" s="214">
        <f t="shared" si="23"/>
        <v>1.1666666666666667</v>
      </c>
      <c r="U128" s="276">
        <v>1</v>
      </c>
      <c r="V128" s="276">
        <v>1</v>
      </c>
      <c r="W128" s="276">
        <f>'Core Indicators'!EX128</f>
        <v>2</v>
      </c>
      <c r="X128" s="214">
        <f t="shared" si="24"/>
        <v>1.5</v>
      </c>
      <c r="Y128" s="276">
        <v>1</v>
      </c>
      <c r="Z128" s="214">
        <f t="shared" si="25"/>
        <v>1.5</v>
      </c>
      <c r="AA128" s="276">
        <f>'Core Indicators'!FF128</f>
        <v>2</v>
      </c>
      <c r="AB128" s="276">
        <f t="shared" si="26"/>
        <v>1</v>
      </c>
      <c r="AC128" s="11">
        <f>'Core Indicators'!GD128</f>
        <v>1</v>
      </c>
      <c r="AD128" s="11">
        <f>'Core Indicators'!GL128</f>
        <v>1</v>
      </c>
      <c r="AE128" s="11">
        <f>'Core Indicators'!GT128</f>
        <v>1</v>
      </c>
      <c r="AF128" s="11">
        <f>'Core Indicators'!HB128</f>
        <v>1</v>
      </c>
      <c r="AG128" s="11">
        <f t="shared" si="27"/>
        <v>1</v>
      </c>
      <c r="AH128" s="11">
        <f>'Core Indicators'!HJ128</f>
        <v>1</v>
      </c>
      <c r="AI128" s="11">
        <f>'Core Indicators'!HR128</f>
        <v>1</v>
      </c>
      <c r="AJ128" s="11">
        <f t="shared" si="28"/>
        <v>1</v>
      </c>
      <c r="AK128" s="11">
        <f>'Core Indicators'!HZ128</f>
        <v>1</v>
      </c>
      <c r="AL128" s="11">
        <f>'Core Indicators'!IH128</f>
        <v>1</v>
      </c>
      <c r="AM128" s="11">
        <f>'Core Indicators'!IP128</f>
        <v>1</v>
      </c>
      <c r="AN128" s="11">
        <f t="shared" si="30"/>
        <v>1</v>
      </c>
    </row>
    <row r="129" spans="1:40" x14ac:dyDescent="0.3">
      <c r="A129" s="276" t="str">
        <f>Lists!C:C</f>
        <v>TTO002</v>
      </c>
      <c r="B129" s="213">
        <f t="shared" si="16"/>
        <v>2.2999999999999998</v>
      </c>
      <c r="C129" s="214">
        <f t="shared" si="17"/>
        <v>0</v>
      </c>
      <c r="D129" s="277">
        <f t="shared" si="18"/>
        <v>2.2000000000000002</v>
      </c>
      <c r="E129" s="276">
        <f>'Core Indicators'!R129</f>
        <v>2</v>
      </c>
      <c r="F129" s="276">
        <f>'Core Indicators'!Z129</f>
        <v>2</v>
      </c>
      <c r="G129" s="214">
        <f t="shared" si="19"/>
        <v>2</v>
      </c>
      <c r="H129" s="276">
        <f>'Core Indicators'!AH129</f>
        <v>2</v>
      </c>
      <c r="I129" s="276">
        <f>'Core Indicators'!AP129</f>
        <v>2</v>
      </c>
      <c r="J129" s="276">
        <f>'Core Indicators'!BN129</f>
        <v>3</v>
      </c>
      <c r="K129" s="276">
        <f t="shared" si="20"/>
        <v>2.5</v>
      </c>
      <c r="L129" s="213">
        <f t="shared" si="21"/>
        <v>2.2999999999999998</v>
      </c>
      <c r="M129" s="277">
        <f t="shared" si="29"/>
        <v>2.8</v>
      </c>
      <c r="N129" s="278">
        <f>'Core Indicators'!DJ129</f>
        <v>2</v>
      </c>
      <c r="O129" s="278">
        <f>'Core Indicators'!DR129</f>
        <v>3</v>
      </c>
      <c r="P129" s="278">
        <f>'Core Indicators'!DZ129</f>
        <v>3</v>
      </c>
      <c r="Q129" s="278">
        <f>'Core Indicators'!EH129</f>
        <v>3</v>
      </c>
      <c r="R129" s="278">
        <f>'Core Indicators'!EP129</f>
        <v>3</v>
      </c>
      <c r="S129" s="214">
        <f t="shared" si="22"/>
        <v>1.7</v>
      </c>
      <c r="T129" s="214">
        <f t="shared" si="23"/>
        <v>1.3333333333333333</v>
      </c>
      <c r="U129" s="276">
        <v>1</v>
      </c>
      <c r="V129" s="276">
        <v>1</v>
      </c>
      <c r="W129" s="276">
        <f>'Core Indicators'!EX129</f>
        <v>3</v>
      </c>
      <c r="X129" s="214">
        <f t="shared" si="24"/>
        <v>2</v>
      </c>
      <c r="Y129" s="276">
        <v>1</v>
      </c>
      <c r="Z129" s="214">
        <f t="shared" si="25"/>
        <v>2</v>
      </c>
      <c r="AA129" s="276">
        <f>'Core Indicators'!FF129</f>
        <v>2</v>
      </c>
      <c r="AB129" s="276">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76" t="str">
        <f>Lists!C:C</f>
        <v>TUN002</v>
      </c>
      <c r="B130" s="213">
        <f t="shared" si="16"/>
        <v>2.1</v>
      </c>
      <c r="C130" s="214">
        <f t="shared" si="17"/>
        <v>2</v>
      </c>
      <c r="D130" s="277">
        <f t="shared" si="18"/>
        <v>2.6</v>
      </c>
      <c r="E130" s="276">
        <f>'Core Indicators'!R130</f>
        <v>1</v>
      </c>
      <c r="F130" s="276">
        <f>'Core Indicators'!Z130</f>
        <v>2</v>
      </c>
      <c r="G130" s="214">
        <f t="shared" si="19"/>
        <v>1.5</v>
      </c>
      <c r="H130" s="276" t="str">
        <f>'Core Indicators'!AH130</f>
        <v>x</v>
      </c>
      <c r="I130" s="276" t="str">
        <f>'Core Indicators'!AP130</f>
        <v>x</v>
      </c>
      <c r="J130" s="276">
        <f>'Core Indicators'!BN130</f>
        <v>3</v>
      </c>
      <c r="K130" s="276">
        <f t="shared" si="20"/>
        <v>3</v>
      </c>
      <c r="L130" s="213">
        <f t="shared" si="21"/>
        <v>3</v>
      </c>
      <c r="M130" s="277">
        <f t="shared" si="29"/>
        <v>2</v>
      </c>
      <c r="N130" s="278">
        <f>'Core Indicators'!DJ130</f>
        <v>2</v>
      </c>
      <c r="O130" s="278">
        <f>'Core Indicators'!DR130</f>
        <v>2</v>
      </c>
      <c r="P130" s="278">
        <f>'Core Indicators'!DZ130</f>
        <v>2</v>
      </c>
      <c r="Q130" s="278">
        <f>'Core Indicators'!EH130</f>
        <v>2</v>
      </c>
      <c r="R130" s="278">
        <f>'Core Indicators'!EP130</f>
        <v>2</v>
      </c>
      <c r="S130" s="214">
        <f t="shared" si="22"/>
        <v>1.7</v>
      </c>
      <c r="T130" s="214">
        <f t="shared" si="23"/>
        <v>1.3333333333333333</v>
      </c>
      <c r="U130" s="276">
        <v>1</v>
      </c>
      <c r="V130" s="276">
        <v>1</v>
      </c>
      <c r="W130" s="276">
        <f>'Core Indicators'!EX130</f>
        <v>3</v>
      </c>
      <c r="X130" s="214">
        <f t="shared" si="24"/>
        <v>2</v>
      </c>
      <c r="Y130" s="276">
        <v>1</v>
      </c>
      <c r="Z130" s="214">
        <f t="shared" si="25"/>
        <v>2</v>
      </c>
      <c r="AA130" s="276">
        <f>'Core Indicators'!FF130</f>
        <v>2</v>
      </c>
      <c r="AB130" s="276">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76" t="str">
        <f>Lists!C:C</f>
        <v>TUR001</v>
      </c>
      <c r="B131" s="213">
        <f t="shared" si="16"/>
        <v>2.4</v>
      </c>
      <c r="C131" s="214">
        <f t="shared" si="17"/>
        <v>0</v>
      </c>
      <c r="D131" s="277">
        <f t="shared" si="18"/>
        <v>2.2000000000000002</v>
      </c>
      <c r="E131" s="276">
        <f>'Core Indicators'!R131</f>
        <v>2</v>
      </c>
      <c r="F131" s="276">
        <f>'Core Indicators'!Z131</f>
        <v>2</v>
      </c>
      <c r="G131" s="214">
        <f t="shared" si="19"/>
        <v>2</v>
      </c>
      <c r="H131" s="276">
        <f>'Core Indicators'!AH131</f>
        <v>2</v>
      </c>
      <c r="I131" s="276">
        <f>'Core Indicators'!AP131</f>
        <v>2</v>
      </c>
      <c r="J131" s="276">
        <f>'Core Indicators'!BN131</f>
        <v>3</v>
      </c>
      <c r="K131" s="276">
        <f t="shared" si="20"/>
        <v>2.5</v>
      </c>
      <c r="L131" s="213">
        <f t="shared" si="21"/>
        <v>2.2999999999999998</v>
      </c>
      <c r="M131" s="277">
        <f t="shared" si="29"/>
        <v>3</v>
      </c>
      <c r="N131" s="278">
        <f>'Core Indicators'!DJ131</f>
        <v>3</v>
      </c>
      <c r="O131" s="278">
        <f>'Core Indicators'!DR131</f>
        <v>3</v>
      </c>
      <c r="P131" s="278">
        <f>'Core Indicators'!DZ131</f>
        <v>3</v>
      </c>
      <c r="Q131" s="278">
        <f>'Core Indicators'!EH131</f>
        <v>3</v>
      </c>
      <c r="R131" s="278">
        <f>'Core Indicators'!EP131</f>
        <v>3</v>
      </c>
      <c r="S131" s="214">
        <f t="shared" si="22"/>
        <v>1.7</v>
      </c>
      <c r="T131" s="214">
        <f t="shared" si="23"/>
        <v>1.3333333333333333</v>
      </c>
      <c r="U131" s="276">
        <v>1</v>
      </c>
      <c r="V131" s="276">
        <v>1</v>
      </c>
      <c r="W131" s="276">
        <f>'Core Indicators'!EX131</f>
        <v>3</v>
      </c>
      <c r="X131" s="214">
        <f t="shared" si="24"/>
        <v>2</v>
      </c>
      <c r="Y131" s="276">
        <v>1</v>
      </c>
      <c r="Z131" s="214">
        <f t="shared" si="25"/>
        <v>2</v>
      </c>
      <c r="AA131" s="276">
        <f>'Core Indicators'!FF131</f>
        <v>2</v>
      </c>
      <c r="AB131" s="276">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76" t="str">
        <f>Lists!C:C</f>
        <v>TUR002</v>
      </c>
      <c r="B132" s="213">
        <f t="shared" ref="B132:B144" si="31">IF(OR(M132="x",D132="x"),"x",ROUND((5-GEOMEAN(((5-D132)/5*4+1),((5-M132)/5*4+1),((5-M132)/5*4+1)))/4*3.5+S132*0.3,1))</f>
        <v>2.4</v>
      </c>
      <c r="C132" s="214">
        <f t="shared" ref="C132:C141" si="32">COUNTIF(E132:F132,"x")+COUNTIF(H132:I132,"x")+COUNTIF(J132:J132,"x")+COUNTIF(M132,"x")+COUNTIF(U132:W132,"x")+COUNTIF(Y132:AB132,"x")</f>
        <v>0</v>
      </c>
      <c r="D132" s="277">
        <f t="shared" ref="D132:D144" si="33">IF(OR(L132="x",G132="x"),"x",ROUND((5-GEOMEAN(((5-L132)/5*4+1),((5-L132)/5*4+1),((5-G132)/5*4+1)))/4*5,1))</f>
        <v>2</v>
      </c>
      <c r="E132" s="276">
        <f>'Core Indicators'!R132</f>
        <v>2</v>
      </c>
      <c r="F132" s="276">
        <f>'Core Indicators'!Z132</f>
        <v>2</v>
      </c>
      <c r="G132" s="214">
        <f t="shared" ref="G132:G141" si="34">IF(AND(F132="x",E132="x"),"x",IF(OR(F132="x",E132="x"),AVERAGE(E132,F132),ROUND((10-GEOMEAN(((10-E132)/10*9+1),((10-F132)/10*9+1)))/9*10,1)))</f>
        <v>2</v>
      </c>
      <c r="H132" s="276">
        <f>'Core Indicators'!AH132</f>
        <v>2</v>
      </c>
      <c r="I132" s="276">
        <f>'Core Indicators'!AP132</f>
        <v>2</v>
      </c>
      <c r="J132" s="276">
        <f>'Core Indicators'!BN132</f>
        <v>2</v>
      </c>
      <c r="K132" s="276">
        <f t="shared" ref="K132:K141" si="35">IF(AND(J132="x",I132="x"),"x",IF(OR(J132="x",I132="x"),AVERAGE(I132,J132),ROUND((10-GEOMEAN(((10-I132)/10*9+1),((10-J132)/10*9+1)))/9*10,1)))</f>
        <v>2</v>
      </c>
      <c r="L132" s="213">
        <f t="shared" ref="L132:L141" si="36">IF(AND(H132="x",K132="x"),"x",IF(OR(H132="x",K132="x"),AVERAGE(H132,K132),ROUND((10-GEOMEAN(((10-H132)/10*9+1),((10-K132)/10*9+1)))/9*10,1)))</f>
        <v>2</v>
      </c>
      <c r="M132" s="277">
        <f t="shared" si="29"/>
        <v>3</v>
      </c>
      <c r="N132" s="278">
        <f>'Core Indicators'!DJ132</f>
        <v>3</v>
      </c>
      <c r="O132" s="278">
        <f>'Core Indicators'!DR132</f>
        <v>3</v>
      </c>
      <c r="P132" s="278">
        <f>'Core Indicators'!DZ132</f>
        <v>3</v>
      </c>
      <c r="Q132" s="278">
        <f>'Core Indicators'!EH132</f>
        <v>3</v>
      </c>
      <c r="R132" s="278">
        <f>'Core Indicators'!EP132</f>
        <v>3</v>
      </c>
      <c r="S132" s="214">
        <f t="shared" ref="S132:S141" si="37">IF(OR(Z132="x",T132="x"),T132,ROUND((10-GEOMEAN(((10-T132)/10*9+1),((10-Z132)/10*9+1)))/9*10,1))</f>
        <v>1.7</v>
      </c>
      <c r="T132" s="214">
        <f t="shared" ref="T132:T141" si="38">AVERAGE(U132,X132,Y132)</f>
        <v>1.3333333333333333</v>
      </c>
      <c r="U132" s="276">
        <v>1</v>
      </c>
      <c r="V132" s="276">
        <v>1</v>
      </c>
      <c r="W132" s="276">
        <f>'Core Indicators'!EX132</f>
        <v>3</v>
      </c>
      <c r="X132" s="214">
        <f t="shared" ref="X132:X141" si="39">AVERAGE(V132:W132)</f>
        <v>2</v>
      </c>
      <c r="Y132" s="276">
        <v>1</v>
      </c>
      <c r="Z132" s="214">
        <f t="shared" ref="Z132:Z141" si="40">IF(AND(AA132="x",AB132="x"),"x",AVERAGE(AA132:AB132))</f>
        <v>2</v>
      </c>
      <c r="AA132" s="276">
        <f>'Core Indicators'!FF132</f>
        <v>2</v>
      </c>
      <c r="AB132" s="276">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76" t="str">
        <f>Lists!C:C</f>
        <v>TUR003</v>
      </c>
      <c r="B133" s="213">
        <f t="shared" si="31"/>
        <v>2.4</v>
      </c>
      <c r="C133" s="214">
        <f t="shared" si="32"/>
        <v>0</v>
      </c>
      <c r="D133" s="277">
        <f t="shared" si="33"/>
        <v>2.2000000000000002</v>
      </c>
      <c r="E133" s="276">
        <f>'Core Indicators'!R133</f>
        <v>2</v>
      </c>
      <c r="F133" s="276">
        <f>'Core Indicators'!Z133</f>
        <v>2</v>
      </c>
      <c r="G133" s="214">
        <f t="shared" si="34"/>
        <v>2</v>
      </c>
      <c r="H133" s="276">
        <f>'Core Indicators'!AH133</f>
        <v>2</v>
      </c>
      <c r="I133" s="276">
        <f>'Core Indicators'!AP133</f>
        <v>2</v>
      </c>
      <c r="J133" s="276">
        <f>'Core Indicators'!BN133</f>
        <v>3</v>
      </c>
      <c r="K133" s="276">
        <f t="shared" si="35"/>
        <v>2.5</v>
      </c>
      <c r="L133" s="213">
        <f t="shared" si="36"/>
        <v>2.2999999999999998</v>
      </c>
      <c r="M133" s="277">
        <f t="shared" si="29"/>
        <v>3</v>
      </c>
      <c r="N133" s="278">
        <f>'Core Indicators'!DJ133</f>
        <v>3</v>
      </c>
      <c r="O133" s="278">
        <f>'Core Indicators'!DR133</f>
        <v>3</v>
      </c>
      <c r="P133" s="278">
        <f>'Core Indicators'!DZ133</f>
        <v>3</v>
      </c>
      <c r="Q133" s="278">
        <f>'Core Indicators'!EH133</f>
        <v>3</v>
      </c>
      <c r="R133" s="278">
        <f>'Core Indicators'!EP133</f>
        <v>3</v>
      </c>
      <c r="S133" s="214">
        <f t="shared" si="37"/>
        <v>1.7</v>
      </c>
      <c r="T133" s="214">
        <f t="shared" si="38"/>
        <v>1.3333333333333333</v>
      </c>
      <c r="U133" s="276">
        <v>1</v>
      </c>
      <c r="V133" s="276">
        <v>1</v>
      </c>
      <c r="W133" s="276">
        <f>'Core Indicators'!EX133</f>
        <v>3</v>
      </c>
      <c r="X133" s="214">
        <f t="shared" si="39"/>
        <v>2</v>
      </c>
      <c r="Y133" s="276">
        <v>1</v>
      </c>
      <c r="Z133" s="214">
        <f t="shared" si="40"/>
        <v>2</v>
      </c>
      <c r="AA133" s="276">
        <f>'Core Indicators'!FF133</f>
        <v>2</v>
      </c>
      <c r="AB133" s="276">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76" t="str">
        <f>Lists!C:C</f>
        <v>TUR004</v>
      </c>
      <c r="B134" s="213">
        <f t="shared" si="31"/>
        <v>1.9</v>
      </c>
      <c r="C134" s="214">
        <f t="shared" si="32"/>
        <v>0</v>
      </c>
      <c r="D134" s="277">
        <f t="shared" si="33"/>
        <v>2</v>
      </c>
      <c r="E134" s="276">
        <f>'Core Indicators'!R134</f>
        <v>2</v>
      </c>
      <c r="F134" s="276">
        <f>'Core Indicators'!Z134</f>
        <v>2</v>
      </c>
      <c r="G134" s="214">
        <f t="shared" si="34"/>
        <v>2</v>
      </c>
      <c r="H134" s="276">
        <f>'Core Indicators'!AH134</f>
        <v>2</v>
      </c>
      <c r="I134" s="276">
        <f>'Core Indicators'!AP134</f>
        <v>2</v>
      </c>
      <c r="J134" s="276">
        <f>'Core Indicators'!BN134</f>
        <v>2</v>
      </c>
      <c r="K134" s="276">
        <f t="shared" si="35"/>
        <v>2</v>
      </c>
      <c r="L134" s="213">
        <f t="shared" si="36"/>
        <v>2</v>
      </c>
      <c r="M134" s="277">
        <f t="shared" si="29"/>
        <v>2</v>
      </c>
      <c r="N134" s="278">
        <f>'Core Indicators'!DJ134</f>
        <v>2</v>
      </c>
      <c r="O134" s="278">
        <f>'Core Indicators'!DR134</f>
        <v>2</v>
      </c>
      <c r="P134" s="278">
        <f>'Core Indicators'!DZ134</f>
        <v>2</v>
      </c>
      <c r="Q134" s="278">
        <f>'Core Indicators'!EH134</f>
        <v>2</v>
      </c>
      <c r="R134" s="278">
        <f>'Core Indicators'!EP134</f>
        <v>2</v>
      </c>
      <c r="S134" s="214">
        <f t="shared" si="37"/>
        <v>1.7</v>
      </c>
      <c r="T134" s="214">
        <f t="shared" si="38"/>
        <v>1.3333333333333333</v>
      </c>
      <c r="U134" s="276">
        <v>1</v>
      </c>
      <c r="V134" s="276">
        <v>1</v>
      </c>
      <c r="W134" s="276">
        <f>'Core Indicators'!EX134</f>
        <v>3</v>
      </c>
      <c r="X134" s="214">
        <f t="shared" si="39"/>
        <v>2</v>
      </c>
      <c r="Y134" s="276">
        <v>1</v>
      </c>
      <c r="Z134" s="214">
        <f t="shared" si="40"/>
        <v>2</v>
      </c>
      <c r="AA134" s="276">
        <f>'Core Indicators'!FF134</f>
        <v>2</v>
      </c>
      <c r="AB134" s="276">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76" t="str">
        <f>Lists!C:C</f>
        <v>REG006</v>
      </c>
      <c r="B135" s="213" t="str">
        <f t="shared" si="31"/>
        <v>x</v>
      </c>
      <c r="C135" s="214">
        <f t="shared" si="32"/>
        <v>6</v>
      </c>
      <c r="D135" s="277" t="str">
        <f t="shared" si="33"/>
        <v>x</v>
      </c>
      <c r="E135" s="276" t="str">
        <f>'Core Indicators'!R135</f>
        <v>x</v>
      </c>
      <c r="F135" s="276" t="str">
        <f>'Core Indicators'!Z135</f>
        <v>x</v>
      </c>
      <c r="G135" s="214" t="str">
        <f t="shared" si="34"/>
        <v>x</v>
      </c>
      <c r="H135" s="276" t="str">
        <f>'Core Indicators'!AH135</f>
        <v>x</v>
      </c>
      <c r="I135" s="276" t="str">
        <f>'Core Indicators'!AP135</f>
        <v>x</v>
      </c>
      <c r="J135" s="276">
        <f>'Core Indicators'!BN135</f>
        <v>3</v>
      </c>
      <c r="K135" s="276">
        <f t="shared" si="35"/>
        <v>3</v>
      </c>
      <c r="L135" s="213">
        <f t="shared" si="36"/>
        <v>3</v>
      </c>
      <c r="M135" s="277" t="str">
        <f t="shared" ref="M135:M141" si="44">IF(N135="x","x",AVERAGE(N135:R135))</f>
        <v>x</v>
      </c>
      <c r="N135" s="278" t="str">
        <f>'Core Indicators'!DJ135</f>
        <v>x</v>
      </c>
      <c r="O135" s="278" t="str">
        <f>'Core Indicators'!DR135</f>
        <v>x</v>
      </c>
      <c r="P135" s="278" t="str">
        <f>'Core Indicators'!DZ135</f>
        <v>x</v>
      </c>
      <c r="Q135" s="278" t="str">
        <f>'Core Indicators'!EH135</f>
        <v>x</v>
      </c>
      <c r="R135" s="278" t="str">
        <f>'Core Indicators'!EP135</f>
        <v>x</v>
      </c>
      <c r="S135" s="214">
        <f t="shared" si="37"/>
        <v>1.7</v>
      </c>
      <c r="T135" s="214">
        <f t="shared" si="38"/>
        <v>1.3333333333333333</v>
      </c>
      <c r="U135" s="276">
        <v>1</v>
      </c>
      <c r="V135" s="276">
        <v>1</v>
      </c>
      <c r="W135" s="276">
        <f>'Core Indicators'!EX135</f>
        <v>3</v>
      </c>
      <c r="X135" s="214">
        <f t="shared" si="39"/>
        <v>2</v>
      </c>
      <c r="Y135" s="276">
        <v>1</v>
      </c>
      <c r="Z135" s="214">
        <f t="shared" si="40"/>
        <v>2</v>
      </c>
      <c r="AA135" s="276" t="str">
        <f>'Core Indicators'!FF135</f>
        <v>x</v>
      </c>
      <c r="AB135" s="276">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x14ac:dyDescent="0.3">
      <c r="A136" s="276" t="str">
        <f>Lists!C:C</f>
        <v>UGA001</v>
      </c>
      <c r="B136" s="213">
        <f t="shared" si="31"/>
        <v>1.9</v>
      </c>
      <c r="C136" s="214">
        <f t="shared" si="32"/>
        <v>1</v>
      </c>
      <c r="D136" s="277">
        <f t="shared" si="33"/>
        <v>2</v>
      </c>
      <c r="E136" s="276">
        <f>'Core Indicators'!R136</f>
        <v>2</v>
      </c>
      <c r="F136" s="276">
        <f>'Core Indicators'!Z136</f>
        <v>2</v>
      </c>
      <c r="G136" s="214">
        <f t="shared" si="34"/>
        <v>2</v>
      </c>
      <c r="H136" s="276">
        <f>'Core Indicators'!AH136</f>
        <v>2</v>
      </c>
      <c r="I136" s="276">
        <f>'Core Indicators'!AP136</f>
        <v>2</v>
      </c>
      <c r="J136" s="276">
        <f>'Core Indicators'!BN136</f>
        <v>2</v>
      </c>
      <c r="K136" s="276">
        <f t="shared" si="35"/>
        <v>2</v>
      </c>
      <c r="L136" s="213">
        <f t="shared" si="36"/>
        <v>2</v>
      </c>
      <c r="M136" s="277">
        <f t="shared" si="44"/>
        <v>2</v>
      </c>
      <c r="N136" s="278">
        <f>'Core Indicators'!DJ136</f>
        <v>2</v>
      </c>
      <c r="O136" s="278">
        <f>'Core Indicators'!DR136</f>
        <v>2</v>
      </c>
      <c r="P136" s="278">
        <f>'Core Indicators'!DZ136</f>
        <v>2</v>
      </c>
      <c r="Q136" s="278">
        <f>'Core Indicators'!EH136</f>
        <v>2</v>
      </c>
      <c r="R136" s="278">
        <f>'Core Indicators'!EP136</f>
        <v>2</v>
      </c>
      <c r="S136" s="214">
        <f t="shared" si="37"/>
        <v>1.6</v>
      </c>
      <c r="T136" s="214">
        <f t="shared" si="38"/>
        <v>1.1666666666666667</v>
      </c>
      <c r="U136" s="276">
        <v>1</v>
      </c>
      <c r="V136" s="276">
        <v>1</v>
      </c>
      <c r="W136" s="276">
        <f>'Core Indicators'!EX136</f>
        <v>2</v>
      </c>
      <c r="X136" s="214">
        <f t="shared" si="39"/>
        <v>1.5</v>
      </c>
      <c r="Y136" s="276">
        <v>1</v>
      </c>
      <c r="Z136" s="214">
        <f t="shared" si="40"/>
        <v>2</v>
      </c>
      <c r="AA136" s="276">
        <f>'Core Indicators'!FF136</f>
        <v>2</v>
      </c>
      <c r="AB136" s="276" t="str">
        <f t="shared" si="41"/>
        <v>x</v>
      </c>
      <c r="AC136" s="11" t="str">
        <f>'Core Indicators'!GD136</f>
        <v>x</v>
      </c>
      <c r="AD136" s="11" t="str">
        <f>'Core Indicators'!GL136</f>
        <v>x</v>
      </c>
      <c r="AE136" s="11" t="str">
        <f>'Core Indicators'!GT136</f>
        <v>x</v>
      </c>
      <c r="AF136" s="11" t="str">
        <f>'Core Indicators'!HB136</f>
        <v>x</v>
      </c>
      <c r="AG136" s="11" t="str">
        <f t="shared" si="42"/>
        <v>x</v>
      </c>
      <c r="AH136" s="11" t="str">
        <f>'Core Indicators'!HJ136</f>
        <v>x</v>
      </c>
      <c r="AI136" s="11" t="str">
        <f>'Core Indicators'!HR136</f>
        <v>x</v>
      </c>
      <c r="AJ136" s="11" t="str">
        <f t="shared" si="43"/>
        <v>x</v>
      </c>
      <c r="AK136" s="11" t="str">
        <f>'Core Indicators'!HZ136</f>
        <v>x</v>
      </c>
      <c r="AL136" s="11" t="str">
        <f>'Core Indicators'!IH136</f>
        <v>x</v>
      </c>
      <c r="AM136" s="11" t="str">
        <f>'Core Indicators'!IP136</f>
        <v>x</v>
      </c>
      <c r="AN136" s="11" t="str">
        <f t="shared" si="30"/>
        <v>x</v>
      </c>
    </row>
    <row r="137" spans="1:40" x14ac:dyDescent="0.3">
      <c r="A137" s="276" t="str">
        <f>Lists!C:C</f>
        <v>UGA005</v>
      </c>
      <c r="B137" s="213">
        <f t="shared" si="31"/>
        <v>1.9</v>
      </c>
      <c r="C137" s="214">
        <f t="shared" si="32"/>
        <v>1</v>
      </c>
      <c r="D137" s="277">
        <f t="shared" si="33"/>
        <v>2.2000000000000002</v>
      </c>
      <c r="E137" s="276">
        <f>'Core Indicators'!R137</f>
        <v>3</v>
      </c>
      <c r="F137" s="276">
        <f>'Core Indicators'!Z137</f>
        <v>2</v>
      </c>
      <c r="G137" s="214">
        <f t="shared" si="34"/>
        <v>2.5</v>
      </c>
      <c r="H137" s="276">
        <f>'Core Indicators'!AH137</f>
        <v>2</v>
      </c>
      <c r="I137" s="276">
        <f>'Core Indicators'!AP137</f>
        <v>2</v>
      </c>
      <c r="J137" s="276" t="str">
        <f>'Core Indicators'!BN137</f>
        <v>x</v>
      </c>
      <c r="K137" s="276">
        <f t="shared" si="35"/>
        <v>2</v>
      </c>
      <c r="L137" s="213">
        <f t="shared" si="36"/>
        <v>2</v>
      </c>
      <c r="M137" s="277">
        <f t="shared" si="44"/>
        <v>2</v>
      </c>
      <c r="N137" s="278">
        <f>'Core Indicators'!DJ137</f>
        <v>2</v>
      </c>
      <c r="O137" s="278">
        <f>'Core Indicators'!DR137</f>
        <v>2</v>
      </c>
      <c r="P137" s="278">
        <f>'Core Indicators'!DZ137</f>
        <v>2</v>
      </c>
      <c r="Q137" s="278">
        <f>'Core Indicators'!EH137</f>
        <v>2</v>
      </c>
      <c r="R137" s="278">
        <f>'Core Indicators'!EP137</f>
        <v>2</v>
      </c>
      <c r="S137" s="214">
        <f t="shared" si="37"/>
        <v>1.4</v>
      </c>
      <c r="T137" s="214">
        <f t="shared" si="38"/>
        <v>1.1666666666666667</v>
      </c>
      <c r="U137" s="276">
        <v>1</v>
      </c>
      <c r="V137" s="276">
        <v>1</v>
      </c>
      <c r="W137" s="276">
        <f>'Core Indicators'!EX137</f>
        <v>2</v>
      </c>
      <c r="X137" s="214">
        <f t="shared" si="39"/>
        <v>1.5</v>
      </c>
      <c r="Y137" s="276">
        <v>1</v>
      </c>
      <c r="Z137" s="214">
        <f t="shared" si="40"/>
        <v>1.625</v>
      </c>
      <c r="AA137" s="276">
        <f>'Core Indicators'!FF137</f>
        <v>2</v>
      </c>
      <c r="AB137" s="276">
        <f t="shared" si="41"/>
        <v>1.25</v>
      </c>
      <c r="AC137" s="11">
        <f>'Core Indicators'!GD137</f>
        <v>1</v>
      </c>
      <c r="AD137" s="11">
        <f>'Core Indicators'!GL137</f>
        <v>2</v>
      </c>
      <c r="AE137" s="11">
        <f>'Core Indicators'!GT137</f>
        <v>1</v>
      </c>
      <c r="AF137" s="11">
        <f>'Core Indicators'!HB137</f>
        <v>1</v>
      </c>
      <c r="AG137" s="11">
        <f t="shared" si="42"/>
        <v>1.25</v>
      </c>
      <c r="AH137" s="11">
        <f>'Core Indicators'!HJ137</f>
        <v>1</v>
      </c>
      <c r="AI137" s="11">
        <f>'Core Indicators'!HR137</f>
        <v>2</v>
      </c>
      <c r="AJ137" s="11">
        <f t="shared" si="43"/>
        <v>1.5</v>
      </c>
      <c r="AK137" s="11">
        <f>'Core Indicators'!HZ137</f>
        <v>1</v>
      </c>
      <c r="AL137" s="11">
        <f>'Core Indicators'!IH137</f>
        <v>1</v>
      </c>
      <c r="AM137" s="11">
        <f>'Core Indicators'!IP137</f>
        <v>1</v>
      </c>
      <c r="AN137" s="11">
        <f t="shared" si="30"/>
        <v>1</v>
      </c>
    </row>
    <row r="138" spans="1:40" x14ac:dyDescent="0.3">
      <c r="A138" s="276" t="str">
        <f>Lists!C:C</f>
        <v>UGA006</v>
      </c>
      <c r="B138" s="213" t="str">
        <f t="shared" si="31"/>
        <v>x</v>
      </c>
      <c r="C138" s="214">
        <f t="shared" si="32"/>
        <v>2</v>
      </c>
      <c r="D138" s="277">
        <f t="shared" si="33"/>
        <v>2.2999999999999998</v>
      </c>
      <c r="E138" s="276">
        <f>'Core Indicators'!R138</f>
        <v>2</v>
      </c>
      <c r="F138" s="276">
        <f>'Core Indicators'!Z138</f>
        <v>2</v>
      </c>
      <c r="G138" s="214">
        <f t="shared" si="34"/>
        <v>2</v>
      </c>
      <c r="H138" s="276">
        <f>'Core Indicators'!AH138</f>
        <v>3</v>
      </c>
      <c r="I138" s="276">
        <f>'Core Indicators'!AP138</f>
        <v>2</v>
      </c>
      <c r="J138" s="276">
        <f>'Core Indicators'!BN138</f>
        <v>2</v>
      </c>
      <c r="K138" s="276">
        <f t="shared" si="35"/>
        <v>2</v>
      </c>
      <c r="L138" s="213">
        <f t="shared" si="36"/>
        <v>2.5</v>
      </c>
      <c r="M138" s="277" t="str">
        <f t="shared" si="44"/>
        <v>x</v>
      </c>
      <c r="N138" s="278" t="str">
        <f>'Core Indicators'!DJ138</f>
        <v>x</v>
      </c>
      <c r="O138" s="278" t="str">
        <f>'Core Indicators'!DR138</f>
        <v>x</v>
      </c>
      <c r="P138" s="278" t="str">
        <f>'Core Indicators'!DZ138</f>
        <v>x</v>
      </c>
      <c r="Q138" s="278" t="str">
        <f>'Core Indicators'!EH138</f>
        <v>x</v>
      </c>
      <c r="R138" s="278" t="str">
        <f>'Core Indicators'!EP138</f>
        <v>x</v>
      </c>
      <c r="S138" s="214">
        <f t="shared" si="37"/>
        <v>1.6</v>
      </c>
      <c r="T138" s="214">
        <f t="shared" si="38"/>
        <v>1.1666666666666667</v>
      </c>
      <c r="U138" s="276">
        <v>1</v>
      </c>
      <c r="V138" s="276">
        <v>1</v>
      </c>
      <c r="W138" s="276">
        <f>'Core Indicators'!EX138</f>
        <v>2</v>
      </c>
      <c r="X138" s="214">
        <f t="shared" si="39"/>
        <v>1.5</v>
      </c>
      <c r="Y138" s="276">
        <v>1</v>
      </c>
      <c r="Z138" s="214">
        <f t="shared" si="40"/>
        <v>2</v>
      </c>
      <c r="AA138" s="276">
        <f>'Core Indicators'!FF138</f>
        <v>2</v>
      </c>
      <c r="AB138" s="276" t="str">
        <f t="shared" si="41"/>
        <v>x</v>
      </c>
      <c r="AC138" s="11" t="str">
        <f>'Core Indicators'!GD138</f>
        <v>x</v>
      </c>
      <c r="AD138" s="11" t="str">
        <f>'Core Indicators'!GL138</f>
        <v>x</v>
      </c>
      <c r="AE138" s="11" t="str">
        <f>'Core Indicators'!GT138</f>
        <v>x</v>
      </c>
      <c r="AF138" s="11" t="str">
        <f>'Core Indicators'!HB138</f>
        <v>x</v>
      </c>
      <c r="AG138" s="11" t="str">
        <f t="shared" si="42"/>
        <v>x</v>
      </c>
      <c r="AH138" s="11" t="str">
        <f>'Core Indicators'!HJ138</f>
        <v>x</v>
      </c>
      <c r="AI138" s="11" t="str">
        <f>'Core Indicators'!HR138</f>
        <v>x</v>
      </c>
      <c r="AJ138" s="11" t="str">
        <f t="shared" si="43"/>
        <v>x</v>
      </c>
      <c r="AK138" s="11" t="str">
        <f>'Core Indicators'!HZ138</f>
        <v>x</v>
      </c>
      <c r="AL138" s="11" t="str">
        <f>'Core Indicators'!IH138</f>
        <v>x</v>
      </c>
      <c r="AM138" s="11" t="str">
        <f>'Core Indicators'!IP138</f>
        <v>x</v>
      </c>
      <c r="AN138" s="11" t="str">
        <f t="shared" si="30"/>
        <v>x</v>
      </c>
    </row>
    <row r="139" spans="1:40" x14ac:dyDescent="0.3">
      <c r="A139" s="276" t="str">
        <f>Lists!C:C</f>
        <v>UKR002</v>
      </c>
      <c r="B139" s="213">
        <f t="shared" si="31"/>
        <v>1.6</v>
      </c>
      <c r="C139" s="214">
        <f t="shared" si="32"/>
        <v>0</v>
      </c>
      <c r="D139" s="277">
        <f t="shared" si="33"/>
        <v>1.5</v>
      </c>
      <c r="E139" s="276">
        <f>'Core Indicators'!R139</f>
        <v>2</v>
      </c>
      <c r="F139" s="276">
        <f>'Core Indicators'!Z139</f>
        <v>1</v>
      </c>
      <c r="G139" s="214">
        <f t="shared" si="34"/>
        <v>1.5</v>
      </c>
      <c r="H139" s="276">
        <f>'Core Indicators'!AH139</f>
        <v>1</v>
      </c>
      <c r="I139" s="276">
        <f>'Core Indicators'!AP139</f>
        <v>2</v>
      </c>
      <c r="J139" s="276">
        <f>'Core Indicators'!BN139</f>
        <v>2</v>
      </c>
      <c r="K139" s="276">
        <f t="shared" si="35"/>
        <v>2</v>
      </c>
      <c r="L139" s="213">
        <f t="shared" si="36"/>
        <v>1.5</v>
      </c>
      <c r="M139" s="277">
        <f t="shared" si="44"/>
        <v>2</v>
      </c>
      <c r="N139" s="278">
        <f>'Core Indicators'!DJ139</f>
        <v>2</v>
      </c>
      <c r="O139" s="278">
        <f>'Core Indicators'!DR139</f>
        <v>2</v>
      </c>
      <c r="P139" s="278">
        <f>'Core Indicators'!DZ139</f>
        <v>2</v>
      </c>
      <c r="Q139" s="278">
        <f>'Core Indicators'!EH139</f>
        <v>2</v>
      </c>
      <c r="R139" s="278">
        <f>'Core Indicators'!EP139</f>
        <v>2</v>
      </c>
      <c r="S139" s="214">
        <f t="shared" si="37"/>
        <v>1.2</v>
      </c>
      <c r="T139" s="214">
        <f t="shared" si="38"/>
        <v>1.1666666666666667</v>
      </c>
      <c r="U139" s="276">
        <v>1</v>
      </c>
      <c r="V139" s="276">
        <v>1</v>
      </c>
      <c r="W139" s="276">
        <f>'Core Indicators'!EX139</f>
        <v>2</v>
      </c>
      <c r="X139" s="214">
        <f t="shared" si="39"/>
        <v>1.5</v>
      </c>
      <c r="Y139" s="276">
        <v>1</v>
      </c>
      <c r="Z139" s="214">
        <f t="shared" si="40"/>
        <v>1.2638888888888888</v>
      </c>
      <c r="AA139" s="276">
        <f>'Core Indicators'!FF139</f>
        <v>1</v>
      </c>
      <c r="AB139" s="276">
        <f t="shared" si="41"/>
        <v>1.5277777777777777</v>
      </c>
      <c r="AC139" s="11">
        <f>'Core Indicators'!GD139</f>
        <v>2</v>
      </c>
      <c r="AD139" s="11">
        <f>'Core Indicators'!GL139</f>
        <v>1</v>
      </c>
      <c r="AE139" s="11">
        <f>'Core Indicators'!GT139</f>
        <v>2</v>
      </c>
      <c r="AF139" s="11">
        <f>'Core Indicators'!HB139</f>
        <v>2</v>
      </c>
      <c r="AG139" s="11">
        <f t="shared" si="42"/>
        <v>1.75</v>
      </c>
      <c r="AH139" s="11">
        <f>'Core Indicators'!HJ139</f>
        <v>2</v>
      </c>
      <c r="AI139" s="11">
        <f>'Core Indicators'!HR139</f>
        <v>1</v>
      </c>
      <c r="AJ139" s="11">
        <f t="shared" si="43"/>
        <v>1.5</v>
      </c>
      <c r="AK139" s="11">
        <f>'Core Indicators'!HZ139</f>
        <v>1</v>
      </c>
      <c r="AL139" s="11">
        <f>'Core Indicators'!IH139</f>
        <v>1</v>
      </c>
      <c r="AM139" s="11">
        <f>'Core Indicators'!IP139</f>
        <v>2</v>
      </c>
      <c r="AN139" s="11">
        <f t="shared" si="30"/>
        <v>1.3333333333333333</v>
      </c>
    </row>
    <row r="140" spans="1:40" x14ac:dyDescent="0.3">
      <c r="A140" s="276" t="str">
        <f>Lists!C:C</f>
        <v>VUT002</v>
      </c>
      <c r="B140" s="213">
        <f t="shared" si="31"/>
        <v>1.8</v>
      </c>
      <c r="C140" s="214">
        <f t="shared" si="32"/>
        <v>0</v>
      </c>
      <c r="D140" s="277">
        <f t="shared" si="33"/>
        <v>2.2999999999999998</v>
      </c>
      <c r="E140" s="276">
        <f>'Core Indicators'!R140</f>
        <v>2</v>
      </c>
      <c r="F140" s="276">
        <f>'Core Indicators'!Z140</f>
        <v>2</v>
      </c>
      <c r="G140" s="214">
        <f t="shared" si="34"/>
        <v>2</v>
      </c>
      <c r="H140" s="276">
        <f>'Core Indicators'!AH140</f>
        <v>2</v>
      </c>
      <c r="I140" s="276">
        <f>'Core Indicators'!AP140</f>
        <v>3</v>
      </c>
      <c r="J140" s="276">
        <f>'Core Indicators'!BN140</f>
        <v>3</v>
      </c>
      <c r="K140" s="276">
        <f t="shared" si="35"/>
        <v>3</v>
      </c>
      <c r="L140" s="213">
        <f t="shared" si="36"/>
        <v>2.5</v>
      </c>
      <c r="M140" s="277">
        <f t="shared" si="44"/>
        <v>2</v>
      </c>
      <c r="N140" s="278">
        <f>'Core Indicators'!DJ140</f>
        <v>2</v>
      </c>
      <c r="O140" s="278">
        <f>'Core Indicators'!DR140</f>
        <v>2</v>
      </c>
      <c r="P140" s="278">
        <f>'Core Indicators'!DZ140</f>
        <v>2</v>
      </c>
      <c r="Q140" s="278">
        <f>'Core Indicators'!EH140</f>
        <v>2</v>
      </c>
      <c r="R140" s="278">
        <f>'Core Indicators'!EP140</f>
        <v>2</v>
      </c>
      <c r="S140" s="214">
        <f t="shared" si="37"/>
        <v>1.2</v>
      </c>
      <c r="T140" s="214">
        <f t="shared" si="38"/>
        <v>1.3333333333333333</v>
      </c>
      <c r="U140" s="276">
        <v>1</v>
      </c>
      <c r="V140" s="276">
        <v>1</v>
      </c>
      <c r="W140" s="276">
        <f>'Core Indicators'!EX140</f>
        <v>3</v>
      </c>
      <c r="X140" s="214">
        <f t="shared" si="39"/>
        <v>2</v>
      </c>
      <c r="Y140" s="276">
        <v>1</v>
      </c>
      <c r="Z140" s="214">
        <f t="shared" si="40"/>
        <v>1</v>
      </c>
      <c r="AA140" s="276">
        <f>'Core Indicators'!FF140</f>
        <v>1</v>
      </c>
      <c r="AB140" s="276">
        <f t="shared" si="41"/>
        <v>1</v>
      </c>
      <c r="AC140" s="11">
        <f>'Core Indicators'!GD140</f>
        <v>1</v>
      </c>
      <c r="AD140" s="11">
        <f>'Core Indicators'!GL140</f>
        <v>1</v>
      </c>
      <c r="AE140" s="11">
        <f>'Core Indicators'!GT140</f>
        <v>1</v>
      </c>
      <c r="AF140" s="11">
        <f>'Core Indicators'!HB140</f>
        <v>1</v>
      </c>
      <c r="AG140" s="11">
        <f t="shared" si="42"/>
        <v>1</v>
      </c>
      <c r="AH140" s="11">
        <f>'Core Indicators'!HJ140</f>
        <v>1</v>
      </c>
      <c r="AI140" s="11">
        <f>'Core Indicators'!HR140</f>
        <v>1</v>
      </c>
      <c r="AJ140" s="11">
        <f t="shared" si="43"/>
        <v>1</v>
      </c>
      <c r="AK140" s="11">
        <f>'Core Indicators'!HZ140</f>
        <v>1</v>
      </c>
      <c r="AL140" s="11">
        <f>'Core Indicators'!IH140</f>
        <v>1</v>
      </c>
      <c r="AM140" s="11">
        <f>'Core Indicators'!IP140</f>
        <v>1</v>
      </c>
      <c r="AN140" s="11">
        <f t="shared" si="30"/>
        <v>1</v>
      </c>
    </row>
    <row r="141" spans="1:40" x14ac:dyDescent="0.3">
      <c r="A141" s="276" t="str">
        <f>Lists!C:C</f>
        <v>VEN001</v>
      </c>
      <c r="B141" s="213">
        <f t="shared" si="31"/>
        <v>2</v>
      </c>
      <c r="C141" s="214">
        <f t="shared" si="32"/>
        <v>0</v>
      </c>
      <c r="D141" s="277">
        <f t="shared" si="33"/>
        <v>2</v>
      </c>
      <c r="E141" s="276">
        <f>'Core Indicators'!R141</f>
        <v>1</v>
      </c>
      <c r="F141" s="276">
        <f>'Core Indicators'!Z141</f>
        <v>2</v>
      </c>
      <c r="G141" s="214">
        <f t="shared" si="34"/>
        <v>1.5</v>
      </c>
      <c r="H141" s="276">
        <f>'Core Indicators'!AH141</f>
        <v>2</v>
      </c>
      <c r="I141" s="276">
        <f>'Core Indicators'!AP141</f>
        <v>2</v>
      </c>
      <c r="J141" s="276">
        <f>'Core Indicators'!BN141</f>
        <v>3</v>
      </c>
      <c r="K141" s="276">
        <f t="shared" si="35"/>
        <v>2.5</v>
      </c>
      <c r="L141" s="213">
        <f t="shared" si="36"/>
        <v>2.2999999999999998</v>
      </c>
      <c r="M141" s="277">
        <f t="shared" si="44"/>
        <v>2</v>
      </c>
      <c r="N141" s="278">
        <f>'Core Indicators'!DJ141</f>
        <v>2</v>
      </c>
      <c r="O141" s="278">
        <f>'Core Indicators'!DR141</f>
        <v>2</v>
      </c>
      <c r="P141" s="278">
        <f>'Core Indicators'!DZ141</f>
        <v>2</v>
      </c>
      <c r="Q141" s="278">
        <f>'Core Indicators'!EH141</f>
        <v>2</v>
      </c>
      <c r="R141" s="278">
        <f>'Core Indicators'!EP141</f>
        <v>2</v>
      </c>
      <c r="S141" s="214">
        <f t="shared" si="37"/>
        <v>1.9</v>
      </c>
      <c r="T141" s="214">
        <f t="shared" si="38"/>
        <v>1.3333333333333333</v>
      </c>
      <c r="U141" s="276">
        <v>1</v>
      </c>
      <c r="V141" s="276">
        <v>1</v>
      </c>
      <c r="W141" s="276">
        <f>'Core Indicators'!EX141</f>
        <v>3</v>
      </c>
      <c r="X141" s="214">
        <f t="shared" si="39"/>
        <v>2</v>
      </c>
      <c r="Y141" s="276">
        <v>1</v>
      </c>
      <c r="Z141" s="214">
        <f t="shared" si="40"/>
        <v>2.5</v>
      </c>
      <c r="AA141" s="276">
        <f>'Core Indicators'!FF141</f>
        <v>3</v>
      </c>
      <c r="AB141" s="276">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76" t="str">
        <f>Lists!C:C</f>
        <v>REG002</v>
      </c>
      <c r="B142" s="213">
        <f t="shared" si="31"/>
        <v>1.8</v>
      </c>
      <c r="C142" s="214">
        <f t="shared" ref="C142:C144" si="45">COUNTIF(E142:F142,"x")+COUNTIF(H142:I142,"x")+COUNTIF(J142:J142,"x")+COUNTIF(M142,"x")+COUNTIF(U142:W142,"x")+COUNTIF(Y142:AB142,"x")</f>
        <v>2</v>
      </c>
      <c r="D142" s="277">
        <f t="shared" si="33"/>
        <v>1.7</v>
      </c>
      <c r="E142" s="276">
        <f>'Core Indicators'!R142</f>
        <v>2</v>
      </c>
      <c r="F142" s="276">
        <f>'Core Indicators'!Z142</f>
        <v>2</v>
      </c>
      <c r="G142" s="214">
        <f t="shared" ref="G142:G144" si="46">IF(AND(F142="x",E142="x"),"x",IF(OR(F142="x",E142="x"),AVERAGE(E142,F142),ROUND((10-GEOMEAN(((10-E142)/10*9+1),((10-F142)/10*9+1)))/9*10,1)))</f>
        <v>2</v>
      </c>
      <c r="H142" s="276">
        <f>'Core Indicators'!AH142</f>
        <v>2</v>
      </c>
      <c r="I142" s="276">
        <f>'Core Indicators'!AP142</f>
        <v>1</v>
      </c>
      <c r="J142" s="276" t="str">
        <f>'Core Indicators'!BN142</f>
        <v>x</v>
      </c>
      <c r="K142" s="276">
        <f t="shared" ref="K142:K144" si="47">IF(AND(J142="x",I142="x"),"x",IF(OR(J142="x",I142="x"),AVERAGE(I142,J142),ROUND((10-GEOMEAN(((10-I142)/10*9+1),((10-J142)/10*9+1)))/9*10,1)))</f>
        <v>1</v>
      </c>
      <c r="L142" s="213">
        <f t="shared" ref="L142:L144" si="48">IF(AND(H142="x",K142="x"),"x",IF(OR(H142="x",K142="x"),AVERAGE(H142,K142),ROUND((10-GEOMEAN(((10-H142)/10*9+1),((10-K142)/10*9+1)))/9*10,1)))</f>
        <v>1.5</v>
      </c>
      <c r="M142" s="277">
        <f t="shared" ref="M142:M144" si="49">IF(N142="x","x",AVERAGE(N142:R142))</f>
        <v>2</v>
      </c>
      <c r="N142" s="278">
        <f>'Core Indicators'!DJ142</f>
        <v>2</v>
      </c>
      <c r="O142" s="278">
        <f>'Core Indicators'!DR142</f>
        <v>2</v>
      </c>
      <c r="P142" s="278">
        <f>'Core Indicators'!DZ142</f>
        <v>2</v>
      </c>
      <c r="Q142" s="278">
        <f>'Core Indicators'!EH142</f>
        <v>2</v>
      </c>
      <c r="R142" s="278">
        <f>'Core Indicators'!EP142</f>
        <v>2</v>
      </c>
      <c r="S142" s="214">
        <f t="shared" ref="S142:S144" si="50">IF(OR(Z142="x",T142="x"),T142,ROUND((10-GEOMEAN(((10-T142)/10*9+1),((10-Z142)/10*9+1)))/9*10,1))</f>
        <v>1.5</v>
      </c>
      <c r="T142" s="214">
        <f t="shared" ref="T142:T144" si="51">AVERAGE(U142,X142,Y142)</f>
        <v>1</v>
      </c>
      <c r="U142" s="276">
        <v>1</v>
      </c>
      <c r="V142" s="276">
        <v>1</v>
      </c>
      <c r="W142" s="276" t="str">
        <f>'Core Indicators'!EX142</f>
        <v>x</v>
      </c>
      <c r="X142" s="214">
        <f t="shared" ref="X142:X144" si="52">AVERAGE(V142:W142)</f>
        <v>1</v>
      </c>
      <c r="Y142" s="276">
        <v>1</v>
      </c>
      <c r="Z142" s="214">
        <f t="shared" ref="Z142:Z144" si="53">IF(AND(AA142="x",AB142="x"),"x",AVERAGE(AA142:AB142))</f>
        <v>2</v>
      </c>
      <c r="AA142" s="276">
        <f>'Core Indicators'!FF142</f>
        <v>2</v>
      </c>
      <c r="AB142" s="276">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t="str">
        <f>'Core Indicators'!IH142</f>
        <v>x</v>
      </c>
      <c r="AM142" s="11">
        <f>'Core Indicators'!IP142</f>
        <v>2</v>
      </c>
      <c r="AN142" s="11">
        <f t="shared" ref="AN142:AN144" si="57">IF(AND(AK142="x",AL142="x",AM142="x"),"x",AVERAGE(AK142:AM142))</f>
        <v>2</v>
      </c>
    </row>
    <row r="143" spans="1:40" x14ac:dyDescent="0.3">
      <c r="A143" s="276" t="str">
        <f>Lists!C:C</f>
        <v>VNM002</v>
      </c>
      <c r="B143" s="213">
        <f t="shared" si="31"/>
        <v>1.9</v>
      </c>
      <c r="C143" s="214">
        <f t="shared" si="45"/>
        <v>0</v>
      </c>
      <c r="D143" s="277">
        <f t="shared" si="33"/>
        <v>2</v>
      </c>
      <c r="E143" s="276">
        <f>'Core Indicators'!R143</f>
        <v>1</v>
      </c>
      <c r="F143" s="276">
        <f>'Core Indicators'!Z143</f>
        <v>2</v>
      </c>
      <c r="G143" s="214">
        <f t="shared" si="46"/>
        <v>1.5</v>
      </c>
      <c r="H143" s="276">
        <f>'Core Indicators'!AH143</f>
        <v>2</v>
      </c>
      <c r="I143" s="276">
        <f>'Core Indicators'!AP143</f>
        <v>3</v>
      </c>
      <c r="J143" s="276">
        <f>'Core Indicators'!BN143</f>
        <v>2</v>
      </c>
      <c r="K143" s="276">
        <f t="shared" si="47"/>
        <v>2.5</v>
      </c>
      <c r="L143" s="213">
        <f t="shared" si="48"/>
        <v>2.2999999999999998</v>
      </c>
      <c r="M143" s="277">
        <f t="shared" si="49"/>
        <v>2</v>
      </c>
      <c r="N143" s="278">
        <f>'Core Indicators'!DJ143</f>
        <v>2</v>
      </c>
      <c r="O143" s="278">
        <f>'Core Indicators'!DR143</f>
        <v>2</v>
      </c>
      <c r="P143" s="278">
        <f>'Core Indicators'!DZ143</f>
        <v>2</v>
      </c>
      <c r="Q143" s="278">
        <f>'Core Indicators'!EH143</f>
        <v>2</v>
      </c>
      <c r="R143" s="278">
        <f>'Core Indicators'!EP143</f>
        <v>2</v>
      </c>
      <c r="S143" s="214">
        <f t="shared" si="50"/>
        <v>1.6</v>
      </c>
      <c r="T143" s="214">
        <f t="shared" si="51"/>
        <v>1.1666666666666667</v>
      </c>
      <c r="U143" s="276">
        <v>1</v>
      </c>
      <c r="V143" s="276">
        <v>1</v>
      </c>
      <c r="W143" s="276">
        <f>'Core Indicators'!EX143</f>
        <v>2</v>
      </c>
      <c r="X143" s="214">
        <f t="shared" si="52"/>
        <v>1.5</v>
      </c>
      <c r="Y143" s="276">
        <v>1</v>
      </c>
      <c r="Z143" s="214">
        <f t="shared" si="53"/>
        <v>2</v>
      </c>
      <c r="AA143" s="276">
        <f>'Core Indicators'!FF143</f>
        <v>2</v>
      </c>
      <c r="AB143" s="276">
        <f t="shared" si="54"/>
        <v>2</v>
      </c>
      <c r="AC143" s="11">
        <f>'Core Indicators'!GD143</f>
        <v>2</v>
      </c>
      <c r="AD143" s="11">
        <f>'Core Indicators'!GL143</f>
        <v>2</v>
      </c>
      <c r="AE143" s="11">
        <f>'Core Indicators'!GT143</f>
        <v>2</v>
      </c>
      <c r="AF143" s="11">
        <f>'Core Indicators'!HB143</f>
        <v>2</v>
      </c>
      <c r="AG143" s="11">
        <f t="shared" si="55"/>
        <v>2</v>
      </c>
      <c r="AH143" s="11">
        <f>'Core Indicators'!HJ143</f>
        <v>2</v>
      </c>
      <c r="AI143" s="11">
        <f>'Core Indicators'!HR143</f>
        <v>2</v>
      </c>
      <c r="AJ143" s="11">
        <f t="shared" si="56"/>
        <v>2</v>
      </c>
      <c r="AK143" s="11">
        <f>'Core Indicators'!HZ143</f>
        <v>2</v>
      </c>
      <c r="AL143" s="11">
        <f>'Core Indicators'!IH143</f>
        <v>2</v>
      </c>
      <c r="AM143" s="11">
        <f>'Core Indicators'!IP143</f>
        <v>2</v>
      </c>
      <c r="AN143" s="11">
        <f t="shared" si="57"/>
        <v>2</v>
      </c>
    </row>
    <row r="144" spans="1:40" x14ac:dyDescent="0.3">
      <c r="A144" s="276" t="str">
        <f>Lists!C:C</f>
        <v>YEM001</v>
      </c>
      <c r="B144" s="213">
        <f t="shared" si="31"/>
        <v>1.8</v>
      </c>
      <c r="C144" s="214">
        <f t="shared" si="45"/>
        <v>0</v>
      </c>
      <c r="D144" s="277">
        <f t="shared" si="33"/>
        <v>2</v>
      </c>
      <c r="E144" s="276">
        <f>'Core Indicators'!R144</f>
        <v>2</v>
      </c>
      <c r="F144" s="276">
        <f>'Core Indicators'!Z144</f>
        <v>2</v>
      </c>
      <c r="G144" s="214">
        <f t="shared" si="46"/>
        <v>2</v>
      </c>
      <c r="H144" s="276">
        <f>'Core Indicators'!AH144</f>
        <v>2</v>
      </c>
      <c r="I144" s="276">
        <f>'Core Indicators'!AP144</f>
        <v>2</v>
      </c>
      <c r="J144" s="276">
        <f>'Core Indicators'!BN144</f>
        <v>2</v>
      </c>
      <c r="K144" s="276">
        <f t="shared" si="47"/>
        <v>2</v>
      </c>
      <c r="L144" s="213">
        <f t="shared" si="48"/>
        <v>2</v>
      </c>
      <c r="M144" s="277">
        <f t="shared" si="49"/>
        <v>2</v>
      </c>
      <c r="N144" s="278">
        <f>'Core Indicators'!DJ144</f>
        <v>2</v>
      </c>
      <c r="O144" s="278">
        <f>'Core Indicators'!DR144</f>
        <v>2</v>
      </c>
      <c r="P144" s="278">
        <f>'Core Indicators'!DZ144</f>
        <v>2</v>
      </c>
      <c r="Q144" s="278">
        <f>'Core Indicators'!EH144</f>
        <v>2</v>
      </c>
      <c r="R144" s="278">
        <f>'Core Indicators'!EP144</f>
        <v>2</v>
      </c>
      <c r="S144" s="214">
        <f t="shared" si="50"/>
        <v>1.3</v>
      </c>
      <c r="T144" s="214">
        <f t="shared" si="51"/>
        <v>1.1666666666666667</v>
      </c>
      <c r="U144" s="276">
        <v>1</v>
      </c>
      <c r="V144" s="276">
        <v>1</v>
      </c>
      <c r="W144" s="276">
        <f>'Core Indicators'!EX144</f>
        <v>2</v>
      </c>
      <c r="X144" s="214">
        <f t="shared" si="52"/>
        <v>1.5</v>
      </c>
      <c r="Y144" s="276">
        <v>1</v>
      </c>
      <c r="Z144" s="214">
        <f t="shared" si="53"/>
        <v>1.5</v>
      </c>
      <c r="AA144" s="276">
        <f>'Core Indicators'!FF144</f>
        <v>1</v>
      </c>
      <c r="AB144" s="276">
        <f t="shared" si="54"/>
        <v>2</v>
      </c>
      <c r="AC144" s="11">
        <f>'Core Indicators'!GD144</f>
        <v>2</v>
      </c>
      <c r="AD144" s="11">
        <f>'Core Indicators'!GL144</f>
        <v>2</v>
      </c>
      <c r="AE144" s="11">
        <f>'Core Indicators'!GT144</f>
        <v>2</v>
      </c>
      <c r="AF144" s="11">
        <f>'Core Indicators'!HB144</f>
        <v>2</v>
      </c>
      <c r="AG144" s="11">
        <f t="shared" si="55"/>
        <v>2</v>
      </c>
      <c r="AH144" s="11">
        <f>'Core Indicators'!HJ144</f>
        <v>2</v>
      </c>
      <c r="AI144" s="11">
        <f>'Core Indicators'!HR144</f>
        <v>2</v>
      </c>
      <c r="AJ144" s="11">
        <f t="shared" si="56"/>
        <v>2</v>
      </c>
      <c r="AK144" s="11">
        <f>'Core Indicators'!HZ144</f>
        <v>2</v>
      </c>
      <c r="AL144" s="11">
        <f>'Core Indicators'!IH144</f>
        <v>2</v>
      </c>
      <c r="AM144" s="11">
        <f>'Core Indicators'!IP144</f>
        <v>2</v>
      </c>
      <c r="AN144" s="11">
        <f t="shared" si="57"/>
        <v>2</v>
      </c>
    </row>
    <row r="145" spans="1:40" x14ac:dyDescent="0.3">
      <c r="A145" s="276" t="str">
        <f>Lists!C:C</f>
        <v>YEM002</v>
      </c>
      <c r="B145" s="213">
        <f t="shared" ref="B145:B208" si="58">IF(OR(M145="x",D145="x"),"x",ROUND((5-GEOMEAN(((5-D145)/5*4+1),((5-M145)/5*4+1),((5-M145)/5*4+1)))/4*3.5+S145*0.3,1))</f>
        <v>1.9</v>
      </c>
      <c r="C145" s="214">
        <f t="shared" ref="C145:C208" si="59">COUNTIF(E145:F145,"x")+COUNTIF(H145:I145,"x")+COUNTIF(J145:J145,"x")+COUNTIF(M145,"x")+COUNTIF(U145:W145,"x")+COUNTIF(Y145:AB145,"x")</f>
        <v>0</v>
      </c>
      <c r="D145" s="277">
        <f t="shared" ref="D145:D208" si="60">IF(OR(L145="x",G145="x"),"x",ROUND((5-GEOMEAN(((5-L145)/5*4+1),((5-L145)/5*4+1),((5-G145)/5*4+1)))/4*5,1))</f>
        <v>2</v>
      </c>
      <c r="E145" s="276">
        <f>'Core Indicators'!R145</f>
        <v>2</v>
      </c>
      <c r="F145" s="276">
        <f>'Core Indicators'!Z145</f>
        <v>2</v>
      </c>
      <c r="G145" s="214">
        <f t="shared" ref="G145:G208" si="61">IF(AND(F145="x",E145="x"),"x",IF(OR(F145="x",E145="x"),AVERAGE(E145,F145),ROUND((10-GEOMEAN(((10-E145)/10*9+1),((10-F145)/10*9+1)))/9*10,1)))</f>
        <v>2</v>
      </c>
      <c r="H145" s="276">
        <f>'Core Indicators'!AH145</f>
        <v>2</v>
      </c>
      <c r="I145" s="276">
        <f>'Core Indicators'!AP145</f>
        <v>2</v>
      </c>
      <c r="J145" s="276">
        <f>'Core Indicators'!BN145</f>
        <v>2</v>
      </c>
      <c r="K145" s="276">
        <f t="shared" ref="K145:K208" si="62">IF(AND(J145="x",I145="x"),"x",IF(OR(J145="x",I145="x"),AVERAGE(I145,J145),ROUND((10-GEOMEAN(((10-I145)/10*9+1),((10-J145)/10*9+1)))/9*10,1)))</f>
        <v>2</v>
      </c>
      <c r="L145" s="213">
        <f t="shared" ref="L145:L208" si="63">IF(AND(H145="x",K145="x"),"x",IF(OR(H145="x",K145="x"),AVERAGE(H145,K145),ROUND((10-GEOMEAN(((10-H145)/10*9+1),((10-K145)/10*9+1)))/9*10,1)))</f>
        <v>2</v>
      </c>
      <c r="M145" s="277">
        <f t="shared" ref="M145:M208" si="64">IF(N145="x","x",AVERAGE(N145:R145))</f>
        <v>2</v>
      </c>
      <c r="N145" s="278">
        <f>'Core Indicators'!DJ145</f>
        <v>2</v>
      </c>
      <c r="O145" s="278">
        <f>'Core Indicators'!DR145</f>
        <v>2</v>
      </c>
      <c r="P145" s="278">
        <f>'Core Indicators'!DZ145</f>
        <v>2</v>
      </c>
      <c r="Q145" s="278">
        <f>'Core Indicators'!EH145</f>
        <v>2</v>
      </c>
      <c r="R145" s="278">
        <f>'Core Indicators'!EP145</f>
        <v>2</v>
      </c>
      <c r="S145" s="214">
        <f t="shared" ref="S145:S208" si="65">IF(OR(Z145="x",T145="x"),T145,ROUND((10-GEOMEAN(((10-T145)/10*9+1),((10-Z145)/10*9+1)))/9*10,1))</f>
        <v>1.8</v>
      </c>
      <c r="T145" s="214">
        <f t="shared" ref="T145:T208" si="66">AVERAGE(U145,X145,Y145)</f>
        <v>1.5</v>
      </c>
      <c r="U145" s="276">
        <v>1</v>
      </c>
      <c r="V145" s="276">
        <v>1</v>
      </c>
      <c r="W145" s="276">
        <f>'Core Indicators'!EX145</f>
        <v>2</v>
      </c>
      <c r="X145" s="214">
        <f t="shared" ref="X145:X208" si="67">AVERAGE(V145:W145)</f>
        <v>1.5</v>
      </c>
      <c r="Y145" s="276">
        <v>2</v>
      </c>
      <c r="Z145" s="214">
        <f t="shared" ref="Z145:Z208" si="68">IF(AND(AA145="x",AB145="x"),"x",AVERAGE(AA145:AB145))</f>
        <v>2</v>
      </c>
      <c r="AA145" s="276">
        <f>'Core Indicators'!FF145</f>
        <v>2</v>
      </c>
      <c r="AB145" s="276">
        <f t="shared" ref="AB145:AB208" si="69">IF(AND(AJ145="x",AN145="x",AG145="x"),"x",(AVERAGE(AJ145,AN145,AG145)))</f>
        <v>2</v>
      </c>
      <c r="AC145" s="11">
        <f>'Core Indicators'!GD145</f>
        <v>2</v>
      </c>
      <c r="AD145" s="11">
        <f>'Core Indicators'!GL145</f>
        <v>2</v>
      </c>
      <c r="AE145" s="11">
        <f>'Core Indicators'!GT145</f>
        <v>2</v>
      </c>
      <c r="AF145" s="11">
        <f>'Core Indicators'!HB145</f>
        <v>2</v>
      </c>
      <c r="AG145" s="11">
        <f t="shared" ref="AG145:AG208" si="70">IF(AND(AC145="x",AD145="x",AE145="x",AF145="x"),"x",AVERAGE(AC145:AF145))</f>
        <v>2</v>
      </c>
      <c r="AH145" s="11">
        <f>'Core Indicators'!HJ145</f>
        <v>2</v>
      </c>
      <c r="AI145" s="11">
        <f>'Core Indicators'!HR145</f>
        <v>2</v>
      </c>
      <c r="AJ145" s="11">
        <f t="shared" ref="AJ145:AJ208" si="71">IF(AND(AH145="x",AI145="x"),"x",AVERAGE(AH145:AI145))</f>
        <v>2</v>
      </c>
      <c r="AK145" s="11">
        <f>'Core Indicators'!HZ145</f>
        <v>2</v>
      </c>
      <c r="AL145" s="11">
        <f>'Core Indicators'!IH145</f>
        <v>2</v>
      </c>
      <c r="AM145" s="11">
        <f>'Core Indicators'!IP145</f>
        <v>2</v>
      </c>
      <c r="AN145" s="11">
        <f t="shared" ref="AN145:AN208" si="72">IF(AND(AK145="x",AL145="x",AM145="x"),"x",AVERAGE(AK145:AM145))</f>
        <v>2</v>
      </c>
    </row>
    <row r="146" spans="1:40" x14ac:dyDescent="0.3">
      <c r="A146" s="276" t="str">
        <f>Lists!C:C</f>
        <v>ZMB002</v>
      </c>
      <c r="B146" s="213">
        <f t="shared" si="58"/>
        <v>2</v>
      </c>
      <c r="C146" s="214">
        <f t="shared" si="59"/>
        <v>2</v>
      </c>
      <c r="D146" s="277">
        <f t="shared" si="60"/>
        <v>2</v>
      </c>
      <c r="E146" s="276">
        <f>'Core Indicators'!R146</f>
        <v>2</v>
      </c>
      <c r="F146" s="276">
        <f>'Core Indicators'!Z146</f>
        <v>2</v>
      </c>
      <c r="G146" s="214">
        <f t="shared" si="61"/>
        <v>2</v>
      </c>
      <c r="H146" s="276">
        <f>'Core Indicators'!AH146</f>
        <v>2</v>
      </c>
      <c r="I146" s="276">
        <f>'Core Indicators'!AP146</f>
        <v>2</v>
      </c>
      <c r="J146" s="276" t="str">
        <f>'Core Indicators'!BN146</f>
        <v>x</v>
      </c>
      <c r="K146" s="276">
        <f t="shared" si="62"/>
        <v>2</v>
      </c>
      <c r="L146" s="213">
        <f t="shared" si="63"/>
        <v>2</v>
      </c>
      <c r="M146" s="277">
        <f t="shared" si="64"/>
        <v>2.2000000000000002</v>
      </c>
      <c r="N146" s="278">
        <f>'Core Indicators'!DJ146</f>
        <v>2</v>
      </c>
      <c r="O146" s="278">
        <f>'Core Indicators'!DR146</f>
        <v>2</v>
      </c>
      <c r="P146" s="278">
        <f>'Core Indicators'!DZ146</f>
        <v>2</v>
      </c>
      <c r="Q146" s="278">
        <f>'Core Indicators'!EH146</f>
        <v>2</v>
      </c>
      <c r="R146" s="278">
        <f>'Core Indicators'!EP146</f>
        <v>3</v>
      </c>
      <c r="S146" s="214">
        <f t="shared" si="65"/>
        <v>1.6</v>
      </c>
      <c r="T146" s="214">
        <f t="shared" si="66"/>
        <v>1.6666666666666667</v>
      </c>
      <c r="U146" s="276">
        <v>1</v>
      </c>
      <c r="V146" s="276">
        <v>1</v>
      </c>
      <c r="W146" s="276" t="str">
        <f>'Core Indicators'!EX146</f>
        <v>x</v>
      </c>
      <c r="X146" s="214">
        <f t="shared" si="67"/>
        <v>1</v>
      </c>
      <c r="Y146" s="276">
        <v>3</v>
      </c>
      <c r="Z146" s="214">
        <f t="shared" si="68"/>
        <v>1.5555555555555554</v>
      </c>
      <c r="AA146" s="276">
        <f>'Core Indicators'!FF146</f>
        <v>2</v>
      </c>
      <c r="AB146" s="276">
        <f t="shared" si="69"/>
        <v>1.1111111111111109</v>
      </c>
      <c r="AC146" s="11">
        <f>'Core Indicators'!GD146</f>
        <v>1</v>
      </c>
      <c r="AD146" s="11">
        <f>'Core Indicators'!GL146</f>
        <v>1</v>
      </c>
      <c r="AE146" s="11">
        <f>'Core Indicators'!GT146</f>
        <v>1</v>
      </c>
      <c r="AF146" s="11">
        <f>'Core Indicators'!HB146</f>
        <v>1</v>
      </c>
      <c r="AG146" s="11">
        <f t="shared" si="70"/>
        <v>1</v>
      </c>
      <c r="AH146" s="11">
        <f>'Core Indicators'!HJ146</f>
        <v>1</v>
      </c>
      <c r="AI146" s="11">
        <f>'Core Indicators'!HR146</f>
        <v>1</v>
      </c>
      <c r="AJ146" s="11">
        <f t="shared" si="71"/>
        <v>1</v>
      </c>
      <c r="AK146" s="11">
        <f>'Core Indicators'!HZ146</f>
        <v>1</v>
      </c>
      <c r="AL146" s="11">
        <f>'Core Indicators'!IH146</f>
        <v>1</v>
      </c>
      <c r="AM146" s="11">
        <f>'Core Indicators'!IP146</f>
        <v>2</v>
      </c>
      <c r="AN146" s="11">
        <f t="shared" si="72"/>
        <v>1.3333333333333333</v>
      </c>
    </row>
    <row r="147" spans="1:40" x14ac:dyDescent="0.3">
      <c r="A147" s="276" t="str">
        <f>Lists!C:C</f>
        <v>ZWE001</v>
      </c>
      <c r="B147" s="213">
        <f t="shared" si="58"/>
        <v>1.9</v>
      </c>
      <c r="C147" s="214">
        <f t="shared" si="59"/>
        <v>0</v>
      </c>
      <c r="D147" s="277">
        <f t="shared" si="60"/>
        <v>2</v>
      </c>
      <c r="E147" s="276">
        <f>'Core Indicators'!R147</f>
        <v>1</v>
      </c>
      <c r="F147" s="276">
        <f>'Core Indicators'!Z147</f>
        <v>2</v>
      </c>
      <c r="G147" s="214">
        <f t="shared" si="61"/>
        <v>1.5</v>
      </c>
      <c r="H147" s="276">
        <f>'Core Indicators'!AH147</f>
        <v>2</v>
      </c>
      <c r="I147" s="276">
        <f>'Core Indicators'!AP147</f>
        <v>3</v>
      </c>
      <c r="J147" s="276">
        <f>'Core Indicators'!BN147</f>
        <v>2</v>
      </c>
      <c r="K147" s="276">
        <f t="shared" si="62"/>
        <v>2.5</v>
      </c>
      <c r="L147" s="213">
        <f t="shared" si="63"/>
        <v>2.2999999999999998</v>
      </c>
      <c r="M147" s="277">
        <f t="shared" si="64"/>
        <v>2</v>
      </c>
      <c r="N147" s="278">
        <f>'Core Indicators'!DJ147</f>
        <v>2</v>
      </c>
      <c r="O147" s="278">
        <f>'Core Indicators'!DR147</f>
        <v>2</v>
      </c>
      <c r="P147" s="278">
        <f>'Core Indicators'!DZ147</f>
        <v>2</v>
      </c>
      <c r="Q147" s="278">
        <f>'Core Indicators'!EH147</f>
        <v>2</v>
      </c>
      <c r="R147" s="278">
        <f>'Core Indicators'!EP147</f>
        <v>2</v>
      </c>
      <c r="S147" s="214">
        <f t="shared" si="65"/>
        <v>1.8</v>
      </c>
      <c r="T147" s="214">
        <f t="shared" si="66"/>
        <v>2.3333333333333335</v>
      </c>
      <c r="U147" s="276">
        <v>1</v>
      </c>
      <c r="V147" s="276">
        <v>1</v>
      </c>
      <c r="W147" s="276">
        <f>'Core Indicators'!EX147</f>
        <v>3</v>
      </c>
      <c r="X147" s="214">
        <f t="shared" si="67"/>
        <v>2</v>
      </c>
      <c r="Y147" s="276">
        <v>4</v>
      </c>
      <c r="Z147" s="214">
        <f t="shared" si="68"/>
        <v>1.2083333333333335</v>
      </c>
      <c r="AA147" s="276">
        <f>'Core Indicators'!FF147</f>
        <v>1</v>
      </c>
      <c r="AB147" s="276">
        <f t="shared" si="69"/>
        <v>1.4166666666666667</v>
      </c>
      <c r="AC147" s="11">
        <f>'Core Indicators'!GD147</f>
        <v>1</v>
      </c>
      <c r="AD147" s="11">
        <f>'Core Indicators'!GL147</f>
        <v>1</v>
      </c>
      <c r="AE147" s="11">
        <f>'Core Indicators'!GT147</f>
        <v>2</v>
      </c>
      <c r="AF147" s="11">
        <f>'Core Indicators'!HB147</f>
        <v>1</v>
      </c>
      <c r="AG147" s="11">
        <f t="shared" si="70"/>
        <v>1.25</v>
      </c>
      <c r="AH147" s="11">
        <f>'Core Indicators'!HJ147</f>
        <v>2</v>
      </c>
      <c r="AI147" s="11">
        <f>'Core Indicators'!HR147</f>
        <v>2</v>
      </c>
      <c r="AJ147" s="11">
        <f t="shared" si="71"/>
        <v>2</v>
      </c>
      <c r="AK147" s="11">
        <f>'Core Indicators'!HZ147</f>
        <v>1</v>
      </c>
      <c r="AL147" s="11" t="str">
        <f>'Core Indicators'!IH147</f>
        <v>x</v>
      </c>
      <c r="AM147" s="11">
        <f>'Core Indicators'!IP147</f>
        <v>1</v>
      </c>
      <c r="AN147" s="11">
        <f t="shared" si="72"/>
        <v>1</v>
      </c>
    </row>
    <row r="148" spans="1:40" x14ac:dyDescent="0.3">
      <c r="A148" s="276" t="str">
        <f>Lists!C:C</f>
        <v>ZWE003</v>
      </c>
      <c r="B148" s="213">
        <f t="shared" si="58"/>
        <v>2.2999999999999998</v>
      </c>
      <c r="C148" s="214">
        <f t="shared" si="59"/>
        <v>2</v>
      </c>
      <c r="D148" s="277">
        <f t="shared" si="60"/>
        <v>2.6</v>
      </c>
      <c r="E148" s="276">
        <f>'Core Indicators'!R148</f>
        <v>1</v>
      </c>
      <c r="F148" s="276">
        <f>'Core Indicators'!Z148</f>
        <v>2</v>
      </c>
      <c r="G148" s="214">
        <f t="shared" si="61"/>
        <v>1.5</v>
      </c>
      <c r="H148" s="276">
        <f>'Core Indicators'!AH148</f>
        <v>3</v>
      </c>
      <c r="I148" s="276" t="str">
        <f>'Core Indicators'!AP148</f>
        <v>x</v>
      </c>
      <c r="J148" s="276">
        <f>'Core Indicators'!BN148</f>
        <v>3</v>
      </c>
      <c r="K148" s="276">
        <f t="shared" si="62"/>
        <v>3</v>
      </c>
      <c r="L148" s="213">
        <f t="shared" si="63"/>
        <v>3</v>
      </c>
      <c r="M148" s="277">
        <f t="shared" si="64"/>
        <v>2.4</v>
      </c>
      <c r="N148" s="278">
        <f>'Core Indicators'!DJ148</f>
        <v>3</v>
      </c>
      <c r="O148" s="278">
        <f>'Core Indicators'!DR148</f>
        <v>2</v>
      </c>
      <c r="P148" s="278">
        <f>'Core Indicators'!DZ148</f>
        <v>3</v>
      </c>
      <c r="Q148" s="278">
        <f>'Core Indicators'!EH148</f>
        <v>2</v>
      </c>
      <c r="R148" s="278">
        <f>'Core Indicators'!EP148</f>
        <v>2</v>
      </c>
      <c r="S148" s="214">
        <f t="shared" si="65"/>
        <v>1.9</v>
      </c>
      <c r="T148" s="214">
        <f t="shared" si="66"/>
        <v>2.6666666666666665</v>
      </c>
      <c r="U148" s="276">
        <v>1</v>
      </c>
      <c r="V148" s="276">
        <v>1</v>
      </c>
      <c r="W148" s="276">
        <f>'Core Indicators'!EX148</f>
        <v>3</v>
      </c>
      <c r="X148" s="214">
        <f t="shared" si="67"/>
        <v>2</v>
      </c>
      <c r="Y148" s="276">
        <v>5</v>
      </c>
      <c r="Z148" s="214">
        <f t="shared" si="68"/>
        <v>1</v>
      </c>
      <c r="AA148" s="276">
        <f>'Core Indicators'!FF148</f>
        <v>1</v>
      </c>
      <c r="AB148" s="276" t="str">
        <f t="shared" si="69"/>
        <v>x</v>
      </c>
      <c r="AC148" s="11" t="str">
        <f>'Core Indicators'!GD148</f>
        <v>x</v>
      </c>
      <c r="AD148" s="11" t="str">
        <f>'Core Indicators'!GL148</f>
        <v>x</v>
      </c>
      <c r="AE148" s="11" t="str">
        <f>'Core Indicators'!GT148</f>
        <v>x</v>
      </c>
      <c r="AF148" s="11" t="str">
        <f>'Core Indicators'!HB148</f>
        <v>x</v>
      </c>
      <c r="AG148" s="11" t="str">
        <f t="shared" si="70"/>
        <v>x</v>
      </c>
      <c r="AH148" s="11" t="str">
        <f>'Core Indicators'!HJ148</f>
        <v>x</v>
      </c>
      <c r="AI148" s="11" t="str">
        <f>'Core Indicators'!HR148</f>
        <v>x</v>
      </c>
      <c r="AJ148" s="11" t="str">
        <f t="shared" si="71"/>
        <v>x</v>
      </c>
      <c r="AK148" s="11" t="str">
        <f>'Core Indicators'!HZ148</f>
        <v>x</v>
      </c>
      <c r="AL148" s="11" t="str">
        <f>'Core Indicators'!IH148</f>
        <v>x</v>
      </c>
      <c r="AM148" s="11" t="str">
        <f>'Core Indicators'!IP148</f>
        <v>x</v>
      </c>
      <c r="AN148" s="11" t="str">
        <f t="shared" si="72"/>
        <v>x</v>
      </c>
    </row>
    <row r="149" spans="1:40" x14ac:dyDescent="0.3">
      <c r="A149" s="276">
        <f>Lists!C:C</f>
        <v>0</v>
      </c>
      <c r="B149" s="213">
        <f t="shared" si="58"/>
        <v>0.4</v>
      </c>
      <c r="C149" s="214">
        <f t="shared" si="59"/>
        <v>0</v>
      </c>
      <c r="D149" s="277">
        <f t="shared" si="60"/>
        <v>0</v>
      </c>
      <c r="E149" s="276">
        <f>'Core Indicators'!R149</f>
        <v>0</v>
      </c>
      <c r="F149" s="276">
        <f>'Core Indicators'!Z149</f>
        <v>0</v>
      </c>
      <c r="G149" s="214">
        <f t="shared" si="61"/>
        <v>0</v>
      </c>
      <c r="H149" s="276">
        <f>'Core Indicators'!AH149</f>
        <v>0</v>
      </c>
      <c r="I149" s="276">
        <f>'Core Indicators'!AP149</f>
        <v>0</v>
      </c>
      <c r="J149" s="276">
        <f>'Core Indicators'!BN149</f>
        <v>0</v>
      </c>
      <c r="K149" s="276">
        <f t="shared" si="62"/>
        <v>0</v>
      </c>
      <c r="L149" s="213">
        <f t="shared" si="63"/>
        <v>0</v>
      </c>
      <c r="M149" s="277">
        <f t="shared" si="64"/>
        <v>0</v>
      </c>
      <c r="N149" s="278">
        <f>'Core Indicators'!DJ149</f>
        <v>0</v>
      </c>
      <c r="O149" s="278">
        <f>'Core Indicators'!DR149</f>
        <v>0</v>
      </c>
      <c r="P149" s="278">
        <f>'Core Indicators'!DZ149</f>
        <v>0</v>
      </c>
      <c r="Q149" s="278">
        <f>'Core Indicators'!EH149</f>
        <v>0</v>
      </c>
      <c r="R149" s="278">
        <f>'Core Indicators'!EP149</f>
        <v>0</v>
      </c>
      <c r="S149" s="214">
        <f t="shared" si="65"/>
        <v>1.3</v>
      </c>
      <c r="T149" s="214">
        <f t="shared" si="66"/>
        <v>2.5</v>
      </c>
      <c r="U149" s="276">
        <v>1</v>
      </c>
      <c r="V149" s="276">
        <v>1</v>
      </c>
      <c r="W149" s="276">
        <f>'Core Indicators'!EX149</f>
        <v>0</v>
      </c>
      <c r="X149" s="214">
        <f t="shared" si="67"/>
        <v>0.5</v>
      </c>
      <c r="Y149" s="276">
        <v>6</v>
      </c>
      <c r="Z149" s="214">
        <f t="shared" si="68"/>
        <v>0</v>
      </c>
      <c r="AA149" s="276">
        <f>'Core Indicators'!FF149</f>
        <v>0</v>
      </c>
      <c r="AB149" s="276">
        <f t="shared" si="69"/>
        <v>0</v>
      </c>
      <c r="AC149" s="11">
        <f>'Core Indicators'!GD149</f>
        <v>0</v>
      </c>
      <c r="AD149" s="11">
        <f>'Core Indicators'!GL149</f>
        <v>0</v>
      </c>
      <c r="AE149" s="11">
        <f>'Core Indicators'!GT149</f>
        <v>0</v>
      </c>
      <c r="AF149" s="11">
        <f>'Core Indicators'!HB149</f>
        <v>0</v>
      </c>
      <c r="AG149" s="11">
        <f t="shared" si="70"/>
        <v>0</v>
      </c>
      <c r="AH149" s="11">
        <f>'Core Indicators'!HJ149</f>
        <v>0</v>
      </c>
      <c r="AI149" s="11">
        <f>'Core Indicators'!HR149</f>
        <v>0</v>
      </c>
      <c r="AJ149" s="11">
        <f t="shared" si="71"/>
        <v>0</v>
      </c>
      <c r="AK149" s="11">
        <f>'Core Indicators'!HZ149</f>
        <v>0</v>
      </c>
      <c r="AL149" s="11">
        <f>'Core Indicators'!IH149</f>
        <v>0</v>
      </c>
      <c r="AM149" s="11">
        <f>'Core Indicators'!IP149</f>
        <v>0</v>
      </c>
      <c r="AN149" s="11">
        <f t="shared" si="72"/>
        <v>0</v>
      </c>
    </row>
    <row r="150" spans="1:40" x14ac:dyDescent="0.3">
      <c r="A150" s="276">
        <f>Lists!C:C</f>
        <v>0</v>
      </c>
      <c r="B150" s="213">
        <f t="shared" si="58"/>
        <v>0.5</v>
      </c>
      <c r="C150" s="214">
        <f t="shared" si="59"/>
        <v>0</v>
      </c>
      <c r="D150" s="277">
        <f t="shared" si="60"/>
        <v>0</v>
      </c>
      <c r="E150" s="276">
        <f>'Core Indicators'!R150</f>
        <v>0</v>
      </c>
      <c r="F150" s="276">
        <f>'Core Indicators'!Z150</f>
        <v>0</v>
      </c>
      <c r="G150" s="214">
        <f t="shared" si="61"/>
        <v>0</v>
      </c>
      <c r="H150" s="276">
        <f>'Core Indicators'!AH150</f>
        <v>0</v>
      </c>
      <c r="I150" s="276">
        <f>'Core Indicators'!AP150</f>
        <v>0</v>
      </c>
      <c r="J150" s="276">
        <f>'Core Indicators'!BN150</f>
        <v>0</v>
      </c>
      <c r="K150" s="276">
        <f t="shared" si="62"/>
        <v>0</v>
      </c>
      <c r="L150" s="213">
        <f t="shared" si="63"/>
        <v>0</v>
      </c>
      <c r="M150" s="277">
        <f t="shared" si="64"/>
        <v>0</v>
      </c>
      <c r="N150" s="278">
        <f>'Core Indicators'!DJ150</f>
        <v>0</v>
      </c>
      <c r="O150" s="278">
        <f>'Core Indicators'!DR150</f>
        <v>0</v>
      </c>
      <c r="P150" s="278">
        <f>'Core Indicators'!DZ150</f>
        <v>0</v>
      </c>
      <c r="Q150" s="278">
        <f>'Core Indicators'!EH150</f>
        <v>0</v>
      </c>
      <c r="R150" s="278">
        <f>'Core Indicators'!EP150</f>
        <v>0</v>
      </c>
      <c r="S150" s="214">
        <f t="shared" si="65"/>
        <v>1.5</v>
      </c>
      <c r="T150" s="214">
        <f t="shared" si="66"/>
        <v>2.8333333333333335</v>
      </c>
      <c r="U150" s="276">
        <v>1</v>
      </c>
      <c r="V150" s="276">
        <v>1</v>
      </c>
      <c r="W150" s="276">
        <f>'Core Indicators'!EX150</f>
        <v>0</v>
      </c>
      <c r="X150" s="214">
        <f t="shared" si="67"/>
        <v>0.5</v>
      </c>
      <c r="Y150" s="276">
        <v>7</v>
      </c>
      <c r="Z150" s="214">
        <f t="shared" si="68"/>
        <v>0</v>
      </c>
      <c r="AA150" s="276">
        <f>'Core Indicators'!FF150</f>
        <v>0</v>
      </c>
      <c r="AB150" s="276">
        <f t="shared" si="69"/>
        <v>0</v>
      </c>
      <c r="AC150" s="11">
        <f>'Core Indicators'!GD150</f>
        <v>0</v>
      </c>
      <c r="AD150" s="11">
        <f>'Core Indicators'!GL150</f>
        <v>0</v>
      </c>
      <c r="AE150" s="11">
        <f>'Core Indicators'!GT150</f>
        <v>0</v>
      </c>
      <c r="AF150" s="11">
        <f>'Core Indicators'!HB150</f>
        <v>0</v>
      </c>
      <c r="AG150" s="11">
        <f t="shared" si="70"/>
        <v>0</v>
      </c>
      <c r="AH150" s="11">
        <f>'Core Indicators'!HJ150</f>
        <v>0</v>
      </c>
      <c r="AI150" s="11">
        <f>'Core Indicators'!HR150</f>
        <v>0</v>
      </c>
      <c r="AJ150" s="11">
        <f t="shared" si="71"/>
        <v>0</v>
      </c>
      <c r="AK150" s="11">
        <f>'Core Indicators'!HZ150</f>
        <v>0</v>
      </c>
      <c r="AL150" s="11">
        <f>'Core Indicators'!IH150</f>
        <v>0</v>
      </c>
      <c r="AM150" s="11">
        <f>'Core Indicators'!IP150</f>
        <v>0</v>
      </c>
      <c r="AN150" s="11">
        <f t="shared" si="72"/>
        <v>0</v>
      </c>
    </row>
    <row r="151" spans="1:40" x14ac:dyDescent="0.3">
      <c r="A151" s="276">
        <f>Lists!C:C</f>
        <v>0</v>
      </c>
      <c r="B151" s="213">
        <f t="shared" si="58"/>
        <v>0.5</v>
      </c>
      <c r="C151" s="214">
        <f t="shared" si="59"/>
        <v>0</v>
      </c>
      <c r="D151" s="277">
        <f t="shared" si="60"/>
        <v>0</v>
      </c>
      <c r="E151" s="276">
        <f>'Core Indicators'!R151</f>
        <v>0</v>
      </c>
      <c r="F151" s="276">
        <f>'Core Indicators'!Z151</f>
        <v>0</v>
      </c>
      <c r="G151" s="214">
        <f t="shared" si="61"/>
        <v>0</v>
      </c>
      <c r="H151" s="276">
        <f>'Core Indicators'!AH151</f>
        <v>0</v>
      </c>
      <c r="I151" s="276">
        <f>'Core Indicators'!AP151</f>
        <v>0</v>
      </c>
      <c r="J151" s="276">
        <f>'Core Indicators'!BN151</f>
        <v>0</v>
      </c>
      <c r="K151" s="276">
        <f t="shared" si="62"/>
        <v>0</v>
      </c>
      <c r="L151" s="213">
        <f t="shared" si="63"/>
        <v>0</v>
      </c>
      <c r="M151" s="277">
        <f t="shared" si="64"/>
        <v>0</v>
      </c>
      <c r="N151" s="278">
        <f>'Core Indicators'!DJ151</f>
        <v>0</v>
      </c>
      <c r="O151" s="278">
        <f>'Core Indicators'!DR151</f>
        <v>0</v>
      </c>
      <c r="P151" s="278">
        <f>'Core Indicators'!DZ151</f>
        <v>0</v>
      </c>
      <c r="Q151" s="278">
        <f>'Core Indicators'!EH151</f>
        <v>0</v>
      </c>
      <c r="R151" s="278">
        <f>'Core Indicators'!EP151</f>
        <v>0</v>
      </c>
      <c r="S151" s="214">
        <f t="shared" si="65"/>
        <v>1.7</v>
      </c>
      <c r="T151" s="214">
        <f t="shared" si="66"/>
        <v>3.1666666666666665</v>
      </c>
      <c r="U151" s="276">
        <v>1</v>
      </c>
      <c r="V151" s="276">
        <v>1</v>
      </c>
      <c r="W151" s="276">
        <f>'Core Indicators'!EX151</f>
        <v>0</v>
      </c>
      <c r="X151" s="214">
        <f t="shared" si="67"/>
        <v>0.5</v>
      </c>
      <c r="Y151" s="276">
        <v>8</v>
      </c>
      <c r="Z151" s="214">
        <f t="shared" si="68"/>
        <v>0</v>
      </c>
      <c r="AA151" s="276">
        <f>'Core Indicators'!FF151</f>
        <v>0</v>
      </c>
      <c r="AB151" s="276">
        <f t="shared" si="69"/>
        <v>0</v>
      </c>
      <c r="AC151" s="11">
        <f>'Core Indicators'!GD151</f>
        <v>0</v>
      </c>
      <c r="AD151" s="11">
        <f>'Core Indicators'!GL151</f>
        <v>0</v>
      </c>
      <c r="AE151" s="11">
        <f>'Core Indicators'!GT151</f>
        <v>0</v>
      </c>
      <c r="AF151" s="11">
        <f>'Core Indicators'!HB151</f>
        <v>0</v>
      </c>
      <c r="AG151" s="11">
        <f t="shared" si="70"/>
        <v>0</v>
      </c>
      <c r="AH151" s="11">
        <f>'Core Indicators'!HJ151</f>
        <v>0</v>
      </c>
      <c r="AI151" s="11">
        <f>'Core Indicators'!HR151</f>
        <v>0</v>
      </c>
      <c r="AJ151" s="11">
        <f t="shared" si="71"/>
        <v>0</v>
      </c>
      <c r="AK151" s="11">
        <f>'Core Indicators'!HZ151</f>
        <v>0</v>
      </c>
      <c r="AL151" s="11">
        <f>'Core Indicators'!IH151</f>
        <v>0</v>
      </c>
      <c r="AM151" s="11">
        <f>'Core Indicators'!IP151</f>
        <v>0</v>
      </c>
      <c r="AN151" s="11">
        <f t="shared" si="72"/>
        <v>0</v>
      </c>
    </row>
    <row r="152" spans="1:40" x14ac:dyDescent="0.3">
      <c r="A152" s="276">
        <f>Lists!C:C</f>
        <v>0</v>
      </c>
      <c r="B152" s="213">
        <f t="shared" si="58"/>
        <v>0.6</v>
      </c>
      <c r="C152" s="214">
        <f t="shared" si="59"/>
        <v>0</v>
      </c>
      <c r="D152" s="277">
        <f t="shared" si="60"/>
        <v>0</v>
      </c>
      <c r="E152" s="276">
        <f>'Core Indicators'!R152</f>
        <v>0</v>
      </c>
      <c r="F152" s="276">
        <f>'Core Indicators'!Z152</f>
        <v>0</v>
      </c>
      <c r="G152" s="214">
        <f t="shared" si="61"/>
        <v>0</v>
      </c>
      <c r="H152" s="276">
        <f>'Core Indicators'!AH152</f>
        <v>0</v>
      </c>
      <c r="I152" s="276">
        <f>'Core Indicators'!AP152</f>
        <v>0</v>
      </c>
      <c r="J152" s="276">
        <f>'Core Indicators'!BN152</f>
        <v>0</v>
      </c>
      <c r="K152" s="276">
        <f t="shared" si="62"/>
        <v>0</v>
      </c>
      <c r="L152" s="213">
        <f t="shared" si="63"/>
        <v>0</v>
      </c>
      <c r="M152" s="277">
        <f t="shared" si="64"/>
        <v>0</v>
      </c>
      <c r="N152" s="278">
        <f>'Core Indicators'!DJ152</f>
        <v>0</v>
      </c>
      <c r="O152" s="278">
        <f>'Core Indicators'!DR152</f>
        <v>0</v>
      </c>
      <c r="P152" s="278">
        <f>'Core Indicators'!DZ152</f>
        <v>0</v>
      </c>
      <c r="Q152" s="278">
        <f>'Core Indicators'!EH152</f>
        <v>0</v>
      </c>
      <c r="R152" s="278">
        <f>'Core Indicators'!EP152</f>
        <v>0</v>
      </c>
      <c r="S152" s="214">
        <f t="shared" si="65"/>
        <v>1.9</v>
      </c>
      <c r="T152" s="214">
        <f t="shared" si="66"/>
        <v>3.5</v>
      </c>
      <c r="U152" s="276">
        <v>1</v>
      </c>
      <c r="V152" s="276">
        <v>1</v>
      </c>
      <c r="W152" s="276">
        <f>'Core Indicators'!EX152</f>
        <v>0</v>
      </c>
      <c r="X152" s="214">
        <f t="shared" si="67"/>
        <v>0.5</v>
      </c>
      <c r="Y152" s="276">
        <v>9</v>
      </c>
      <c r="Z152" s="214">
        <f t="shared" si="68"/>
        <v>0</v>
      </c>
      <c r="AA152" s="276">
        <f>'Core Indicators'!FF152</f>
        <v>0</v>
      </c>
      <c r="AB152" s="276">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x14ac:dyDescent="0.3">
      <c r="A153" s="276">
        <f>Lists!C:C</f>
        <v>0</v>
      </c>
      <c r="B153" s="213">
        <f t="shared" si="58"/>
        <v>0.6</v>
      </c>
      <c r="C153" s="214">
        <f t="shared" si="59"/>
        <v>0</v>
      </c>
      <c r="D153" s="277">
        <f t="shared" si="60"/>
        <v>0</v>
      </c>
      <c r="E153" s="276">
        <f>'Core Indicators'!R153</f>
        <v>0</v>
      </c>
      <c r="F153" s="276">
        <f>'Core Indicators'!Z153</f>
        <v>0</v>
      </c>
      <c r="G153" s="214">
        <f t="shared" si="61"/>
        <v>0</v>
      </c>
      <c r="H153" s="276">
        <f>'Core Indicators'!AH153</f>
        <v>0</v>
      </c>
      <c r="I153" s="276">
        <f>'Core Indicators'!AP153</f>
        <v>0</v>
      </c>
      <c r="J153" s="276">
        <f>'Core Indicators'!BN153</f>
        <v>0</v>
      </c>
      <c r="K153" s="276">
        <f t="shared" si="62"/>
        <v>0</v>
      </c>
      <c r="L153" s="213">
        <f t="shared" si="63"/>
        <v>0</v>
      </c>
      <c r="M153" s="277">
        <f t="shared" si="64"/>
        <v>0</v>
      </c>
      <c r="N153" s="278">
        <f>'Core Indicators'!DJ153</f>
        <v>0</v>
      </c>
      <c r="O153" s="278">
        <f>'Core Indicators'!DR153</f>
        <v>0</v>
      </c>
      <c r="P153" s="278">
        <f>'Core Indicators'!DZ153</f>
        <v>0</v>
      </c>
      <c r="Q153" s="278">
        <f>'Core Indicators'!EH153</f>
        <v>0</v>
      </c>
      <c r="R153" s="278">
        <f>'Core Indicators'!EP153</f>
        <v>0</v>
      </c>
      <c r="S153" s="214">
        <f t="shared" si="65"/>
        <v>2.1</v>
      </c>
      <c r="T153" s="214">
        <f t="shared" si="66"/>
        <v>3.8333333333333335</v>
      </c>
      <c r="U153" s="276">
        <v>1</v>
      </c>
      <c r="V153" s="276">
        <v>1</v>
      </c>
      <c r="W153" s="276">
        <f>'Core Indicators'!EX153</f>
        <v>0</v>
      </c>
      <c r="X153" s="214">
        <f t="shared" si="67"/>
        <v>0.5</v>
      </c>
      <c r="Y153" s="276">
        <v>10</v>
      </c>
      <c r="Z153" s="214">
        <f t="shared" si="68"/>
        <v>0</v>
      </c>
      <c r="AA153" s="276">
        <f>'Core Indicators'!FF153</f>
        <v>0</v>
      </c>
      <c r="AB153" s="276">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x14ac:dyDescent="0.3">
      <c r="A154" s="276">
        <f>Lists!C:C</f>
        <v>0</v>
      </c>
      <c r="B154" s="213">
        <f t="shared" si="58"/>
        <v>0.7</v>
      </c>
      <c r="C154" s="214">
        <f t="shared" si="59"/>
        <v>0</v>
      </c>
      <c r="D154" s="277">
        <f t="shared" si="60"/>
        <v>0</v>
      </c>
      <c r="E154" s="276">
        <f>'Core Indicators'!R154</f>
        <v>0</v>
      </c>
      <c r="F154" s="276">
        <f>'Core Indicators'!Z154</f>
        <v>0</v>
      </c>
      <c r="G154" s="214">
        <f t="shared" si="61"/>
        <v>0</v>
      </c>
      <c r="H154" s="276">
        <f>'Core Indicators'!AH154</f>
        <v>0</v>
      </c>
      <c r="I154" s="276">
        <f>'Core Indicators'!AP154</f>
        <v>0</v>
      </c>
      <c r="J154" s="276">
        <f>'Core Indicators'!BN154</f>
        <v>0</v>
      </c>
      <c r="K154" s="276">
        <f t="shared" si="62"/>
        <v>0</v>
      </c>
      <c r="L154" s="213">
        <f t="shared" si="63"/>
        <v>0</v>
      </c>
      <c r="M154" s="277">
        <f t="shared" si="64"/>
        <v>0</v>
      </c>
      <c r="N154" s="278">
        <f>'Core Indicators'!DJ154</f>
        <v>0</v>
      </c>
      <c r="O154" s="278">
        <f>'Core Indicators'!DR154</f>
        <v>0</v>
      </c>
      <c r="P154" s="278">
        <f>'Core Indicators'!DZ154</f>
        <v>0</v>
      </c>
      <c r="Q154" s="278">
        <f>'Core Indicators'!EH154</f>
        <v>0</v>
      </c>
      <c r="R154" s="278">
        <f>'Core Indicators'!EP154</f>
        <v>0</v>
      </c>
      <c r="S154" s="214">
        <f t="shared" si="65"/>
        <v>2.2999999999999998</v>
      </c>
      <c r="T154" s="214">
        <f t="shared" si="66"/>
        <v>4.166666666666667</v>
      </c>
      <c r="U154" s="276">
        <v>1</v>
      </c>
      <c r="V154" s="276">
        <v>1</v>
      </c>
      <c r="W154" s="276">
        <f>'Core Indicators'!EX154</f>
        <v>0</v>
      </c>
      <c r="X154" s="214">
        <f t="shared" si="67"/>
        <v>0.5</v>
      </c>
      <c r="Y154" s="276">
        <v>11</v>
      </c>
      <c r="Z154" s="214">
        <f t="shared" si="68"/>
        <v>0</v>
      </c>
      <c r="AA154" s="276">
        <f>'Core Indicators'!FF154</f>
        <v>0</v>
      </c>
      <c r="AB154" s="276">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x14ac:dyDescent="0.3">
      <c r="A155" s="276">
        <f>Lists!C:C</f>
        <v>0</v>
      </c>
      <c r="B155" s="213">
        <f t="shared" si="58"/>
        <v>0.8</v>
      </c>
      <c r="C155" s="214">
        <f t="shared" si="59"/>
        <v>0</v>
      </c>
      <c r="D155" s="277">
        <f t="shared" si="60"/>
        <v>0</v>
      </c>
      <c r="E155" s="276">
        <f>'Core Indicators'!R155</f>
        <v>0</v>
      </c>
      <c r="F155" s="276">
        <f>'Core Indicators'!Z155</f>
        <v>0</v>
      </c>
      <c r="G155" s="214">
        <f t="shared" si="61"/>
        <v>0</v>
      </c>
      <c r="H155" s="276">
        <f>'Core Indicators'!AH155</f>
        <v>0</v>
      </c>
      <c r="I155" s="276">
        <f>'Core Indicators'!AP155</f>
        <v>0</v>
      </c>
      <c r="J155" s="276">
        <f>'Core Indicators'!BN155</f>
        <v>0</v>
      </c>
      <c r="K155" s="276">
        <f t="shared" si="62"/>
        <v>0</v>
      </c>
      <c r="L155" s="213">
        <f t="shared" si="63"/>
        <v>0</v>
      </c>
      <c r="M155" s="277">
        <f t="shared" si="64"/>
        <v>0</v>
      </c>
      <c r="N155" s="278">
        <f>'Core Indicators'!DJ155</f>
        <v>0</v>
      </c>
      <c r="O155" s="278">
        <f>'Core Indicators'!DR155</f>
        <v>0</v>
      </c>
      <c r="P155" s="278">
        <f>'Core Indicators'!DZ155</f>
        <v>0</v>
      </c>
      <c r="Q155" s="278">
        <f>'Core Indicators'!EH155</f>
        <v>0</v>
      </c>
      <c r="R155" s="278">
        <f>'Core Indicators'!EP155</f>
        <v>0</v>
      </c>
      <c r="S155" s="214">
        <f t="shared" si="65"/>
        <v>2.5</v>
      </c>
      <c r="T155" s="214">
        <f t="shared" si="66"/>
        <v>4.5</v>
      </c>
      <c r="U155" s="276">
        <v>1</v>
      </c>
      <c r="V155" s="276">
        <v>1</v>
      </c>
      <c r="W155" s="276">
        <f>'Core Indicators'!EX155</f>
        <v>0</v>
      </c>
      <c r="X155" s="214">
        <f t="shared" si="67"/>
        <v>0.5</v>
      </c>
      <c r="Y155" s="276">
        <v>12</v>
      </c>
      <c r="Z155" s="214">
        <f t="shared" si="68"/>
        <v>0</v>
      </c>
      <c r="AA155" s="276">
        <f>'Core Indicators'!FF155</f>
        <v>0</v>
      </c>
      <c r="AB155" s="276">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76">
        <f>Lists!C:C</f>
        <v>0</v>
      </c>
      <c r="B156" s="213">
        <f t="shared" si="58"/>
        <v>0.8</v>
      </c>
      <c r="C156" s="214">
        <f t="shared" si="59"/>
        <v>0</v>
      </c>
      <c r="D156" s="277">
        <f t="shared" si="60"/>
        <v>0</v>
      </c>
      <c r="E156" s="276">
        <f>'Core Indicators'!R156</f>
        <v>0</v>
      </c>
      <c r="F156" s="276">
        <f>'Core Indicators'!Z156</f>
        <v>0</v>
      </c>
      <c r="G156" s="214">
        <f t="shared" si="61"/>
        <v>0</v>
      </c>
      <c r="H156" s="276">
        <f>'Core Indicators'!AH156</f>
        <v>0</v>
      </c>
      <c r="I156" s="276">
        <f>'Core Indicators'!AP156</f>
        <v>0</v>
      </c>
      <c r="J156" s="276">
        <f>'Core Indicators'!BN156</f>
        <v>0</v>
      </c>
      <c r="K156" s="276">
        <f t="shared" si="62"/>
        <v>0</v>
      </c>
      <c r="L156" s="213">
        <f t="shared" si="63"/>
        <v>0</v>
      </c>
      <c r="M156" s="277">
        <f t="shared" si="64"/>
        <v>0</v>
      </c>
      <c r="N156" s="278">
        <f>'Core Indicators'!DJ156</f>
        <v>0</v>
      </c>
      <c r="O156" s="278">
        <f>'Core Indicators'!DR156</f>
        <v>0</v>
      </c>
      <c r="P156" s="278">
        <f>'Core Indicators'!DZ156</f>
        <v>0</v>
      </c>
      <c r="Q156" s="278">
        <f>'Core Indicators'!EH156</f>
        <v>0</v>
      </c>
      <c r="R156" s="278">
        <f>'Core Indicators'!EP156</f>
        <v>0</v>
      </c>
      <c r="S156" s="214">
        <f t="shared" si="65"/>
        <v>2.8</v>
      </c>
      <c r="T156" s="214">
        <f t="shared" si="66"/>
        <v>4.833333333333333</v>
      </c>
      <c r="U156" s="276">
        <v>1</v>
      </c>
      <c r="V156" s="276">
        <v>1</v>
      </c>
      <c r="W156" s="276">
        <f>'Core Indicators'!EX156</f>
        <v>0</v>
      </c>
      <c r="X156" s="214">
        <f t="shared" si="67"/>
        <v>0.5</v>
      </c>
      <c r="Y156" s="276">
        <v>13</v>
      </c>
      <c r="Z156" s="214">
        <f t="shared" si="68"/>
        <v>0</v>
      </c>
      <c r="AA156" s="276">
        <f>'Core Indicators'!FF156</f>
        <v>0</v>
      </c>
      <c r="AB156" s="276">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76">
        <f>Lists!C:C</f>
        <v>0</v>
      </c>
      <c r="B157" s="213">
        <f t="shared" si="58"/>
        <v>0.9</v>
      </c>
      <c r="C157" s="214">
        <f t="shared" si="59"/>
        <v>0</v>
      </c>
      <c r="D157" s="277">
        <f t="shared" si="60"/>
        <v>0</v>
      </c>
      <c r="E157" s="276">
        <f>'Core Indicators'!R157</f>
        <v>0</v>
      </c>
      <c r="F157" s="276">
        <f>'Core Indicators'!Z157</f>
        <v>0</v>
      </c>
      <c r="G157" s="214">
        <f t="shared" si="61"/>
        <v>0</v>
      </c>
      <c r="H157" s="276">
        <f>'Core Indicators'!AH157</f>
        <v>0</v>
      </c>
      <c r="I157" s="276">
        <f>'Core Indicators'!AP157</f>
        <v>0</v>
      </c>
      <c r="J157" s="276">
        <f>'Core Indicators'!BN157</f>
        <v>0</v>
      </c>
      <c r="K157" s="276">
        <f t="shared" si="62"/>
        <v>0</v>
      </c>
      <c r="L157" s="213">
        <f t="shared" si="63"/>
        <v>0</v>
      </c>
      <c r="M157" s="277">
        <f t="shared" si="64"/>
        <v>0</v>
      </c>
      <c r="N157" s="278">
        <f>'Core Indicators'!DJ157</f>
        <v>0</v>
      </c>
      <c r="O157" s="278">
        <f>'Core Indicators'!DR157</f>
        <v>0</v>
      </c>
      <c r="P157" s="278">
        <f>'Core Indicators'!DZ157</f>
        <v>0</v>
      </c>
      <c r="Q157" s="278">
        <f>'Core Indicators'!EH157</f>
        <v>0</v>
      </c>
      <c r="R157" s="278">
        <f>'Core Indicators'!EP157</f>
        <v>0</v>
      </c>
      <c r="S157" s="214">
        <f t="shared" si="65"/>
        <v>3</v>
      </c>
      <c r="T157" s="214">
        <f t="shared" si="66"/>
        <v>5.166666666666667</v>
      </c>
      <c r="U157" s="276">
        <v>1</v>
      </c>
      <c r="V157" s="276">
        <v>1</v>
      </c>
      <c r="W157" s="276">
        <f>'Core Indicators'!EX157</f>
        <v>0</v>
      </c>
      <c r="X157" s="214">
        <f t="shared" si="67"/>
        <v>0.5</v>
      </c>
      <c r="Y157" s="276">
        <v>14</v>
      </c>
      <c r="Z157" s="214">
        <f t="shared" si="68"/>
        <v>0</v>
      </c>
      <c r="AA157" s="276">
        <f>'Core Indicators'!FF157</f>
        <v>0</v>
      </c>
      <c r="AB157" s="276">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76">
        <f>Lists!C:C</f>
        <v>0</v>
      </c>
      <c r="B158" s="213">
        <f t="shared" si="58"/>
        <v>1</v>
      </c>
      <c r="C158" s="214">
        <f t="shared" si="59"/>
        <v>0</v>
      </c>
      <c r="D158" s="277">
        <f t="shared" si="60"/>
        <v>0</v>
      </c>
      <c r="E158" s="276">
        <f>'Core Indicators'!R158</f>
        <v>0</v>
      </c>
      <c r="F158" s="276">
        <f>'Core Indicators'!Z158</f>
        <v>0</v>
      </c>
      <c r="G158" s="214">
        <f t="shared" si="61"/>
        <v>0</v>
      </c>
      <c r="H158" s="276">
        <f>'Core Indicators'!AH158</f>
        <v>0</v>
      </c>
      <c r="I158" s="276">
        <f>'Core Indicators'!AP158</f>
        <v>0</v>
      </c>
      <c r="J158" s="276">
        <f>'Core Indicators'!BN158</f>
        <v>0</v>
      </c>
      <c r="K158" s="276">
        <f t="shared" si="62"/>
        <v>0</v>
      </c>
      <c r="L158" s="213">
        <f t="shared" si="63"/>
        <v>0</v>
      </c>
      <c r="M158" s="277">
        <f t="shared" si="64"/>
        <v>0</v>
      </c>
      <c r="N158" s="278">
        <f>'Core Indicators'!DJ158</f>
        <v>0</v>
      </c>
      <c r="O158" s="278">
        <f>'Core Indicators'!DR158</f>
        <v>0</v>
      </c>
      <c r="P158" s="278">
        <f>'Core Indicators'!DZ158</f>
        <v>0</v>
      </c>
      <c r="Q158" s="278">
        <f>'Core Indicators'!EH158</f>
        <v>0</v>
      </c>
      <c r="R158" s="278">
        <f>'Core Indicators'!EP158</f>
        <v>0</v>
      </c>
      <c r="S158" s="214">
        <f t="shared" si="65"/>
        <v>3.2</v>
      </c>
      <c r="T158" s="214">
        <f t="shared" si="66"/>
        <v>5.5</v>
      </c>
      <c r="U158" s="276">
        <v>1</v>
      </c>
      <c r="V158" s="276">
        <v>1</v>
      </c>
      <c r="W158" s="276">
        <f>'Core Indicators'!EX158</f>
        <v>0</v>
      </c>
      <c r="X158" s="214">
        <f t="shared" si="67"/>
        <v>0.5</v>
      </c>
      <c r="Y158" s="276">
        <v>15</v>
      </c>
      <c r="Z158" s="214">
        <f t="shared" si="68"/>
        <v>0</v>
      </c>
      <c r="AA158" s="276">
        <f>'Core Indicators'!FF158</f>
        <v>0</v>
      </c>
      <c r="AB158" s="276">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76">
        <f>Lists!C:C</f>
        <v>0</v>
      </c>
      <c r="B159" s="213">
        <f t="shared" si="58"/>
        <v>1.1000000000000001</v>
      </c>
      <c r="C159" s="214">
        <f t="shared" si="59"/>
        <v>0</v>
      </c>
      <c r="D159" s="277">
        <f t="shared" si="60"/>
        <v>0</v>
      </c>
      <c r="E159" s="276">
        <f>'Core Indicators'!R159</f>
        <v>0</v>
      </c>
      <c r="F159" s="276">
        <f>'Core Indicators'!Z159</f>
        <v>0</v>
      </c>
      <c r="G159" s="214">
        <f t="shared" si="61"/>
        <v>0</v>
      </c>
      <c r="H159" s="276">
        <f>'Core Indicators'!AH159</f>
        <v>0</v>
      </c>
      <c r="I159" s="276">
        <f>'Core Indicators'!AP159</f>
        <v>0</v>
      </c>
      <c r="J159" s="276">
        <f>'Core Indicators'!BN159</f>
        <v>0</v>
      </c>
      <c r="K159" s="276">
        <f t="shared" si="62"/>
        <v>0</v>
      </c>
      <c r="L159" s="213">
        <f t="shared" si="63"/>
        <v>0</v>
      </c>
      <c r="M159" s="277">
        <f t="shared" si="64"/>
        <v>0</v>
      </c>
      <c r="N159" s="278">
        <f>'Core Indicators'!DJ159</f>
        <v>0</v>
      </c>
      <c r="O159" s="278">
        <f>'Core Indicators'!DR159</f>
        <v>0</v>
      </c>
      <c r="P159" s="278">
        <f>'Core Indicators'!DZ159</f>
        <v>0</v>
      </c>
      <c r="Q159" s="278">
        <f>'Core Indicators'!EH159</f>
        <v>0</v>
      </c>
      <c r="R159" s="278">
        <f>'Core Indicators'!EP159</f>
        <v>0</v>
      </c>
      <c r="S159" s="214">
        <f t="shared" si="65"/>
        <v>3.5</v>
      </c>
      <c r="T159" s="214">
        <f t="shared" si="66"/>
        <v>5.833333333333333</v>
      </c>
      <c r="U159" s="276">
        <v>1</v>
      </c>
      <c r="V159" s="276">
        <v>1</v>
      </c>
      <c r="W159" s="276">
        <f>'Core Indicators'!EX159</f>
        <v>0</v>
      </c>
      <c r="X159" s="214">
        <f t="shared" si="67"/>
        <v>0.5</v>
      </c>
      <c r="Y159" s="276">
        <v>16</v>
      </c>
      <c r="Z159" s="214">
        <f t="shared" si="68"/>
        <v>0</v>
      </c>
      <c r="AA159" s="276">
        <f>'Core Indicators'!FF159</f>
        <v>0</v>
      </c>
      <c r="AB159" s="276">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76">
        <f>Lists!C:C</f>
        <v>0</v>
      </c>
      <c r="B160" s="213">
        <f t="shared" si="58"/>
        <v>1.1000000000000001</v>
      </c>
      <c r="C160" s="214">
        <f t="shared" si="59"/>
        <v>0</v>
      </c>
      <c r="D160" s="277">
        <f t="shared" si="60"/>
        <v>0</v>
      </c>
      <c r="E160" s="276">
        <f>'Core Indicators'!R160</f>
        <v>0</v>
      </c>
      <c r="F160" s="276">
        <f>'Core Indicators'!Z160</f>
        <v>0</v>
      </c>
      <c r="G160" s="214">
        <f t="shared" si="61"/>
        <v>0</v>
      </c>
      <c r="H160" s="276">
        <f>'Core Indicators'!AH160</f>
        <v>0</v>
      </c>
      <c r="I160" s="276">
        <f>'Core Indicators'!AP160</f>
        <v>0</v>
      </c>
      <c r="J160" s="276">
        <f>'Core Indicators'!BN160</f>
        <v>0</v>
      </c>
      <c r="K160" s="276">
        <f t="shared" si="62"/>
        <v>0</v>
      </c>
      <c r="L160" s="213">
        <f t="shared" si="63"/>
        <v>0</v>
      </c>
      <c r="M160" s="277">
        <f t="shared" si="64"/>
        <v>0</v>
      </c>
      <c r="N160" s="278">
        <f>'Core Indicators'!DJ160</f>
        <v>0</v>
      </c>
      <c r="O160" s="278">
        <f>'Core Indicators'!DR160</f>
        <v>0</v>
      </c>
      <c r="P160" s="278">
        <f>'Core Indicators'!DZ160</f>
        <v>0</v>
      </c>
      <c r="Q160" s="278">
        <f>'Core Indicators'!EH160</f>
        <v>0</v>
      </c>
      <c r="R160" s="278">
        <f>'Core Indicators'!EP160</f>
        <v>0</v>
      </c>
      <c r="S160" s="214">
        <f t="shared" si="65"/>
        <v>3.7</v>
      </c>
      <c r="T160" s="214">
        <f t="shared" si="66"/>
        <v>6.166666666666667</v>
      </c>
      <c r="U160" s="276">
        <v>1</v>
      </c>
      <c r="V160" s="276">
        <v>1</v>
      </c>
      <c r="W160" s="276">
        <f>'Core Indicators'!EX160</f>
        <v>0</v>
      </c>
      <c r="X160" s="214">
        <f t="shared" si="67"/>
        <v>0.5</v>
      </c>
      <c r="Y160" s="276">
        <v>17</v>
      </c>
      <c r="Z160" s="214">
        <f t="shared" si="68"/>
        <v>0</v>
      </c>
      <c r="AA160" s="276">
        <f>'Core Indicators'!FF160</f>
        <v>0</v>
      </c>
      <c r="AB160" s="276">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76">
        <f>Lists!C:C</f>
        <v>0</v>
      </c>
      <c r="B161" s="213">
        <f t="shared" si="58"/>
        <v>1.2</v>
      </c>
      <c r="C161" s="214">
        <f t="shared" si="59"/>
        <v>0</v>
      </c>
      <c r="D161" s="277">
        <f t="shared" si="60"/>
        <v>0</v>
      </c>
      <c r="E161" s="276">
        <f>'Core Indicators'!R161</f>
        <v>0</v>
      </c>
      <c r="F161" s="276">
        <f>'Core Indicators'!Z161</f>
        <v>0</v>
      </c>
      <c r="G161" s="214">
        <f t="shared" si="61"/>
        <v>0</v>
      </c>
      <c r="H161" s="276">
        <f>'Core Indicators'!AH161</f>
        <v>0</v>
      </c>
      <c r="I161" s="276">
        <f>'Core Indicators'!AP161</f>
        <v>0</v>
      </c>
      <c r="J161" s="276">
        <f>'Core Indicators'!BN161</f>
        <v>0</v>
      </c>
      <c r="K161" s="276">
        <f t="shared" si="62"/>
        <v>0</v>
      </c>
      <c r="L161" s="213">
        <f t="shared" si="63"/>
        <v>0</v>
      </c>
      <c r="M161" s="277">
        <f t="shared" si="64"/>
        <v>0</v>
      </c>
      <c r="N161" s="278">
        <f>'Core Indicators'!DJ161</f>
        <v>0</v>
      </c>
      <c r="O161" s="278">
        <f>'Core Indicators'!DR161</f>
        <v>0</v>
      </c>
      <c r="P161" s="278">
        <f>'Core Indicators'!DZ161</f>
        <v>0</v>
      </c>
      <c r="Q161" s="278">
        <f>'Core Indicators'!EH161</f>
        <v>0</v>
      </c>
      <c r="R161" s="278">
        <f>'Core Indicators'!EP161</f>
        <v>0</v>
      </c>
      <c r="S161" s="214">
        <f t="shared" si="65"/>
        <v>4</v>
      </c>
      <c r="T161" s="214">
        <f t="shared" si="66"/>
        <v>6.5</v>
      </c>
      <c r="U161" s="276">
        <v>1</v>
      </c>
      <c r="V161" s="276">
        <v>1</v>
      </c>
      <c r="W161" s="276">
        <f>'Core Indicators'!EX161</f>
        <v>0</v>
      </c>
      <c r="X161" s="214">
        <f t="shared" si="67"/>
        <v>0.5</v>
      </c>
      <c r="Y161" s="276">
        <v>18</v>
      </c>
      <c r="Z161" s="214">
        <f t="shared" si="68"/>
        <v>0</v>
      </c>
      <c r="AA161" s="276">
        <f>'Core Indicators'!FF161</f>
        <v>0</v>
      </c>
      <c r="AB161" s="276">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76">
        <f>Lists!C:C</f>
        <v>0</v>
      </c>
      <c r="B162" s="213">
        <f t="shared" si="58"/>
        <v>1.3</v>
      </c>
      <c r="C162" s="214">
        <f t="shared" si="59"/>
        <v>0</v>
      </c>
      <c r="D162" s="277">
        <f t="shared" si="60"/>
        <v>0</v>
      </c>
      <c r="E162" s="276">
        <f>'Core Indicators'!R162</f>
        <v>0</v>
      </c>
      <c r="F162" s="276">
        <f>'Core Indicators'!Z162</f>
        <v>0</v>
      </c>
      <c r="G162" s="214">
        <f t="shared" si="61"/>
        <v>0</v>
      </c>
      <c r="H162" s="276">
        <f>'Core Indicators'!AH162</f>
        <v>0</v>
      </c>
      <c r="I162" s="276">
        <f>'Core Indicators'!AP162</f>
        <v>0</v>
      </c>
      <c r="J162" s="276">
        <f>'Core Indicators'!BN162</f>
        <v>0</v>
      </c>
      <c r="K162" s="276">
        <f t="shared" si="62"/>
        <v>0</v>
      </c>
      <c r="L162" s="213">
        <f t="shared" si="63"/>
        <v>0</v>
      </c>
      <c r="M162" s="277">
        <f t="shared" si="64"/>
        <v>0</v>
      </c>
      <c r="N162" s="278">
        <f>'Core Indicators'!DJ162</f>
        <v>0</v>
      </c>
      <c r="O162" s="278">
        <f>'Core Indicators'!DR162</f>
        <v>0</v>
      </c>
      <c r="P162" s="278">
        <f>'Core Indicators'!DZ162</f>
        <v>0</v>
      </c>
      <c r="Q162" s="278">
        <f>'Core Indicators'!EH162</f>
        <v>0</v>
      </c>
      <c r="R162" s="278">
        <f>'Core Indicators'!EP162</f>
        <v>0</v>
      </c>
      <c r="S162" s="214">
        <f t="shared" si="65"/>
        <v>4.2</v>
      </c>
      <c r="T162" s="214">
        <f t="shared" si="66"/>
        <v>6.833333333333333</v>
      </c>
      <c r="U162" s="276">
        <v>1</v>
      </c>
      <c r="V162" s="276">
        <v>1</v>
      </c>
      <c r="W162" s="276">
        <f>'Core Indicators'!EX162</f>
        <v>0</v>
      </c>
      <c r="X162" s="214">
        <f t="shared" si="67"/>
        <v>0.5</v>
      </c>
      <c r="Y162" s="276">
        <v>19</v>
      </c>
      <c r="Z162" s="214">
        <f t="shared" si="68"/>
        <v>0</v>
      </c>
      <c r="AA162" s="276">
        <f>'Core Indicators'!FF162</f>
        <v>0</v>
      </c>
      <c r="AB162" s="276">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76">
        <f>Lists!C:C</f>
        <v>0</v>
      </c>
      <c r="B163" s="213">
        <f t="shared" si="58"/>
        <v>1.4</v>
      </c>
      <c r="C163" s="214">
        <f t="shared" si="59"/>
        <v>0</v>
      </c>
      <c r="D163" s="277">
        <f t="shared" si="60"/>
        <v>0</v>
      </c>
      <c r="E163" s="276">
        <f>'Core Indicators'!R163</f>
        <v>0</v>
      </c>
      <c r="F163" s="276">
        <f>'Core Indicators'!Z163</f>
        <v>0</v>
      </c>
      <c r="G163" s="214">
        <f t="shared" si="61"/>
        <v>0</v>
      </c>
      <c r="H163" s="276">
        <f>'Core Indicators'!AH163</f>
        <v>0</v>
      </c>
      <c r="I163" s="276">
        <f>'Core Indicators'!AP163</f>
        <v>0</v>
      </c>
      <c r="J163" s="276">
        <f>'Core Indicators'!BN163</f>
        <v>0</v>
      </c>
      <c r="K163" s="276">
        <f t="shared" si="62"/>
        <v>0</v>
      </c>
      <c r="L163" s="213">
        <f t="shared" si="63"/>
        <v>0</v>
      </c>
      <c r="M163" s="277">
        <f t="shared" si="64"/>
        <v>0</v>
      </c>
      <c r="N163" s="278">
        <f>'Core Indicators'!DJ163</f>
        <v>0</v>
      </c>
      <c r="O163" s="278">
        <f>'Core Indicators'!DR163</f>
        <v>0</v>
      </c>
      <c r="P163" s="278">
        <f>'Core Indicators'!DZ163</f>
        <v>0</v>
      </c>
      <c r="Q163" s="278">
        <f>'Core Indicators'!EH163</f>
        <v>0</v>
      </c>
      <c r="R163" s="278">
        <f>'Core Indicators'!EP163</f>
        <v>0</v>
      </c>
      <c r="S163" s="214">
        <f t="shared" si="65"/>
        <v>4.5</v>
      </c>
      <c r="T163" s="214">
        <f t="shared" si="66"/>
        <v>7.166666666666667</v>
      </c>
      <c r="U163" s="276">
        <v>1</v>
      </c>
      <c r="V163" s="276">
        <v>1</v>
      </c>
      <c r="W163" s="276">
        <f>'Core Indicators'!EX163</f>
        <v>0</v>
      </c>
      <c r="X163" s="214">
        <f t="shared" si="67"/>
        <v>0.5</v>
      </c>
      <c r="Y163" s="276">
        <v>20</v>
      </c>
      <c r="Z163" s="214">
        <f t="shared" si="68"/>
        <v>0</v>
      </c>
      <c r="AA163" s="276">
        <f>'Core Indicators'!FF163</f>
        <v>0</v>
      </c>
      <c r="AB163" s="276">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76">
        <f>Lists!C:C</f>
        <v>0</v>
      </c>
      <c r="B164" s="213">
        <f t="shared" si="58"/>
        <v>1.4</v>
      </c>
      <c r="C164" s="214">
        <f t="shared" si="59"/>
        <v>0</v>
      </c>
      <c r="D164" s="277">
        <f t="shared" si="60"/>
        <v>0</v>
      </c>
      <c r="E164" s="276">
        <f>'Core Indicators'!R164</f>
        <v>0</v>
      </c>
      <c r="F164" s="276">
        <f>'Core Indicators'!Z164</f>
        <v>0</v>
      </c>
      <c r="G164" s="214">
        <f t="shared" si="61"/>
        <v>0</v>
      </c>
      <c r="H164" s="276">
        <f>'Core Indicators'!AH164</f>
        <v>0</v>
      </c>
      <c r="I164" s="276">
        <f>'Core Indicators'!AP164</f>
        <v>0</v>
      </c>
      <c r="J164" s="276">
        <f>'Core Indicators'!BN164</f>
        <v>0</v>
      </c>
      <c r="K164" s="276">
        <f t="shared" si="62"/>
        <v>0</v>
      </c>
      <c r="L164" s="213">
        <f t="shared" si="63"/>
        <v>0</v>
      </c>
      <c r="M164" s="277">
        <f t="shared" si="64"/>
        <v>0</v>
      </c>
      <c r="N164" s="278">
        <f>'Core Indicators'!DJ164</f>
        <v>0</v>
      </c>
      <c r="O164" s="278">
        <f>'Core Indicators'!DR164</f>
        <v>0</v>
      </c>
      <c r="P164" s="278">
        <f>'Core Indicators'!DZ164</f>
        <v>0</v>
      </c>
      <c r="Q164" s="278">
        <f>'Core Indicators'!EH164</f>
        <v>0</v>
      </c>
      <c r="R164" s="278">
        <f>'Core Indicators'!EP164</f>
        <v>0</v>
      </c>
      <c r="S164" s="214">
        <f t="shared" si="65"/>
        <v>4.8</v>
      </c>
      <c r="T164" s="214">
        <f t="shared" si="66"/>
        <v>7.5</v>
      </c>
      <c r="U164" s="276">
        <v>1</v>
      </c>
      <c r="V164" s="276">
        <v>1</v>
      </c>
      <c r="W164" s="276">
        <f>'Core Indicators'!EX164</f>
        <v>0</v>
      </c>
      <c r="X164" s="214">
        <f t="shared" si="67"/>
        <v>0.5</v>
      </c>
      <c r="Y164" s="276">
        <v>21</v>
      </c>
      <c r="Z164" s="214">
        <f t="shared" si="68"/>
        <v>0</v>
      </c>
      <c r="AA164" s="276">
        <f>'Core Indicators'!FF164</f>
        <v>0</v>
      </c>
      <c r="AB164" s="276">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76">
        <f>Lists!C:C</f>
        <v>0</v>
      </c>
      <c r="B165" s="213">
        <f t="shared" si="58"/>
        <v>1.5</v>
      </c>
      <c r="C165" s="214">
        <f t="shared" si="59"/>
        <v>0</v>
      </c>
      <c r="D165" s="277">
        <f t="shared" si="60"/>
        <v>0</v>
      </c>
      <c r="E165" s="276">
        <f>'Core Indicators'!R165</f>
        <v>0</v>
      </c>
      <c r="F165" s="276">
        <f>'Core Indicators'!Z165</f>
        <v>0</v>
      </c>
      <c r="G165" s="214">
        <f t="shared" si="61"/>
        <v>0</v>
      </c>
      <c r="H165" s="276">
        <f>'Core Indicators'!AH165</f>
        <v>0</v>
      </c>
      <c r="I165" s="276">
        <f>'Core Indicators'!AP165</f>
        <v>0</v>
      </c>
      <c r="J165" s="276">
        <f>'Core Indicators'!BN165</f>
        <v>0</v>
      </c>
      <c r="K165" s="276">
        <f t="shared" si="62"/>
        <v>0</v>
      </c>
      <c r="L165" s="213">
        <f t="shared" si="63"/>
        <v>0</v>
      </c>
      <c r="M165" s="277">
        <f t="shared" si="64"/>
        <v>0</v>
      </c>
      <c r="N165" s="278">
        <f>'Core Indicators'!DJ165</f>
        <v>0</v>
      </c>
      <c r="O165" s="278">
        <f>'Core Indicators'!DR165</f>
        <v>0</v>
      </c>
      <c r="P165" s="278">
        <f>'Core Indicators'!DZ165</f>
        <v>0</v>
      </c>
      <c r="Q165" s="278">
        <f>'Core Indicators'!EH165</f>
        <v>0</v>
      </c>
      <c r="R165" s="278">
        <f>'Core Indicators'!EP165</f>
        <v>0</v>
      </c>
      <c r="S165" s="214">
        <f t="shared" si="65"/>
        <v>5.0999999999999996</v>
      </c>
      <c r="T165" s="214">
        <f t="shared" si="66"/>
        <v>7.833333333333333</v>
      </c>
      <c r="U165" s="276">
        <v>1</v>
      </c>
      <c r="V165" s="276">
        <v>1</v>
      </c>
      <c r="W165" s="276">
        <f>'Core Indicators'!EX165</f>
        <v>0</v>
      </c>
      <c r="X165" s="214">
        <f t="shared" si="67"/>
        <v>0.5</v>
      </c>
      <c r="Y165" s="276">
        <v>22</v>
      </c>
      <c r="Z165" s="214">
        <f t="shared" si="68"/>
        <v>0</v>
      </c>
      <c r="AA165" s="276">
        <f>'Core Indicators'!FF165</f>
        <v>0</v>
      </c>
      <c r="AB165" s="276">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76">
        <f>Lists!C:C</f>
        <v>0</v>
      </c>
      <c r="B166" s="213">
        <f t="shared" si="58"/>
        <v>1.6</v>
      </c>
      <c r="C166" s="214">
        <f t="shared" si="59"/>
        <v>0</v>
      </c>
      <c r="D166" s="277">
        <f t="shared" si="60"/>
        <v>0</v>
      </c>
      <c r="E166" s="276">
        <f>'Core Indicators'!R166</f>
        <v>0</v>
      </c>
      <c r="F166" s="276">
        <f>'Core Indicators'!Z166</f>
        <v>0</v>
      </c>
      <c r="G166" s="214">
        <f t="shared" si="61"/>
        <v>0</v>
      </c>
      <c r="H166" s="276">
        <f>'Core Indicators'!AH166</f>
        <v>0</v>
      </c>
      <c r="I166" s="276">
        <f>'Core Indicators'!AP166</f>
        <v>0</v>
      </c>
      <c r="J166" s="276">
        <f>'Core Indicators'!BN166</f>
        <v>0</v>
      </c>
      <c r="K166" s="276">
        <f t="shared" si="62"/>
        <v>0</v>
      </c>
      <c r="L166" s="213">
        <f t="shared" si="63"/>
        <v>0</v>
      </c>
      <c r="M166" s="277">
        <f t="shared" si="64"/>
        <v>0</v>
      </c>
      <c r="N166" s="278">
        <f>'Core Indicators'!DJ166</f>
        <v>0</v>
      </c>
      <c r="O166" s="278">
        <f>'Core Indicators'!DR166</f>
        <v>0</v>
      </c>
      <c r="P166" s="278">
        <f>'Core Indicators'!DZ166</f>
        <v>0</v>
      </c>
      <c r="Q166" s="278">
        <f>'Core Indicators'!EH166</f>
        <v>0</v>
      </c>
      <c r="R166" s="278">
        <f>'Core Indicators'!EP166</f>
        <v>0</v>
      </c>
      <c r="S166" s="214">
        <f t="shared" si="65"/>
        <v>5.4</v>
      </c>
      <c r="T166" s="214">
        <f t="shared" si="66"/>
        <v>8.1666666666666661</v>
      </c>
      <c r="U166" s="276">
        <v>1</v>
      </c>
      <c r="V166" s="276">
        <v>1</v>
      </c>
      <c r="W166" s="276">
        <f>'Core Indicators'!EX166</f>
        <v>0</v>
      </c>
      <c r="X166" s="214">
        <f t="shared" si="67"/>
        <v>0.5</v>
      </c>
      <c r="Y166" s="276">
        <v>23</v>
      </c>
      <c r="Z166" s="214">
        <f t="shared" si="68"/>
        <v>0</v>
      </c>
      <c r="AA166" s="276">
        <f>'Core Indicators'!FF166</f>
        <v>0</v>
      </c>
      <c r="AB166" s="276">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76">
        <f>Lists!C:C</f>
        <v>0</v>
      </c>
      <c r="B167" s="213">
        <f t="shared" si="58"/>
        <v>1.7</v>
      </c>
      <c r="C167" s="214">
        <f t="shared" si="59"/>
        <v>0</v>
      </c>
      <c r="D167" s="277">
        <f t="shared" si="60"/>
        <v>0</v>
      </c>
      <c r="E167" s="276">
        <f>'Core Indicators'!R167</f>
        <v>0</v>
      </c>
      <c r="F167" s="276">
        <f>'Core Indicators'!Z167</f>
        <v>0</v>
      </c>
      <c r="G167" s="214">
        <f t="shared" si="61"/>
        <v>0</v>
      </c>
      <c r="H167" s="276">
        <f>'Core Indicators'!AH167</f>
        <v>0</v>
      </c>
      <c r="I167" s="276">
        <f>'Core Indicators'!AP167</f>
        <v>0</v>
      </c>
      <c r="J167" s="276">
        <f>'Core Indicators'!BN167</f>
        <v>0</v>
      </c>
      <c r="K167" s="276">
        <f t="shared" si="62"/>
        <v>0</v>
      </c>
      <c r="L167" s="213">
        <f t="shared" si="63"/>
        <v>0</v>
      </c>
      <c r="M167" s="277">
        <f t="shared" si="64"/>
        <v>0</v>
      </c>
      <c r="N167" s="278">
        <f>'Core Indicators'!DJ167</f>
        <v>0</v>
      </c>
      <c r="O167" s="278">
        <f>'Core Indicators'!DR167</f>
        <v>0</v>
      </c>
      <c r="P167" s="278">
        <f>'Core Indicators'!DZ167</f>
        <v>0</v>
      </c>
      <c r="Q167" s="278">
        <f>'Core Indicators'!EH167</f>
        <v>0</v>
      </c>
      <c r="R167" s="278">
        <f>'Core Indicators'!EP167</f>
        <v>0</v>
      </c>
      <c r="S167" s="214">
        <f t="shared" si="65"/>
        <v>5.7</v>
      </c>
      <c r="T167" s="214">
        <f t="shared" si="66"/>
        <v>8.5</v>
      </c>
      <c r="U167" s="276">
        <v>1</v>
      </c>
      <c r="V167" s="276">
        <v>1</v>
      </c>
      <c r="W167" s="276">
        <f>'Core Indicators'!EX167</f>
        <v>0</v>
      </c>
      <c r="X167" s="214">
        <f t="shared" si="67"/>
        <v>0.5</v>
      </c>
      <c r="Y167" s="276">
        <v>24</v>
      </c>
      <c r="Z167" s="214">
        <f t="shared" si="68"/>
        <v>0</v>
      </c>
      <c r="AA167" s="276">
        <f>'Core Indicators'!FF167</f>
        <v>0</v>
      </c>
      <c r="AB167" s="276">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76">
        <f>Lists!C:C</f>
        <v>0</v>
      </c>
      <c r="B168" s="213">
        <f t="shared" si="58"/>
        <v>1.8</v>
      </c>
      <c r="C168" s="214">
        <f t="shared" si="59"/>
        <v>0</v>
      </c>
      <c r="D168" s="277">
        <f t="shared" si="60"/>
        <v>0</v>
      </c>
      <c r="E168" s="276">
        <f>'Core Indicators'!R168</f>
        <v>0</v>
      </c>
      <c r="F168" s="276">
        <f>'Core Indicators'!Z168</f>
        <v>0</v>
      </c>
      <c r="G168" s="214">
        <f t="shared" si="61"/>
        <v>0</v>
      </c>
      <c r="H168" s="276">
        <f>'Core Indicators'!AH168</f>
        <v>0</v>
      </c>
      <c r="I168" s="276">
        <f>'Core Indicators'!AP168</f>
        <v>0</v>
      </c>
      <c r="J168" s="276">
        <f>'Core Indicators'!BN168</f>
        <v>0</v>
      </c>
      <c r="K168" s="276">
        <f t="shared" si="62"/>
        <v>0</v>
      </c>
      <c r="L168" s="213">
        <f t="shared" si="63"/>
        <v>0</v>
      </c>
      <c r="M168" s="277">
        <f t="shared" si="64"/>
        <v>0</v>
      </c>
      <c r="N168" s="278">
        <f>'Core Indicators'!DJ168</f>
        <v>0</v>
      </c>
      <c r="O168" s="278">
        <f>'Core Indicators'!DR168</f>
        <v>0</v>
      </c>
      <c r="P168" s="278">
        <f>'Core Indicators'!DZ168</f>
        <v>0</v>
      </c>
      <c r="Q168" s="278">
        <f>'Core Indicators'!EH168</f>
        <v>0</v>
      </c>
      <c r="R168" s="278">
        <f>'Core Indicators'!EP168</f>
        <v>0</v>
      </c>
      <c r="S168" s="214">
        <f t="shared" si="65"/>
        <v>6.1</v>
      </c>
      <c r="T168" s="214">
        <f t="shared" si="66"/>
        <v>8.8333333333333339</v>
      </c>
      <c r="U168" s="276">
        <v>1</v>
      </c>
      <c r="V168" s="276">
        <v>1</v>
      </c>
      <c r="W168" s="276">
        <f>'Core Indicators'!EX168</f>
        <v>0</v>
      </c>
      <c r="X168" s="214">
        <f t="shared" si="67"/>
        <v>0.5</v>
      </c>
      <c r="Y168" s="276">
        <v>25</v>
      </c>
      <c r="Z168" s="214">
        <f t="shared" si="68"/>
        <v>0</v>
      </c>
      <c r="AA168" s="276">
        <f>'Core Indicators'!FF168</f>
        <v>0</v>
      </c>
      <c r="AB168" s="276">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76">
        <f>Lists!C:C</f>
        <v>0</v>
      </c>
      <c r="B169" s="213">
        <f t="shared" si="58"/>
        <v>2</v>
      </c>
      <c r="C169" s="214">
        <f t="shared" si="59"/>
        <v>0</v>
      </c>
      <c r="D169" s="277">
        <f t="shared" si="60"/>
        <v>0</v>
      </c>
      <c r="E169" s="276">
        <f>'Core Indicators'!R169</f>
        <v>0</v>
      </c>
      <c r="F169" s="276">
        <f>'Core Indicators'!Z169</f>
        <v>0</v>
      </c>
      <c r="G169" s="214">
        <f t="shared" si="61"/>
        <v>0</v>
      </c>
      <c r="H169" s="276">
        <f>'Core Indicators'!AH169</f>
        <v>0</v>
      </c>
      <c r="I169" s="276">
        <f>'Core Indicators'!AP169</f>
        <v>0</v>
      </c>
      <c r="J169" s="276">
        <f>'Core Indicators'!BN169</f>
        <v>0</v>
      </c>
      <c r="K169" s="276">
        <f t="shared" si="62"/>
        <v>0</v>
      </c>
      <c r="L169" s="213">
        <f t="shared" si="63"/>
        <v>0</v>
      </c>
      <c r="M169" s="277">
        <f t="shared" si="64"/>
        <v>0</v>
      </c>
      <c r="N169" s="278">
        <f>'Core Indicators'!DJ169</f>
        <v>0</v>
      </c>
      <c r="O169" s="278">
        <f>'Core Indicators'!DR169</f>
        <v>0</v>
      </c>
      <c r="P169" s="278">
        <f>'Core Indicators'!DZ169</f>
        <v>0</v>
      </c>
      <c r="Q169" s="278">
        <f>'Core Indicators'!EH169</f>
        <v>0</v>
      </c>
      <c r="R169" s="278">
        <f>'Core Indicators'!EP169</f>
        <v>0</v>
      </c>
      <c r="S169" s="214">
        <f t="shared" si="65"/>
        <v>6.5</v>
      </c>
      <c r="T169" s="214">
        <f t="shared" si="66"/>
        <v>9.1666666666666661</v>
      </c>
      <c r="U169" s="276">
        <v>1</v>
      </c>
      <c r="V169" s="276">
        <v>1</v>
      </c>
      <c r="W169" s="276">
        <f>'Core Indicators'!EX169</f>
        <v>0</v>
      </c>
      <c r="X169" s="214">
        <f t="shared" si="67"/>
        <v>0.5</v>
      </c>
      <c r="Y169" s="276">
        <v>26</v>
      </c>
      <c r="Z169" s="214">
        <f t="shared" si="68"/>
        <v>0</v>
      </c>
      <c r="AA169" s="276">
        <f>'Core Indicators'!FF169</f>
        <v>0</v>
      </c>
      <c r="AB169" s="276">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76">
        <f>Lists!C:C</f>
        <v>0</v>
      </c>
      <c r="B170" s="213">
        <f t="shared" si="58"/>
        <v>2.1</v>
      </c>
      <c r="C170" s="214">
        <f t="shared" si="59"/>
        <v>0</v>
      </c>
      <c r="D170" s="277">
        <f t="shared" si="60"/>
        <v>0</v>
      </c>
      <c r="E170" s="276">
        <f>'Core Indicators'!R170</f>
        <v>0</v>
      </c>
      <c r="F170" s="276">
        <f>'Core Indicators'!Z170</f>
        <v>0</v>
      </c>
      <c r="G170" s="214">
        <f t="shared" si="61"/>
        <v>0</v>
      </c>
      <c r="H170" s="276">
        <f>'Core Indicators'!AH170</f>
        <v>0</v>
      </c>
      <c r="I170" s="276">
        <f>'Core Indicators'!AP170</f>
        <v>0</v>
      </c>
      <c r="J170" s="276">
        <f>'Core Indicators'!BN170</f>
        <v>0</v>
      </c>
      <c r="K170" s="276">
        <f t="shared" si="62"/>
        <v>0</v>
      </c>
      <c r="L170" s="213">
        <f t="shared" si="63"/>
        <v>0</v>
      </c>
      <c r="M170" s="277">
        <f t="shared" si="64"/>
        <v>0</v>
      </c>
      <c r="N170" s="278">
        <f>'Core Indicators'!DJ170</f>
        <v>0</v>
      </c>
      <c r="O170" s="278">
        <f>'Core Indicators'!DR170</f>
        <v>0</v>
      </c>
      <c r="P170" s="278">
        <f>'Core Indicators'!DZ170</f>
        <v>0</v>
      </c>
      <c r="Q170" s="278">
        <f>'Core Indicators'!EH170</f>
        <v>0</v>
      </c>
      <c r="R170" s="278">
        <f>'Core Indicators'!EP170</f>
        <v>0</v>
      </c>
      <c r="S170" s="214">
        <f t="shared" si="65"/>
        <v>6.9</v>
      </c>
      <c r="T170" s="214">
        <f t="shared" si="66"/>
        <v>9.5</v>
      </c>
      <c r="U170" s="276">
        <v>1</v>
      </c>
      <c r="V170" s="276">
        <v>1</v>
      </c>
      <c r="W170" s="276">
        <f>'Core Indicators'!EX170</f>
        <v>0</v>
      </c>
      <c r="X170" s="214">
        <f t="shared" si="67"/>
        <v>0.5</v>
      </c>
      <c r="Y170" s="276">
        <v>27</v>
      </c>
      <c r="Z170" s="214">
        <f t="shared" si="68"/>
        <v>0</v>
      </c>
      <c r="AA170" s="276">
        <f>'Core Indicators'!FF170</f>
        <v>0</v>
      </c>
      <c r="AB170" s="276">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76">
        <f>Lists!C:C</f>
        <v>0</v>
      </c>
      <c r="B171" s="213">
        <f t="shared" si="58"/>
        <v>2.2000000000000002</v>
      </c>
      <c r="C171" s="214">
        <f t="shared" si="59"/>
        <v>0</v>
      </c>
      <c r="D171" s="277">
        <f t="shared" si="60"/>
        <v>0</v>
      </c>
      <c r="E171" s="276">
        <f>'Core Indicators'!R171</f>
        <v>0</v>
      </c>
      <c r="F171" s="276">
        <f>'Core Indicators'!Z171</f>
        <v>0</v>
      </c>
      <c r="G171" s="214">
        <f t="shared" si="61"/>
        <v>0</v>
      </c>
      <c r="H171" s="276">
        <f>'Core Indicators'!AH171</f>
        <v>0</v>
      </c>
      <c r="I171" s="276">
        <f>'Core Indicators'!AP171</f>
        <v>0</v>
      </c>
      <c r="J171" s="276">
        <f>'Core Indicators'!BN171</f>
        <v>0</v>
      </c>
      <c r="K171" s="276">
        <f t="shared" si="62"/>
        <v>0</v>
      </c>
      <c r="L171" s="213">
        <f t="shared" si="63"/>
        <v>0</v>
      </c>
      <c r="M171" s="277">
        <f t="shared" si="64"/>
        <v>0</v>
      </c>
      <c r="N171" s="278">
        <f>'Core Indicators'!DJ171</f>
        <v>0</v>
      </c>
      <c r="O171" s="278">
        <f>'Core Indicators'!DR171</f>
        <v>0</v>
      </c>
      <c r="P171" s="278">
        <f>'Core Indicators'!DZ171</f>
        <v>0</v>
      </c>
      <c r="Q171" s="278">
        <f>'Core Indicators'!EH171</f>
        <v>0</v>
      </c>
      <c r="R171" s="278">
        <f>'Core Indicators'!EP171</f>
        <v>0</v>
      </c>
      <c r="S171" s="214">
        <f t="shared" si="65"/>
        <v>7.3</v>
      </c>
      <c r="T171" s="214">
        <f t="shared" si="66"/>
        <v>9.8333333333333339</v>
      </c>
      <c r="U171" s="276">
        <v>1</v>
      </c>
      <c r="V171" s="276">
        <v>1</v>
      </c>
      <c r="W171" s="276">
        <f>'Core Indicators'!EX171</f>
        <v>0</v>
      </c>
      <c r="X171" s="214">
        <f t="shared" si="67"/>
        <v>0.5</v>
      </c>
      <c r="Y171" s="276">
        <v>28</v>
      </c>
      <c r="Z171" s="214">
        <f t="shared" si="68"/>
        <v>0</v>
      </c>
      <c r="AA171" s="276">
        <f>'Core Indicators'!FF171</f>
        <v>0</v>
      </c>
      <c r="AB171" s="276">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76">
        <f>Lists!C:C</f>
        <v>0</v>
      </c>
      <c r="B172" s="213">
        <f t="shared" si="58"/>
        <v>2.4</v>
      </c>
      <c r="C172" s="214">
        <f t="shared" si="59"/>
        <v>0</v>
      </c>
      <c r="D172" s="277">
        <f t="shared" si="60"/>
        <v>0</v>
      </c>
      <c r="E172" s="276">
        <f>'Core Indicators'!R172</f>
        <v>0</v>
      </c>
      <c r="F172" s="276">
        <f>'Core Indicators'!Z172</f>
        <v>0</v>
      </c>
      <c r="G172" s="214">
        <f t="shared" si="61"/>
        <v>0</v>
      </c>
      <c r="H172" s="276">
        <f>'Core Indicators'!AH172</f>
        <v>0</v>
      </c>
      <c r="I172" s="276">
        <f>'Core Indicators'!AP172</f>
        <v>0</v>
      </c>
      <c r="J172" s="276">
        <f>'Core Indicators'!BN172</f>
        <v>0</v>
      </c>
      <c r="K172" s="276">
        <f t="shared" si="62"/>
        <v>0</v>
      </c>
      <c r="L172" s="213">
        <f t="shared" si="63"/>
        <v>0</v>
      </c>
      <c r="M172" s="277">
        <f t="shared" si="64"/>
        <v>0</v>
      </c>
      <c r="N172" s="278">
        <f>'Core Indicators'!DJ172</f>
        <v>0</v>
      </c>
      <c r="O172" s="278">
        <f>'Core Indicators'!DR172</f>
        <v>0</v>
      </c>
      <c r="P172" s="278">
        <f>'Core Indicators'!DZ172</f>
        <v>0</v>
      </c>
      <c r="Q172" s="278">
        <f>'Core Indicators'!EH172</f>
        <v>0</v>
      </c>
      <c r="R172" s="278">
        <f>'Core Indicators'!EP172</f>
        <v>0</v>
      </c>
      <c r="S172" s="214">
        <f t="shared" si="65"/>
        <v>7.9</v>
      </c>
      <c r="T172" s="214">
        <f t="shared" si="66"/>
        <v>10.166666666666666</v>
      </c>
      <c r="U172" s="276">
        <v>1</v>
      </c>
      <c r="V172" s="276">
        <v>1</v>
      </c>
      <c r="W172" s="276">
        <f>'Core Indicators'!EX172</f>
        <v>0</v>
      </c>
      <c r="X172" s="214">
        <f t="shared" si="67"/>
        <v>0.5</v>
      </c>
      <c r="Y172" s="276">
        <v>29</v>
      </c>
      <c r="Z172" s="214">
        <f t="shared" si="68"/>
        <v>0</v>
      </c>
      <c r="AA172" s="276">
        <f>'Core Indicators'!FF172</f>
        <v>0</v>
      </c>
      <c r="AB172" s="276">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76">
        <f>Lists!C:C</f>
        <v>0</v>
      </c>
      <c r="B173" s="213">
        <f t="shared" si="58"/>
        <v>2.6</v>
      </c>
      <c r="C173" s="214">
        <f t="shared" si="59"/>
        <v>0</v>
      </c>
      <c r="D173" s="277">
        <f t="shared" si="60"/>
        <v>0</v>
      </c>
      <c r="E173" s="276">
        <f>'Core Indicators'!R173</f>
        <v>0</v>
      </c>
      <c r="F173" s="276">
        <f>'Core Indicators'!Z173</f>
        <v>0</v>
      </c>
      <c r="G173" s="214">
        <f t="shared" si="61"/>
        <v>0</v>
      </c>
      <c r="H173" s="276">
        <f>'Core Indicators'!AH173</f>
        <v>0</v>
      </c>
      <c r="I173" s="276">
        <f>'Core Indicators'!AP173</f>
        <v>0</v>
      </c>
      <c r="J173" s="276">
        <f>'Core Indicators'!BN173</f>
        <v>0</v>
      </c>
      <c r="K173" s="276">
        <f t="shared" si="62"/>
        <v>0</v>
      </c>
      <c r="L173" s="213">
        <f t="shared" si="63"/>
        <v>0</v>
      </c>
      <c r="M173" s="277">
        <f t="shared" si="64"/>
        <v>0</v>
      </c>
      <c r="N173" s="278">
        <f>'Core Indicators'!DJ173</f>
        <v>0</v>
      </c>
      <c r="O173" s="278">
        <f>'Core Indicators'!DR173</f>
        <v>0</v>
      </c>
      <c r="P173" s="278">
        <f>'Core Indicators'!DZ173</f>
        <v>0</v>
      </c>
      <c r="Q173" s="278">
        <f>'Core Indicators'!EH173</f>
        <v>0</v>
      </c>
      <c r="R173" s="278">
        <f>'Core Indicators'!EP173</f>
        <v>0</v>
      </c>
      <c r="S173" s="214">
        <f t="shared" si="65"/>
        <v>8.5</v>
      </c>
      <c r="T173" s="214">
        <f t="shared" si="66"/>
        <v>10.5</v>
      </c>
      <c r="U173" s="276">
        <v>1</v>
      </c>
      <c r="V173" s="276">
        <v>1</v>
      </c>
      <c r="W173" s="276">
        <f>'Core Indicators'!EX173</f>
        <v>0</v>
      </c>
      <c r="X173" s="214">
        <f t="shared" si="67"/>
        <v>0.5</v>
      </c>
      <c r="Y173" s="276">
        <v>30</v>
      </c>
      <c r="Z173" s="214">
        <f t="shared" si="68"/>
        <v>0</v>
      </c>
      <c r="AA173" s="276">
        <f>'Core Indicators'!FF173</f>
        <v>0</v>
      </c>
      <c r="AB173" s="276">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76">
        <f>Lists!C:C</f>
        <v>0</v>
      </c>
      <c r="B174" s="213">
        <f t="shared" si="58"/>
        <v>2.8</v>
      </c>
      <c r="C174" s="214">
        <f t="shared" si="59"/>
        <v>0</v>
      </c>
      <c r="D174" s="277">
        <f t="shared" si="60"/>
        <v>0</v>
      </c>
      <c r="E174" s="276">
        <f>'Core Indicators'!R174</f>
        <v>0</v>
      </c>
      <c r="F174" s="276">
        <f>'Core Indicators'!Z174</f>
        <v>0</v>
      </c>
      <c r="G174" s="214">
        <f t="shared" si="61"/>
        <v>0</v>
      </c>
      <c r="H174" s="276">
        <f>'Core Indicators'!AH174</f>
        <v>0</v>
      </c>
      <c r="I174" s="276">
        <f>'Core Indicators'!AP174</f>
        <v>0</v>
      </c>
      <c r="J174" s="276">
        <f>'Core Indicators'!BN174</f>
        <v>0</v>
      </c>
      <c r="K174" s="276">
        <f t="shared" si="62"/>
        <v>0</v>
      </c>
      <c r="L174" s="213">
        <f t="shared" si="63"/>
        <v>0</v>
      </c>
      <c r="M174" s="277">
        <f t="shared" si="64"/>
        <v>0</v>
      </c>
      <c r="N174" s="278">
        <f>'Core Indicators'!DJ174</f>
        <v>0</v>
      </c>
      <c r="O174" s="278">
        <f>'Core Indicators'!DR174</f>
        <v>0</v>
      </c>
      <c r="P174" s="278">
        <f>'Core Indicators'!DZ174</f>
        <v>0</v>
      </c>
      <c r="Q174" s="278">
        <f>'Core Indicators'!EH174</f>
        <v>0</v>
      </c>
      <c r="R174" s="278">
        <f>'Core Indicators'!EP174</f>
        <v>0</v>
      </c>
      <c r="S174" s="214">
        <f t="shared" si="65"/>
        <v>9.4</v>
      </c>
      <c r="T174" s="214">
        <f t="shared" si="66"/>
        <v>10.833333333333334</v>
      </c>
      <c r="U174" s="276">
        <v>1</v>
      </c>
      <c r="V174" s="276">
        <v>1</v>
      </c>
      <c r="W174" s="276">
        <f>'Core Indicators'!EX174</f>
        <v>0</v>
      </c>
      <c r="X174" s="214">
        <f t="shared" si="67"/>
        <v>0.5</v>
      </c>
      <c r="Y174" s="276">
        <v>31</v>
      </c>
      <c r="Z174" s="214">
        <f t="shared" si="68"/>
        <v>0</v>
      </c>
      <c r="AA174" s="276">
        <f>'Core Indicators'!FF174</f>
        <v>0</v>
      </c>
      <c r="AB174" s="276">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76">
        <f>Lists!C:C</f>
        <v>0</v>
      </c>
      <c r="B175" s="213" t="e">
        <f t="shared" si="58"/>
        <v>#NUM!</v>
      </c>
      <c r="C175" s="214">
        <f t="shared" si="59"/>
        <v>0</v>
      </c>
      <c r="D175" s="277">
        <f t="shared" si="60"/>
        <v>0</v>
      </c>
      <c r="E175" s="276">
        <f>'Core Indicators'!R175</f>
        <v>0</v>
      </c>
      <c r="F175" s="276">
        <f>'Core Indicators'!Z175</f>
        <v>0</v>
      </c>
      <c r="G175" s="214">
        <f t="shared" si="61"/>
        <v>0</v>
      </c>
      <c r="H175" s="276">
        <f>'Core Indicators'!AH175</f>
        <v>0</v>
      </c>
      <c r="I175" s="276">
        <f>'Core Indicators'!AP175</f>
        <v>0</v>
      </c>
      <c r="J175" s="276">
        <f>'Core Indicators'!BN175</f>
        <v>0</v>
      </c>
      <c r="K175" s="276">
        <f t="shared" si="62"/>
        <v>0</v>
      </c>
      <c r="L175" s="213">
        <f t="shared" si="63"/>
        <v>0</v>
      </c>
      <c r="M175" s="277">
        <f t="shared" si="64"/>
        <v>0</v>
      </c>
      <c r="N175" s="278">
        <f>'Core Indicators'!DJ175</f>
        <v>0</v>
      </c>
      <c r="O175" s="278">
        <f>'Core Indicators'!DR175</f>
        <v>0</v>
      </c>
      <c r="P175" s="278">
        <f>'Core Indicators'!DZ175</f>
        <v>0</v>
      </c>
      <c r="Q175" s="278">
        <f>'Core Indicators'!EH175</f>
        <v>0</v>
      </c>
      <c r="R175" s="278">
        <f>'Core Indicators'!EP175</f>
        <v>0</v>
      </c>
      <c r="S175" s="214" t="e">
        <f t="shared" si="65"/>
        <v>#NUM!</v>
      </c>
      <c r="T175" s="214">
        <f t="shared" si="66"/>
        <v>11.166666666666666</v>
      </c>
      <c r="U175" s="276">
        <v>1</v>
      </c>
      <c r="V175" s="276">
        <v>1</v>
      </c>
      <c r="W175" s="276">
        <f>'Core Indicators'!EX175</f>
        <v>0</v>
      </c>
      <c r="X175" s="214">
        <f t="shared" si="67"/>
        <v>0.5</v>
      </c>
      <c r="Y175" s="276">
        <v>32</v>
      </c>
      <c r="Z175" s="214">
        <f t="shared" si="68"/>
        <v>0</v>
      </c>
      <c r="AA175" s="276">
        <f>'Core Indicators'!FF175</f>
        <v>0</v>
      </c>
      <c r="AB175" s="276">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76">
        <f>Lists!C:C</f>
        <v>0</v>
      </c>
      <c r="B176" s="213" t="e">
        <f t="shared" si="58"/>
        <v>#NUM!</v>
      </c>
      <c r="C176" s="214">
        <f t="shared" si="59"/>
        <v>0</v>
      </c>
      <c r="D176" s="277">
        <f t="shared" si="60"/>
        <v>0</v>
      </c>
      <c r="E176" s="276">
        <f>'Core Indicators'!R176</f>
        <v>0</v>
      </c>
      <c r="F176" s="276">
        <f>'Core Indicators'!Z176</f>
        <v>0</v>
      </c>
      <c r="G176" s="214">
        <f t="shared" si="61"/>
        <v>0</v>
      </c>
      <c r="H176" s="276">
        <f>'Core Indicators'!AH176</f>
        <v>0</v>
      </c>
      <c r="I176" s="276">
        <f>'Core Indicators'!AP176</f>
        <v>0</v>
      </c>
      <c r="J176" s="276">
        <f>'Core Indicators'!BN176</f>
        <v>0</v>
      </c>
      <c r="K176" s="276">
        <f t="shared" si="62"/>
        <v>0</v>
      </c>
      <c r="L176" s="213">
        <f t="shared" si="63"/>
        <v>0</v>
      </c>
      <c r="M176" s="277">
        <f t="shared" si="64"/>
        <v>0</v>
      </c>
      <c r="N176" s="278">
        <f>'Core Indicators'!DJ176</f>
        <v>0</v>
      </c>
      <c r="O176" s="278">
        <f>'Core Indicators'!DR176</f>
        <v>0</v>
      </c>
      <c r="P176" s="278">
        <f>'Core Indicators'!DZ176</f>
        <v>0</v>
      </c>
      <c r="Q176" s="278">
        <f>'Core Indicators'!EH176</f>
        <v>0</v>
      </c>
      <c r="R176" s="278">
        <f>'Core Indicators'!EP176</f>
        <v>0</v>
      </c>
      <c r="S176" s="214" t="e">
        <f t="shared" si="65"/>
        <v>#NUM!</v>
      </c>
      <c r="T176" s="214">
        <f t="shared" si="66"/>
        <v>11.5</v>
      </c>
      <c r="U176" s="276">
        <v>1</v>
      </c>
      <c r="V176" s="276">
        <v>1</v>
      </c>
      <c r="W176" s="276">
        <f>'Core Indicators'!EX176</f>
        <v>0</v>
      </c>
      <c r="X176" s="214">
        <f t="shared" si="67"/>
        <v>0.5</v>
      </c>
      <c r="Y176" s="276">
        <v>33</v>
      </c>
      <c r="Z176" s="214">
        <f t="shared" si="68"/>
        <v>0</v>
      </c>
      <c r="AA176" s="276">
        <f>'Core Indicators'!FF176</f>
        <v>0</v>
      </c>
      <c r="AB176" s="276">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76">
        <f>Lists!C:C</f>
        <v>0</v>
      </c>
      <c r="B177" s="213" t="e">
        <f t="shared" si="58"/>
        <v>#NUM!</v>
      </c>
      <c r="C177" s="214">
        <f t="shared" si="59"/>
        <v>0</v>
      </c>
      <c r="D177" s="277">
        <f t="shared" si="60"/>
        <v>0</v>
      </c>
      <c r="E177" s="276">
        <f>'Core Indicators'!R177</f>
        <v>0</v>
      </c>
      <c r="F177" s="276">
        <f>'Core Indicators'!Z177</f>
        <v>0</v>
      </c>
      <c r="G177" s="214">
        <f t="shared" si="61"/>
        <v>0</v>
      </c>
      <c r="H177" s="276">
        <f>'Core Indicators'!AH177</f>
        <v>0</v>
      </c>
      <c r="I177" s="276">
        <f>'Core Indicators'!AP177</f>
        <v>0</v>
      </c>
      <c r="J177" s="276">
        <f>'Core Indicators'!BN177</f>
        <v>0</v>
      </c>
      <c r="K177" s="276">
        <f t="shared" si="62"/>
        <v>0</v>
      </c>
      <c r="L177" s="213">
        <f t="shared" si="63"/>
        <v>0</v>
      </c>
      <c r="M177" s="277">
        <f t="shared" si="64"/>
        <v>0</v>
      </c>
      <c r="N177" s="278">
        <f>'Core Indicators'!DJ177</f>
        <v>0</v>
      </c>
      <c r="O177" s="278">
        <f>'Core Indicators'!DR177</f>
        <v>0</v>
      </c>
      <c r="P177" s="278">
        <f>'Core Indicators'!DZ177</f>
        <v>0</v>
      </c>
      <c r="Q177" s="278">
        <f>'Core Indicators'!EH177</f>
        <v>0</v>
      </c>
      <c r="R177" s="278">
        <f>'Core Indicators'!EP177</f>
        <v>0</v>
      </c>
      <c r="S177" s="214" t="e">
        <f t="shared" si="65"/>
        <v>#NUM!</v>
      </c>
      <c r="T177" s="214">
        <f t="shared" si="66"/>
        <v>11.833333333333334</v>
      </c>
      <c r="U177" s="276">
        <v>1</v>
      </c>
      <c r="V177" s="276">
        <v>1</v>
      </c>
      <c r="W177" s="276">
        <f>'Core Indicators'!EX177</f>
        <v>0</v>
      </c>
      <c r="X177" s="214">
        <f t="shared" si="67"/>
        <v>0.5</v>
      </c>
      <c r="Y177" s="276">
        <v>34</v>
      </c>
      <c r="Z177" s="214">
        <f t="shared" si="68"/>
        <v>0</v>
      </c>
      <c r="AA177" s="276">
        <f>'Core Indicators'!FF177</f>
        <v>0</v>
      </c>
      <c r="AB177" s="276">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76">
        <f>Lists!C:C</f>
        <v>0</v>
      </c>
      <c r="B178" s="213" t="e">
        <f t="shared" si="58"/>
        <v>#NUM!</v>
      </c>
      <c r="C178" s="214">
        <f t="shared" si="59"/>
        <v>0</v>
      </c>
      <c r="D178" s="277">
        <f t="shared" si="60"/>
        <v>0</v>
      </c>
      <c r="E178" s="276">
        <f>'Core Indicators'!R178</f>
        <v>0</v>
      </c>
      <c r="F178" s="276">
        <f>'Core Indicators'!Z178</f>
        <v>0</v>
      </c>
      <c r="G178" s="214">
        <f t="shared" si="61"/>
        <v>0</v>
      </c>
      <c r="H178" s="276">
        <f>'Core Indicators'!AH178</f>
        <v>0</v>
      </c>
      <c r="I178" s="276">
        <f>'Core Indicators'!AP178</f>
        <v>0</v>
      </c>
      <c r="J178" s="276">
        <f>'Core Indicators'!BN178</f>
        <v>0</v>
      </c>
      <c r="K178" s="276">
        <f t="shared" si="62"/>
        <v>0</v>
      </c>
      <c r="L178" s="213">
        <f t="shared" si="63"/>
        <v>0</v>
      </c>
      <c r="M178" s="277">
        <f t="shared" si="64"/>
        <v>0</v>
      </c>
      <c r="N178" s="278">
        <f>'Core Indicators'!DJ178</f>
        <v>0</v>
      </c>
      <c r="O178" s="278">
        <f>'Core Indicators'!DR178</f>
        <v>0</v>
      </c>
      <c r="P178" s="278">
        <f>'Core Indicators'!DZ178</f>
        <v>0</v>
      </c>
      <c r="Q178" s="278">
        <f>'Core Indicators'!EH178</f>
        <v>0</v>
      </c>
      <c r="R178" s="278">
        <f>'Core Indicators'!EP178</f>
        <v>0</v>
      </c>
      <c r="S178" s="214" t="e">
        <f t="shared" si="65"/>
        <v>#NUM!</v>
      </c>
      <c r="T178" s="214">
        <f t="shared" si="66"/>
        <v>12.166666666666666</v>
      </c>
      <c r="U178" s="276">
        <v>1</v>
      </c>
      <c r="V178" s="276">
        <v>1</v>
      </c>
      <c r="W178" s="276">
        <f>'Core Indicators'!EX178</f>
        <v>0</v>
      </c>
      <c r="X178" s="214">
        <f t="shared" si="67"/>
        <v>0.5</v>
      </c>
      <c r="Y178" s="276">
        <v>35</v>
      </c>
      <c r="Z178" s="214">
        <f t="shared" si="68"/>
        <v>0</v>
      </c>
      <c r="AA178" s="276">
        <f>'Core Indicators'!FF178</f>
        <v>0</v>
      </c>
      <c r="AB178" s="276">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76">
        <f>Lists!C:C</f>
        <v>0</v>
      </c>
      <c r="B179" s="213" t="e">
        <f t="shared" si="58"/>
        <v>#NUM!</v>
      </c>
      <c r="C179" s="214">
        <f t="shared" si="59"/>
        <v>0</v>
      </c>
      <c r="D179" s="277">
        <f t="shared" si="60"/>
        <v>0</v>
      </c>
      <c r="E179" s="276">
        <f>'Core Indicators'!R179</f>
        <v>0</v>
      </c>
      <c r="F179" s="276">
        <f>'Core Indicators'!Z179</f>
        <v>0</v>
      </c>
      <c r="G179" s="214">
        <f t="shared" si="61"/>
        <v>0</v>
      </c>
      <c r="H179" s="276">
        <f>'Core Indicators'!AH179</f>
        <v>0</v>
      </c>
      <c r="I179" s="276">
        <f>'Core Indicators'!AP179</f>
        <v>0</v>
      </c>
      <c r="J179" s="276">
        <f>'Core Indicators'!BN179</f>
        <v>0</v>
      </c>
      <c r="K179" s="276">
        <f t="shared" si="62"/>
        <v>0</v>
      </c>
      <c r="L179" s="213">
        <f t="shared" si="63"/>
        <v>0</v>
      </c>
      <c r="M179" s="277">
        <f t="shared" si="64"/>
        <v>0</v>
      </c>
      <c r="N179" s="278">
        <f>'Core Indicators'!DJ179</f>
        <v>0</v>
      </c>
      <c r="O179" s="278">
        <f>'Core Indicators'!DR179</f>
        <v>0</v>
      </c>
      <c r="P179" s="278">
        <f>'Core Indicators'!DZ179</f>
        <v>0</v>
      </c>
      <c r="Q179" s="278">
        <f>'Core Indicators'!EH179</f>
        <v>0</v>
      </c>
      <c r="R179" s="278">
        <f>'Core Indicators'!EP179</f>
        <v>0</v>
      </c>
      <c r="S179" s="214" t="e">
        <f t="shared" si="65"/>
        <v>#NUM!</v>
      </c>
      <c r="T179" s="214">
        <f t="shared" si="66"/>
        <v>12.5</v>
      </c>
      <c r="U179" s="276">
        <v>1</v>
      </c>
      <c r="V179" s="276">
        <v>1</v>
      </c>
      <c r="W179" s="276">
        <f>'Core Indicators'!EX179</f>
        <v>0</v>
      </c>
      <c r="X179" s="214">
        <f t="shared" si="67"/>
        <v>0.5</v>
      </c>
      <c r="Y179" s="276">
        <v>36</v>
      </c>
      <c r="Z179" s="214">
        <f t="shared" si="68"/>
        <v>0</v>
      </c>
      <c r="AA179" s="276">
        <f>'Core Indicators'!FF179</f>
        <v>0</v>
      </c>
      <c r="AB179" s="276">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76">
        <f>Lists!C:C</f>
        <v>0</v>
      </c>
      <c r="B180" s="213" t="e">
        <f t="shared" si="58"/>
        <v>#NUM!</v>
      </c>
      <c r="C180" s="214">
        <f t="shared" si="59"/>
        <v>0</v>
      </c>
      <c r="D180" s="277">
        <f t="shared" si="60"/>
        <v>0</v>
      </c>
      <c r="E180" s="276">
        <f>'Core Indicators'!R180</f>
        <v>0</v>
      </c>
      <c r="F180" s="276">
        <f>'Core Indicators'!Z180</f>
        <v>0</v>
      </c>
      <c r="G180" s="214">
        <f t="shared" si="61"/>
        <v>0</v>
      </c>
      <c r="H180" s="276">
        <f>'Core Indicators'!AH180</f>
        <v>0</v>
      </c>
      <c r="I180" s="276">
        <f>'Core Indicators'!AP180</f>
        <v>0</v>
      </c>
      <c r="J180" s="276">
        <f>'Core Indicators'!BN180</f>
        <v>0</v>
      </c>
      <c r="K180" s="276">
        <f t="shared" si="62"/>
        <v>0</v>
      </c>
      <c r="L180" s="213">
        <f t="shared" si="63"/>
        <v>0</v>
      </c>
      <c r="M180" s="277">
        <f t="shared" si="64"/>
        <v>0</v>
      </c>
      <c r="N180" s="278">
        <f>'Core Indicators'!DJ180</f>
        <v>0</v>
      </c>
      <c r="O180" s="278">
        <f>'Core Indicators'!DR180</f>
        <v>0</v>
      </c>
      <c r="P180" s="278">
        <f>'Core Indicators'!DZ180</f>
        <v>0</v>
      </c>
      <c r="Q180" s="278">
        <f>'Core Indicators'!EH180</f>
        <v>0</v>
      </c>
      <c r="R180" s="278">
        <f>'Core Indicators'!EP180</f>
        <v>0</v>
      </c>
      <c r="S180" s="214" t="e">
        <f t="shared" si="65"/>
        <v>#NUM!</v>
      </c>
      <c r="T180" s="214">
        <f t="shared" si="66"/>
        <v>12.833333333333334</v>
      </c>
      <c r="U180" s="276">
        <v>1</v>
      </c>
      <c r="V180" s="276">
        <v>1</v>
      </c>
      <c r="W180" s="276">
        <f>'Core Indicators'!EX180</f>
        <v>0</v>
      </c>
      <c r="X180" s="214">
        <f t="shared" si="67"/>
        <v>0.5</v>
      </c>
      <c r="Y180" s="276">
        <v>37</v>
      </c>
      <c r="Z180" s="214">
        <f t="shared" si="68"/>
        <v>0</v>
      </c>
      <c r="AA180" s="276">
        <f>'Core Indicators'!FF180</f>
        <v>0</v>
      </c>
      <c r="AB180" s="276">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76">
        <f>Lists!C:C</f>
        <v>0</v>
      </c>
      <c r="B181" s="213" t="e">
        <f t="shared" si="58"/>
        <v>#NUM!</v>
      </c>
      <c r="C181" s="214">
        <f t="shared" si="59"/>
        <v>0</v>
      </c>
      <c r="D181" s="277">
        <f t="shared" si="60"/>
        <v>0</v>
      </c>
      <c r="E181" s="276">
        <f>'Core Indicators'!R181</f>
        <v>0</v>
      </c>
      <c r="F181" s="276">
        <f>'Core Indicators'!Z181</f>
        <v>0</v>
      </c>
      <c r="G181" s="214">
        <f t="shared" si="61"/>
        <v>0</v>
      </c>
      <c r="H181" s="276">
        <f>'Core Indicators'!AH181</f>
        <v>0</v>
      </c>
      <c r="I181" s="276">
        <f>'Core Indicators'!AP181</f>
        <v>0</v>
      </c>
      <c r="J181" s="276">
        <f>'Core Indicators'!BN181</f>
        <v>0</v>
      </c>
      <c r="K181" s="276">
        <f t="shared" si="62"/>
        <v>0</v>
      </c>
      <c r="L181" s="213">
        <f t="shared" si="63"/>
        <v>0</v>
      </c>
      <c r="M181" s="277">
        <f t="shared" si="64"/>
        <v>0</v>
      </c>
      <c r="N181" s="278">
        <f>'Core Indicators'!DJ181</f>
        <v>0</v>
      </c>
      <c r="O181" s="278">
        <f>'Core Indicators'!DR181</f>
        <v>0</v>
      </c>
      <c r="P181" s="278">
        <f>'Core Indicators'!DZ181</f>
        <v>0</v>
      </c>
      <c r="Q181" s="278">
        <f>'Core Indicators'!EH181</f>
        <v>0</v>
      </c>
      <c r="R181" s="278">
        <f>'Core Indicators'!EP181</f>
        <v>0</v>
      </c>
      <c r="S181" s="214" t="e">
        <f t="shared" si="65"/>
        <v>#NUM!</v>
      </c>
      <c r="T181" s="214">
        <f t="shared" si="66"/>
        <v>13.166666666666666</v>
      </c>
      <c r="U181" s="276">
        <v>1</v>
      </c>
      <c r="V181" s="276">
        <v>1</v>
      </c>
      <c r="W181" s="276">
        <f>'Core Indicators'!EX181</f>
        <v>0</v>
      </c>
      <c r="X181" s="214">
        <f t="shared" si="67"/>
        <v>0.5</v>
      </c>
      <c r="Y181" s="276">
        <v>38</v>
      </c>
      <c r="Z181" s="214">
        <f t="shared" si="68"/>
        <v>0</v>
      </c>
      <c r="AA181" s="276">
        <f>'Core Indicators'!FF181</f>
        <v>0</v>
      </c>
      <c r="AB181" s="276">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76">
        <f>Lists!C:C</f>
        <v>0</v>
      </c>
      <c r="B182" s="213" t="e">
        <f t="shared" si="58"/>
        <v>#NUM!</v>
      </c>
      <c r="C182" s="214">
        <f t="shared" si="59"/>
        <v>0</v>
      </c>
      <c r="D182" s="277">
        <f t="shared" si="60"/>
        <v>0</v>
      </c>
      <c r="E182" s="276">
        <f>'Core Indicators'!R182</f>
        <v>0</v>
      </c>
      <c r="F182" s="276">
        <f>'Core Indicators'!Z182</f>
        <v>0</v>
      </c>
      <c r="G182" s="214">
        <f t="shared" si="61"/>
        <v>0</v>
      </c>
      <c r="H182" s="276">
        <f>'Core Indicators'!AH182</f>
        <v>0</v>
      </c>
      <c r="I182" s="276">
        <f>'Core Indicators'!AP182</f>
        <v>0</v>
      </c>
      <c r="J182" s="276">
        <f>'Core Indicators'!BN182</f>
        <v>0</v>
      </c>
      <c r="K182" s="276">
        <f t="shared" si="62"/>
        <v>0</v>
      </c>
      <c r="L182" s="213">
        <f t="shared" si="63"/>
        <v>0</v>
      </c>
      <c r="M182" s="277">
        <f t="shared" si="64"/>
        <v>0</v>
      </c>
      <c r="N182" s="278">
        <f>'Core Indicators'!DJ182</f>
        <v>0</v>
      </c>
      <c r="O182" s="278">
        <f>'Core Indicators'!DR182</f>
        <v>0</v>
      </c>
      <c r="P182" s="278">
        <f>'Core Indicators'!DZ182</f>
        <v>0</v>
      </c>
      <c r="Q182" s="278">
        <f>'Core Indicators'!EH182</f>
        <v>0</v>
      </c>
      <c r="R182" s="278">
        <f>'Core Indicators'!EP182</f>
        <v>0</v>
      </c>
      <c r="S182" s="214" t="e">
        <f t="shared" si="65"/>
        <v>#NUM!</v>
      </c>
      <c r="T182" s="214">
        <f t="shared" si="66"/>
        <v>13.5</v>
      </c>
      <c r="U182" s="276">
        <v>1</v>
      </c>
      <c r="V182" s="276">
        <v>1</v>
      </c>
      <c r="W182" s="276">
        <f>'Core Indicators'!EX182</f>
        <v>0</v>
      </c>
      <c r="X182" s="214">
        <f t="shared" si="67"/>
        <v>0.5</v>
      </c>
      <c r="Y182" s="276">
        <v>39</v>
      </c>
      <c r="Z182" s="214">
        <f t="shared" si="68"/>
        <v>0</v>
      </c>
      <c r="AA182" s="276">
        <f>'Core Indicators'!FF182</f>
        <v>0</v>
      </c>
      <c r="AB182" s="276">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76">
        <f>Lists!C:C</f>
        <v>0</v>
      </c>
      <c r="B183" s="213" t="e">
        <f t="shared" si="58"/>
        <v>#NUM!</v>
      </c>
      <c r="C183" s="214">
        <f t="shared" si="59"/>
        <v>0</v>
      </c>
      <c r="D183" s="277">
        <f t="shared" si="60"/>
        <v>0</v>
      </c>
      <c r="E183" s="276">
        <f>'Core Indicators'!R183</f>
        <v>0</v>
      </c>
      <c r="F183" s="276">
        <f>'Core Indicators'!Z183</f>
        <v>0</v>
      </c>
      <c r="G183" s="214">
        <f t="shared" si="61"/>
        <v>0</v>
      </c>
      <c r="H183" s="276">
        <f>'Core Indicators'!AH183</f>
        <v>0</v>
      </c>
      <c r="I183" s="276">
        <f>'Core Indicators'!AP183</f>
        <v>0</v>
      </c>
      <c r="J183" s="276">
        <f>'Core Indicators'!BN183</f>
        <v>0</v>
      </c>
      <c r="K183" s="276">
        <f t="shared" si="62"/>
        <v>0</v>
      </c>
      <c r="L183" s="213">
        <f t="shared" si="63"/>
        <v>0</v>
      </c>
      <c r="M183" s="277">
        <f t="shared" si="64"/>
        <v>0</v>
      </c>
      <c r="N183" s="278">
        <f>'Core Indicators'!DJ183</f>
        <v>0</v>
      </c>
      <c r="O183" s="278">
        <f>'Core Indicators'!DR183</f>
        <v>0</v>
      </c>
      <c r="P183" s="278">
        <f>'Core Indicators'!DZ183</f>
        <v>0</v>
      </c>
      <c r="Q183" s="278">
        <f>'Core Indicators'!EH183</f>
        <v>0</v>
      </c>
      <c r="R183" s="278">
        <f>'Core Indicators'!EP183</f>
        <v>0</v>
      </c>
      <c r="S183" s="214" t="e">
        <f t="shared" si="65"/>
        <v>#NUM!</v>
      </c>
      <c r="T183" s="214">
        <f t="shared" si="66"/>
        <v>13.833333333333334</v>
      </c>
      <c r="U183" s="276">
        <v>1</v>
      </c>
      <c r="V183" s="276">
        <v>1</v>
      </c>
      <c r="W183" s="276">
        <f>'Core Indicators'!EX183</f>
        <v>0</v>
      </c>
      <c r="X183" s="214">
        <f t="shared" si="67"/>
        <v>0.5</v>
      </c>
      <c r="Y183" s="276">
        <v>40</v>
      </c>
      <c r="Z183" s="214">
        <f t="shared" si="68"/>
        <v>0</v>
      </c>
      <c r="AA183" s="276">
        <f>'Core Indicators'!FF183</f>
        <v>0</v>
      </c>
      <c r="AB183" s="276">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76">
        <f>Lists!C:C</f>
        <v>0</v>
      </c>
      <c r="B184" s="213" t="e">
        <f t="shared" si="58"/>
        <v>#NUM!</v>
      </c>
      <c r="C184" s="214">
        <f t="shared" si="59"/>
        <v>0</v>
      </c>
      <c r="D184" s="277">
        <f t="shared" si="60"/>
        <v>0</v>
      </c>
      <c r="E184" s="276">
        <f>'Core Indicators'!R184</f>
        <v>0</v>
      </c>
      <c r="F184" s="276">
        <f>'Core Indicators'!Z184</f>
        <v>0</v>
      </c>
      <c r="G184" s="214">
        <f t="shared" si="61"/>
        <v>0</v>
      </c>
      <c r="H184" s="276">
        <f>'Core Indicators'!AH184</f>
        <v>0</v>
      </c>
      <c r="I184" s="276">
        <f>'Core Indicators'!AP184</f>
        <v>0</v>
      </c>
      <c r="J184" s="276">
        <f>'Core Indicators'!BN184</f>
        <v>0</v>
      </c>
      <c r="K184" s="276">
        <f t="shared" si="62"/>
        <v>0</v>
      </c>
      <c r="L184" s="213">
        <f t="shared" si="63"/>
        <v>0</v>
      </c>
      <c r="M184" s="277">
        <f t="shared" si="64"/>
        <v>0</v>
      </c>
      <c r="N184" s="278">
        <f>'Core Indicators'!DJ184</f>
        <v>0</v>
      </c>
      <c r="O184" s="278">
        <f>'Core Indicators'!DR184</f>
        <v>0</v>
      </c>
      <c r="P184" s="278">
        <f>'Core Indicators'!DZ184</f>
        <v>0</v>
      </c>
      <c r="Q184" s="278">
        <f>'Core Indicators'!EH184</f>
        <v>0</v>
      </c>
      <c r="R184" s="278">
        <f>'Core Indicators'!EP184</f>
        <v>0</v>
      </c>
      <c r="S184" s="214" t="e">
        <f t="shared" si="65"/>
        <v>#NUM!</v>
      </c>
      <c r="T184" s="214">
        <f t="shared" si="66"/>
        <v>14.166666666666666</v>
      </c>
      <c r="U184" s="276">
        <v>1</v>
      </c>
      <c r="V184" s="276">
        <v>1</v>
      </c>
      <c r="W184" s="276">
        <f>'Core Indicators'!EX184</f>
        <v>0</v>
      </c>
      <c r="X184" s="214">
        <f t="shared" si="67"/>
        <v>0.5</v>
      </c>
      <c r="Y184" s="276">
        <v>41</v>
      </c>
      <c r="Z184" s="214">
        <f t="shared" si="68"/>
        <v>0</v>
      </c>
      <c r="AA184" s="276">
        <f>'Core Indicators'!FF184</f>
        <v>0</v>
      </c>
      <c r="AB184" s="276">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76">
        <f>Lists!C:C</f>
        <v>0</v>
      </c>
      <c r="B185" s="213" t="e">
        <f t="shared" si="58"/>
        <v>#NUM!</v>
      </c>
      <c r="C185" s="214">
        <f t="shared" si="59"/>
        <v>0</v>
      </c>
      <c r="D185" s="277">
        <f t="shared" si="60"/>
        <v>0</v>
      </c>
      <c r="E185" s="276">
        <f>'Core Indicators'!R185</f>
        <v>0</v>
      </c>
      <c r="F185" s="276">
        <f>'Core Indicators'!Z185</f>
        <v>0</v>
      </c>
      <c r="G185" s="214">
        <f t="shared" si="61"/>
        <v>0</v>
      </c>
      <c r="H185" s="276">
        <f>'Core Indicators'!AH185</f>
        <v>0</v>
      </c>
      <c r="I185" s="276">
        <f>'Core Indicators'!AP185</f>
        <v>0</v>
      </c>
      <c r="J185" s="276">
        <f>'Core Indicators'!BN185</f>
        <v>0</v>
      </c>
      <c r="K185" s="276">
        <f t="shared" si="62"/>
        <v>0</v>
      </c>
      <c r="L185" s="213">
        <f t="shared" si="63"/>
        <v>0</v>
      </c>
      <c r="M185" s="277">
        <f t="shared" si="64"/>
        <v>0</v>
      </c>
      <c r="N185" s="278">
        <f>'Core Indicators'!DJ185</f>
        <v>0</v>
      </c>
      <c r="O185" s="278">
        <f>'Core Indicators'!DR185</f>
        <v>0</v>
      </c>
      <c r="P185" s="278">
        <f>'Core Indicators'!DZ185</f>
        <v>0</v>
      </c>
      <c r="Q185" s="278">
        <f>'Core Indicators'!EH185</f>
        <v>0</v>
      </c>
      <c r="R185" s="278">
        <f>'Core Indicators'!EP185</f>
        <v>0</v>
      </c>
      <c r="S185" s="214" t="e">
        <f t="shared" si="65"/>
        <v>#NUM!</v>
      </c>
      <c r="T185" s="214">
        <f t="shared" si="66"/>
        <v>14.5</v>
      </c>
      <c r="U185" s="276">
        <v>1</v>
      </c>
      <c r="V185" s="276">
        <v>1</v>
      </c>
      <c r="W185" s="276">
        <f>'Core Indicators'!EX185</f>
        <v>0</v>
      </c>
      <c r="X185" s="214">
        <f t="shared" si="67"/>
        <v>0.5</v>
      </c>
      <c r="Y185" s="276">
        <v>42</v>
      </c>
      <c r="Z185" s="214">
        <f t="shared" si="68"/>
        <v>0</v>
      </c>
      <c r="AA185" s="276">
        <f>'Core Indicators'!FF185</f>
        <v>0</v>
      </c>
      <c r="AB185" s="276">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76">
        <f>Lists!C:C</f>
        <v>0</v>
      </c>
      <c r="B186" s="213" t="e">
        <f t="shared" si="58"/>
        <v>#NUM!</v>
      </c>
      <c r="C186" s="214">
        <f t="shared" si="59"/>
        <v>0</v>
      </c>
      <c r="D186" s="277">
        <f t="shared" si="60"/>
        <v>0</v>
      </c>
      <c r="E186" s="276">
        <f>'Core Indicators'!R186</f>
        <v>0</v>
      </c>
      <c r="F186" s="276">
        <f>'Core Indicators'!Z186</f>
        <v>0</v>
      </c>
      <c r="G186" s="214">
        <f t="shared" si="61"/>
        <v>0</v>
      </c>
      <c r="H186" s="276">
        <f>'Core Indicators'!AH186</f>
        <v>0</v>
      </c>
      <c r="I186" s="276">
        <f>'Core Indicators'!AP186</f>
        <v>0</v>
      </c>
      <c r="J186" s="276">
        <f>'Core Indicators'!BN186</f>
        <v>0</v>
      </c>
      <c r="K186" s="276">
        <f t="shared" si="62"/>
        <v>0</v>
      </c>
      <c r="L186" s="213">
        <f t="shared" si="63"/>
        <v>0</v>
      </c>
      <c r="M186" s="277">
        <f t="shared" si="64"/>
        <v>0</v>
      </c>
      <c r="N186" s="278">
        <f>'Core Indicators'!DJ186</f>
        <v>0</v>
      </c>
      <c r="O186" s="278">
        <f>'Core Indicators'!DR186</f>
        <v>0</v>
      </c>
      <c r="P186" s="278">
        <f>'Core Indicators'!DZ186</f>
        <v>0</v>
      </c>
      <c r="Q186" s="278">
        <f>'Core Indicators'!EH186</f>
        <v>0</v>
      </c>
      <c r="R186" s="278">
        <f>'Core Indicators'!EP186</f>
        <v>0</v>
      </c>
      <c r="S186" s="214" t="e">
        <f t="shared" si="65"/>
        <v>#NUM!</v>
      </c>
      <c r="T186" s="214">
        <f t="shared" si="66"/>
        <v>14.833333333333334</v>
      </c>
      <c r="U186" s="276">
        <v>1</v>
      </c>
      <c r="V186" s="276">
        <v>1</v>
      </c>
      <c r="W186" s="276">
        <f>'Core Indicators'!EX186</f>
        <v>0</v>
      </c>
      <c r="X186" s="214">
        <f t="shared" si="67"/>
        <v>0.5</v>
      </c>
      <c r="Y186" s="276">
        <v>43</v>
      </c>
      <c r="Z186" s="214">
        <f t="shared" si="68"/>
        <v>0</v>
      </c>
      <c r="AA186" s="276">
        <f>'Core Indicators'!FF186</f>
        <v>0</v>
      </c>
      <c r="AB186" s="276">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76">
        <f>Lists!C:C</f>
        <v>0</v>
      </c>
      <c r="B187" s="213" t="e">
        <f t="shared" si="58"/>
        <v>#NUM!</v>
      </c>
      <c r="C187" s="214">
        <f t="shared" si="59"/>
        <v>0</v>
      </c>
      <c r="D187" s="277">
        <f t="shared" si="60"/>
        <v>0</v>
      </c>
      <c r="E187" s="276">
        <f>'Core Indicators'!R187</f>
        <v>0</v>
      </c>
      <c r="F187" s="276">
        <f>'Core Indicators'!Z187</f>
        <v>0</v>
      </c>
      <c r="G187" s="214">
        <f t="shared" si="61"/>
        <v>0</v>
      </c>
      <c r="H187" s="276">
        <f>'Core Indicators'!AH187</f>
        <v>0</v>
      </c>
      <c r="I187" s="276">
        <f>'Core Indicators'!AP187</f>
        <v>0</v>
      </c>
      <c r="J187" s="276">
        <f>'Core Indicators'!BN187</f>
        <v>0</v>
      </c>
      <c r="K187" s="276">
        <f t="shared" si="62"/>
        <v>0</v>
      </c>
      <c r="L187" s="213">
        <f t="shared" si="63"/>
        <v>0</v>
      </c>
      <c r="M187" s="277">
        <f t="shared" si="64"/>
        <v>0</v>
      </c>
      <c r="N187" s="278">
        <f>'Core Indicators'!DJ187</f>
        <v>0</v>
      </c>
      <c r="O187" s="278">
        <f>'Core Indicators'!DR187</f>
        <v>0</v>
      </c>
      <c r="P187" s="278">
        <f>'Core Indicators'!DZ187</f>
        <v>0</v>
      </c>
      <c r="Q187" s="278">
        <f>'Core Indicators'!EH187</f>
        <v>0</v>
      </c>
      <c r="R187" s="278">
        <f>'Core Indicators'!EP187</f>
        <v>0</v>
      </c>
      <c r="S187" s="214" t="e">
        <f t="shared" si="65"/>
        <v>#NUM!</v>
      </c>
      <c r="T187" s="214">
        <f t="shared" si="66"/>
        <v>15.166666666666666</v>
      </c>
      <c r="U187" s="276">
        <v>1</v>
      </c>
      <c r="V187" s="276">
        <v>1</v>
      </c>
      <c r="W187" s="276">
        <f>'Core Indicators'!EX187</f>
        <v>0</v>
      </c>
      <c r="X187" s="214">
        <f t="shared" si="67"/>
        <v>0.5</v>
      </c>
      <c r="Y187" s="276">
        <v>44</v>
      </c>
      <c r="Z187" s="214">
        <f t="shared" si="68"/>
        <v>0</v>
      </c>
      <c r="AA187" s="276">
        <f>'Core Indicators'!FF187</f>
        <v>0</v>
      </c>
      <c r="AB187" s="276">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76">
        <f>Lists!C:C</f>
        <v>0</v>
      </c>
      <c r="B188" s="213" t="e">
        <f t="shared" si="58"/>
        <v>#NUM!</v>
      </c>
      <c r="C188" s="214">
        <f t="shared" si="59"/>
        <v>0</v>
      </c>
      <c r="D188" s="277">
        <f t="shared" si="60"/>
        <v>0</v>
      </c>
      <c r="E188" s="276">
        <f>'Core Indicators'!R188</f>
        <v>0</v>
      </c>
      <c r="F188" s="276">
        <f>'Core Indicators'!Z188</f>
        <v>0</v>
      </c>
      <c r="G188" s="214">
        <f t="shared" si="61"/>
        <v>0</v>
      </c>
      <c r="H188" s="276">
        <f>'Core Indicators'!AH188</f>
        <v>0</v>
      </c>
      <c r="I188" s="276">
        <f>'Core Indicators'!AP188</f>
        <v>0</v>
      </c>
      <c r="J188" s="276">
        <f>'Core Indicators'!BN188</f>
        <v>0</v>
      </c>
      <c r="K188" s="276">
        <f t="shared" si="62"/>
        <v>0</v>
      </c>
      <c r="L188" s="213">
        <f t="shared" si="63"/>
        <v>0</v>
      </c>
      <c r="M188" s="277">
        <f t="shared" si="64"/>
        <v>0</v>
      </c>
      <c r="N188" s="278">
        <f>'Core Indicators'!DJ188</f>
        <v>0</v>
      </c>
      <c r="O188" s="278">
        <f>'Core Indicators'!DR188</f>
        <v>0</v>
      </c>
      <c r="P188" s="278">
        <f>'Core Indicators'!DZ188</f>
        <v>0</v>
      </c>
      <c r="Q188" s="278">
        <f>'Core Indicators'!EH188</f>
        <v>0</v>
      </c>
      <c r="R188" s="278">
        <f>'Core Indicators'!EP188</f>
        <v>0</v>
      </c>
      <c r="S188" s="214" t="e">
        <f t="shared" si="65"/>
        <v>#NUM!</v>
      </c>
      <c r="T188" s="214">
        <f t="shared" si="66"/>
        <v>15.5</v>
      </c>
      <c r="U188" s="276">
        <v>1</v>
      </c>
      <c r="V188" s="276">
        <v>1</v>
      </c>
      <c r="W188" s="276">
        <f>'Core Indicators'!EX188</f>
        <v>0</v>
      </c>
      <c r="X188" s="214">
        <f t="shared" si="67"/>
        <v>0.5</v>
      </c>
      <c r="Y188" s="276">
        <v>45</v>
      </c>
      <c r="Z188" s="214">
        <f t="shared" si="68"/>
        <v>0</v>
      </c>
      <c r="AA188" s="276">
        <f>'Core Indicators'!FF188</f>
        <v>0</v>
      </c>
      <c r="AB188" s="276">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76">
        <f>Lists!C:C</f>
        <v>0</v>
      </c>
      <c r="B189" s="213" t="e">
        <f t="shared" si="58"/>
        <v>#NUM!</v>
      </c>
      <c r="C189" s="214">
        <f t="shared" si="59"/>
        <v>0</v>
      </c>
      <c r="D189" s="277">
        <f t="shared" si="60"/>
        <v>0</v>
      </c>
      <c r="E189" s="276">
        <f>'Core Indicators'!R189</f>
        <v>0</v>
      </c>
      <c r="F189" s="276">
        <f>'Core Indicators'!Z189</f>
        <v>0</v>
      </c>
      <c r="G189" s="214">
        <f t="shared" si="61"/>
        <v>0</v>
      </c>
      <c r="H189" s="276">
        <f>'Core Indicators'!AH189</f>
        <v>0</v>
      </c>
      <c r="I189" s="276">
        <f>'Core Indicators'!AP189</f>
        <v>0</v>
      </c>
      <c r="J189" s="276">
        <f>'Core Indicators'!BN189</f>
        <v>0</v>
      </c>
      <c r="K189" s="276">
        <f t="shared" si="62"/>
        <v>0</v>
      </c>
      <c r="L189" s="213">
        <f t="shared" si="63"/>
        <v>0</v>
      </c>
      <c r="M189" s="277">
        <f t="shared" si="64"/>
        <v>0</v>
      </c>
      <c r="N189" s="278">
        <f>'Core Indicators'!DJ189</f>
        <v>0</v>
      </c>
      <c r="O189" s="278">
        <f>'Core Indicators'!DR189</f>
        <v>0</v>
      </c>
      <c r="P189" s="278">
        <f>'Core Indicators'!DZ189</f>
        <v>0</v>
      </c>
      <c r="Q189" s="278">
        <f>'Core Indicators'!EH189</f>
        <v>0</v>
      </c>
      <c r="R189" s="278">
        <f>'Core Indicators'!EP189</f>
        <v>0</v>
      </c>
      <c r="S189" s="214" t="e">
        <f t="shared" si="65"/>
        <v>#NUM!</v>
      </c>
      <c r="T189" s="214">
        <f t="shared" si="66"/>
        <v>15.833333333333334</v>
      </c>
      <c r="U189" s="276">
        <v>1</v>
      </c>
      <c r="V189" s="276">
        <v>1</v>
      </c>
      <c r="W189" s="276">
        <f>'Core Indicators'!EX189</f>
        <v>0</v>
      </c>
      <c r="X189" s="214">
        <f t="shared" si="67"/>
        <v>0.5</v>
      </c>
      <c r="Y189" s="276">
        <v>46</v>
      </c>
      <c r="Z189" s="214">
        <f t="shared" si="68"/>
        <v>0</v>
      </c>
      <c r="AA189" s="276">
        <f>'Core Indicators'!FF189</f>
        <v>0</v>
      </c>
      <c r="AB189" s="276">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76">
        <f>Lists!C:C</f>
        <v>0</v>
      </c>
      <c r="B190" s="213" t="e">
        <f t="shared" si="58"/>
        <v>#NUM!</v>
      </c>
      <c r="C190" s="214">
        <f t="shared" si="59"/>
        <v>0</v>
      </c>
      <c r="D190" s="277">
        <f t="shared" si="60"/>
        <v>0</v>
      </c>
      <c r="E190" s="276">
        <f>'Core Indicators'!R190</f>
        <v>0</v>
      </c>
      <c r="F190" s="276">
        <f>'Core Indicators'!Z190</f>
        <v>0</v>
      </c>
      <c r="G190" s="214">
        <f t="shared" si="61"/>
        <v>0</v>
      </c>
      <c r="H190" s="276">
        <f>'Core Indicators'!AH190</f>
        <v>0</v>
      </c>
      <c r="I190" s="276">
        <f>'Core Indicators'!AP190</f>
        <v>0</v>
      </c>
      <c r="J190" s="276">
        <f>'Core Indicators'!BN190</f>
        <v>0</v>
      </c>
      <c r="K190" s="276">
        <f t="shared" si="62"/>
        <v>0</v>
      </c>
      <c r="L190" s="213">
        <f t="shared" si="63"/>
        <v>0</v>
      </c>
      <c r="M190" s="277">
        <f t="shared" si="64"/>
        <v>0</v>
      </c>
      <c r="N190" s="278">
        <f>'Core Indicators'!DJ190</f>
        <v>0</v>
      </c>
      <c r="O190" s="278">
        <f>'Core Indicators'!DR190</f>
        <v>0</v>
      </c>
      <c r="P190" s="278">
        <f>'Core Indicators'!DZ190</f>
        <v>0</v>
      </c>
      <c r="Q190" s="278">
        <f>'Core Indicators'!EH190</f>
        <v>0</v>
      </c>
      <c r="R190" s="278">
        <f>'Core Indicators'!EP190</f>
        <v>0</v>
      </c>
      <c r="S190" s="214" t="e">
        <f t="shared" si="65"/>
        <v>#NUM!</v>
      </c>
      <c r="T190" s="214">
        <f t="shared" si="66"/>
        <v>16.166666666666668</v>
      </c>
      <c r="U190" s="276">
        <v>1</v>
      </c>
      <c r="V190" s="276">
        <v>1</v>
      </c>
      <c r="W190" s="276">
        <f>'Core Indicators'!EX190</f>
        <v>0</v>
      </c>
      <c r="X190" s="214">
        <f t="shared" si="67"/>
        <v>0.5</v>
      </c>
      <c r="Y190" s="276">
        <v>47</v>
      </c>
      <c r="Z190" s="214">
        <f t="shared" si="68"/>
        <v>0</v>
      </c>
      <c r="AA190" s="276">
        <f>'Core Indicators'!FF190</f>
        <v>0</v>
      </c>
      <c r="AB190" s="276">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76">
        <f>Lists!C:C</f>
        <v>0</v>
      </c>
      <c r="B191" s="213" t="e">
        <f t="shared" si="58"/>
        <v>#NUM!</v>
      </c>
      <c r="C191" s="214">
        <f t="shared" si="59"/>
        <v>0</v>
      </c>
      <c r="D191" s="277">
        <f t="shared" si="60"/>
        <v>0</v>
      </c>
      <c r="E191" s="276">
        <f>'Core Indicators'!R191</f>
        <v>0</v>
      </c>
      <c r="F191" s="276">
        <f>'Core Indicators'!Z191</f>
        <v>0</v>
      </c>
      <c r="G191" s="214">
        <f t="shared" si="61"/>
        <v>0</v>
      </c>
      <c r="H191" s="276">
        <f>'Core Indicators'!AH191</f>
        <v>0</v>
      </c>
      <c r="I191" s="276">
        <f>'Core Indicators'!AP191</f>
        <v>0</v>
      </c>
      <c r="J191" s="276">
        <f>'Core Indicators'!BN191</f>
        <v>0</v>
      </c>
      <c r="K191" s="276">
        <f t="shared" si="62"/>
        <v>0</v>
      </c>
      <c r="L191" s="213">
        <f t="shared" si="63"/>
        <v>0</v>
      </c>
      <c r="M191" s="277">
        <f t="shared" si="64"/>
        <v>0</v>
      </c>
      <c r="N191" s="278">
        <f>'Core Indicators'!DJ191</f>
        <v>0</v>
      </c>
      <c r="O191" s="278">
        <f>'Core Indicators'!DR191</f>
        <v>0</v>
      </c>
      <c r="P191" s="278">
        <f>'Core Indicators'!DZ191</f>
        <v>0</v>
      </c>
      <c r="Q191" s="278">
        <f>'Core Indicators'!EH191</f>
        <v>0</v>
      </c>
      <c r="R191" s="278">
        <f>'Core Indicators'!EP191</f>
        <v>0</v>
      </c>
      <c r="S191" s="214" t="e">
        <f t="shared" si="65"/>
        <v>#NUM!</v>
      </c>
      <c r="T191" s="214">
        <f t="shared" si="66"/>
        <v>16.5</v>
      </c>
      <c r="U191" s="276">
        <v>1</v>
      </c>
      <c r="V191" s="276">
        <v>1</v>
      </c>
      <c r="W191" s="276">
        <f>'Core Indicators'!EX191</f>
        <v>0</v>
      </c>
      <c r="X191" s="214">
        <f t="shared" si="67"/>
        <v>0.5</v>
      </c>
      <c r="Y191" s="276">
        <v>48</v>
      </c>
      <c r="Z191" s="214">
        <f t="shared" si="68"/>
        <v>0</v>
      </c>
      <c r="AA191" s="276">
        <f>'Core Indicators'!FF191</f>
        <v>0</v>
      </c>
      <c r="AB191" s="276">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76">
        <f>Lists!C:C</f>
        <v>0</v>
      </c>
      <c r="B192" s="213" t="e">
        <f t="shared" si="58"/>
        <v>#NUM!</v>
      </c>
      <c r="C192" s="214">
        <f t="shared" si="59"/>
        <v>0</v>
      </c>
      <c r="D192" s="277">
        <f t="shared" si="60"/>
        <v>0</v>
      </c>
      <c r="E192" s="276">
        <f>'Core Indicators'!R192</f>
        <v>0</v>
      </c>
      <c r="F192" s="276">
        <f>'Core Indicators'!Z192</f>
        <v>0</v>
      </c>
      <c r="G192" s="214">
        <f t="shared" si="61"/>
        <v>0</v>
      </c>
      <c r="H192" s="276">
        <f>'Core Indicators'!AH192</f>
        <v>0</v>
      </c>
      <c r="I192" s="276">
        <f>'Core Indicators'!AP192</f>
        <v>0</v>
      </c>
      <c r="J192" s="276">
        <f>'Core Indicators'!BN192</f>
        <v>0</v>
      </c>
      <c r="K192" s="276">
        <f t="shared" si="62"/>
        <v>0</v>
      </c>
      <c r="L192" s="213">
        <f t="shared" si="63"/>
        <v>0</v>
      </c>
      <c r="M192" s="277">
        <f t="shared" si="64"/>
        <v>0</v>
      </c>
      <c r="N192" s="278">
        <f>'Core Indicators'!DJ192</f>
        <v>0</v>
      </c>
      <c r="O192" s="278">
        <f>'Core Indicators'!DR192</f>
        <v>0</v>
      </c>
      <c r="P192" s="278">
        <f>'Core Indicators'!DZ192</f>
        <v>0</v>
      </c>
      <c r="Q192" s="278">
        <f>'Core Indicators'!EH192</f>
        <v>0</v>
      </c>
      <c r="R192" s="278">
        <f>'Core Indicators'!EP192</f>
        <v>0</v>
      </c>
      <c r="S192" s="214" t="e">
        <f t="shared" si="65"/>
        <v>#NUM!</v>
      </c>
      <c r="T192" s="214">
        <f t="shared" si="66"/>
        <v>16.833333333333332</v>
      </c>
      <c r="U192" s="276">
        <v>1</v>
      </c>
      <c r="V192" s="276">
        <v>1</v>
      </c>
      <c r="W192" s="276">
        <f>'Core Indicators'!EX192</f>
        <v>0</v>
      </c>
      <c r="X192" s="214">
        <f t="shared" si="67"/>
        <v>0.5</v>
      </c>
      <c r="Y192" s="276">
        <v>49</v>
      </c>
      <c r="Z192" s="214">
        <f t="shared" si="68"/>
        <v>0</v>
      </c>
      <c r="AA192" s="276">
        <f>'Core Indicators'!FF192</f>
        <v>0</v>
      </c>
      <c r="AB192" s="276">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76">
        <f>Lists!C:C</f>
        <v>0</v>
      </c>
      <c r="B193" s="213" t="e">
        <f t="shared" si="58"/>
        <v>#NUM!</v>
      </c>
      <c r="C193" s="214">
        <f t="shared" si="59"/>
        <v>0</v>
      </c>
      <c r="D193" s="277">
        <f t="shared" si="60"/>
        <v>0</v>
      </c>
      <c r="E193" s="276">
        <f>'Core Indicators'!R193</f>
        <v>0</v>
      </c>
      <c r="F193" s="276">
        <f>'Core Indicators'!Z193</f>
        <v>0</v>
      </c>
      <c r="G193" s="214">
        <f t="shared" si="61"/>
        <v>0</v>
      </c>
      <c r="H193" s="276">
        <f>'Core Indicators'!AH193</f>
        <v>0</v>
      </c>
      <c r="I193" s="276">
        <f>'Core Indicators'!AP193</f>
        <v>0</v>
      </c>
      <c r="J193" s="276">
        <f>'Core Indicators'!BN193</f>
        <v>0</v>
      </c>
      <c r="K193" s="276">
        <f t="shared" si="62"/>
        <v>0</v>
      </c>
      <c r="L193" s="213">
        <f t="shared" si="63"/>
        <v>0</v>
      </c>
      <c r="M193" s="277">
        <f t="shared" si="64"/>
        <v>0</v>
      </c>
      <c r="N193" s="278">
        <f>'Core Indicators'!DJ193</f>
        <v>0</v>
      </c>
      <c r="O193" s="278">
        <f>'Core Indicators'!DR193</f>
        <v>0</v>
      </c>
      <c r="P193" s="278">
        <f>'Core Indicators'!DZ193</f>
        <v>0</v>
      </c>
      <c r="Q193" s="278">
        <f>'Core Indicators'!EH193</f>
        <v>0</v>
      </c>
      <c r="R193" s="278">
        <f>'Core Indicators'!EP193</f>
        <v>0</v>
      </c>
      <c r="S193" s="214" t="e">
        <f t="shared" si="65"/>
        <v>#NUM!</v>
      </c>
      <c r="T193" s="214">
        <f t="shared" si="66"/>
        <v>17.166666666666668</v>
      </c>
      <c r="U193" s="276">
        <v>1</v>
      </c>
      <c r="V193" s="276">
        <v>1</v>
      </c>
      <c r="W193" s="276">
        <f>'Core Indicators'!EX193</f>
        <v>0</v>
      </c>
      <c r="X193" s="214">
        <f t="shared" si="67"/>
        <v>0.5</v>
      </c>
      <c r="Y193" s="276">
        <v>50</v>
      </c>
      <c r="Z193" s="214">
        <f t="shared" si="68"/>
        <v>0</v>
      </c>
      <c r="AA193" s="276">
        <f>'Core Indicators'!FF193</f>
        <v>0</v>
      </c>
      <c r="AB193" s="276">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76">
        <f>Lists!C:C</f>
        <v>0</v>
      </c>
      <c r="B194" s="213" t="e">
        <f t="shared" si="58"/>
        <v>#NUM!</v>
      </c>
      <c r="C194" s="214">
        <f t="shared" si="59"/>
        <v>0</v>
      </c>
      <c r="D194" s="277">
        <f t="shared" si="60"/>
        <v>0</v>
      </c>
      <c r="E194" s="276">
        <f>'Core Indicators'!R194</f>
        <v>0</v>
      </c>
      <c r="F194" s="276">
        <f>'Core Indicators'!Z194</f>
        <v>0</v>
      </c>
      <c r="G194" s="214">
        <f t="shared" si="61"/>
        <v>0</v>
      </c>
      <c r="H194" s="276">
        <f>'Core Indicators'!AH194</f>
        <v>0</v>
      </c>
      <c r="I194" s="276">
        <f>'Core Indicators'!AP194</f>
        <v>0</v>
      </c>
      <c r="J194" s="276">
        <f>'Core Indicators'!BN194</f>
        <v>0</v>
      </c>
      <c r="K194" s="276">
        <f t="shared" si="62"/>
        <v>0</v>
      </c>
      <c r="L194" s="213">
        <f t="shared" si="63"/>
        <v>0</v>
      </c>
      <c r="M194" s="277">
        <f t="shared" si="64"/>
        <v>0</v>
      </c>
      <c r="N194" s="278">
        <f>'Core Indicators'!DJ194</f>
        <v>0</v>
      </c>
      <c r="O194" s="278">
        <f>'Core Indicators'!DR194</f>
        <v>0</v>
      </c>
      <c r="P194" s="278">
        <f>'Core Indicators'!DZ194</f>
        <v>0</v>
      </c>
      <c r="Q194" s="278">
        <f>'Core Indicators'!EH194</f>
        <v>0</v>
      </c>
      <c r="R194" s="278">
        <f>'Core Indicators'!EP194</f>
        <v>0</v>
      </c>
      <c r="S194" s="214" t="e">
        <f t="shared" si="65"/>
        <v>#NUM!</v>
      </c>
      <c r="T194" s="214">
        <f t="shared" si="66"/>
        <v>17.5</v>
      </c>
      <c r="U194" s="276">
        <v>1</v>
      </c>
      <c r="V194" s="276">
        <v>1</v>
      </c>
      <c r="W194" s="276">
        <f>'Core Indicators'!EX194</f>
        <v>0</v>
      </c>
      <c r="X194" s="214">
        <f t="shared" si="67"/>
        <v>0.5</v>
      </c>
      <c r="Y194" s="276">
        <v>51</v>
      </c>
      <c r="Z194" s="214">
        <f t="shared" si="68"/>
        <v>0</v>
      </c>
      <c r="AA194" s="276">
        <f>'Core Indicators'!FF194</f>
        <v>0</v>
      </c>
      <c r="AB194" s="276">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76">
        <f>Lists!C:C</f>
        <v>0</v>
      </c>
      <c r="B195" s="213" t="e">
        <f t="shared" si="58"/>
        <v>#NUM!</v>
      </c>
      <c r="C195" s="214">
        <f t="shared" si="59"/>
        <v>0</v>
      </c>
      <c r="D195" s="277">
        <f t="shared" si="60"/>
        <v>0</v>
      </c>
      <c r="E195" s="276">
        <f>'Core Indicators'!R195</f>
        <v>0</v>
      </c>
      <c r="F195" s="276">
        <f>'Core Indicators'!Z195</f>
        <v>0</v>
      </c>
      <c r="G195" s="214">
        <f t="shared" si="61"/>
        <v>0</v>
      </c>
      <c r="H195" s="276">
        <f>'Core Indicators'!AH195</f>
        <v>0</v>
      </c>
      <c r="I195" s="276">
        <f>'Core Indicators'!AP195</f>
        <v>0</v>
      </c>
      <c r="J195" s="276">
        <f>'Core Indicators'!BN195</f>
        <v>0</v>
      </c>
      <c r="K195" s="276">
        <f t="shared" si="62"/>
        <v>0</v>
      </c>
      <c r="L195" s="213">
        <f t="shared" si="63"/>
        <v>0</v>
      </c>
      <c r="M195" s="277">
        <f t="shared" si="64"/>
        <v>0</v>
      </c>
      <c r="N195" s="278">
        <f>'Core Indicators'!DJ195</f>
        <v>0</v>
      </c>
      <c r="O195" s="278">
        <f>'Core Indicators'!DR195</f>
        <v>0</v>
      </c>
      <c r="P195" s="278">
        <f>'Core Indicators'!DZ195</f>
        <v>0</v>
      </c>
      <c r="Q195" s="278">
        <f>'Core Indicators'!EH195</f>
        <v>0</v>
      </c>
      <c r="R195" s="278">
        <f>'Core Indicators'!EP195</f>
        <v>0</v>
      </c>
      <c r="S195" s="214" t="e">
        <f t="shared" si="65"/>
        <v>#NUM!</v>
      </c>
      <c r="T195" s="214">
        <f t="shared" si="66"/>
        <v>17.833333333333332</v>
      </c>
      <c r="U195" s="276">
        <v>1</v>
      </c>
      <c r="V195" s="276">
        <v>1</v>
      </c>
      <c r="W195" s="276">
        <f>'Core Indicators'!EX195</f>
        <v>0</v>
      </c>
      <c r="X195" s="214">
        <f t="shared" si="67"/>
        <v>0.5</v>
      </c>
      <c r="Y195" s="276">
        <v>52</v>
      </c>
      <c r="Z195" s="214">
        <f t="shared" si="68"/>
        <v>0</v>
      </c>
      <c r="AA195" s="276">
        <f>'Core Indicators'!FF195</f>
        <v>0</v>
      </c>
      <c r="AB195" s="276">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76">
        <f>Lists!C:C</f>
        <v>0</v>
      </c>
      <c r="B196" s="213" t="e">
        <f t="shared" si="58"/>
        <v>#NUM!</v>
      </c>
      <c r="C196" s="214">
        <f t="shared" si="59"/>
        <v>0</v>
      </c>
      <c r="D196" s="277">
        <f t="shared" si="60"/>
        <v>0</v>
      </c>
      <c r="E196" s="276">
        <f>'Core Indicators'!R196</f>
        <v>0</v>
      </c>
      <c r="F196" s="276">
        <f>'Core Indicators'!Z196</f>
        <v>0</v>
      </c>
      <c r="G196" s="214">
        <f t="shared" si="61"/>
        <v>0</v>
      </c>
      <c r="H196" s="276">
        <f>'Core Indicators'!AH196</f>
        <v>0</v>
      </c>
      <c r="I196" s="276">
        <f>'Core Indicators'!AP196</f>
        <v>0</v>
      </c>
      <c r="J196" s="276">
        <f>'Core Indicators'!BN196</f>
        <v>0</v>
      </c>
      <c r="K196" s="276">
        <f t="shared" si="62"/>
        <v>0</v>
      </c>
      <c r="L196" s="213">
        <f t="shared" si="63"/>
        <v>0</v>
      </c>
      <c r="M196" s="277">
        <f t="shared" si="64"/>
        <v>0</v>
      </c>
      <c r="N196" s="278">
        <f>'Core Indicators'!DJ196</f>
        <v>0</v>
      </c>
      <c r="O196" s="278">
        <f>'Core Indicators'!DR196</f>
        <v>0</v>
      </c>
      <c r="P196" s="278">
        <f>'Core Indicators'!DZ196</f>
        <v>0</v>
      </c>
      <c r="Q196" s="278">
        <f>'Core Indicators'!EH196</f>
        <v>0</v>
      </c>
      <c r="R196" s="278">
        <f>'Core Indicators'!EP196</f>
        <v>0</v>
      </c>
      <c r="S196" s="214" t="e">
        <f t="shared" si="65"/>
        <v>#NUM!</v>
      </c>
      <c r="T196" s="214">
        <f t="shared" si="66"/>
        <v>18.166666666666668</v>
      </c>
      <c r="U196" s="276">
        <v>1</v>
      </c>
      <c r="V196" s="276">
        <v>1</v>
      </c>
      <c r="W196" s="276">
        <f>'Core Indicators'!EX196</f>
        <v>0</v>
      </c>
      <c r="X196" s="214">
        <f t="shared" si="67"/>
        <v>0.5</v>
      </c>
      <c r="Y196" s="276">
        <v>53</v>
      </c>
      <c r="Z196" s="214">
        <f t="shared" si="68"/>
        <v>0</v>
      </c>
      <c r="AA196" s="276">
        <f>'Core Indicators'!FF196</f>
        <v>0</v>
      </c>
      <c r="AB196" s="276">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76">
        <f>Lists!C:C</f>
        <v>0</v>
      </c>
      <c r="B197" s="213" t="e">
        <f t="shared" si="58"/>
        <v>#NUM!</v>
      </c>
      <c r="C197" s="214">
        <f t="shared" si="59"/>
        <v>0</v>
      </c>
      <c r="D197" s="277">
        <f t="shared" si="60"/>
        <v>0</v>
      </c>
      <c r="E197" s="276">
        <f>'Core Indicators'!R197</f>
        <v>0</v>
      </c>
      <c r="F197" s="276">
        <f>'Core Indicators'!Z197</f>
        <v>0</v>
      </c>
      <c r="G197" s="214">
        <f t="shared" si="61"/>
        <v>0</v>
      </c>
      <c r="H197" s="276">
        <f>'Core Indicators'!AH197</f>
        <v>0</v>
      </c>
      <c r="I197" s="276">
        <f>'Core Indicators'!AP197</f>
        <v>0</v>
      </c>
      <c r="J197" s="276">
        <f>'Core Indicators'!BN197</f>
        <v>0</v>
      </c>
      <c r="K197" s="276">
        <f t="shared" si="62"/>
        <v>0</v>
      </c>
      <c r="L197" s="213">
        <f t="shared" si="63"/>
        <v>0</v>
      </c>
      <c r="M197" s="277">
        <f t="shared" si="64"/>
        <v>0</v>
      </c>
      <c r="N197" s="278">
        <f>'Core Indicators'!DJ197</f>
        <v>0</v>
      </c>
      <c r="O197" s="278">
        <f>'Core Indicators'!DR197</f>
        <v>0</v>
      </c>
      <c r="P197" s="278">
        <f>'Core Indicators'!DZ197</f>
        <v>0</v>
      </c>
      <c r="Q197" s="278">
        <f>'Core Indicators'!EH197</f>
        <v>0</v>
      </c>
      <c r="R197" s="278">
        <f>'Core Indicators'!EP197</f>
        <v>0</v>
      </c>
      <c r="S197" s="214" t="e">
        <f t="shared" si="65"/>
        <v>#NUM!</v>
      </c>
      <c r="T197" s="214">
        <f t="shared" si="66"/>
        <v>18.5</v>
      </c>
      <c r="U197" s="276">
        <v>1</v>
      </c>
      <c r="V197" s="276">
        <v>1</v>
      </c>
      <c r="W197" s="276">
        <f>'Core Indicators'!EX197</f>
        <v>0</v>
      </c>
      <c r="X197" s="214">
        <f t="shared" si="67"/>
        <v>0.5</v>
      </c>
      <c r="Y197" s="276">
        <v>54</v>
      </c>
      <c r="Z197" s="214">
        <f t="shared" si="68"/>
        <v>0</v>
      </c>
      <c r="AA197" s="276">
        <f>'Core Indicators'!FF197</f>
        <v>0</v>
      </c>
      <c r="AB197" s="276">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76">
        <f>Lists!C:C</f>
        <v>0</v>
      </c>
      <c r="B198" s="213" t="e">
        <f t="shared" si="58"/>
        <v>#NUM!</v>
      </c>
      <c r="C198" s="214">
        <f t="shared" si="59"/>
        <v>0</v>
      </c>
      <c r="D198" s="277">
        <f t="shared" si="60"/>
        <v>0</v>
      </c>
      <c r="E198" s="276">
        <f>'Core Indicators'!R198</f>
        <v>0</v>
      </c>
      <c r="F198" s="276">
        <f>'Core Indicators'!Z198</f>
        <v>0</v>
      </c>
      <c r="G198" s="214">
        <f t="shared" si="61"/>
        <v>0</v>
      </c>
      <c r="H198" s="276">
        <f>'Core Indicators'!AH198</f>
        <v>0</v>
      </c>
      <c r="I198" s="276">
        <f>'Core Indicators'!AP198</f>
        <v>0</v>
      </c>
      <c r="J198" s="276">
        <f>'Core Indicators'!BN198</f>
        <v>0</v>
      </c>
      <c r="K198" s="276">
        <f t="shared" si="62"/>
        <v>0</v>
      </c>
      <c r="L198" s="213">
        <f t="shared" si="63"/>
        <v>0</v>
      </c>
      <c r="M198" s="277">
        <f t="shared" si="64"/>
        <v>0</v>
      </c>
      <c r="N198" s="278">
        <f>'Core Indicators'!DJ198</f>
        <v>0</v>
      </c>
      <c r="O198" s="278">
        <f>'Core Indicators'!DR198</f>
        <v>0</v>
      </c>
      <c r="P198" s="278">
        <f>'Core Indicators'!DZ198</f>
        <v>0</v>
      </c>
      <c r="Q198" s="278">
        <f>'Core Indicators'!EH198</f>
        <v>0</v>
      </c>
      <c r="R198" s="278">
        <f>'Core Indicators'!EP198</f>
        <v>0</v>
      </c>
      <c r="S198" s="214" t="e">
        <f t="shared" si="65"/>
        <v>#NUM!</v>
      </c>
      <c r="T198" s="214">
        <f t="shared" si="66"/>
        <v>18.833333333333332</v>
      </c>
      <c r="U198" s="276">
        <v>1</v>
      </c>
      <c r="V198" s="276">
        <v>1</v>
      </c>
      <c r="W198" s="276">
        <f>'Core Indicators'!EX198</f>
        <v>0</v>
      </c>
      <c r="X198" s="214">
        <f t="shared" si="67"/>
        <v>0.5</v>
      </c>
      <c r="Y198" s="276">
        <v>55</v>
      </c>
      <c r="Z198" s="214">
        <f t="shared" si="68"/>
        <v>0</v>
      </c>
      <c r="AA198" s="276">
        <f>'Core Indicators'!FF198</f>
        <v>0</v>
      </c>
      <c r="AB198" s="276">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76">
        <f>Lists!C:C</f>
        <v>0</v>
      </c>
      <c r="B199" s="213" t="e">
        <f t="shared" si="58"/>
        <v>#NUM!</v>
      </c>
      <c r="C199" s="214">
        <f t="shared" si="59"/>
        <v>0</v>
      </c>
      <c r="D199" s="277">
        <f t="shared" si="60"/>
        <v>0</v>
      </c>
      <c r="E199" s="276">
        <f>'Core Indicators'!R199</f>
        <v>0</v>
      </c>
      <c r="F199" s="276">
        <f>'Core Indicators'!Z199</f>
        <v>0</v>
      </c>
      <c r="G199" s="214">
        <f t="shared" si="61"/>
        <v>0</v>
      </c>
      <c r="H199" s="276">
        <f>'Core Indicators'!AH199</f>
        <v>0</v>
      </c>
      <c r="I199" s="276">
        <f>'Core Indicators'!AP199</f>
        <v>0</v>
      </c>
      <c r="J199" s="276">
        <f>'Core Indicators'!BN199</f>
        <v>0</v>
      </c>
      <c r="K199" s="276">
        <f t="shared" si="62"/>
        <v>0</v>
      </c>
      <c r="L199" s="213">
        <f t="shared" si="63"/>
        <v>0</v>
      </c>
      <c r="M199" s="277">
        <f t="shared" si="64"/>
        <v>0</v>
      </c>
      <c r="N199" s="278">
        <f>'Core Indicators'!DJ199</f>
        <v>0</v>
      </c>
      <c r="O199" s="278">
        <f>'Core Indicators'!DR199</f>
        <v>0</v>
      </c>
      <c r="P199" s="278">
        <f>'Core Indicators'!DZ199</f>
        <v>0</v>
      </c>
      <c r="Q199" s="278">
        <f>'Core Indicators'!EH199</f>
        <v>0</v>
      </c>
      <c r="R199" s="278">
        <f>'Core Indicators'!EP199</f>
        <v>0</v>
      </c>
      <c r="S199" s="214" t="e">
        <f t="shared" si="65"/>
        <v>#NUM!</v>
      </c>
      <c r="T199" s="214">
        <f t="shared" si="66"/>
        <v>19.166666666666668</v>
      </c>
      <c r="U199" s="276">
        <v>1</v>
      </c>
      <c r="V199" s="276">
        <v>1</v>
      </c>
      <c r="W199" s="276">
        <f>'Core Indicators'!EX199</f>
        <v>0</v>
      </c>
      <c r="X199" s="214">
        <f t="shared" si="67"/>
        <v>0.5</v>
      </c>
      <c r="Y199" s="276">
        <v>56</v>
      </c>
      <c r="Z199" s="214">
        <f t="shared" si="68"/>
        <v>0</v>
      </c>
      <c r="AA199" s="276">
        <f>'Core Indicators'!FF199</f>
        <v>0</v>
      </c>
      <c r="AB199" s="276">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76">
        <f>Lists!C:C</f>
        <v>0</v>
      </c>
      <c r="B200" s="213" t="e">
        <f t="shared" si="58"/>
        <v>#NUM!</v>
      </c>
      <c r="C200" s="214">
        <f t="shared" si="59"/>
        <v>0</v>
      </c>
      <c r="D200" s="277">
        <f t="shared" si="60"/>
        <v>0</v>
      </c>
      <c r="E200" s="276">
        <f>'Core Indicators'!R200</f>
        <v>0</v>
      </c>
      <c r="F200" s="276">
        <f>'Core Indicators'!Z200</f>
        <v>0</v>
      </c>
      <c r="G200" s="214">
        <f t="shared" si="61"/>
        <v>0</v>
      </c>
      <c r="H200" s="276">
        <f>'Core Indicators'!AH200</f>
        <v>0</v>
      </c>
      <c r="I200" s="276">
        <f>'Core Indicators'!AP200</f>
        <v>0</v>
      </c>
      <c r="J200" s="276">
        <f>'Core Indicators'!BN200</f>
        <v>0</v>
      </c>
      <c r="K200" s="276">
        <f t="shared" si="62"/>
        <v>0</v>
      </c>
      <c r="L200" s="213">
        <f t="shared" si="63"/>
        <v>0</v>
      </c>
      <c r="M200" s="277">
        <f t="shared" si="64"/>
        <v>0</v>
      </c>
      <c r="N200" s="278">
        <f>'Core Indicators'!DJ200</f>
        <v>0</v>
      </c>
      <c r="O200" s="278">
        <f>'Core Indicators'!DR200</f>
        <v>0</v>
      </c>
      <c r="P200" s="278">
        <f>'Core Indicators'!DZ200</f>
        <v>0</v>
      </c>
      <c r="Q200" s="278">
        <f>'Core Indicators'!EH200</f>
        <v>0</v>
      </c>
      <c r="R200" s="278">
        <f>'Core Indicators'!EP200</f>
        <v>0</v>
      </c>
      <c r="S200" s="214" t="e">
        <f t="shared" si="65"/>
        <v>#NUM!</v>
      </c>
      <c r="T200" s="214">
        <f t="shared" si="66"/>
        <v>19.5</v>
      </c>
      <c r="U200" s="276">
        <v>1</v>
      </c>
      <c r="V200" s="276">
        <v>1</v>
      </c>
      <c r="W200" s="276">
        <f>'Core Indicators'!EX200</f>
        <v>0</v>
      </c>
      <c r="X200" s="214">
        <f t="shared" si="67"/>
        <v>0.5</v>
      </c>
      <c r="Y200" s="276">
        <v>57</v>
      </c>
      <c r="Z200" s="214">
        <f t="shared" si="68"/>
        <v>0</v>
      </c>
      <c r="AA200" s="276">
        <f>'Core Indicators'!FF200</f>
        <v>0</v>
      </c>
      <c r="AB200" s="276">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76">
        <f>Lists!C:C</f>
        <v>0</v>
      </c>
      <c r="B201" s="213" t="e">
        <f t="shared" si="58"/>
        <v>#NUM!</v>
      </c>
      <c r="C201" s="214">
        <f t="shared" si="59"/>
        <v>0</v>
      </c>
      <c r="D201" s="277">
        <f t="shared" si="60"/>
        <v>0</v>
      </c>
      <c r="E201" s="276">
        <f>'Core Indicators'!R201</f>
        <v>0</v>
      </c>
      <c r="F201" s="276">
        <f>'Core Indicators'!Z201</f>
        <v>0</v>
      </c>
      <c r="G201" s="214">
        <f t="shared" si="61"/>
        <v>0</v>
      </c>
      <c r="H201" s="276">
        <f>'Core Indicators'!AH201</f>
        <v>0</v>
      </c>
      <c r="I201" s="276">
        <f>'Core Indicators'!AP201</f>
        <v>0</v>
      </c>
      <c r="J201" s="276">
        <f>'Core Indicators'!BN201</f>
        <v>0</v>
      </c>
      <c r="K201" s="276">
        <f t="shared" si="62"/>
        <v>0</v>
      </c>
      <c r="L201" s="213">
        <f t="shared" si="63"/>
        <v>0</v>
      </c>
      <c r="M201" s="277">
        <f t="shared" si="64"/>
        <v>0</v>
      </c>
      <c r="N201" s="278">
        <f>'Core Indicators'!DJ201</f>
        <v>0</v>
      </c>
      <c r="O201" s="278">
        <f>'Core Indicators'!DR201</f>
        <v>0</v>
      </c>
      <c r="P201" s="278">
        <f>'Core Indicators'!DZ201</f>
        <v>0</v>
      </c>
      <c r="Q201" s="278">
        <f>'Core Indicators'!EH201</f>
        <v>0</v>
      </c>
      <c r="R201" s="278">
        <f>'Core Indicators'!EP201</f>
        <v>0</v>
      </c>
      <c r="S201" s="214" t="e">
        <f t="shared" si="65"/>
        <v>#NUM!</v>
      </c>
      <c r="T201" s="214">
        <f t="shared" si="66"/>
        <v>19.833333333333332</v>
      </c>
      <c r="U201" s="276">
        <v>1</v>
      </c>
      <c r="V201" s="276">
        <v>1</v>
      </c>
      <c r="W201" s="276">
        <f>'Core Indicators'!EX201</f>
        <v>0</v>
      </c>
      <c r="X201" s="214">
        <f t="shared" si="67"/>
        <v>0.5</v>
      </c>
      <c r="Y201" s="276">
        <v>58</v>
      </c>
      <c r="Z201" s="214">
        <f t="shared" si="68"/>
        <v>0</v>
      </c>
      <c r="AA201" s="276">
        <f>'Core Indicators'!FF201</f>
        <v>0</v>
      </c>
      <c r="AB201" s="276">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76">
        <f>Lists!C:C</f>
        <v>0</v>
      </c>
      <c r="B202" s="213" t="e">
        <f t="shared" si="58"/>
        <v>#NUM!</v>
      </c>
      <c r="C202" s="214">
        <f t="shared" si="59"/>
        <v>0</v>
      </c>
      <c r="D202" s="277">
        <f t="shared" si="60"/>
        <v>0</v>
      </c>
      <c r="E202" s="276">
        <f>'Core Indicators'!R202</f>
        <v>0</v>
      </c>
      <c r="F202" s="276">
        <f>'Core Indicators'!Z202</f>
        <v>0</v>
      </c>
      <c r="G202" s="214">
        <f t="shared" si="61"/>
        <v>0</v>
      </c>
      <c r="H202" s="276">
        <f>'Core Indicators'!AH202</f>
        <v>0</v>
      </c>
      <c r="I202" s="276">
        <f>'Core Indicators'!AP202</f>
        <v>0</v>
      </c>
      <c r="J202" s="276">
        <f>'Core Indicators'!BN202</f>
        <v>0</v>
      </c>
      <c r="K202" s="276">
        <f t="shared" si="62"/>
        <v>0</v>
      </c>
      <c r="L202" s="213">
        <f t="shared" si="63"/>
        <v>0</v>
      </c>
      <c r="M202" s="277">
        <f t="shared" si="64"/>
        <v>0</v>
      </c>
      <c r="N202" s="278">
        <f>'Core Indicators'!DJ202</f>
        <v>0</v>
      </c>
      <c r="O202" s="278">
        <f>'Core Indicators'!DR202</f>
        <v>0</v>
      </c>
      <c r="P202" s="278">
        <f>'Core Indicators'!DZ202</f>
        <v>0</v>
      </c>
      <c r="Q202" s="278">
        <f>'Core Indicators'!EH202</f>
        <v>0</v>
      </c>
      <c r="R202" s="278">
        <f>'Core Indicators'!EP202</f>
        <v>0</v>
      </c>
      <c r="S202" s="214" t="e">
        <f t="shared" si="65"/>
        <v>#NUM!</v>
      </c>
      <c r="T202" s="214">
        <f t="shared" si="66"/>
        <v>20.166666666666668</v>
      </c>
      <c r="U202" s="276">
        <v>1</v>
      </c>
      <c r="V202" s="276">
        <v>1</v>
      </c>
      <c r="W202" s="276">
        <f>'Core Indicators'!EX202</f>
        <v>0</v>
      </c>
      <c r="X202" s="214">
        <f t="shared" si="67"/>
        <v>0.5</v>
      </c>
      <c r="Y202" s="276">
        <v>59</v>
      </c>
      <c r="Z202" s="214">
        <f t="shared" si="68"/>
        <v>0</v>
      </c>
      <c r="AA202" s="276">
        <f>'Core Indicators'!FF202</f>
        <v>0</v>
      </c>
      <c r="AB202" s="276">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76">
        <f>Lists!C:C</f>
        <v>0</v>
      </c>
      <c r="B203" s="213" t="e">
        <f t="shared" si="58"/>
        <v>#NUM!</v>
      </c>
      <c r="C203" s="214">
        <f t="shared" si="59"/>
        <v>0</v>
      </c>
      <c r="D203" s="277">
        <f t="shared" si="60"/>
        <v>0</v>
      </c>
      <c r="E203" s="276">
        <f>'Core Indicators'!R203</f>
        <v>0</v>
      </c>
      <c r="F203" s="276">
        <f>'Core Indicators'!Z203</f>
        <v>0</v>
      </c>
      <c r="G203" s="214">
        <f t="shared" si="61"/>
        <v>0</v>
      </c>
      <c r="H203" s="276">
        <f>'Core Indicators'!AH203</f>
        <v>0</v>
      </c>
      <c r="I203" s="276">
        <f>'Core Indicators'!AP203</f>
        <v>0</v>
      </c>
      <c r="J203" s="276">
        <f>'Core Indicators'!BN203</f>
        <v>0</v>
      </c>
      <c r="K203" s="276">
        <f t="shared" si="62"/>
        <v>0</v>
      </c>
      <c r="L203" s="213">
        <f t="shared" si="63"/>
        <v>0</v>
      </c>
      <c r="M203" s="277">
        <f t="shared" si="64"/>
        <v>0</v>
      </c>
      <c r="N203" s="278">
        <f>'Core Indicators'!DJ203</f>
        <v>0</v>
      </c>
      <c r="O203" s="278">
        <f>'Core Indicators'!DR203</f>
        <v>0</v>
      </c>
      <c r="P203" s="278">
        <f>'Core Indicators'!DZ203</f>
        <v>0</v>
      </c>
      <c r="Q203" s="278">
        <f>'Core Indicators'!EH203</f>
        <v>0</v>
      </c>
      <c r="R203" s="278">
        <f>'Core Indicators'!EP203</f>
        <v>0</v>
      </c>
      <c r="S203" s="214" t="e">
        <f t="shared" si="65"/>
        <v>#NUM!</v>
      </c>
      <c r="T203" s="214">
        <f t="shared" si="66"/>
        <v>20.5</v>
      </c>
      <c r="U203" s="276">
        <v>1</v>
      </c>
      <c r="V203" s="276">
        <v>1</v>
      </c>
      <c r="W203" s="276">
        <f>'Core Indicators'!EX203</f>
        <v>0</v>
      </c>
      <c r="X203" s="214">
        <f t="shared" si="67"/>
        <v>0.5</v>
      </c>
      <c r="Y203" s="276">
        <v>60</v>
      </c>
      <c r="Z203" s="214">
        <f t="shared" si="68"/>
        <v>0</v>
      </c>
      <c r="AA203" s="276">
        <f>'Core Indicators'!FF203</f>
        <v>0</v>
      </c>
      <c r="AB203" s="276">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76">
        <f>Lists!C:C</f>
        <v>0</v>
      </c>
      <c r="B204" s="213" t="e">
        <f t="shared" si="58"/>
        <v>#NUM!</v>
      </c>
      <c r="C204" s="214">
        <f t="shared" si="59"/>
        <v>0</v>
      </c>
      <c r="D204" s="277">
        <f t="shared" si="60"/>
        <v>0</v>
      </c>
      <c r="E204" s="276">
        <f>'Core Indicators'!R204</f>
        <v>0</v>
      </c>
      <c r="F204" s="276">
        <f>'Core Indicators'!Z204</f>
        <v>0</v>
      </c>
      <c r="G204" s="214">
        <f t="shared" si="61"/>
        <v>0</v>
      </c>
      <c r="H204" s="276">
        <f>'Core Indicators'!AH204</f>
        <v>0</v>
      </c>
      <c r="I204" s="276">
        <f>'Core Indicators'!AP204</f>
        <v>0</v>
      </c>
      <c r="J204" s="276">
        <f>'Core Indicators'!BN204</f>
        <v>0</v>
      </c>
      <c r="K204" s="276">
        <f t="shared" si="62"/>
        <v>0</v>
      </c>
      <c r="L204" s="213">
        <f t="shared" si="63"/>
        <v>0</v>
      </c>
      <c r="M204" s="277">
        <f t="shared" si="64"/>
        <v>0</v>
      </c>
      <c r="N204" s="278">
        <f>'Core Indicators'!DJ204</f>
        <v>0</v>
      </c>
      <c r="O204" s="278">
        <f>'Core Indicators'!DR204</f>
        <v>0</v>
      </c>
      <c r="P204" s="278">
        <f>'Core Indicators'!DZ204</f>
        <v>0</v>
      </c>
      <c r="Q204" s="278">
        <f>'Core Indicators'!EH204</f>
        <v>0</v>
      </c>
      <c r="R204" s="278">
        <f>'Core Indicators'!EP204</f>
        <v>0</v>
      </c>
      <c r="S204" s="214" t="e">
        <f t="shared" si="65"/>
        <v>#NUM!</v>
      </c>
      <c r="T204" s="214">
        <f t="shared" si="66"/>
        <v>20.833333333333332</v>
      </c>
      <c r="U204" s="276">
        <v>1</v>
      </c>
      <c r="V204" s="276">
        <v>1</v>
      </c>
      <c r="W204" s="276">
        <f>'Core Indicators'!EX204</f>
        <v>0</v>
      </c>
      <c r="X204" s="214">
        <f t="shared" si="67"/>
        <v>0.5</v>
      </c>
      <c r="Y204" s="276">
        <v>61</v>
      </c>
      <c r="Z204" s="214">
        <f t="shared" si="68"/>
        <v>0</v>
      </c>
      <c r="AA204" s="276">
        <f>'Core Indicators'!FF204</f>
        <v>0</v>
      </c>
      <c r="AB204" s="276">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76">
        <f>Lists!C:C</f>
        <v>0</v>
      </c>
      <c r="B205" s="213" t="e">
        <f t="shared" si="58"/>
        <v>#NUM!</v>
      </c>
      <c r="C205" s="214">
        <f t="shared" si="59"/>
        <v>0</v>
      </c>
      <c r="D205" s="277">
        <f t="shared" si="60"/>
        <v>0</v>
      </c>
      <c r="E205" s="276">
        <f>'Core Indicators'!R205</f>
        <v>0</v>
      </c>
      <c r="F205" s="276">
        <f>'Core Indicators'!Z205</f>
        <v>0</v>
      </c>
      <c r="G205" s="214">
        <f t="shared" si="61"/>
        <v>0</v>
      </c>
      <c r="H205" s="276">
        <f>'Core Indicators'!AH205</f>
        <v>0</v>
      </c>
      <c r="I205" s="276">
        <f>'Core Indicators'!AP205</f>
        <v>0</v>
      </c>
      <c r="J205" s="276">
        <f>'Core Indicators'!BN205</f>
        <v>0</v>
      </c>
      <c r="K205" s="276">
        <f t="shared" si="62"/>
        <v>0</v>
      </c>
      <c r="L205" s="213">
        <f t="shared" si="63"/>
        <v>0</v>
      </c>
      <c r="M205" s="277">
        <f t="shared" si="64"/>
        <v>0</v>
      </c>
      <c r="N205" s="278">
        <f>'Core Indicators'!DJ205</f>
        <v>0</v>
      </c>
      <c r="O205" s="278">
        <f>'Core Indicators'!DR205</f>
        <v>0</v>
      </c>
      <c r="P205" s="278">
        <f>'Core Indicators'!DZ205</f>
        <v>0</v>
      </c>
      <c r="Q205" s="278">
        <f>'Core Indicators'!EH205</f>
        <v>0</v>
      </c>
      <c r="R205" s="278">
        <f>'Core Indicators'!EP205</f>
        <v>0</v>
      </c>
      <c r="S205" s="214" t="e">
        <f t="shared" si="65"/>
        <v>#NUM!</v>
      </c>
      <c r="T205" s="214">
        <f t="shared" si="66"/>
        <v>21.166666666666668</v>
      </c>
      <c r="U205" s="276">
        <v>1</v>
      </c>
      <c r="V205" s="276">
        <v>1</v>
      </c>
      <c r="W205" s="276">
        <f>'Core Indicators'!EX205</f>
        <v>0</v>
      </c>
      <c r="X205" s="214">
        <f t="shared" si="67"/>
        <v>0.5</v>
      </c>
      <c r="Y205" s="276">
        <v>62</v>
      </c>
      <c r="Z205" s="214">
        <f t="shared" si="68"/>
        <v>0</v>
      </c>
      <c r="AA205" s="276">
        <f>'Core Indicators'!FF205</f>
        <v>0</v>
      </c>
      <c r="AB205" s="276">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76">
        <f>Lists!C:C</f>
        <v>0</v>
      </c>
      <c r="B206" s="213" t="e">
        <f t="shared" si="58"/>
        <v>#NUM!</v>
      </c>
      <c r="C206" s="214">
        <f t="shared" si="59"/>
        <v>0</v>
      </c>
      <c r="D206" s="277">
        <f t="shared" si="60"/>
        <v>0</v>
      </c>
      <c r="E206" s="276">
        <f>'Core Indicators'!R206</f>
        <v>0</v>
      </c>
      <c r="F206" s="276">
        <f>'Core Indicators'!Z206</f>
        <v>0</v>
      </c>
      <c r="G206" s="214">
        <f t="shared" si="61"/>
        <v>0</v>
      </c>
      <c r="H206" s="276">
        <f>'Core Indicators'!AH206</f>
        <v>0</v>
      </c>
      <c r="I206" s="276">
        <f>'Core Indicators'!AP206</f>
        <v>0</v>
      </c>
      <c r="J206" s="276">
        <f>'Core Indicators'!BN206</f>
        <v>0</v>
      </c>
      <c r="K206" s="276">
        <f t="shared" si="62"/>
        <v>0</v>
      </c>
      <c r="L206" s="213">
        <f t="shared" si="63"/>
        <v>0</v>
      </c>
      <c r="M206" s="277">
        <f t="shared" si="64"/>
        <v>0</v>
      </c>
      <c r="N206" s="278">
        <f>'Core Indicators'!DJ206</f>
        <v>0</v>
      </c>
      <c r="O206" s="278">
        <f>'Core Indicators'!DR206</f>
        <v>0</v>
      </c>
      <c r="P206" s="278">
        <f>'Core Indicators'!DZ206</f>
        <v>0</v>
      </c>
      <c r="Q206" s="278">
        <f>'Core Indicators'!EH206</f>
        <v>0</v>
      </c>
      <c r="R206" s="278">
        <f>'Core Indicators'!EP206</f>
        <v>0</v>
      </c>
      <c r="S206" s="214" t="e">
        <f t="shared" si="65"/>
        <v>#NUM!</v>
      </c>
      <c r="T206" s="214">
        <f t="shared" si="66"/>
        <v>21.5</v>
      </c>
      <c r="U206" s="276">
        <v>1</v>
      </c>
      <c r="V206" s="276">
        <v>1</v>
      </c>
      <c r="W206" s="276">
        <f>'Core Indicators'!EX206</f>
        <v>0</v>
      </c>
      <c r="X206" s="214">
        <f t="shared" si="67"/>
        <v>0.5</v>
      </c>
      <c r="Y206" s="276">
        <v>63</v>
      </c>
      <c r="Z206" s="214">
        <f t="shared" si="68"/>
        <v>0</v>
      </c>
      <c r="AA206" s="276">
        <f>'Core Indicators'!FF206</f>
        <v>0</v>
      </c>
      <c r="AB206" s="276">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76">
        <f>Lists!C:C</f>
        <v>0</v>
      </c>
      <c r="B207" s="213" t="e">
        <f t="shared" si="58"/>
        <v>#NUM!</v>
      </c>
      <c r="C207" s="214">
        <f t="shared" si="59"/>
        <v>0</v>
      </c>
      <c r="D207" s="277">
        <f t="shared" si="60"/>
        <v>0</v>
      </c>
      <c r="E207" s="276">
        <f>'Core Indicators'!R207</f>
        <v>0</v>
      </c>
      <c r="F207" s="276">
        <f>'Core Indicators'!Z207</f>
        <v>0</v>
      </c>
      <c r="G207" s="214">
        <f t="shared" si="61"/>
        <v>0</v>
      </c>
      <c r="H207" s="276">
        <f>'Core Indicators'!AH207</f>
        <v>0</v>
      </c>
      <c r="I207" s="276">
        <f>'Core Indicators'!AP207</f>
        <v>0</v>
      </c>
      <c r="J207" s="276">
        <f>'Core Indicators'!BN207</f>
        <v>0</v>
      </c>
      <c r="K207" s="276">
        <f t="shared" si="62"/>
        <v>0</v>
      </c>
      <c r="L207" s="213">
        <f t="shared" si="63"/>
        <v>0</v>
      </c>
      <c r="M207" s="277">
        <f t="shared" si="64"/>
        <v>0</v>
      </c>
      <c r="N207" s="278">
        <f>'Core Indicators'!DJ207</f>
        <v>0</v>
      </c>
      <c r="O207" s="278">
        <f>'Core Indicators'!DR207</f>
        <v>0</v>
      </c>
      <c r="P207" s="278">
        <f>'Core Indicators'!DZ207</f>
        <v>0</v>
      </c>
      <c r="Q207" s="278">
        <f>'Core Indicators'!EH207</f>
        <v>0</v>
      </c>
      <c r="R207" s="278">
        <f>'Core Indicators'!EP207</f>
        <v>0</v>
      </c>
      <c r="S207" s="214" t="e">
        <f t="shared" si="65"/>
        <v>#NUM!</v>
      </c>
      <c r="T207" s="214">
        <f t="shared" si="66"/>
        <v>21.833333333333332</v>
      </c>
      <c r="U207" s="276">
        <v>1</v>
      </c>
      <c r="V207" s="276">
        <v>1</v>
      </c>
      <c r="W207" s="276">
        <f>'Core Indicators'!EX207</f>
        <v>0</v>
      </c>
      <c r="X207" s="214">
        <f t="shared" si="67"/>
        <v>0.5</v>
      </c>
      <c r="Y207" s="276">
        <v>64</v>
      </c>
      <c r="Z207" s="214">
        <f t="shared" si="68"/>
        <v>0</v>
      </c>
      <c r="AA207" s="276">
        <f>'Core Indicators'!FF207</f>
        <v>0</v>
      </c>
      <c r="AB207" s="276">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76">
        <f>Lists!C:C</f>
        <v>0</v>
      </c>
      <c r="B208" s="213" t="e">
        <f t="shared" si="58"/>
        <v>#NUM!</v>
      </c>
      <c r="C208" s="214">
        <f t="shared" si="59"/>
        <v>0</v>
      </c>
      <c r="D208" s="277">
        <f t="shared" si="60"/>
        <v>0</v>
      </c>
      <c r="E208" s="276">
        <f>'Core Indicators'!R208</f>
        <v>0</v>
      </c>
      <c r="F208" s="276">
        <f>'Core Indicators'!Z208</f>
        <v>0</v>
      </c>
      <c r="G208" s="214">
        <f t="shared" si="61"/>
        <v>0</v>
      </c>
      <c r="H208" s="276">
        <f>'Core Indicators'!AH208</f>
        <v>0</v>
      </c>
      <c r="I208" s="276">
        <f>'Core Indicators'!AP208</f>
        <v>0</v>
      </c>
      <c r="J208" s="276">
        <f>'Core Indicators'!BN208</f>
        <v>0</v>
      </c>
      <c r="K208" s="276">
        <f t="shared" si="62"/>
        <v>0</v>
      </c>
      <c r="L208" s="213">
        <f t="shared" si="63"/>
        <v>0</v>
      </c>
      <c r="M208" s="277">
        <f t="shared" si="64"/>
        <v>0</v>
      </c>
      <c r="N208" s="278">
        <f>'Core Indicators'!DJ208</f>
        <v>0</v>
      </c>
      <c r="O208" s="278">
        <f>'Core Indicators'!DR208</f>
        <v>0</v>
      </c>
      <c r="P208" s="278">
        <f>'Core Indicators'!DZ208</f>
        <v>0</v>
      </c>
      <c r="Q208" s="278">
        <f>'Core Indicators'!EH208</f>
        <v>0</v>
      </c>
      <c r="R208" s="278">
        <f>'Core Indicators'!EP208</f>
        <v>0</v>
      </c>
      <c r="S208" s="214" t="e">
        <f t="shared" si="65"/>
        <v>#NUM!</v>
      </c>
      <c r="T208" s="214">
        <f t="shared" si="66"/>
        <v>22.166666666666668</v>
      </c>
      <c r="U208" s="276">
        <v>1</v>
      </c>
      <c r="V208" s="276">
        <v>1</v>
      </c>
      <c r="W208" s="276">
        <f>'Core Indicators'!EX208</f>
        <v>0</v>
      </c>
      <c r="X208" s="214">
        <f t="shared" si="67"/>
        <v>0.5</v>
      </c>
      <c r="Y208" s="276">
        <v>65</v>
      </c>
      <c r="Z208" s="214">
        <f t="shared" si="68"/>
        <v>0</v>
      </c>
      <c r="AA208" s="276">
        <f>'Core Indicators'!FF208</f>
        <v>0</v>
      </c>
      <c r="AB208" s="276">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76">
        <f>Lists!C:C</f>
        <v>0</v>
      </c>
      <c r="B209" s="213" t="e">
        <f t="shared" ref="B209:B228" si="73">IF(OR(M209="x",D209="x"),"x",ROUND((5-GEOMEAN(((5-D209)/5*4+1),((5-M209)/5*4+1),((5-M209)/5*4+1)))/4*3.5+S209*0.3,1))</f>
        <v>#NUM!</v>
      </c>
      <c r="C209" s="214">
        <f t="shared" ref="C209:C228" si="74">COUNTIF(E209:F209,"x")+COUNTIF(H209:I209,"x")+COUNTIF(J209:J209,"x")+COUNTIF(M209,"x")+COUNTIF(U209:W209,"x")+COUNTIF(Y209:AB209,"x")</f>
        <v>0</v>
      </c>
      <c r="D209" s="277">
        <f t="shared" ref="D209:D228" si="75">IF(OR(L209="x",G209="x"),"x",ROUND((5-GEOMEAN(((5-L209)/5*4+1),((5-L209)/5*4+1),((5-G209)/5*4+1)))/4*5,1))</f>
        <v>0</v>
      </c>
      <c r="E209" s="276">
        <f>'Core Indicators'!R209</f>
        <v>0</v>
      </c>
      <c r="F209" s="276">
        <f>'Core Indicators'!Z209</f>
        <v>0</v>
      </c>
      <c r="G209" s="214">
        <f t="shared" ref="G209:G228" si="76">IF(AND(F209="x",E209="x"),"x",IF(OR(F209="x",E209="x"),AVERAGE(E209,F209),ROUND((10-GEOMEAN(((10-E209)/10*9+1),((10-F209)/10*9+1)))/9*10,1)))</f>
        <v>0</v>
      </c>
      <c r="H209" s="276">
        <f>'Core Indicators'!AH209</f>
        <v>0</v>
      </c>
      <c r="I209" s="276">
        <f>'Core Indicators'!AP209</f>
        <v>0</v>
      </c>
      <c r="J209" s="276">
        <f>'Core Indicators'!BN209</f>
        <v>0</v>
      </c>
      <c r="K209" s="276">
        <f t="shared" ref="K209:K228" si="77">IF(AND(J209="x",I209="x"),"x",IF(OR(J209="x",I209="x"),AVERAGE(I209,J209),ROUND((10-GEOMEAN(((10-I209)/10*9+1),((10-J209)/10*9+1)))/9*10,1)))</f>
        <v>0</v>
      </c>
      <c r="L209" s="213">
        <f t="shared" ref="L209:L228" si="78">IF(AND(H209="x",K209="x"),"x",IF(OR(H209="x",K209="x"),AVERAGE(H209,K209),ROUND((10-GEOMEAN(((10-H209)/10*9+1),((10-K209)/10*9+1)))/9*10,1)))</f>
        <v>0</v>
      </c>
      <c r="M209" s="277">
        <f t="shared" ref="M209:M228" si="79">IF(N209="x","x",AVERAGE(N209:R209))</f>
        <v>0</v>
      </c>
      <c r="N209" s="278">
        <f>'Core Indicators'!DJ209</f>
        <v>0</v>
      </c>
      <c r="O209" s="278">
        <f>'Core Indicators'!DR209</f>
        <v>0</v>
      </c>
      <c r="P209" s="278">
        <f>'Core Indicators'!DZ209</f>
        <v>0</v>
      </c>
      <c r="Q209" s="278">
        <f>'Core Indicators'!EH209</f>
        <v>0</v>
      </c>
      <c r="R209" s="278">
        <f>'Core Indicators'!EP209</f>
        <v>0</v>
      </c>
      <c r="S209" s="214" t="e">
        <f t="shared" ref="S209:S228" si="80">IF(OR(Z209="x",T209="x"),T209,ROUND((10-GEOMEAN(((10-T209)/10*9+1),((10-Z209)/10*9+1)))/9*10,1))</f>
        <v>#NUM!</v>
      </c>
      <c r="T209" s="214">
        <f t="shared" ref="T209:T228" si="81">AVERAGE(U209,X209,Y209)</f>
        <v>22.5</v>
      </c>
      <c r="U209" s="276">
        <v>1</v>
      </c>
      <c r="V209" s="276">
        <v>1</v>
      </c>
      <c r="W209" s="276">
        <f>'Core Indicators'!EX209</f>
        <v>0</v>
      </c>
      <c r="X209" s="214">
        <f t="shared" ref="X209:X228" si="82">AVERAGE(V209:W209)</f>
        <v>0.5</v>
      </c>
      <c r="Y209" s="276">
        <v>66</v>
      </c>
      <c r="Z209" s="214">
        <f t="shared" ref="Z209:Z228" si="83">IF(AND(AA209="x",AB209="x"),"x",AVERAGE(AA209:AB209))</f>
        <v>0</v>
      </c>
      <c r="AA209" s="276">
        <f>'Core Indicators'!FF209</f>
        <v>0</v>
      </c>
      <c r="AB209" s="276">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76">
        <f>Lists!C:C</f>
        <v>0</v>
      </c>
      <c r="B210" s="213" t="e">
        <f t="shared" si="73"/>
        <v>#NUM!</v>
      </c>
      <c r="C210" s="214">
        <f t="shared" si="74"/>
        <v>0</v>
      </c>
      <c r="D210" s="277">
        <f t="shared" si="75"/>
        <v>0</v>
      </c>
      <c r="E210" s="276">
        <f>'Core Indicators'!R210</f>
        <v>0</v>
      </c>
      <c r="F210" s="276">
        <f>'Core Indicators'!Z210</f>
        <v>0</v>
      </c>
      <c r="G210" s="214">
        <f t="shared" si="76"/>
        <v>0</v>
      </c>
      <c r="H210" s="276">
        <f>'Core Indicators'!AH210</f>
        <v>0</v>
      </c>
      <c r="I210" s="276">
        <f>'Core Indicators'!AP210</f>
        <v>0</v>
      </c>
      <c r="J210" s="276">
        <f>'Core Indicators'!BN210</f>
        <v>0</v>
      </c>
      <c r="K210" s="276">
        <f t="shared" si="77"/>
        <v>0</v>
      </c>
      <c r="L210" s="213">
        <f t="shared" si="78"/>
        <v>0</v>
      </c>
      <c r="M210" s="277">
        <f t="shared" si="79"/>
        <v>0</v>
      </c>
      <c r="N210" s="278">
        <f>'Core Indicators'!DJ210</f>
        <v>0</v>
      </c>
      <c r="O210" s="278">
        <f>'Core Indicators'!DR210</f>
        <v>0</v>
      </c>
      <c r="P210" s="278">
        <f>'Core Indicators'!DZ210</f>
        <v>0</v>
      </c>
      <c r="Q210" s="278">
        <f>'Core Indicators'!EH210</f>
        <v>0</v>
      </c>
      <c r="R210" s="278">
        <f>'Core Indicators'!EP210</f>
        <v>0</v>
      </c>
      <c r="S210" s="214" t="e">
        <f t="shared" si="80"/>
        <v>#NUM!</v>
      </c>
      <c r="T210" s="214">
        <f t="shared" si="81"/>
        <v>22.833333333333332</v>
      </c>
      <c r="U210" s="276">
        <v>1</v>
      </c>
      <c r="V210" s="276">
        <v>1</v>
      </c>
      <c r="W210" s="276">
        <f>'Core Indicators'!EX210</f>
        <v>0</v>
      </c>
      <c r="X210" s="214">
        <f t="shared" si="82"/>
        <v>0.5</v>
      </c>
      <c r="Y210" s="276">
        <v>67</v>
      </c>
      <c r="Z210" s="214">
        <f t="shared" si="83"/>
        <v>0</v>
      </c>
      <c r="AA210" s="276">
        <f>'Core Indicators'!FF210</f>
        <v>0</v>
      </c>
      <c r="AB210" s="276">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76">
        <f>Lists!C:C</f>
        <v>0</v>
      </c>
      <c r="B211" s="213" t="e">
        <f t="shared" si="73"/>
        <v>#NUM!</v>
      </c>
      <c r="C211" s="214">
        <f t="shared" si="74"/>
        <v>0</v>
      </c>
      <c r="D211" s="277">
        <f t="shared" si="75"/>
        <v>0</v>
      </c>
      <c r="E211" s="276">
        <f>'Core Indicators'!R211</f>
        <v>0</v>
      </c>
      <c r="F211" s="276">
        <f>'Core Indicators'!Z211</f>
        <v>0</v>
      </c>
      <c r="G211" s="214">
        <f t="shared" si="76"/>
        <v>0</v>
      </c>
      <c r="H211" s="276">
        <f>'Core Indicators'!AH211</f>
        <v>0</v>
      </c>
      <c r="I211" s="276">
        <f>'Core Indicators'!AP211</f>
        <v>0</v>
      </c>
      <c r="J211" s="276">
        <f>'Core Indicators'!BN211</f>
        <v>0</v>
      </c>
      <c r="K211" s="276">
        <f t="shared" si="77"/>
        <v>0</v>
      </c>
      <c r="L211" s="213">
        <f t="shared" si="78"/>
        <v>0</v>
      </c>
      <c r="M211" s="277">
        <f t="shared" si="79"/>
        <v>0</v>
      </c>
      <c r="N211" s="278">
        <f>'Core Indicators'!DJ211</f>
        <v>0</v>
      </c>
      <c r="O211" s="278">
        <f>'Core Indicators'!DR211</f>
        <v>0</v>
      </c>
      <c r="P211" s="278">
        <f>'Core Indicators'!DZ211</f>
        <v>0</v>
      </c>
      <c r="Q211" s="278">
        <f>'Core Indicators'!EH211</f>
        <v>0</v>
      </c>
      <c r="R211" s="278">
        <f>'Core Indicators'!EP211</f>
        <v>0</v>
      </c>
      <c r="S211" s="214" t="e">
        <f t="shared" si="80"/>
        <v>#NUM!</v>
      </c>
      <c r="T211" s="214">
        <f t="shared" si="81"/>
        <v>23.166666666666668</v>
      </c>
      <c r="U211" s="276">
        <v>1</v>
      </c>
      <c r="V211" s="276">
        <v>1</v>
      </c>
      <c r="W211" s="276">
        <f>'Core Indicators'!EX211</f>
        <v>0</v>
      </c>
      <c r="X211" s="214">
        <f t="shared" si="82"/>
        <v>0.5</v>
      </c>
      <c r="Y211" s="276">
        <v>68</v>
      </c>
      <c r="Z211" s="214">
        <f t="shared" si="83"/>
        <v>0</v>
      </c>
      <c r="AA211" s="276">
        <f>'Core Indicators'!FF211</f>
        <v>0</v>
      </c>
      <c r="AB211" s="276">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76">
        <f>Lists!C:C</f>
        <v>0</v>
      </c>
      <c r="B212" s="213" t="e">
        <f t="shared" si="73"/>
        <v>#NUM!</v>
      </c>
      <c r="C212" s="214">
        <f t="shared" si="74"/>
        <v>0</v>
      </c>
      <c r="D212" s="277">
        <f t="shared" si="75"/>
        <v>0</v>
      </c>
      <c r="E212" s="276">
        <f>'Core Indicators'!R212</f>
        <v>0</v>
      </c>
      <c r="F212" s="276">
        <f>'Core Indicators'!Z212</f>
        <v>0</v>
      </c>
      <c r="G212" s="214">
        <f t="shared" si="76"/>
        <v>0</v>
      </c>
      <c r="H212" s="276">
        <f>'Core Indicators'!AH212</f>
        <v>0</v>
      </c>
      <c r="I212" s="276">
        <f>'Core Indicators'!AP212</f>
        <v>0</v>
      </c>
      <c r="J212" s="276">
        <f>'Core Indicators'!BN212</f>
        <v>0</v>
      </c>
      <c r="K212" s="276">
        <f t="shared" si="77"/>
        <v>0</v>
      </c>
      <c r="L212" s="213">
        <f t="shared" si="78"/>
        <v>0</v>
      </c>
      <c r="M212" s="277">
        <f t="shared" si="79"/>
        <v>0</v>
      </c>
      <c r="N212" s="278">
        <f>'Core Indicators'!DJ212</f>
        <v>0</v>
      </c>
      <c r="O212" s="278">
        <f>'Core Indicators'!DR212</f>
        <v>0</v>
      </c>
      <c r="P212" s="278">
        <f>'Core Indicators'!DZ212</f>
        <v>0</v>
      </c>
      <c r="Q212" s="278">
        <f>'Core Indicators'!EH212</f>
        <v>0</v>
      </c>
      <c r="R212" s="278">
        <f>'Core Indicators'!EP212</f>
        <v>0</v>
      </c>
      <c r="S212" s="214" t="e">
        <f t="shared" si="80"/>
        <v>#NUM!</v>
      </c>
      <c r="T212" s="214">
        <f t="shared" si="81"/>
        <v>23.5</v>
      </c>
      <c r="U212" s="276">
        <v>1</v>
      </c>
      <c r="V212" s="276">
        <v>1</v>
      </c>
      <c r="W212" s="276">
        <f>'Core Indicators'!EX212</f>
        <v>0</v>
      </c>
      <c r="X212" s="214">
        <f t="shared" si="82"/>
        <v>0.5</v>
      </c>
      <c r="Y212" s="276">
        <v>69</v>
      </c>
      <c r="Z212" s="214">
        <f t="shared" si="83"/>
        <v>0</v>
      </c>
      <c r="AA212" s="276">
        <f>'Core Indicators'!FF212</f>
        <v>0</v>
      </c>
      <c r="AB212" s="276">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76">
        <f>Lists!C:C</f>
        <v>0</v>
      </c>
      <c r="B213" s="213" t="e">
        <f t="shared" si="73"/>
        <v>#NUM!</v>
      </c>
      <c r="C213" s="214">
        <f t="shared" si="74"/>
        <v>0</v>
      </c>
      <c r="D213" s="277">
        <f t="shared" si="75"/>
        <v>0</v>
      </c>
      <c r="E213" s="276">
        <f>'Core Indicators'!R213</f>
        <v>0</v>
      </c>
      <c r="F213" s="276">
        <f>'Core Indicators'!Z213</f>
        <v>0</v>
      </c>
      <c r="G213" s="214">
        <f t="shared" si="76"/>
        <v>0</v>
      </c>
      <c r="H213" s="276">
        <f>'Core Indicators'!AH213</f>
        <v>0</v>
      </c>
      <c r="I213" s="276">
        <f>'Core Indicators'!AP213</f>
        <v>0</v>
      </c>
      <c r="J213" s="276">
        <f>'Core Indicators'!BN213</f>
        <v>0</v>
      </c>
      <c r="K213" s="276">
        <f t="shared" si="77"/>
        <v>0</v>
      </c>
      <c r="L213" s="213">
        <f t="shared" si="78"/>
        <v>0</v>
      </c>
      <c r="M213" s="277">
        <f t="shared" si="79"/>
        <v>0</v>
      </c>
      <c r="N213" s="278">
        <f>'Core Indicators'!DJ213</f>
        <v>0</v>
      </c>
      <c r="O213" s="278">
        <f>'Core Indicators'!DR213</f>
        <v>0</v>
      </c>
      <c r="P213" s="278">
        <f>'Core Indicators'!DZ213</f>
        <v>0</v>
      </c>
      <c r="Q213" s="278">
        <f>'Core Indicators'!EH213</f>
        <v>0</v>
      </c>
      <c r="R213" s="278">
        <f>'Core Indicators'!EP213</f>
        <v>0</v>
      </c>
      <c r="S213" s="214" t="e">
        <f t="shared" si="80"/>
        <v>#NUM!</v>
      </c>
      <c r="T213" s="214">
        <f t="shared" si="81"/>
        <v>23.833333333333332</v>
      </c>
      <c r="U213" s="276">
        <v>1</v>
      </c>
      <c r="V213" s="276">
        <v>1</v>
      </c>
      <c r="W213" s="276">
        <f>'Core Indicators'!EX213</f>
        <v>0</v>
      </c>
      <c r="X213" s="214">
        <f t="shared" si="82"/>
        <v>0.5</v>
      </c>
      <c r="Y213" s="276">
        <v>70</v>
      </c>
      <c r="Z213" s="214">
        <f t="shared" si="83"/>
        <v>0</v>
      </c>
      <c r="AA213" s="276">
        <f>'Core Indicators'!FF213</f>
        <v>0</v>
      </c>
      <c r="AB213" s="276">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76">
        <f>Lists!C:C</f>
        <v>0</v>
      </c>
      <c r="B214" s="213" t="e">
        <f t="shared" si="73"/>
        <v>#NUM!</v>
      </c>
      <c r="C214" s="214">
        <f t="shared" si="74"/>
        <v>0</v>
      </c>
      <c r="D214" s="277">
        <f t="shared" si="75"/>
        <v>0</v>
      </c>
      <c r="E214" s="276">
        <f>'Core Indicators'!R214</f>
        <v>0</v>
      </c>
      <c r="F214" s="276">
        <f>'Core Indicators'!Z214</f>
        <v>0</v>
      </c>
      <c r="G214" s="214">
        <f t="shared" si="76"/>
        <v>0</v>
      </c>
      <c r="H214" s="276">
        <f>'Core Indicators'!AH214</f>
        <v>0</v>
      </c>
      <c r="I214" s="276">
        <f>'Core Indicators'!AP214</f>
        <v>0</v>
      </c>
      <c r="J214" s="276">
        <f>'Core Indicators'!BN214</f>
        <v>0</v>
      </c>
      <c r="K214" s="276">
        <f t="shared" si="77"/>
        <v>0</v>
      </c>
      <c r="L214" s="213">
        <f t="shared" si="78"/>
        <v>0</v>
      </c>
      <c r="M214" s="277">
        <f t="shared" si="79"/>
        <v>0</v>
      </c>
      <c r="N214" s="278">
        <f>'Core Indicators'!DJ214</f>
        <v>0</v>
      </c>
      <c r="O214" s="278">
        <f>'Core Indicators'!DR214</f>
        <v>0</v>
      </c>
      <c r="P214" s="278">
        <f>'Core Indicators'!DZ214</f>
        <v>0</v>
      </c>
      <c r="Q214" s="278">
        <f>'Core Indicators'!EH214</f>
        <v>0</v>
      </c>
      <c r="R214" s="278">
        <f>'Core Indicators'!EP214</f>
        <v>0</v>
      </c>
      <c r="S214" s="214" t="e">
        <f t="shared" si="80"/>
        <v>#NUM!</v>
      </c>
      <c r="T214" s="214">
        <f t="shared" si="81"/>
        <v>24.166666666666668</v>
      </c>
      <c r="U214" s="276">
        <v>1</v>
      </c>
      <c r="V214" s="276">
        <v>1</v>
      </c>
      <c r="W214" s="276">
        <f>'Core Indicators'!EX214</f>
        <v>0</v>
      </c>
      <c r="X214" s="214">
        <f t="shared" si="82"/>
        <v>0.5</v>
      </c>
      <c r="Y214" s="276">
        <v>71</v>
      </c>
      <c r="Z214" s="214">
        <f t="shared" si="83"/>
        <v>0</v>
      </c>
      <c r="AA214" s="276">
        <f>'Core Indicators'!FF214</f>
        <v>0</v>
      </c>
      <c r="AB214" s="276">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76">
        <f>Lists!C:C</f>
        <v>0</v>
      </c>
      <c r="B215" s="213" t="e">
        <f t="shared" si="73"/>
        <v>#NUM!</v>
      </c>
      <c r="C215" s="214">
        <f t="shared" si="74"/>
        <v>0</v>
      </c>
      <c r="D215" s="277">
        <f t="shared" si="75"/>
        <v>0</v>
      </c>
      <c r="E215" s="276">
        <f>'Core Indicators'!R215</f>
        <v>0</v>
      </c>
      <c r="F215" s="276">
        <f>'Core Indicators'!Z215</f>
        <v>0</v>
      </c>
      <c r="G215" s="214">
        <f t="shared" si="76"/>
        <v>0</v>
      </c>
      <c r="H215" s="276">
        <f>'Core Indicators'!AH215</f>
        <v>0</v>
      </c>
      <c r="I215" s="276">
        <f>'Core Indicators'!AP215</f>
        <v>0</v>
      </c>
      <c r="J215" s="276">
        <f>'Core Indicators'!BN215</f>
        <v>0</v>
      </c>
      <c r="K215" s="276">
        <f t="shared" si="77"/>
        <v>0</v>
      </c>
      <c r="L215" s="213">
        <f t="shared" si="78"/>
        <v>0</v>
      </c>
      <c r="M215" s="277">
        <f t="shared" si="79"/>
        <v>0</v>
      </c>
      <c r="N215" s="278">
        <f>'Core Indicators'!DJ215</f>
        <v>0</v>
      </c>
      <c r="O215" s="278">
        <f>'Core Indicators'!DR215</f>
        <v>0</v>
      </c>
      <c r="P215" s="278">
        <f>'Core Indicators'!DZ215</f>
        <v>0</v>
      </c>
      <c r="Q215" s="278">
        <f>'Core Indicators'!EH215</f>
        <v>0</v>
      </c>
      <c r="R215" s="278">
        <f>'Core Indicators'!EP215</f>
        <v>0</v>
      </c>
      <c r="S215" s="214" t="e">
        <f t="shared" si="80"/>
        <v>#NUM!</v>
      </c>
      <c r="T215" s="214">
        <f t="shared" si="81"/>
        <v>24.5</v>
      </c>
      <c r="U215" s="276">
        <v>1</v>
      </c>
      <c r="V215" s="276">
        <v>1</v>
      </c>
      <c r="W215" s="276">
        <f>'Core Indicators'!EX215</f>
        <v>0</v>
      </c>
      <c r="X215" s="214">
        <f t="shared" si="82"/>
        <v>0.5</v>
      </c>
      <c r="Y215" s="276">
        <v>72</v>
      </c>
      <c r="Z215" s="214">
        <f t="shared" si="83"/>
        <v>0</v>
      </c>
      <c r="AA215" s="276">
        <f>'Core Indicators'!FF215</f>
        <v>0</v>
      </c>
      <c r="AB215" s="276">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76">
        <f>Lists!C:C</f>
        <v>0</v>
      </c>
      <c r="B216" s="213" t="e">
        <f t="shared" si="73"/>
        <v>#NUM!</v>
      </c>
      <c r="C216" s="214">
        <f t="shared" si="74"/>
        <v>0</v>
      </c>
      <c r="D216" s="277">
        <f t="shared" si="75"/>
        <v>0</v>
      </c>
      <c r="E216" s="276">
        <f>'Core Indicators'!R216</f>
        <v>0</v>
      </c>
      <c r="F216" s="276">
        <f>'Core Indicators'!Z216</f>
        <v>0</v>
      </c>
      <c r="G216" s="214">
        <f t="shared" si="76"/>
        <v>0</v>
      </c>
      <c r="H216" s="276">
        <f>'Core Indicators'!AH216</f>
        <v>0</v>
      </c>
      <c r="I216" s="276">
        <f>'Core Indicators'!AP216</f>
        <v>0</v>
      </c>
      <c r="J216" s="276">
        <f>'Core Indicators'!BN216</f>
        <v>0</v>
      </c>
      <c r="K216" s="276">
        <f t="shared" si="77"/>
        <v>0</v>
      </c>
      <c r="L216" s="213">
        <f t="shared" si="78"/>
        <v>0</v>
      </c>
      <c r="M216" s="277">
        <f t="shared" si="79"/>
        <v>0</v>
      </c>
      <c r="N216" s="278">
        <f>'Core Indicators'!DJ216</f>
        <v>0</v>
      </c>
      <c r="O216" s="278">
        <f>'Core Indicators'!DR216</f>
        <v>0</v>
      </c>
      <c r="P216" s="278">
        <f>'Core Indicators'!DZ216</f>
        <v>0</v>
      </c>
      <c r="Q216" s="278">
        <f>'Core Indicators'!EH216</f>
        <v>0</v>
      </c>
      <c r="R216" s="278">
        <f>'Core Indicators'!EP216</f>
        <v>0</v>
      </c>
      <c r="S216" s="214" t="e">
        <f t="shared" si="80"/>
        <v>#NUM!</v>
      </c>
      <c r="T216" s="214">
        <f t="shared" si="81"/>
        <v>24.833333333333332</v>
      </c>
      <c r="U216" s="276">
        <v>1</v>
      </c>
      <c r="V216" s="276">
        <v>1</v>
      </c>
      <c r="W216" s="276">
        <f>'Core Indicators'!EX216</f>
        <v>0</v>
      </c>
      <c r="X216" s="214">
        <f t="shared" si="82"/>
        <v>0.5</v>
      </c>
      <c r="Y216" s="276">
        <v>73</v>
      </c>
      <c r="Z216" s="214">
        <f t="shared" si="83"/>
        <v>0</v>
      </c>
      <c r="AA216" s="276">
        <f>'Core Indicators'!FF216</f>
        <v>0</v>
      </c>
      <c r="AB216" s="276">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76">
        <f>Lists!C:C</f>
        <v>0</v>
      </c>
      <c r="B217" s="213" t="e">
        <f t="shared" si="73"/>
        <v>#NUM!</v>
      </c>
      <c r="C217" s="214">
        <f t="shared" si="74"/>
        <v>0</v>
      </c>
      <c r="D217" s="277">
        <f t="shared" si="75"/>
        <v>0</v>
      </c>
      <c r="E217" s="276">
        <f>'Core Indicators'!R217</f>
        <v>0</v>
      </c>
      <c r="F217" s="276">
        <f>'Core Indicators'!Z217</f>
        <v>0</v>
      </c>
      <c r="G217" s="214">
        <f t="shared" si="76"/>
        <v>0</v>
      </c>
      <c r="H217" s="276">
        <f>'Core Indicators'!AH217</f>
        <v>0</v>
      </c>
      <c r="I217" s="276">
        <f>'Core Indicators'!AP217</f>
        <v>0</v>
      </c>
      <c r="J217" s="276">
        <f>'Core Indicators'!BN217</f>
        <v>0</v>
      </c>
      <c r="K217" s="276">
        <f t="shared" si="77"/>
        <v>0</v>
      </c>
      <c r="L217" s="213">
        <f t="shared" si="78"/>
        <v>0</v>
      </c>
      <c r="M217" s="277">
        <f t="shared" si="79"/>
        <v>0</v>
      </c>
      <c r="N217" s="278">
        <f>'Core Indicators'!DJ217</f>
        <v>0</v>
      </c>
      <c r="O217" s="278">
        <f>'Core Indicators'!DR217</f>
        <v>0</v>
      </c>
      <c r="P217" s="278">
        <f>'Core Indicators'!DZ217</f>
        <v>0</v>
      </c>
      <c r="Q217" s="278">
        <f>'Core Indicators'!EH217</f>
        <v>0</v>
      </c>
      <c r="R217" s="278">
        <f>'Core Indicators'!EP217</f>
        <v>0</v>
      </c>
      <c r="S217" s="214" t="e">
        <f t="shared" si="80"/>
        <v>#NUM!</v>
      </c>
      <c r="T217" s="214">
        <f t="shared" si="81"/>
        <v>25.166666666666668</v>
      </c>
      <c r="U217" s="276">
        <v>1</v>
      </c>
      <c r="V217" s="276">
        <v>1</v>
      </c>
      <c r="W217" s="276">
        <f>'Core Indicators'!EX217</f>
        <v>0</v>
      </c>
      <c r="X217" s="214">
        <f t="shared" si="82"/>
        <v>0.5</v>
      </c>
      <c r="Y217" s="276">
        <v>74</v>
      </c>
      <c r="Z217" s="214">
        <f t="shared" si="83"/>
        <v>0</v>
      </c>
      <c r="AA217" s="276">
        <f>'Core Indicators'!FF217</f>
        <v>0</v>
      </c>
      <c r="AB217" s="276">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76">
        <f>Lists!C:C</f>
        <v>0</v>
      </c>
      <c r="B218" s="213" t="e">
        <f t="shared" si="73"/>
        <v>#NUM!</v>
      </c>
      <c r="C218" s="214">
        <f t="shared" si="74"/>
        <v>0</v>
      </c>
      <c r="D218" s="277">
        <f t="shared" si="75"/>
        <v>0</v>
      </c>
      <c r="E218" s="276">
        <f>'Core Indicators'!R218</f>
        <v>0</v>
      </c>
      <c r="F218" s="276">
        <f>'Core Indicators'!Z218</f>
        <v>0</v>
      </c>
      <c r="G218" s="214">
        <f t="shared" si="76"/>
        <v>0</v>
      </c>
      <c r="H218" s="276">
        <f>'Core Indicators'!AH218</f>
        <v>0</v>
      </c>
      <c r="I218" s="276">
        <f>'Core Indicators'!AP218</f>
        <v>0</v>
      </c>
      <c r="J218" s="276">
        <f>'Core Indicators'!BN218</f>
        <v>0</v>
      </c>
      <c r="K218" s="276">
        <f t="shared" si="77"/>
        <v>0</v>
      </c>
      <c r="L218" s="213">
        <f t="shared" si="78"/>
        <v>0</v>
      </c>
      <c r="M218" s="277">
        <f t="shared" si="79"/>
        <v>0</v>
      </c>
      <c r="N218" s="278">
        <f>'Core Indicators'!DJ218</f>
        <v>0</v>
      </c>
      <c r="O218" s="278">
        <f>'Core Indicators'!DR218</f>
        <v>0</v>
      </c>
      <c r="P218" s="278">
        <f>'Core Indicators'!DZ218</f>
        <v>0</v>
      </c>
      <c r="Q218" s="278">
        <f>'Core Indicators'!EH218</f>
        <v>0</v>
      </c>
      <c r="R218" s="278">
        <f>'Core Indicators'!EP218</f>
        <v>0</v>
      </c>
      <c r="S218" s="214" t="e">
        <f t="shared" si="80"/>
        <v>#NUM!</v>
      </c>
      <c r="T218" s="214">
        <f t="shared" si="81"/>
        <v>25.5</v>
      </c>
      <c r="U218" s="276">
        <v>1</v>
      </c>
      <c r="V218" s="276">
        <v>1</v>
      </c>
      <c r="W218" s="276">
        <f>'Core Indicators'!EX218</f>
        <v>0</v>
      </c>
      <c r="X218" s="214">
        <f t="shared" si="82"/>
        <v>0.5</v>
      </c>
      <c r="Y218" s="276">
        <v>75</v>
      </c>
      <c r="Z218" s="214">
        <f t="shared" si="83"/>
        <v>0</v>
      </c>
      <c r="AA218" s="276">
        <f>'Core Indicators'!FF218</f>
        <v>0</v>
      </c>
      <c r="AB218" s="276">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76">
        <f>Lists!C:C</f>
        <v>0</v>
      </c>
      <c r="B219" s="213" t="e">
        <f t="shared" si="73"/>
        <v>#NUM!</v>
      </c>
      <c r="C219" s="214">
        <f t="shared" si="74"/>
        <v>0</v>
      </c>
      <c r="D219" s="277">
        <f t="shared" si="75"/>
        <v>0</v>
      </c>
      <c r="E219" s="276">
        <f>'Core Indicators'!R219</f>
        <v>0</v>
      </c>
      <c r="F219" s="276">
        <f>'Core Indicators'!Z219</f>
        <v>0</v>
      </c>
      <c r="G219" s="214">
        <f t="shared" si="76"/>
        <v>0</v>
      </c>
      <c r="H219" s="276">
        <f>'Core Indicators'!AH219</f>
        <v>0</v>
      </c>
      <c r="I219" s="276">
        <f>'Core Indicators'!AP219</f>
        <v>0</v>
      </c>
      <c r="J219" s="276">
        <f>'Core Indicators'!BN219</f>
        <v>0</v>
      </c>
      <c r="K219" s="276">
        <f t="shared" si="77"/>
        <v>0</v>
      </c>
      <c r="L219" s="213">
        <f t="shared" si="78"/>
        <v>0</v>
      </c>
      <c r="M219" s="277">
        <f t="shared" si="79"/>
        <v>0</v>
      </c>
      <c r="N219" s="278">
        <f>'Core Indicators'!DJ219</f>
        <v>0</v>
      </c>
      <c r="O219" s="278">
        <f>'Core Indicators'!DR219</f>
        <v>0</v>
      </c>
      <c r="P219" s="278">
        <f>'Core Indicators'!DZ219</f>
        <v>0</v>
      </c>
      <c r="Q219" s="278">
        <f>'Core Indicators'!EH219</f>
        <v>0</v>
      </c>
      <c r="R219" s="278">
        <f>'Core Indicators'!EP219</f>
        <v>0</v>
      </c>
      <c r="S219" s="214" t="e">
        <f t="shared" si="80"/>
        <v>#NUM!</v>
      </c>
      <c r="T219" s="214">
        <f t="shared" si="81"/>
        <v>25.833333333333332</v>
      </c>
      <c r="U219" s="276">
        <v>1</v>
      </c>
      <c r="V219" s="276">
        <v>1</v>
      </c>
      <c r="W219" s="276">
        <f>'Core Indicators'!EX219</f>
        <v>0</v>
      </c>
      <c r="X219" s="214">
        <f t="shared" si="82"/>
        <v>0.5</v>
      </c>
      <c r="Y219" s="276">
        <v>76</v>
      </c>
      <c r="Z219" s="214">
        <f t="shared" si="83"/>
        <v>0</v>
      </c>
      <c r="AA219" s="276">
        <f>'Core Indicators'!FF219</f>
        <v>0</v>
      </c>
      <c r="AB219" s="276">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76">
        <f>Lists!C:C</f>
        <v>0</v>
      </c>
      <c r="B220" s="213" t="e">
        <f t="shared" si="73"/>
        <v>#NUM!</v>
      </c>
      <c r="C220" s="214">
        <f t="shared" si="74"/>
        <v>0</v>
      </c>
      <c r="D220" s="277">
        <f t="shared" si="75"/>
        <v>0</v>
      </c>
      <c r="E220" s="276">
        <f>'Core Indicators'!R220</f>
        <v>0</v>
      </c>
      <c r="F220" s="276">
        <f>'Core Indicators'!Z220</f>
        <v>0</v>
      </c>
      <c r="G220" s="214">
        <f t="shared" si="76"/>
        <v>0</v>
      </c>
      <c r="H220" s="276">
        <f>'Core Indicators'!AH220</f>
        <v>0</v>
      </c>
      <c r="I220" s="276">
        <f>'Core Indicators'!AP220</f>
        <v>0</v>
      </c>
      <c r="J220" s="276">
        <f>'Core Indicators'!BN220</f>
        <v>0</v>
      </c>
      <c r="K220" s="276">
        <f t="shared" si="77"/>
        <v>0</v>
      </c>
      <c r="L220" s="213">
        <f t="shared" si="78"/>
        <v>0</v>
      </c>
      <c r="M220" s="277">
        <f t="shared" si="79"/>
        <v>0</v>
      </c>
      <c r="N220" s="278">
        <f>'Core Indicators'!DJ220</f>
        <v>0</v>
      </c>
      <c r="O220" s="278">
        <f>'Core Indicators'!DR220</f>
        <v>0</v>
      </c>
      <c r="P220" s="278">
        <f>'Core Indicators'!DZ220</f>
        <v>0</v>
      </c>
      <c r="Q220" s="278">
        <f>'Core Indicators'!EH220</f>
        <v>0</v>
      </c>
      <c r="R220" s="278">
        <f>'Core Indicators'!EP220</f>
        <v>0</v>
      </c>
      <c r="S220" s="214" t="e">
        <f t="shared" si="80"/>
        <v>#NUM!</v>
      </c>
      <c r="T220" s="214">
        <f t="shared" si="81"/>
        <v>26.166666666666668</v>
      </c>
      <c r="U220" s="276">
        <v>1</v>
      </c>
      <c r="V220" s="276">
        <v>1</v>
      </c>
      <c r="W220" s="276">
        <f>'Core Indicators'!EX220</f>
        <v>0</v>
      </c>
      <c r="X220" s="214">
        <f t="shared" si="82"/>
        <v>0.5</v>
      </c>
      <c r="Y220" s="276">
        <v>77</v>
      </c>
      <c r="Z220" s="214">
        <f t="shared" si="83"/>
        <v>0</v>
      </c>
      <c r="AA220" s="276">
        <f>'Core Indicators'!FF220</f>
        <v>0</v>
      </c>
      <c r="AB220" s="276">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76">
        <f>Lists!C:C</f>
        <v>0</v>
      </c>
      <c r="B221" s="213" t="e">
        <f t="shared" si="73"/>
        <v>#NUM!</v>
      </c>
      <c r="C221" s="214">
        <f t="shared" si="74"/>
        <v>0</v>
      </c>
      <c r="D221" s="277">
        <f t="shared" si="75"/>
        <v>0</v>
      </c>
      <c r="E221" s="276">
        <f>'Core Indicators'!R221</f>
        <v>0</v>
      </c>
      <c r="F221" s="276">
        <f>'Core Indicators'!Z221</f>
        <v>0</v>
      </c>
      <c r="G221" s="214">
        <f t="shared" si="76"/>
        <v>0</v>
      </c>
      <c r="H221" s="276">
        <f>'Core Indicators'!AH221</f>
        <v>0</v>
      </c>
      <c r="I221" s="276">
        <f>'Core Indicators'!AP221</f>
        <v>0</v>
      </c>
      <c r="J221" s="276">
        <f>'Core Indicators'!BN221</f>
        <v>0</v>
      </c>
      <c r="K221" s="276">
        <f t="shared" si="77"/>
        <v>0</v>
      </c>
      <c r="L221" s="213">
        <f t="shared" si="78"/>
        <v>0</v>
      </c>
      <c r="M221" s="277">
        <f t="shared" si="79"/>
        <v>0</v>
      </c>
      <c r="N221" s="278">
        <f>'Core Indicators'!DJ221</f>
        <v>0</v>
      </c>
      <c r="O221" s="278">
        <f>'Core Indicators'!DR221</f>
        <v>0</v>
      </c>
      <c r="P221" s="278">
        <f>'Core Indicators'!DZ221</f>
        <v>0</v>
      </c>
      <c r="Q221" s="278">
        <f>'Core Indicators'!EH221</f>
        <v>0</v>
      </c>
      <c r="R221" s="278">
        <f>'Core Indicators'!EP221</f>
        <v>0</v>
      </c>
      <c r="S221" s="214" t="e">
        <f t="shared" si="80"/>
        <v>#NUM!</v>
      </c>
      <c r="T221" s="214">
        <f t="shared" si="81"/>
        <v>26.5</v>
      </c>
      <c r="U221" s="276">
        <v>1</v>
      </c>
      <c r="V221" s="276">
        <v>1</v>
      </c>
      <c r="W221" s="276">
        <f>'Core Indicators'!EX221</f>
        <v>0</v>
      </c>
      <c r="X221" s="214">
        <f t="shared" si="82"/>
        <v>0.5</v>
      </c>
      <c r="Y221" s="276">
        <v>78</v>
      </c>
      <c r="Z221" s="214">
        <f t="shared" si="83"/>
        <v>0</v>
      </c>
      <c r="AA221" s="276">
        <f>'Core Indicators'!FF221</f>
        <v>0</v>
      </c>
      <c r="AB221" s="276">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76">
        <f>Lists!C:C</f>
        <v>0</v>
      </c>
      <c r="B222" s="213" t="e">
        <f t="shared" si="73"/>
        <v>#NUM!</v>
      </c>
      <c r="C222" s="214">
        <f t="shared" si="74"/>
        <v>0</v>
      </c>
      <c r="D222" s="277">
        <f t="shared" si="75"/>
        <v>0</v>
      </c>
      <c r="E222" s="276">
        <f>'Core Indicators'!R222</f>
        <v>0</v>
      </c>
      <c r="F222" s="276">
        <f>'Core Indicators'!Z222</f>
        <v>0</v>
      </c>
      <c r="G222" s="214">
        <f t="shared" si="76"/>
        <v>0</v>
      </c>
      <c r="H222" s="276">
        <f>'Core Indicators'!AH222</f>
        <v>0</v>
      </c>
      <c r="I222" s="276">
        <f>'Core Indicators'!AP222</f>
        <v>0</v>
      </c>
      <c r="J222" s="276">
        <f>'Core Indicators'!BN222</f>
        <v>0</v>
      </c>
      <c r="K222" s="276">
        <f t="shared" si="77"/>
        <v>0</v>
      </c>
      <c r="L222" s="213">
        <f t="shared" si="78"/>
        <v>0</v>
      </c>
      <c r="M222" s="277">
        <f t="shared" si="79"/>
        <v>0</v>
      </c>
      <c r="N222" s="278">
        <f>'Core Indicators'!DJ222</f>
        <v>0</v>
      </c>
      <c r="O222" s="278">
        <f>'Core Indicators'!DR222</f>
        <v>0</v>
      </c>
      <c r="P222" s="278">
        <f>'Core Indicators'!DZ222</f>
        <v>0</v>
      </c>
      <c r="Q222" s="278">
        <f>'Core Indicators'!EH222</f>
        <v>0</v>
      </c>
      <c r="R222" s="278">
        <f>'Core Indicators'!EP222</f>
        <v>0</v>
      </c>
      <c r="S222" s="214" t="e">
        <f t="shared" si="80"/>
        <v>#NUM!</v>
      </c>
      <c r="T222" s="214">
        <f t="shared" si="81"/>
        <v>26.833333333333332</v>
      </c>
      <c r="U222" s="276">
        <v>1</v>
      </c>
      <c r="V222" s="276">
        <v>1</v>
      </c>
      <c r="W222" s="276">
        <f>'Core Indicators'!EX222</f>
        <v>0</v>
      </c>
      <c r="X222" s="214">
        <f t="shared" si="82"/>
        <v>0.5</v>
      </c>
      <c r="Y222" s="276">
        <v>79</v>
      </c>
      <c r="Z222" s="214">
        <f t="shared" si="83"/>
        <v>0</v>
      </c>
      <c r="AA222" s="276">
        <f>'Core Indicators'!FF222</f>
        <v>0</v>
      </c>
      <c r="AB222" s="276">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76">
        <f>Lists!C:C</f>
        <v>0</v>
      </c>
      <c r="B223" s="213" t="e">
        <f t="shared" si="73"/>
        <v>#NUM!</v>
      </c>
      <c r="C223" s="214">
        <f t="shared" si="74"/>
        <v>0</v>
      </c>
      <c r="D223" s="277">
        <f t="shared" si="75"/>
        <v>0</v>
      </c>
      <c r="E223" s="276">
        <f>'Core Indicators'!R223</f>
        <v>0</v>
      </c>
      <c r="F223" s="276">
        <f>'Core Indicators'!Z223</f>
        <v>0</v>
      </c>
      <c r="G223" s="214">
        <f t="shared" si="76"/>
        <v>0</v>
      </c>
      <c r="H223" s="276">
        <f>'Core Indicators'!AH223</f>
        <v>0</v>
      </c>
      <c r="I223" s="276">
        <f>'Core Indicators'!AP223</f>
        <v>0</v>
      </c>
      <c r="J223" s="276">
        <f>'Core Indicators'!BN223</f>
        <v>0</v>
      </c>
      <c r="K223" s="276">
        <f t="shared" si="77"/>
        <v>0</v>
      </c>
      <c r="L223" s="213">
        <f t="shared" si="78"/>
        <v>0</v>
      </c>
      <c r="M223" s="277">
        <f t="shared" si="79"/>
        <v>0</v>
      </c>
      <c r="N223" s="278">
        <f>'Core Indicators'!DJ223</f>
        <v>0</v>
      </c>
      <c r="O223" s="278">
        <f>'Core Indicators'!DR223</f>
        <v>0</v>
      </c>
      <c r="P223" s="278">
        <f>'Core Indicators'!DZ223</f>
        <v>0</v>
      </c>
      <c r="Q223" s="278">
        <f>'Core Indicators'!EH223</f>
        <v>0</v>
      </c>
      <c r="R223" s="278">
        <f>'Core Indicators'!EP223</f>
        <v>0</v>
      </c>
      <c r="S223" s="214" t="e">
        <f t="shared" si="80"/>
        <v>#NUM!</v>
      </c>
      <c r="T223" s="214">
        <f t="shared" si="81"/>
        <v>27.166666666666668</v>
      </c>
      <c r="U223" s="276">
        <v>1</v>
      </c>
      <c r="V223" s="276">
        <v>1</v>
      </c>
      <c r="W223" s="276">
        <f>'Core Indicators'!EX223</f>
        <v>0</v>
      </c>
      <c r="X223" s="214">
        <f t="shared" si="82"/>
        <v>0.5</v>
      </c>
      <c r="Y223" s="276">
        <v>80</v>
      </c>
      <c r="Z223" s="214">
        <f t="shared" si="83"/>
        <v>0</v>
      </c>
      <c r="AA223" s="276">
        <f>'Core Indicators'!FF223</f>
        <v>0</v>
      </c>
      <c r="AB223" s="276">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76">
        <f>Lists!C:C</f>
        <v>0</v>
      </c>
      <c r="B224" s="213" t="e">
        <f t="shared" si="73"/>
        <v>#NUM!</v>
      </c>
      <c r="C224" s="214">
        <f t="shared" si="74"/>
        <v>0</v>
      </c>
      <c r="D224" s="277">
        <f t="shared" si="75"/>
        <v>0</v>
      </c>
      <c r="E224" s="276">
        <f>'Core Indicators'!R224</f>
        <v>0</v>
      </c>
      <c r="F224" s="276">
        <f>'Core Indicators'!Z224</f>
        <v>0</v>
      </c>
      <c r="G224" s="214">
        <f t="shared" si="76"/>
        <v>0</v>
      </c>
      <c r="H224" s="276">
        <f>'Core Indicators'!AH224</f>
        <v>0</v>
      </c>
      <c r="I224" s="276">
        <f>'Core Indicators'!AP224</f>
        <v>0</v>
      </c>
      <c r="J224" s="276">
        <f>'Core Indicators'!BN224</f>
        <v>0</v>
      </c>
      <c r="K224" s="276">
        <f t="shared" si="77"/>
        <v>0</v>
      </c>
      <c r="L224" s="213">
        <f t="shared" si="78"/>
        <v>0</v>
      </c>
      <c r="M224" s="277">
        <f t="shared" si="79"/>
        <v>0</v>
      </c>
      <c r="N224" s="278">
        <f>'Core Indicators'!DJ224</f>
        <v>0</v>
      </c>
      <c r="O224" s="278">
        <f>'Core Indicators'!DR224</f>
        <v>0</v>
      </c>
      <c r="P224" s="278">
        <f>'Core Indicators'!DZ224</f>
        <v>0</v>
      </c>
      <c r="Q224" s="278">
        <f>'Core Indicators'!EH224</f>
        <v>0</v>
      </c>
      <c r="R224" s="278">
        <f>'Core Indicators'!EP224</f>
        <v>0</v>
      </c>
      <c r="S224" s="214" t="e">
        <f t="shared" si="80"/>
        <v>#NUM!</v>
      </c>
      <c r="T224" s="214">
        <f t="shared" si="81"/>
        <v>27.5</v>
      </c>
      <c r="U224" s="276">
        <v>1</v>
      </c>
      <c r="V224" s="276">
        <v>1</v>
      </c>
      <c r="W224" s="276">
        <f>'Core Indicators'!EX224</f>
        <v>0</v>
      </c>
      <c r="X224" s="214">
        <f t="shared" si="82"/>
        <v>0.5</v>
      </c>
      <c r="Y224" s="276">
        <v>81</v>
      </c>
      <c r="Z224" s="214">
        <f t="shared" si="83"/>
        <v>0</v>
      </c>
      <c r="AA224" s="276">
        <f>'Core Indicators'!FF224</f>
        <v>0</v>
      </c>
      <c r="AB224" s="276">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76">
        <f>Lists!C:C</f>
        <v>0</v>
      </c>
      <c r="B225" s="213" t="e">
        <f t="shared" si="73"/>
        <v>#NUM!</v>
      </c>
      <c r="C225" s="214">
        <f t="shared" si="74"/>
        <v>0</v>
      </c>
      <c r="D225" s="277">
        <f t="shared" si="75"/>
        <v>0</v>
      </c>
      <c r="E225" s="276">
        <f>'Core Indicators'!R225</f>
        <v>0</v>
      </c>
      <c r="F225" s="276">
        <f>'Core Indicators'!Z225</f>
        <v>0</v>
      </c>
      <c r="G225" s="214">
        <f t="shared" si="76"/>
        <v>0</v>
      </c>
      <c r="H225" s="276">
        <f>'Core Indicators'!AH225</f>
        <v>0</v>
      </c>
      <c r="I225" s="276">
        <f>'Core Indicators'!AP225</f>
        <v>0</v>
      </c>
      <c r="J225" s="276">
        <f>'Core Indicators'!BN225</f>
        <v>0</v>
      </c>
      <c r="K225" s="276">
        <f t="shared" si="77"/>
        <v>0</v>
      </c>
      <c r="L225" s="213">
        <f t="shared" si="78"/>
        <v>0</v>
      </c>
      <c r="M225" s="277">
        <f t="shared" si="79"/>
        <v>0</v>
      </c>
      <c r="N225" s="278">
        <f>'Core Indicators'!DJ225</f>
        <v>0</v>
      </c>
      <c r="O225" s="278">
        <f>'Core Indicators'!DR225</f>
        <v>0</v>
      </c>
      <c r="P225" s="278">
        <f>'Core Indicators'!DZ225</f>
        <v>0</v>
      </c>
      <c r="Q225" s="278">
        <f>'Core Indicators'!EH225</f>
        <v>0</v>
      </c>
      <c r="R225" s="278">
        <f>'Core Indicators'!EP225</f>
        <v>0</v>
      </c>
      <c r="S225" s="214" t="e">
        <f t="shared" si="80"/>
        <v>#NUM!</v>
      </c>
      <c r="T225" s="214">
        <f t="shared" si="81"/>
        <v>27.833333333333332</v>
      </c>
      <c r="U225" s="276">
        <v>1</v>
      </c>
      <c r="V225" s="276">
        <v>1</v>
      </c>
      <c r="W225" s="276">
        <f>'Core Indicators'!EX225</f>
        <v>0</v>
      </c>
      <c r="X225" s="214">
        <f t="shared" si="82"/>
        <v>0.5</v>
      </c>
      <c r="Y225" s="276">
        <v>82</v>
      </c>
      <c r="Z225" s="214">
        <f t="shared" si="83"/>
        <v>0</v>
      </c>
      <c r="AA225" s="276">
        <f>'Core Indicators'!FF225</f>
        <v>0</v>
      </c>
      <c r="AB225" s="276">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76">
        <f>Lists!C:C</f>
        <v>0</v>
      </c>
      <c r="B226" s="213" t="e">
        <f t="shared" si="73"/>
        <v>#NUM!</v>
      </c>
      <c r="C226" s="214">
        <f t="shared" si="74"/>
        <v>0</v>
      </c>
      <c r="D226" s="277">
        <f t="shared" si="75"/>
        <v>0</v>
      </c>
      <c r="E226" s="276">
        <f>'Core Indicators'!R226</f>
        <v>0</v>
      </c>
      <c r="F226" s="276">
        <f>'Core Indicators'!Z226</f>
        <v>0</v>
      </c>
      <c r="G226" s="214">
        <f t="shared" si="76"/>
        <v>0</v>
      </c>
      <c r="H226" s="276">
        <f>'Core Indicators'!AH226</f>
        <v>0</v>
      </c>
      <c r="I226" s="276">
        <f>'Core Indicators'!AP226</f>
        <v>0</v>
      </c>
      <c r="J226" s="276">
        <f>'Core Indicators'!BN226</f>
        <v>0</v>
      </c>
      <c r="K226" s="276">
        <f t="shared" si="77"/>
        <v>0</v>
      </c>
      <c r="L226" s="213">
        <f t="shared" si="78"/>
        <v>0</v>
      </c>
      <c r="M226" s="277">
        <f t="shared" si="79"/>
        <v>0</v>
      </c>
      <c r="N226" s="278">
        <f>'Core Indicators'!DJ226</f>
        <v>0</v>
      </c>
      <c r="O226" s="278">
        <f>'Core Indicators'!DR226</f>
        <v>0</v>
      </c>
      <c r="P226" s="278">
        <f>'Core Indicators'!DZ226</f>
        <v>0</v>
      </c>
      <c r="Q226" s="278">
        <f>'Core Indicators'!EH226</f>
        <v>0</v>
      </c>
      <c r="R226" s="278">
        <f>'Core Indicators'!EP226</f>
        <v>0</v>
      </c>
      <c r="S226" s="214" t="e">
        <f t="shared" si="80"/>
        <v>#NUM!</v>
      </c>
      <c r="T226" s="214">
        <f t="shared" si="81"/>
        <v>28.166666666666668</v>
      </c>
      <c r="U226" s="276">
        <v>1</v>
      </c>
      <c r="V226" s="276">
        <v>1</v>
      </c>
      <c r="W226" s="276">
        <f>'Core Indicators'!EX226</f>
        <v>0</v>
      </c>
      <c r="X226" s="214">
        <f t="shared" si="82"/>
        <v>0.5</v>
      </c>
      <c r="Y226" s="276">
        <v>83</v>
      </c>
      <c r="Z226" s="214">
        <f t="shared" si="83"/>
        <v>0</v>
      </c>
      <c r="AA226" s="276">
        <f>'Core Indicators'!FF226</f>
        <v>0</v>
      </c>
      <c r="AB226" s="276">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76">
        <f>Lists!C:C</f>
        <v>0</v>
      </c>
      <c r="B227" s="213" t="e">
        <f t="shared" si="73"/>
        <v>#NUM!</v>
      </c>
      <c r="C227" s="214">
        <f t="shared" si="74"/>
        <v>0</v>
      </c>
      <c r="D227" s="277">
        <f t="shared" si="75"/>
        <v>0</v>
      </c>
      <c r="E227" s="276">
        <f>'Core Indicators'!R227</f>
        <v>0</v>
      </c>
      <c r="F227" s="276">
        <f>'Core Indicators'!Z227</f>
        <v>0</v>
      </c>
      <c r="G227" s="214">
        <f t="shared" si="76"/>
        <v>0</v>
      </c>
      <c r="H227" s="276">
        <f>'Core Indicators'!AH227</f>
        <v>0</v>
      </c>
      <c r="I227" s="276">
        <f>'Core Indicators'!AP227</f>
        <v>0</v>
      </c>
      <c r="J227" s="276">
        <f>'Core Indicators'!BN227</f>
        <v>0</v>
      </c>
      <c r="K227" s="276">
        <f t="shared" si="77"/>
        <v>0</v>
      </c>
      <c r="L227" s="213">
        <f t="shared" si="78"/>
        <v>0</v>
      </c>
      <c r="M227" s="277">
        <f t="shared" si="79"/>
        <v>0</v>
      </c>
      <c r="N227" s="278">
        <f>'Core Indicators'!DJ227</f>
        <v>0</v>
      </c>
      <c r="O227" s="278">
        <f>'Core Indicators'!DR227</f>
        <v>0</v>
      </c>
      <c r="P227" s="278">
        <f>'Core Indicators'!DZ227</f>
        <v>0</v>
      </c>
      <c r="Q227" s="278">
        <f>'Core Indicators'!EH227</f>
        <v>0</v>
      </c>
      <c r="R227" s="278">
        <f>'Core Indicators'!EP227</f>
        <v>0</v>
      </c>
      <c r="S227" s="214" t="e">
        <f t="shared" si="80"/>
        <v>#NUM!</v>
      </c>
      <c r="T227" s="214">
        <f t="shared" si="81"/>
        <v>28.5</v>
      </c>
      <c r="U227" s="276">
        <v>1</v>
      </c>
      <c r="V227" s="276">
        <v>1</v>
      </c>
      <c r="W227" s="276">
        <f>'Core Indicators'!EX227</f>
        <v>0</v>
      </c>
      <c r="X227" s="214">
        <f t="shared" si="82"/>
        <v>0.5</v>
      </c>
      <c r="Y227" s="276">
        <v>84</v>
      </c>
      <c r="Z227" s="214">
        <f t="shared" si="83"/>
        <v>0</v>
      </c>
      <c r="AA227" s="276">
        <f>'Core Indicators'!FF227</f>
        <v>0</v>
      </c>
      <c r="AB227" s="276">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76">
        <f>Lists!C:C</f>
        <v>0</v>
      </c>
      <c r="B228" s="213" t="e">
        <f t="shared" si="73"/>
        <v>#NUM!</v>
      </c>
      <c r="C228" s="214">
        <f t="shared" si="74"/>
        <v>0</v>
      </c>
      <c r="D228" s="277">
        <f t="shared" si="75"/>
        <v>0</v>
      </c>
      <c r="E228" s="276">
        <f>'Core Indicators'!R228</f>
        <v>0</v>
      </c>
      <c r="F228" s="276">
        <f>'Core Indicators'!Z228</f>
        <v>0</v>
      </c>
      <c r="G228" s="214">
        <f t="shared" si="76"/>
        <v>0</v>
      </c>
      <c r="H228" s="276">
        <f>'Core Indicators'!AH228</f>
        <v>0</v>
      </c>
      <c r="I228" s="276">
        <f>'Core Indicators'!AP228</f>
        <v>0</v>
      </c>
      <c r="J228" s="276">
        <f>'Core Indicators'!BN228</f>
        <v>0</v>
      </c>
      <c r="K228" s="276">
        <f t="shared" si="77"/>
        <v>0</v>
      </c>
      <c r="L228" s="213">
        <f t="shared" si="78"/>
        <v>0</v>
      </c>
      <c r="M228" s="277">
        <f t="shared" si="79"/>
        <v>0</v>
      </c>
      <c r="N228" s="278">
        <f>'Core Indicators'!DJ228</f>
        <v>0</v>
      </c>
      <c r="O228" s="278">
        <f>'Core Indicators'!DR228</f>
        <v>0</v>
      </c>
      <c r="P228" s="278">
        <f>'Core Indicators'!DZ228</f>
        <v>0</v>
      </c>
      <c r="Q228" s="278">
        <f>'Core Indicators'!EH228</f>
        <v>0</v>
      </c>
      <c r="R228" s="278">
        <f>'Core Indicators'!EP228</f>
        <v>0</v>
      </c>
      <c r="S228" s="214" t="e">
        <f t="shared" si="80"/>
        <v>#NUM!</v>
      </c>
      <c r="T228" s="214">
        <f t="shared" si="81"/>
        <v>28.833333333333332</v>
      </c>
      <c r="U228" s="276">
        <v>1</v>
      </c>
      <c r="V228" s="276">
        <v>1</v>
      </c>
      <c r="W228" s="276">
        <f>'Core Indicators'!EX228</f>
        <v>0</v>
      </c>
      <c r="X228" s="214">
        <f t="shared" si="82"/>
        <v>0.5</v>
      </c>
      <c r="Y228" s="276">
        <v>85</v>
      </c>
      <c r="Z228" s="214">
        <f t="shared" si="83"/>
        <v>0</v>
      </c>
      <c r="AA228" s="276">
        <f>'Core Indicators'!FF228</f>
        <v>0</v>
      </c>
      <c r="AB228" s="276">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zoomScale="80" zoomScaleNormal="80" workbookViewId="0">
      <pane xSplit="1" ySplit="2" topLeftCell="B124" activePane="bottomRight" state="frozen"/>
      <selection pane="topRight" activeCell="B1" sqref="B1"/>
      <selection pane="bottomLeft" activeCell="A3" sqref="A3"/>
      <selection pane="bottomRight" activeCell="A149" sqref="A149:XFD151"/>
    </sheetView>
  </sheetViews>
  <sheetFormatPr defaultRowHeight="14.4" x14ac:dyDescent="0.3"/>
  <cols>
    <col min="2" max="2" width="10.5546875" bestFit="1" customWidth="1"/>
    <col min="3" max="3" width="9.77734375" customWidth="1"/>
  </cols>
  <sheetData>
    <row r="1" spans="1:22" x14ac:dyDescent="0.3">
      <c r="A1" s="312"/>
      <c r="B1" s="312"/>
      <c r="C1" s="312"/>
      <c r="D1" s="312"/>
      <c r="E1" s="312"/>
      <c r="F1" s="312"/>
      <c r="G1" s="312"/>
      <c r="H1" s="312"/>
      <c r="I1" s="312"/>
      <c r="J1" s="312"/>
      <c r="K1" s="312"/>
      <c r="L1" s="312"/>
      <c r="M1" s="312"/>
      <c r="N1" s="312"/>
      <c r="O1" s="312"/>
      <c r="P1" s="312"/>
      <c r="Q1" s="312"/>
      <c r="R1" s="312"/>
      <c r="S1" s="312"/>
      <c r="T1" s="312"/>
      <c r="U1" s="312"/>
      <c r="V1" s="312"/>
    </row>
    <row r="2" spans="1:22" x14ac:dyDescent="0.3">
      <c r="A2" s="279" t="s">
        <v>566</v>
      </c>
      <c r="B2" s="280" t="s">
        <v>2993</v>
      </c>
      <c r="C2" s="280" t="s">
        <v>398</v>
      </c>
      <c r="D2" s="280" t="s">
        <v>411</v>
      </c>
      <c r="E2" s="280" t="s">
        <v>412</v>
      </c>
      <c r="F2" s="280" t="s">
        <v>413</v>
      </c>
      <c r="G2" s="280" t="s">
        <v>526</v>
      </c>
      <c r="H2" s="280" t="s">
        <v>624</v>
      </c>
      <c r="I2" s="280" t="s">
        <v>527</v>
      </c>
      <c r="J2" s="280" t="s">
        <v>528</v>
      </c>
      <c r="K2" s="280" t="s">
        <v>529</v>
      </c>
      <c r="L2" s="280" t="s">
        <v>2984</v>
      </c>
      <c r="M2" s="280" t="s">
        <v>530</v>
      </c>
      <c r="N2" s="280" t="s">
        <v>531</v>
      </c>
      <c r="O2" s="280" t="s">
        <v>532</v>
      </c>
      <c r="P2" s="280" t="s">
        <v>533</v>
      </c>
      <c r="Q2" s="280" t="s">
        <v>534</v>
      </c>
      <c r="R2" s="280" t="s">
        <v>535</v>
      </c>
      <c r="S2" s="280" t="s">
        <v>536</v>
      </c>
      <c r="T2" s="280" t="s">
        <v>537</v>
      </c>
      <c r="U2" s="280" t="s">
        <v>538</v>
      </c>
      <c r="V2" s="280" t="s">
        <v>2938</v>
      </c>
    </row>
    <row r="3" spans="1:22" x14ac:dyDescent="0.3">
      <c r="A3" s="280" t="str">
        <f>Lists!C:C</f>
        <v>AFG001</v>
      </c>
      <c r="B3" s="281">
        <f>_xlfn.DAYS(About!$A$3,'Core Indicators'!U3)</f>
        <v>645</v>
      </c>
      <c r="C3" s="281">
        <f>_xlfn.DAYS(About!$A$3,'Core Indicators'!AC3)</f>
        <v>21</v>
      </c>
      <c r="D3" s="281">
        <f>_xlfn.DAYS(About!$A$3,'Core Indicators'!AK3)</f>
        <v>618</v>
      </c>
      <c r="E3" s="281">
        <f>_xlfn.DAYS(About!$A$3,'Core Indicators'!AS3)</f>
        <v>9</v>
      </c>
      <c r="F3" s="281">
        <f>_xlfn.DAYS(About!$A$3,'Core Indicators'!BQ3)</f>
        <v>9</v>
      </c>
      <c r="G3" s="281">
        <f>_xlfn.DAYS(About!$A$3,'Core Indicators'!DM3)</f>
        <v>21</v>
      </c>
      <c r="H3" s="281">
        <f>_xlfn.DAYS(About!$A$3,'Core Indicators'!DU3)</f>
        <v>21</v>
      </c>
      <c r="I3" s="281">
        <f>_xlfn.DAYS(About!$A$3,'Core Indicators'!EC3)</f>
        <v>21</v>
      </c>
      <c r="J3" s="281">
        <f>_xlfn.DAYS(About!$A$3,'Core Indicators'!EK3)</f>
        <v>21</v>
      </c>
      <c r="K3" s="281">
        <f>_xlfn.DAYS(About!$A$3,'Core Indicators'!ES3)</f>
        <v>21</v>
      </c>
      <c r="L3" s="281">
        <f>_xlfn.DAYS(About!$A$3,'Core Indicators'!FI3)</f>
        <v>34</v>
      </c>
      <c r="M3" s="281">
        <f>_xlfn.DAYS(About!$A$3,'Core Indicators'!GG3)</f>
        <v>373</v>
      </c>
      <c r="N3" s="281">
        <f>_xlfn.DAYS(About!$A$3,'Core Indicators'!GO3)</f>
        <v>373</v>
      </c>
      <c r="O3" s="281">
        <f>_xlfn.DAYS(About!$A$3,'Core Indicators'!GW3)</f>
        <v>373</v>
      </c>
      <c r="P3" s="281">
        <f>_xlfn.DAYS(About!$A$3,'Core Indicators'!HE3)</f>
        <v>373</v>
      </c>
      <c r="Q3" s="281">
        <f>_xlfn.DAYS(About!$A$3,'Core Indicators'!HM3)</f>
        <v>373</v>
      </c>
      <c r="R3" s="281">
        <f>_xlfn.DAYS(About!$A$3,'Core Indicators'!HU3)</f>
        <v>373</v>
      </c>
      <c r="S3" s="281">
        <f>_xlfn.DAYS(About!$A$3,'Core Indicators'!IC3)</f>
        <v>373</v>
      </c>
      <c r="T3" s="281">
        <f>_xlfn.DAYS(About!$A$3,'Core Indicators'!IK3)</f>
        <v>373</v>
      </c>
      <c r="U3" s="281">
        <f>_xlfn.DAYS(About!$A$3,'Core Indicators'!IS3)</f>
        <v>373</v>
      </c>
      <c r="V3" s="282">
        <f>AVERAGE(D3:M3)</f>
        <v>114.8</v>
      </c>
    </row>
    <row r="4" spans="1:22" x14ac:dyDescent="0.3">
      <c r="A4" s="280" t="str">
        <f>Lists!C:C</f>
        <v>DZA002</v>
      </c>
      <c r="B4" s="281">
        <f>_xlfn.DAYS(About!$A$3,'Core Indicators'!U4)</f>
        <v>342</v>
      </c>
      <c r="C4" s="281">
        <f>_xlfn.DAYS(About!$A$3,'Core Indicators'!AC4)</f>
        <v>273</v>
      </c>
      <c r="D4" s="281">
        <f>_xlfn.DAYS(About!$A$3,'Core Indicators'!AK4)</f>
        <v>148</v>
      </c>
      <c r="E4" s="281">
        <f>_xlfn.DAYS(About!$A$3,'Core Indicators'!AS4)</f>
        <v>148</v>
      </c>
      <c r="F4" s="281">
        <f>_xlfn.DAYS(About!$A$3,'Core Indicators'!BQ4)</f>
        <v>7</v>
      </c>
      <c r="G4" s="281">
        <f>_xlfn.DAYS(About!$A$3,'Core Indicators'!DM4)</f>
        <v>342</v>
      </c>
      <c r="H4" s="281">
        <f>_xlfn.DAYS(About!$A$3,'Core Indicators'!DU4)</f>
        <v>342</v>
      </c>
      <c r="I4" s="281">
        <f>_xlfn.DAYS(About!$A$3,'Core Indicators'!EC4)</f>
        <v>342</v>
      </c>
      <c r="J4" s="281">
        <f>_xlfn.DAYS(About!$A$3,'Core Indicators'!EK4)</f>
        <v>342</v>
      </c>
      <c r="K4" s="281">
        <f>_xlfn.DAYS(About!$A$3,'Core Indicators'!ES4)</f>
        <v>342</v>
      </c>
      <c r="L4" s="281">
        <f>_xlfn.DAYS(About!$A$3,'Core Indicators'!FI4)</f>
        <v>148</v>
      </c>
      <c r="M4" s="281">
        <f>_xlfn.DAYS(About!$A$3,'Core Indicators'!GG4)</f>
        <v>373</v>
      </c>
      <c r="N4" s="281">
        <f>_xlfn.DAYS(About!$A$3,'Core Indicators'!GO4)</f>
        <v>373</v>
      </c>
      <c r="O4" s="281">
        <f>_xlfn.DAYS(About!$A$3,'Core Indicators'!GW4)</f>
        <v>373</v>
      </c>
      <c r="P4" s="281">
        <f>_xlfn.DAYS(About!$A$3,'Core Indicators'!HE4)</f>
        <v>373</v>
      </c>
      <c r="Q4" s="281">
        <f>_xlfn.DAYS(About!$A$3,'Core Indicators'!HM4)</f>
        <v>373</v>
      </c>
      <c r="R4" s="281">
        <f>_xlfn.DAYS(About!$A$3,'Core Indicators'!HU4)</f>
        <v>373</v>
      </c>
      <c r="S4" s="281">
        <f>_xlfn.DAYS(About!$A$3,'Core Indicators'!IC4)</f>
        <v>373</v>
      </c>
      <c r="T4" s="281">
        <f>_xlfn.DAYS(About!$A$3,'Core Indicators'!IK4)</f>
        <v>373</v>
      </c>
      <c r="U4" s="281">
        <f>_xlfn.DAYS(About!$A$3,'Core Indicators'!IS4)</f>
        <v>373</v>
      </c>
      <c r="V4" s="282">
        <f t="shared" ref="V4:V67" si="0">AVERAGE(D4:M4)</f>
        <v>253.4</v>
      </c>
    </row>
    <row r="5" spans="1:22" x14ac:dyDescent="0.3">
      <c r="A5" s="280" t="str">
        <f>Lists!C:C</f>
        <v>DZA003</v>
      </c>
      <c r="B5" s="281">
        <f>_xlfn.DAYS(About!$A$3,'Core Indicators'!U5)</f>
        <v>273</v>
      </c>
      <c r="C5" s="281">
        <f>_xlfn.DAYS(About!$A$3,'Core Indicators'!AC5)</f>
        <v>629</v>
      </c>
      <c r="D5" s="281">
        <f>_xlfn.DAYS(About!$A$3,'Core Indicators'!AK5)</f>
        <v>342</v>
      </c>
      <c r="E5" s="281">
        <f>_xlfn.DAYS(About!$A$3,'Core Indicators'!AS5)</f>
        <v>342</v>
      </c>
      <c r="F5" s="281">
        <f>_xlfn.DAYS(About!$A$3,'Core Indicators'!BQ5)</f>
        <v>7</v>
      </c>
      <c r="G5" s="281">
        <f>_xlfn.DAYS(About!$A$3,'Core Indicators'!DM5)</f>
        <v>342</v>
      </c>
      <c r="H5" s="281">
        <f>_xlfn.DAYS(About!$A$3,'Core Indicators'!DU5)</f>
        <v>342</v>
      </c>
      <c r="I5" s="281">
        <f>_xlfn.DAYS(About!$A$3,'Core Indicators'!EC5)</f>
        <v>342</v>
      </c>
      <c r="J5" s="281">
        <f>_xlfn.DAYS(About!$A$3,'Core Indicators'!EK5)</f>
        <v>342</v>
      </c>
      <c r="K5" s="281">
        <f>_xlfn.DAYS(About!$A$3,'Core Indicators'!ES5)</f>
        <v>342</v>
      </c>
      <c r="L5" s="281">
        <f>_xlfn.DAYS(About!$A$3,'Core Indicators'!FI5)</f>
        <v>629</v>
      </c>
      <c r="M5" s="281">
        <f>_xlfn.DAYS(About!$A$3,'Core Indicators'!GG5)</f>
        <v>373</v>
      </c>
      <c r="N5" s="281">
        <f>_xlfn.DAYS(About!$A$3,'Core Indicators'!GO5)</f>
        <v>373</v>
      </c>
      <c r="O5" s="281">
        <f>_xlfn.DAYS(About!$A$3,'Core Indicators'!GW5)</f>
        <v>373</v>
      </c>
      <c r="P5" s="281">
        <f>_xlfn.DAYS(About!$A$3,'Core Indicators'!HE5)</f>
        <v>373</v>
      </c>
      <c r="Q5" s="281">
        <f>_xlfn.DAYS(About!$A$3,'Core Indicators'!HM5)</f>
        <v>373</v>
      </c>
      <c r="R5" s="281">
        <f>_xlfn.DAYS(About!$A$3,'Core Indicators'!HU5)</f>
        <v>373</v>
      </c>
      <c r="S5" s="281">
        <f>_xlfn.DAYS(About!$A$3,'Core Indicators'!IC5)</f>
        <v>373</v>
      </c>
      <c r="T5" s="281">
        <f>_xlfn.DAYS(About!$A$3,'Core Indicators'!IK5)</f>
        <v>373</v>
      </c>
      <c r="U5" s="281">
        <f>_xlfn.DAYS(About!$A$3,'Core Indicators'!IS5)</f>
        <v>373</v>
      </c>
      <c r="V5" s="282">
        <f t="shared" si="0"/>
        <v>340.3</v>
      </c>
    </row>
    <row r="6" spans="1:22" x14ac:dyDescent="0.3">
      <c r="A6" s="280" t="str">
        <f>Lists!C:C</f>
        <v>DZA004</v>
      </c>
      <c r="B6" s="281">
        <f>_xlfn.DAYS(About!$A$3,'Core Indicators'!U6)</f>
        <v>135</v>
      </c>
      <c r="C6" s="281">
        <f>_xlfn.DAYS(About!$A$3,'Core Indicators'!AC6)</f>
        <v>135</v>
      </c>
      <c r="D6" s="281">
        <f>_xlfn.DAYS(About!$A$3,'Core Indicators'!AK6)</f>
        <v>135</v>
      </c>
      <c r="E6" s="281">
        <f>_xlfn.DAYS(About!$A$3,'Core Indicators'!AS6)</f>
        <v>135</v>
      </c>
      <c r="F6" s="281">
        <f>_xlfn.DAYS(About!$A$3,'Core Indicators'!BQ6)</f>
        <v>7</v>
      </c>
      <c r="G6" s="281">
        <f>_xlfn.DAYS(About!$A$3,'Core Indicators'!DM6)</f>
        <v>135</v>
      </c>
      <c r="H6" s="281">
        <f>_xlfn.DAYS(About!$A$3,'Core Indicators'!DU6)</f>
        <v>135</v>
      </c>
      <c r="I6" s="281">
        <f>_xlfn.DAYS(About!$A$3,'Core Indicators'!EC6)</f>
        <v>135</v>
      </c>
      <c r="J6" s="281">
        <f>_xlfn.DAYS(About!$A$3,'Core Indicators'!EK6)</f>
        <v>135</v>
      </c>
      <c r="K6" s="281">
        <f>_xlfn.DAYS(About!$A$3,'Core Indicators'!ES6)</f>
        <v>135</v>
      </c>
      <c r="L6" s="281">
        <f>_xlfn.DAYS(About!$A$3,'Core Indicators'!FI6)</f>
        <v>135</v>
      </c>
      <c r="M6" s="281">
        <f>_xlfn.DAYS(About!$A$3,'Core Indicators'!GG6)</f>
        <v>135</v>
      </c>
      <c r="N6" s="281">
        <f>_xlfn.DAYS(About!$A$3,'Core Indicators'!GO6)</f>
        <v>135</v>
      </c>
      <c r="O6" s="281">
        <f>_xlfn.DAYS(About!$A$3,'Core Indicators'!GW6)</f>
        <v>135</v>
      </c>
      <c r="P6" s="281">
        <f>_xlfn.DAYS(About!$A$3,'Core Indicators'!HE6)</f>
        <v>135</v>
      </c>
      <c r="Q6" s="281">
        <f>_xlfn.DAYS(About!$A$3,'Core Indicators'!HM6)</f>
        <v>135</v>
      </c>
      <c r="R6" s="281">
        <f>_xlfn.DAYS(About!$A$3,'Core Indicators'!HU6)</f>
        <v>135</v>
      </c>
      <c r="S6" s="281">
        <f>_xlfn.DAYS(About!$A$3,'Core Indicators'!IC6)</f>
        <v>135</v>
      </c>
      <c r="T6" s="281">
        <f>_xlfn.DAYS(About!$A$3,'Core Indicators'!IK6)</f>
        <v>135</v>
      </c>
      <c r="U6" s="281">
        <f>_xlfn.DAYS(About!$A$3,'Core Indicators'!IS6)</f>
        <v>135</v>
      </c>
      <c r="V6" s="282">
        <f t="shared" si="0"/>
        <v>122.2</v>
      </c>
    </row>
    <row r="7" spans="1:22" x14ac:dyDescent="0.3">
      <c r="A7" s="280" t="str">
        <f>Lists!C:C</f>
        <v>REG008</v>
      </c>
      <c r="B7" s="281">
        <f>_xlfn.DAYS(About!$A$3,'Core Indicators'!U7)</f>
        <v>559</v>
      </c>
      <c r="C7" s="281">
        <f>_xlfn.DAYS(About!$A$3,'Core Indicators'!AC7)</f>
        <v>559</v>
      </c>
      <c r="D7" s="281">
        <f>_xlfn.DAYS(About!$A$3,'Core Indicators'!AK7)</f>
        <v>559</v>
      </c>
      <c r="E7" s="281">
        <f>_xlfn.DAYS(About!$A$3,'Core Indicators'!AS7)</f>
        <v>559</v>
      </c>
      <c r="F7" s="281">
        <f>_xlfn.DAYS(About!$A$3,'Core Indicators'!BQ7)</f>
        <v>0</v>
      </c>
      <c r="G7" s="281">
        <f>_xlfn.DAYS(About!$A$3,'Core Indicators'!DM7)</f>
        <v>559</v>
      </c>
      <c r="H7" s="281">
        <f>_xlfn.DAYS(About!$A$3,'Core Indicators'!DU7)</f>
        <v>559</v>
      </c>
      <c r="I7" s="281">
        <f>_xlfn.DAYS(About!$A$3,'Core Indicators'!EC7)</f>
        <v>559</v>
      </c>
      <c r="J7" s="281">
        <f>_xlfn.DAYS(About!$A$3,'Core Indicators'!EK7)</f>
        <v>559</v>
      </c>
      <c r="K7" s="281">
        <f>_xlfn.DAYS(About!$A$3,'Core Indicators'!ES7)</f>
        <v>559</v>
      </c>
      <c r="L7" s="281">
        <f>_xlfn.DAYS(About!$A$3,'Core Indicators'!FI7)</f>
        <v>559</v>
      </c>
      <c r="M7" s="281">
        <f>_xlfn.DAYS(About!$A$3,'Core Indicators'!GG7)</f>
        <v>559</v>
      </c>
      <c r="N7" s="281">
        <f>_xlfn.DAYS(About!$A$3,'Core Indicators'!GO7)</f>
        <v>559</v>
      </c>
      <c r="O7" s="281">
        <f>_xlfn.DAYS(About!$A$3,'Core Indicators'!GW7)</f>
        <v>559</v>
      </c>
      <c r="P7" s="281">
        <f>_xlfn.DAYS(About!$A$3,'Core Indicators'!HE7)</f>
        <v>559</v>
      </c>
      <c r="Q7" s="281">
        <f>_xlfn.DAYS(About!$A$3,'Core Indicators'!HM7)</f>
        <v>559</v>
      </c>
      <c r="R7" s="281">
        <f>_xlfn.DAYS(About!$A$3,'Core Indicators'!HU7)</f>
        <v>559</v>
      </c>
      <c r="S7" s="281">
        <f>_xlfn.DAYS(About!$A$3,'Core Indicators'!IC7)</f>
        <v>559</v>
      </c>
      <c r="T7" s="281">
        <f>_xlfn.DAYS(About!$A$3,'Core Indicators'!IK7)</f>
        <v>559</v>
      </c>
      <c r="U7" s="281">
        <f>_xlfn.DAYS(About!$A$3,'Core Indicators'!IS7)</f>
        <v>559</v>
      </c>
      <c r="V7" s="282">
        <f t="shared" si="0"/>
        <v>503.1</v>
      </c>
    </row>
    <row r="8" spans="1:22" x14ac:dyDescent="0.3">
      <c r="A8" s="280" t="str">
        <f>Lists!C:C</f>
        <v>REG007</v>
      </c>
      <c r="B8" s="281">
        <f>_xlfn.DAYS(About!$A$3,'Core Indicators'!U8)</f>
        <v>559</v>
      </c>
      <c r="C8" s="281">
        <f>_xlfn.DAYS(About!$A$3,'Core Indicators'!AC8)</f>
        <v>559</v>
      </c>
      <c r="D8" s="281">
        <f>_xlfn.DAYS(About!$A$3,'Core Indicators'!AK8)</f>
        <v>559</v>
      </c>
      <c r="E8" s="281">
        <f>_xlfn.DAYS(About!$A$3,'Core Indicators'!AS8)</f>
        <v>559</v>
      </c>
      <c r="F8" s="281">
        <f>_xlfn.DAYS(About!$A$3,'Core Indicators'!BQ8)</f>
        <v>0</v>
      </c>
      <c r="G8" s="281">
        <f>_xlfn.DAYS(About!$A$3,'Core Indicators'!DM8)</f>
        <v>559</v>
      </c>
      <c r="H8" s="281">
        <f>_xlfn.DAYS(About!$A$3,'Core Indicators'!DU8)</f>
        <v>559</v>
      </c>
      <c r="I8" s="281">
        <f>_xlfn.DAYS(About!$A$3,'Core Indicators'!EC8)</f>
        <v>559</v>
      </c>
      <c r="J8" s="281">
        <f>_xlfn.DAYS(About!$A$3,'Core Indicators'!EK8)</f>
        <v>559</v>
      </c>
      <c r="K8" s="281">
        <f>_xlfn.DAYS(About!$A$3,'Core Indicators'!ES8)</f>
        <v>559</v>
      </c>
      <c r="L8" s="281">
        <f>_xlfn.DAYS(About!$A$3,'Core Indicators'!FI8)</f>
        <v>559</v>
      </c>
      <c r="M8" s="281">
        <f>_xlfn.DAYS(About!$A$3,'Core Indicators'!GG8)</f>
        <v>373</v>
      </c>
      <c r="N8" s="281">
        <f>_xlfn.DAYS(About!$A$3,'Core Indicators'!GO8)</f>
        <v>373</v>
      </c>
      <c r="O8" s="281">
        <f>_xlfn.DAYS(About!$A$3,'Core Indicators'!GW8)</f>
        <v>373</v>
      </c>
      <c r="P8" s="281">
        <f>_xlfn.DAYS(About!$A$3,'Core Indicators'!HE8)</f>
        <v>373</v>
      </c>
      <c r="Q8" s="281">
        <f>_xlfn.DAYS(About!$A$3,'Core Indicators'!HM8)</f>
        <v>373</v>
      </c>
      <c r="R8" s="281">
        <f>_xlfn.DAYS(About!$A$3,'Core Indicators'!HU8)</f>
        <v>373</v>
      </c>
      <c r="S8" s="281">
        <f>_xlfn.DAYS(About!$A$3,'Core Indicators'!IC8)</f>
        <v>373</v>
      </c>
      <c r="T8" s="281">
        <f>_xlfn.DAYS(About!$A$3,'Core Indicators'!IK8)</f>
        <v>373</v>
      </c>
      <c r="U8" s="281">
        <f>_xlfn.DAYS(About!$A$3,'Core Indicators'!IS8)</f>
        <v>373</v>
      </c>
      <c r="V8" s="282">
        <f t="shared" si="0"/>
        <v>484.5</v>
      </c>
    </row>
    <row r="9" spans="1:22" x14ac:dyDescent="0.3">
      <c r="A9" s="280" t="str">
        <f>Lists!C:C</f>
        <v>ARM002</v>
      </c>
      <c r="B9" s="281">
        <f>_xlfn.DAYS(About!$A$3,'Core Indicators'!U9)</f>
        <v>1</v>
      </c>
      <c r="C9" s="281">
        <f>_xlfn.DAYS(About!$A$3,'Core Indicators'!AC9)</f>
        <v>1</v>
      </c>
      <c r="D9" s="281">
        <f>_xlfn.DAYS(About!$A$3,'Core Indicators'!AK9)</f>
        <v>1</v>
      </c>
      <c r="E9" s="281">
        <f>_xlfn.DAYS(About!$A$3,'Core Indicators'!AS9)</f>
        <v>1</v>
      </c>
      <c r="F9" s="281">
        <f>_xlfn.DAYS(About!$A$3,'Core Indicators'!BQ9)</f>
        <v>1</v>
      </c>
      <c r="G9" s="281">
        <f>_xlfn.DAYS(About!$A$3,'Core Indicators'!DM9)</f>
        <v>1</v>
      </c>
      <c r="H9" s="281">
        <f>_xlfn.DAYS(About!$A$3,'Core Indicators'!DU9)</f>
        <v>1</v>
      </c>
      <c r="I9" s="281">
        <f>_xlfn.DAYS(About!$A$3,'Core Indicators'!EC9)</f>
        <v>1</v>
      </c>
      <c r="J9" s="281">
        <f>_xlfn.DAYS(About!$A$3,'Core Indicators'!EK9)</f>
        <v>1</v>
      </c>
      <c r="K9" s="281">
        <f>_xlfn.DAYS(About!$A$3,'Core Indicators'!ES9)</f>
        <v>1</v>
      </c>
      <c r="L9" s="281">
        <f>_xlfn.DAYS(About!$A$3,'Core Indicators'!FI9)</f>
        <v>1</v>
      </c>
      <c r="M9" s="281">
        <f>_xlfn.DAYS(About!$A$3,'Core Indicators'!GG9)</f>
        <v>1</v>
      </c>
      <c r="N9" s="281">
        <f>_xlfn.DAYS(About!$A$3,'Core Indicators'!GO9)</f>
        <v>1</v>
      </c>
      <c r="O9" s="281">
        <f>_xlfn.DAYS(About!$A$3,'Core Indicators'!GW9)</f>
        <v>1</v>
      </c>
      <c r="P9" s="281">
        <f>_xlfn.DAYS(About!$A$3,'Core Indicators'!HE9)</f>
        <v>1</v>
      </c>
      <c r="Q9" s="281">
        <f>_xlfn.DAYS(About!$A$3,'Core Indicators'!HM9)</f>
        <v>1</v>
      </c>
      <c r="R9" s="281">
        <f>_xlfn.DAYS(About!$A$3,'Core Indicators'!HU9)</f>
        <v>1</v>
      </c>
      <c r="S9" s="281">
        <f>_xlfn.DAYS(About!$A$3,'Core Indicators'!IC9)</f>
        <v>1</v>
      </c>
      <c r="T9" s="281">
        <f>_xlfn.DAYS(About!$A$3,'Core Indicators'!IK9)</f>
        <v>1</v>
      </c>
      <c r="U9" s="281">
        <f>_xlfn.DAYS(About!$A$3,'Core Indicators'!IS9)</f>
        <v>1</v>
      </c>
      <c r="V9" s="282">
        <f t="shared" si="0"/>
        <v>1</v>
      </c>
    </row>
    <row r="10" spans="1:22" x14ac:dyDescent="0.3">
      <c r="A10" s="280" t="str">
        <f>Lists!C:C</f>
        <v>REG013</v>
      </c>
      <c r="B10" s="281">
        <f>_xlfn.DAYS(About!$A$3,'Core Indicators'!U10)</f>
        <v>1</v>
      </c>
      <c r="C10" s="281">
        <f>_xlfn.DAYS(About!$A$3,'Core Indicators'!AC10)</f>
        <v>1</v>
      </c>
      <c r="D10" s="281">
        <f>_xlfn.DAYS(About!$A$3,'Core Indicators'!AK10)</f>
        <v>1</v>
      </c>
      <c r="E10" s="281">
        <f>_xlfn.DAYS(About!$A$3,'Core Indicators'!AS10)</f>
        <v>1</v>
      </c>
      <c r="F10" s="281">
        <f>_xlfn.DAYS(About!$A$3,'Core Indicators'!BQ10)</f>
        <v>1</v>
      </c>
      <c r="G10" s="281">
        <f>_xlfn.DAYS(About!$A$3,'Core Indicators'!DM10)</f>
        <v>1</v>
      </c>
      <c r="H10" s="281">
        <f>_xlfn.DAYS(About!$A$3,'Core Indicators'!DU10)</f>
        <v>1</v>
      </c>
      <c r="I10" s="281">
        <f>_xlfn.DAYS(About!$A$3,'Core Indicators'!EC10)</f>
        <v>1</v>
      </c>
      <c r="J10" s="281">
        <f>_xlfn.DAYS(About!$A$3,'Core Indicators'!EK10)</f>
        <v>1</v>
      </c>
      <c r="K10" s="281">
        <f>_xlfn.DAYS(About!$A$3,'Core Indicators'!ES10)</f>
        <v>1</v>
      </c>
      <c r="L10" s="281">
        <f>_xlfn.DAYS(About!$A$3,'Core Indicators'!FI10)</f>
        <v>1</v>
      </c>
      <c r="M10" s="281">
        <f>_xlfn.DAYS(About!$A$3,'Core Indicators'!GG10)</f>
        <v>1</v>
      </c>
      <c r="N10" s="281">
        <f>_xlfn.DAYS(About!$A$3,'Core Indicators'!GO10)</f>
        <v>1</v>
      </c>
      <c r="O10" s="281">
        <f>_xlfn.DAYS(About!$A$3,'Core Indicators'!GW10)</f>
        <v>1</v>
      </c>
      <c r="P10" s="281">
        <f>_xlfn.DAYS(About!$A$3,'Core Indicators'!HE10)</f>
        <v>1</v>
      </c>
      <c r="Q10" s="281">
        <f>_xlfn.DAYS(About!$A$3,'Core Indicators'!HM10)</f>
        <v>1</v>
      </c>
      <c r="R10" s="281">
        <f>_xlfn.DAYS(About!$A$3,'Core Indicators'!HU10)</f>
        <v>1</v>
      </c>
      <c r="S10" s="281">
        <f>_xlfn.DAYS(About!$A$3,'Core Indicators'!IC10)</f>
        <v>1</v>
      </c>
      <c r="T10" s="281">
        <f>_xlfn.DAYS(About!$A$3,'Core Indicators'!IK10)</f>
        <v>1</v>
      </c>
      <c r="U10" s="281">
        <f>_xlfn.DAYS(About!$A$3,'Core Indicators'!IS10)</f>
        <v>1</v>
      </c>
      <c r="V10" s="282">
        <f t="shared" si="0"/>
        <v>1</v>
      </c>
    </row>
    <row r="11" spans="1:22" x14ac:dyDescent="0.3">
      <c r="A11" s="280" t="str">
        <f>Lists!C:C</f>
        <v>AZE002</v>
      </c>
      <c r="B11" s="281">
        <f>_xlfn.DAYS(About!$A$3,'Core Indicators'!U11)</f>
        <v>1</v>
      </c>
      <c r="C11" s="281">
        <f>_xlfn.DAYS(About!$A$3,'Core Indicators'!AC11)</f>
        <v>1</v>
      </c>
      <c r="D11" s="281">
        <f>_xlfn.DAYS(About!$A$3,'Core Indicators'!AK11)</f>
        <v>1</v>
      </c>
      <c r="E11" s="281">
        <f>_xlfn.DAYS(About!$A$3,'Core Indicators'!AS11)</f>
        <v>1</v>
      </c>
      <c r="F11" s="281">
        <f>_xlfn.DAYS(About!$A$3,'Core Indicators'!BQ11)</f>
        <v>1</v>
      </c>
      <c r="G11" s="281">
        <f>_xlfn.DAYS(About!$A$3,'Core Indicators'!DM11)</f>
        <v>1</v>
      </c>
      <c r="H11" s="281">
        <f>_xlfn.DAYS(About!$A$3,'Core Indicators'!DU11)</f>
        <v>1</v>
      </c>
      <c r="I11" s="281">
        <f>_xlfn.DAYS(About!$A$3,'Core Indicators'!EC11)</f>
        <v>1</v>
      </c>
      <c r="J11" s="281">
        <f>_xlfn.DAYS(About!$A$3,'Core Indicators'!EK11)</f>
        <v>1</v>
      </c>
      <c r="K11" s="281">
        <f>_xlfn.DAYS(About!$A$3,'Core Indicators'!ES11)</f>
        <v>1</v>
      </c>
      <c r="L11" s="281">
        <f>_xlfn.DAYS(About!$A$3,'Core Indicators'!FI11)</f>
        <v>1</v>
      </c>
      <c r="M11" s="281">
        <f>_xlfn.DAYS(About!$A$3,'Core Indicators'!GG11)</f>
        <v>1</v>
      </c>
      <c r="N11" s="281">
        <f>_xlfn.DAYS(About!$A$3,'Core Indicators'!GO11)</f>
        <v>1</v>
      </c>
      <c r="O11" s="281">
        <f>_xlfn.DAYS(About!$A$3,'Core Indicators'!GW11)</f>
        <v>1</v>
      </c>
      <c r="P11" s="281">
        <f>_xlfn.DAYS(About!$A$3,'Core Indicators'!HE11)</f>
        <v>1</v>
      </c>
      <c r="Q11" s="281">
        <f>_xlfn.DAYS(About!$A$3,'Core Indicators'!HM11)</f>
        <v>1</v>
      </c>
      <c r="R11" s="281">
        <f>_xlfn.DAYS(About!$A$3,'Core Indicators'!HU11)</f>
        <v>1</v>
      </c>
      <c r="S11" s="281">
        <f>_xlfn.DAYS(About!$A$3,'Core Indicators'!IC11)</f>
        <v>1</v>
      </c>
      <c r="T11" s="281">
        <f>_xlfn.DAYS(About!$A$3,'Core Indicators'!IK11)</f>
        <v>1</v>
      </c>
      <c r="U11" s="281">
        <f>_xlfn.DAYS(About!$A$3,'Core Indicators'!IS11)</f>
        <v>1</v>
      </c>
      <c r="V11" s="282">
        <f t="shared" si="0"/>
        <v>1</v>
      </c>
    </row>
    <row r="12" spans="1:22" x14ac:dyDescent="0.3">
      <c r="A12" s="280" t="str">
        <f>Lists!C:C</f>
        <v>BGD001</v>
      </c>
      <c r="B12" s="281">
        <f>_xlfn.DAYS(About!$A$3,'Core Indicators'!U12)</f>
        <v>153</v>
      </c>
      <c r="C12" s="281">
        <f>_xlfn.DAYS(About!$A$3,'Core Indicators'!AC12)</f>
        <v>8</v>
      </c>
      <c r="D12" s="281">
        <f>_xlfn.DAYS(About!$A$3,'Core Indicators'!AK12)</f>
        <v>8</v>
      </c>
      <c r="E12" s="281">
        <f>_xlfn.DAYS(About!$A$3,'Core Indicators'!AS12)</f>
        <v>8</v>
      </c>
      <c r="F12" s="281">
        <f>_xlfn.DAYS(About!$A$3,'Core Indicators'!BQ12)</f>
        <v>8</v>
      </c>
      <c r="G12" s="281">
        <f>_xlfn.DAYS(About!$A$3,'Core Indicators'!DM12)</f>
        <v>8</v>
      </c>
      <c r="H12" s="281">
        <f>_xlfn.DAYS(About!$A$3,'Core Indicators'!DU12)</f>
        <v>8</v>
      </c>
      <c r="I12" s="281">
        <f>_xlfn.DAYS(About!$A$3,'Core Indicators'!EC12)</f>
        <v>8</v>
      </c>
      <c r="J12" s="281">
        <f>_xlfn.DAYS(About!$A$3,'Core Indicators'!EK12)</f>
        <v>8</v>
      </c>
      <c r="K12" s="281">
        <f>_xlfn.DAYS(About!$A$3,'Core Indicators'!ES12)</f>
        <v>8</v>
      </c>
      <c r="L12" s="281">
        <f>_xlfn.DAYS(About!$A$3,'Core Indicators'!FI12)</f>
        <v>153</v>
      </c>
      <c r="M12" s="281">
        <f>_xlfn.DAYS(About!$A$3,'Core Indicators'!GG12)</f>
        <v>125</v>
      </c>
      <c r="N12" s="281">
        <f>_xlfn.DAYS(About!$A$3,'Core Indicators'!GO12)</f>
        <v>125</v>
      </c>
      <c r="O12" s="281">
        <f>_xlfn.DAYS(About!$A$3,'Core Indicators'!GW12)</f>
        <v>125</v>
      </c>
      <c r="P12" s="281">
        <f>_xlfn.DAYS(About!$A$3,'Core Indicators'!HE12)</f>
        <v>125</v>
      </c>
      <c r="Q12" s="281">
        <f>_xlfn.DAYS(About!$A$3,'Core Indicators'!HM12)</f>
        <v>125</v>
      </c>
      <c r="R12" s="281">
        <f>_xlfn.DAYS(About!$A$3,'Core Indicators'!HU12)</f>
        <v>125</v>
      </c>
      <c r="S12" s="281">
        <f>_xlfn.DAYS(About!$A$3,'Core Indicators'!IC12)</f>
        <v>125</v>
      </c>
      <c r="T12" s="281">
        <f>_xlfn.DAYS(About!$A$3,'Core Indicators'!IK12)</f>
        <v>125</v>
      </c>
      <c r="U12" s="281">
        <f>_xlfn.DAYS(About!$A$3,'Core Indicators'!IS12)</f>
        <v>125</v>
      </c>
      <c r="V12" s="282">
        <f t="shared" si="0"/>
        <v>34.200000000000003</v>
      </c>
    </row>
    <row r="13" spans="1:22" x14ac:dyDescent="0.3">
      <c r="A13" s="280" t="str">
        <f>Lists!C:C</f>
        <v>BGD002</v>
      </c>
      <c r="B13" s="281">
        <f>_xlfn.DAYS(About!$A$3,'Core Indicators'!U13)</f>
        <v>532</v>
      </c>
      <c r="C13" s="281">
        <f>_xlfn.DAYS(About!$A$3,'Core Indicators'!AC13)</f>
        <v>8</v>
      </c>
      <c r="D13" s="281">
        <f>_xlfn.DAYS(About!$A$3,'Core Indicators'!AK13)</f>
        <v>8</v>
      </c>
      <c r="E13" s="281">
        <f>_xlfn.DAYS(About!$A$3,'Core Indicators'!AS13)</f>
        <v>8</v>
      </c>
      <c r="F13" s="281">
        <f>_xlfn.DAYS(About!$A$3,'Core Indicators'!BQ13)</f>
        <v>8</v>
      </c>
      <c r="G13" s="281">
        <f>_xlfn.DAYS(About!$A$3,'Core Indicators'!DM13)</f>
        <v>8</v>
      </c>
      <c r="H13" s="281">
        <f>_xlfn.DAYS(About!$A$3,'Core Indicators'!DU13)</f>
        <v>8</v>
      </c>
      <c r="I13" s="281">
        <f>_xlfn.DAYS(About!$A$3,'Core Indicators'!EC13)</f>
        <v>8</v>
      </c>
      <c r="J13" s="281">
        <f>_xlfn.DAYS(About!$A$3,'Core Indicators'!EK13)</f>
        <v>8</v>
      </c>
      <c r="K13" s="281">
        <f>_xlfn.DAYS(About!$A$3,'Core Indicators'!ES13)</f>
        <v>8</v>
      </c>
      <c r="L13" s="281">
        <f>_xlfn.DAYS(About!$A$3,'Core Indicators'!FI13)</f>
        <v>220</v>
      </c>
      <c r="M13" s="281">
        <f>_xlfn.DAYS(About!$A$3,'Core Indicators'!GG13)</f>
        <v>373</v>
      </c>
      <c r="N13" s="281">
        <f>_xlfn.DAYS(About!$A$3,'Core Indicators'!GO13)</f>
        <v>373</v>
      </c>
      <c r="O13" s="281">
        <f>_xlfn.DAYS(About!$A$3,'Core Indicators'!GW13)</f>
        <v>373</v>
      </c>
      <c r="P13" s="281">
        <f>_xlfn.DAYS(About!$A$3,'Core Indicators'!HE13)</f>
        <v>373</v>
      </c>
      <c r="Q13" s="281">
        <f>_xlfn.DAYS(About!$A$3,'Core Indicators'!HM13)</f>
        <v>373</v>
      </c>
      <c r="R13" s="281">
        <f>_xlfn.DAYS(About!$A$3,'Core Indicators'!HU13)</f>
        <v>373</v>
      </c>
      <c r="S13" s="281">
        <f>_xlfn.DAYS(About!$A$3,'Core Indicators'!IC13)</f>
        <v>373</v>
      </c>
      <c r="T13" s="281">
        <f>_xlfn.DAYS(About!$A$3,'Core Indicators'!IK13)</f>
        <v>373</v>
      </c>
      <c r="U13" s="281">
        <f>_xlfn.DAYS(About!$A$3,'Core Indicators'!IS13)</f>
        <v>373</v>
      </c>
      <c r="V13" s="282">
        <f t="shared" si="0"/>
        <v>65.7</v>
      </c>
    </row>
    <row r="14" spans="1:22" x14ac:dyDescent="0.3">
      <c r="A14" s="280" t="str">
        <f>Lists!C:C</f>
        <v>BGD003</v>
      </c>
      <c r="B14" s="281">
        <f>_xlfn.DAYS(About!$A$3,'Core Indicators'!U14)</f>
        <v>52</v>
      </c>
      <c r="C14" s="281">
        <f>_xlfn.DAYS(About!$A$3,'Core Indicators'!AC14)</f>
        <v>52</v>
      </c>
      <c r="D14" s="281">
        <f>_xlfn.DAYS(About!$A$3,'Core Indicators'!AK14)</f>
        <v>52</v>
      </c>
      <c r="E14" s="281">
        <f>_xlfn.DAYS(About!$A$3,'Core Indicators'!AS14)</f>
        <v>52</v>
      </c>
      <c r="F14" s="281">
        <f>_xlfn.DAYS(About!$A$3,'Core Indicators'!BQ14)</f>
        <v>34</v>
      </c>
      <c r="G14" s="281">
        <f>_xlfn.DAYS(About!$A$3,'Core Indicators'!DM14)</f>
        <v>52</v>
      </c>
      <c r="H14" s="281">
        <f>_xlfn.DAYS(About!$A$3,'Core Indicators'!DU14)</f>
        <v>52</v>
      </c>
      <c r="I14" s="281">
        <f>_xlfn.DAYS(About!$A$3,'Core Indicators'!EC14)</f>
        <v>52</v>
      </c>
      <c r="J14" s="281">
        <f>_xlfn.DAYS(About!$A$3,'Core Indicators'!EK14)</f>
        <v>52</v>
      </c>
      <c r="K14" s="281">
        <f>_xlfn.DAYS(About!$A$3,'Core Indicators'!ES14)</f>
        <v>52</v>
      </c>
      <c r="L14" s="281">
        <f>_xlfn.DAYS(About!$A$3,'Core Indicators'!FI14)</f>
        <v>52</v>
      </c>
      <c r="M14" s="281">
        <f>_xlfn.DAYS(About!$A$3,'Core Indicators'!GG14)</f>
        <v>52</v>
      </c>
      <c r="N14" s="281">
        <f>_xlfn.DAYS(About!$A$3,'Core Indicators'!GO14)</f>
        <v>52</v>
      </c>
      <c r="O14" s="281">
        <f>_xlfn.DAYS(About!$A$3,'Core Indicators'!GW14)</f>
        <v>52</v>
      </c>
      <c r="P14" s="281">
        <f>_xlfn.DAYS(About!$A$3,'Core Indicators'!HE14)</f>
        <v>52</v>
      </c>
      <c r="Q14" s="281">
        <f>_xlfn.DAYS(About!$A$3,'Core Indicators'!HM14)</f>
        <v>52</v>
      </c>
      <c r="R14" s="281">
        <f>_xlfn.DAYS(About!$A$3,'Core Indicators'!HU14)</f>
        <v>52</v>
      </c>
      <c r="S14" s="281">
        <f>_xlfn.DAYS(About!$A$3,'Core Indicators'!IC14)</f>
        <v>52</v>
      </c>
      <c r="T14" s="281">
        <f>_xlfn.DAYS(About!$A$3,'Core Indicators'!IK14)</f>
        <v>52</v>
      </c>
      <c r="U14" s="281">
        <f>_xlfn.DAYS(About!$A$3,'Core Indicators'!IS14)</f>
        <v>52</v>
      </c>
      <c r="V14" s="282">
        <f t="shared" si="0"/>
        <v>50.2</v>
      </c>
    </row>
    <row r="15" spans="1:22" x14ac:dyDescent="0.3">
      <c r="A15" s="280" t="str">
        <f>Lists!C:C</f>
        <v>BGD006</v>
      </c>
      <c r="B15" s="281">
        <f>_xlfn.DAYS(About!$A$3,'Core Indicators'!U15)</f>
        <v>153</v>
      </c>
      <c r="C15" s="281">
        <f>_xlfn.DAYS(About!$A$3,'Core Indicators'!AC15)</f>
        <v>34</v>
      </c>
      <c r="D15" s="281">
        <f>_xlfn.DAYS(About!$A$3,'Core Indicators'!AK15)</f>
        <v>34</v>
      </c>
      <c r="E15" s="281">
        <f>_xlfn.DAYS(About!$A$3,'Core Indicators'!AS15)</f>
        <v>153</v>
      </c>
      <c r="F15" s="281">
        <f>_xlfn.DAYS(About!$A$3,'Core Indicators'!BQ15)</f>
        <v>153</v>
      </c>
      <c r="G15" s="281">
        <f>_xlfn.DAYS(About!$A$3,'Core Indicators'!DM15)</f>
        <v>34</v>
      </c>
      <c r="H15" s="281">
        <f>_xlfn.DAYS(About!$A$3,'Core Indicators'!DU15)</f>
        <v>34</v>
      </c>
      <c r="I15" s="281">
        <f>_xlfn.DAYS(About!$A$3,'Core Indicators'!EC15)</f>
        <v>153</v>
      </c>
      <c r="J15" s="281">
        <f>_xlfn.DAYS(About!$A$3,'Core Indicators'!EK15)</f>
        <v>153</v>
      </c>
      <c r="K15" s="281">
        <f>_xlfn.DAYS(About!$A$3,'Core Indicators'!ES15)</f>
        <v>153</v>
      </c>
      <c r="L15" s="281">
        <f>_xlfn.DAYS(About!$A$3,'Core Indicators'!FI15)</f>
        <v>153</v>
      </c>
      <c r="M15" s="281">
        <f>_xlfn.DAYS(About!$A$3,'Core Indicators'!GG15)</f>
        <v>125</v>
      </c>
      <c r="N15" s="281">
        <f>_xlfn.DAYS(About!$A$3,'Core Indicators'!GO15)</f>
        <v>125</v>
      </c>
      <c r="O15" s="281">
        <f>_xlfn.DAYS(About!$A$3,'Core Indicators'!GW15)</f>
        <v>125</v>
      </c>
      <c r="P15" s="281">
        <f>_xlfn.DAYS(About!$A$3,'Core Indicators'!HE15)</f>
        <v>125</v>
      </c>
      <c r="Q15" s="281">
        <f>_xlfn.DAYS(About!$A$3,'Core Indicators'!HM15)</f>
        <v>125</v>
      </c>
      <c r="R15" s="281">
        <f>_xlfn.DAYS(About!$A$3,'Core Indicators'!HU15)</f>
        <v>125</v>
      </c>
      <c r="S15" s="281">
        <f>_xlfn.DAYS(About!$A$3,'Core Indicators'!IC15)</f>
        <v>125</v>
      </c>
      <c r="T15" s="281">
        <f>_xlfn.DAYS(About!$A$3,'Core Indicators'!IK15)</f>
        <v>125</v>
      </c>
      <c r="U15" s="281">
        <f>_xlfn.DAYS(About!$A$3,'Core Indicators'!IS15)</f>
        <v>125</v>
      </c>
      <c r="V15" s="282">
        <f t="shared" si="0"/>
        <v>114.5</v>
      </c>
    </row>
    <row r="16" spans="1:22" x14ac:dyDescent="0.3">
      <c r="A16" s="280" t="str">
        <f>Lists!C:C</f>
        <v>REG011</v>
      </c>
      <c r="B16" s="281">
        <f>_xlfn.DAYS(About!$A$3,'Core Indicators'!U16)</f>
        <v>220</v>
      </c>
      <c r="C16" s="281">
        <f>_xlfn.DAYS(About!$A$3,'Core Indicators'!AC16)</f>
        <v>8</v>
      </c>
      <c r="D16" s="281">
        <f>_xlfn.DAYS(About!$A$3,'Core Indicators'!AK16)</f>
        <v>8</v>
      </c>
      <c r="E16" s="281">
        <f>_xlfn.DAYS(About!$A$3,'Core Indicators'!AS16)</f>
        <v>8</v>
      </c>
      <c r="F16" s="281">
        <f>_xlfn.DAYS(About!$A$3,'Core Indicators'!BQ16)</f>
        <v>8</v>
      </c>
      <c r="G16" s="281">
        <f>_xlfn.DAYS(About!$A$3,'Core Indicators'!DM16)</f>
        <v>8</v>
      </c>
      <c r="H16" s="281">
        <f>_xlfn.DAYS(About!$A$3,'Core Indicators'!DU16)</f>
        <v>8</v>
      </c>
      <c r="I16" s="281">
        <f>_xlfn.DAYS(About!$A$3,'Core Indicators'!EC16)</f>
        <v>8</v>
      </c>
      <c r="J16" s="281">
        <f>_xlfn.DAYS(About!$A$3,'Core Indicators'!EK16)</f>
        <v>8</v>
      </c>
      <c r="K16" s="281">
        <f>_xlfn.DAYS(About!$A$3,'Core Indicators'!ES16)</f>
        <v>8</v>
      </c>
      <c r="L16" s="281">
        <f>_xlfn.DAYS(About!$A$3,'Core Indicators'!FI16)</f>
        <v>8</v>
      </c>
      <c r="M16" s="281">
        <f>_xlfn.DAYS(About!$A$3,'Core Indicators'!GG16)</f>
        <v>373</v>
      </c>
      <c r="N16" s="281">
        <f>_xlfn.DAYS(About!$A$3,'Core Indicators'!GO16)</f>
        <v>373</v>
      </c>
      <c r="O16" s="281">
        <f>_xlfn.DAYS(About!$A$3,'Core Indicators'!GW16)</f>
        <v>373</v>
      </c>
      <c r="P16" s="281">
        <f>_xlfn.DAYS(About!$A$3,'Core Indicators'!HE16)</f>
        <v>373</v>
      </c>
      <c r="Q16" s="281">
        <f>_xlfn.DAYS(About!$A$3,'Core Indicators'!HM16)</f>
        <v>373</v>
      </c>
      <c r="R16" s="281">
        <f>_xlfn.DAYS(About!$A$3,'Core Indicators'!HU16)</f>
        <v>373</v>
      </c>
      <c r="S16" s="281">
        <f>_xlfn.DAYS(About!$A$3,'Core Indicators'!IC16)</f>
        <v>373</v>
      </c>
      <c r="T16" s="281">
        <f>_xlfn.DAYS(About!$A$3,'Core Indicators'!IK16)</f>
        <v>373</v>
      </c>
      <c r="U16" s="281">
        <f>_xlfn.DAYS(About!$A$3,'Core Indicators'!IS16)</f>
        <v>373</v>
      </c>
      <c r="V16" s="282">
        <f t="shared" si="0"/>
        <v>44.5</v>
      </c>
    </row>
    <row r="17" spans="1:22" x14ac:dyDescent="0.3">
      <c r="A17" s="280" t="str">
        <f>Lists!C:C</f>
        <v>BRA002</v>
      </c>
      <c r="B17" s="281">
        <f>_xlfn.DAYS(About!$A$3,'Core Indicators'!U17)</f>
        <v>342</v>
      </c>
      <c r="C17" s="281">
        <f>_xlfn.DAYS(About!$A$3,'Core Indicators'!AC17)</f>
        <v>30</v>
      </c>
      <c r="D17" s="281">
        <f>_xlfn.DAYS(About!$A$3,'Core Indicators'!AK17)</f>
        <v>30</v>
      </c>
      <c r="E17" s="281">
        <f>_xlfn.DAYS(About!$A$3,'Core Indicators'!AS17)</f>
        <v>30</v>
      </c>
      <c r="F17" s="281">
        <f>_xlfn.DAYS(About!$A$3,'Core Indicators'!BQ17)</f>
        <v>30</v>
      </c>
      <c r="G17" s="281">
        <f>_xlfn.DAYS(About!$A$3,'Core Indicators'!DM17)</f>
        <v>30</v>
      </c>
      <c r="H17" s="281">
        <f>_xlfn.DAYS(About!$A$3,'Core Indicators'!DU17)</f>
        <v>30</v>
      </c>
      <c r="I17" s="281">
        <f>_xlfn.DAYS(About!$A$3,'Core Indicators'!EC17)</f>
        <v>30</v>
      </c>
      <c r="J17" s="281">
        <f>_xlfn.DAYS(About!$A$3,'Core Indicators'!EK17)</f>
        <v>30</v>
      </c>
      <c r="K17" s="281">
        <f>_xlfn.DAYS(About!$A$3,'Core Indicators'!ES17)</f>
        <v>30</v>
      </c>
      <c r="L17" s="281">
        <f>_xlfn.DAYS(About!$A$3,'Core Indicators'!FI17)</f>
        <v>629</v>
      </c>
      <c r="M17" s="281">
        <f>_xlfn.DAYS(About!$A$3,'Core Indicators'!GG17)</f>
        <v>370</v>
      </c>
      <c r="N17" s="281">
        <f>_xlfn.DAYS(About!$A$3,'Core Indicators'!GO17)</f>
        <v>370</v>
      </c>
      <c r="O17" s="281">
        <f>_xlfn.DAYS(About!$A$3,'Core Indicators'!GW17)</f>
        <v>370</v>
      </c>
      <c r="P17" s="281">
        <f>_xlfn.DAYS(About!$A$3,'Core Indicators'!HE17)</f>
        <v>370</v>
      </c>
      <c r="Q17" s="281">
        <f>_xlfn.DAYS(About!$A$3,'Core Indicators'!HM17)</f>
        <v>370</v>
      </c>
      <c r="R17" s="281">
        <f>_xlfn.DAYS(About!$A$3,'Core Indicators'!HU17)</f>
        <v>370</v>
      </c>
      <c r="S17" s="281">
        <f>_xlfn.DAYS(About!$A$3,'Core Indicators'!IC17)</f>
        <v>370</v>
      </c>
      <c r="T17" s="281">
        <f>_xlfn.DAYS(About!$A$3,'Core Indicators'!IK17)</f>
        <v>370</v>
      </c>
      <c r="U17" s="281">
        <f>_xlfn.DAYS(About!$A$3,'Core Indicators'!IS17)</f>
        <v>370</v>
      </c>
      <c r="V17" s="282">
        <f t="shared" si="0"/>
        <v>123.9</v>
      </c>
    </row>
    <row r="18" spans="1:22" x14ac:dyDescent="0.3">
      <c r="A18" s="280" t="str">
        <f>Lists!C:C</f>
        <v>BFA002</v>
      </c>
      <c r="B18" s="281">
        <f>_xlfn.DAYS(About!$A$3,'Core Indicators'!U18)</f>
        <v>139</v>
      </c>
      <c r="C18" s="281">
        <f>_xlfn.DAYS(About!$A$3,'Core Indicators'!AC18)</f>
        <v>37</v>
      </c>
      <c r="D18" s="281">
        <f>_xlfn.DAYS(About!$A$3,'Core Indicators'!AK18)</f>
        <v>37</v>
      </c>
      <c r="E18" s="281">
        <f>_xlfn.DAYS(About!$A$3,'Core Indicators'!AS18)</f>
        <v>37</v>
      </c>
      <c r="F18" s="281">
        <f>_xlfn.DAYS(About!$A$3,'Core Indicators'!BQ18)</f>
        <v>6</v>
      </c>
      <c r="G18" s="281">
        <f>_xlfn.DAYS(About!$A$3,'Core Indicators'!DM18)</f>
        <v>21</v>
      </c>
      <c r="H18" s="281">
        <f>_xlfn.DAYS(About!$A$3,'Core Indicators'!DU18)</f>
        <v>21</v>
      </c>
      <c r="I18" s="281">
        <f>_xlfn.DAYS(About!$A$3,'Core Indicators'!EC18)</f>
        <v>21</v>
      </c>
      <c r="J18" s="281">
        <f>_xlfn.DAYS(About!$A$3,'Core Indicators'!EK18)</f>
        <v>21</v>
      </c>
      <c r="K18" s="281">
        <f>_xlfn.DAYS(About!$A$3,'Core Indicators'!ES18)</f>
        <v>21</v>
      </c>
      <c r="L18" s="281">
        <f>_xlfn.DAYS(About!$A$3,'Core Indicators'!FI18)</f>
        <v>629</v>
      </c>
      <c r="M18" s="281">
        <f>_xlfn.DAYS(About!$A$3,'Core Indicators'!GG18)</f>
        <v>6</v>
      </c>
      <c r="N18" s="281">
        <f>_xlfn.DAYS(About!$A$3,'Core Indicators'!GO18)</f>
        <v>6</v>
      </c>
      <c r="O18" s="281">
        <f>_xlfn.DAYS(About!$A$3,'Core Indicators'!GW18)</f>
        <v>6</v>
      </c>
      <c r="P18" s="281">
        <f>_xlfn.DAYS(About!$A$3,'Core Indicators'!HE18)</f>
        <v>6</v>
      </c>
      <c r="Q18" s="281">
        <f>_xlfn.DAYS(About!$A$3,'Core Indicators'!HM18)</f>
        <v>6</v>
      </c>
      <c r="R18" s="281">
        <f>_xlfn.DAYS(About!$A$3,'Core Indicators'!HU18)</f>
        <v>6</v>
      </c>
      <c r="S18" s="281">
        <f>_xlfn.DAYS(About!$A$3,'Core Indicators'!IC18)</f>
        <v>6</v>
      </c>
      <c r="T18" s="281">
        <f>_xlfn.DAYS(About!$A$3,'Core Indicators'!IK18)</f>
        <v>6</v>
      </c>
      <c r="U18" s="281">
        <f>_xlfn.DAYS(About!$A$3,'Core Indicators'!IS18)</f>
        <v>6</v>
      </c>
      <c r="V18" s="282">
        <f t="shared" si="0"/>
        <v>82</v>
      </c>
    </row>
    <row r="19" spans="1:22" x14ac:dyDescent="0.3">
      <c r="A19" s="280" t="str">
        <f>Lists!C:C</f>
        <v>BFA003</v>
      </c>
      <c r="B19" s="281">
        <f>_xlfn.DAYS(About!$A$3,'Core Indicators'!U19)</f>
        <v>37</v>
      </c>
      <c r="C19" s="281">
        <f>_xlfn.DAYS(About!$A$3,'Core Indicators'!AC19)</f>
        <v>37</v>
      </c>
      <c r="D19" s="281">
        <f>_xlfn.DAYS(About!$A$3,'Core Indicators'!AK19)</f>
        <v>6</v>
      </c>
      <c r="E19" s="281">
        <f>_xlfn.DAYS(About!$A$3,'Core Indicators'!AS19)</f>
        <v>37</v>
      </c>
      <c r="F19" s="281">
        <f>_xlfn.DAYS(About!$A$3,'Core Indicators'!BQ19)</f>
        <v>6</v>
      </c>
      <c r="G19" s="281">
        <f>_xlfn.DAYS(About!$A$3,'Core Indicators'!DM19)</f>
        <v>6</v>
      </c>
      <c r="H19" s="281">
        <f>_xlfn.DAYS(About!$A$3,'Core Indicators'!DU19)</f>
        <v>6</v>
      </c>
      <c r="I19" s="281">
        <f>_xlfn.DAYS(About!$A$3,'Core Indicators'!EC19)</f>
        <v>6</v>
      </c>
      <c r="J19" s="281">
        <f>_xlfn.DAYS(About!$A$3,'Core Indicators'!EK19)</f>
        <v>6</v>
      </c>
      <c r="K19" s="281">
        <f>_xlfn.DAYS(About!$A$3,'Core Indicators'!ES19)</f>
        <v>6</v>
      </c>
      <c r="L19" s="281">
        <f>_xlfn.DAYS(About!$A$3,'Core Indicators'!FI19)</f>
        <v>37</v>
      </c>
      <c r="M19" s="281">
        <f>_xlfn.DAYS(About!$A$3,'Core Indicators'!GG19)</f>
        <v>6</v>
      </c>
      <c r="N19" s="281">
        <f>_xlfn.DAYS(About!$A$3,'Core Indicators'!GO19)</f>
        <v>6</v>
      </c>
      <c r="O19" s="281">
        <f>_xlfn.DAYS(About!$A$3,'Core Indicators'!GW19)</f>
        <v>6</v>
      </c>
      <c r="P19" s="281">
        <f>_xlfn.DAYS(About!$A$3,'Core Indicators'!HE19)</f>
        <v>6</v>
      </c>
      <c r="Q19" s="281">
        <f>_xlfn.DAYS(About!$A$3,'Core Indicators'!HM19)</f>
        <v>6</v>
      </c>
      <c r="R19" s="281">
        <f>_xlfn.DAYS(About!$A$3,'Core Indicators'!HU19)</f>
        <v>6</v>
      </c>
      <c r="S19" s="281">
        <f>_xlfn.DAYS(About!$A$3,'Core Indicators'!IC19)</f>
        <v>6</v>
      </c>
      <c r="T19" s="281">
        <f>_xlfn.DAYS(About!$A$3,'Core Indicators'!IK19)</f>
        <v>6</v>
      </c>
      <c r="U19" s="281">
        <f>_xlfn.DAYS(About!$A$3,'Core Indicators'!IS19)</f>
        <v>6</v>
      </c>
      <c r="V19" s="282">
        <f t="shared" si="0"/>
        <v>12.2</v>
      </c>
    </row>
    <row r="20" spans="1:22" x14ac:dyDescent="0.3">
      <c r="A20" s="280" t="str">
        <f>Lists!C:C</f>
        <v>BFA004</v>
      </c>
      <c r="B20" s="281">
        <f>_xlfn.DAYS(About!$A$3,'Core Indicators'!U20)</f>
        <v>6</v>
      </c>
      <c r="C20" s="281">
        <f>_xlfn.DAYS(About!$A$3,'Core Indicators'!AC20)</f>
        <v>6</v>
      </c>
      <c r="D20" s="281">
        <f>_xlfn.DAYS(About!$A$3,'Core Indicators'!AK20)</f>
        <v>6</v>
      </c>
      <c r="E20" s="281">
        <f>_xlfn.DAYS(About!$A$3,'Core Indicators'!AS20)</f>
        <v>6</v>
      </c>
      <c r="F20" s="281">
        <f>_xlfn.DAYS(About!$A$3,'Core Indicators'!BQ20)</f>
        <v>6</v>
      </c>
      <c r="G20" s="281">
        <f>_xlfn.DAYS(About!$A$3,'Core Indicators'!DM20)</f>
        <v>6</v>
      </c>
      <c r="H20" s="281">
        <f>_xlfn.DAYS(About!$A$3,'Core Indicators'!DU20)</f>
        <v>6</v>
      </c>
      <c r="I20" s="281">
        <f>_xlfn.DAYS(About!$A$3,'Core Indicators'!EC20)</f>
        <v>6</v>
      </c>
      <c r="J20" s="281">
        <f>_xlfn.DAYS(About!$A$3,'Core Indicators'!EK20)</f>
        <v>6</v>
      </c>
      <c r="K20" s="281">
        <f>_xlfn.DAYS(About!$A$3,'Core Indicators'!ES20)</f>
        <v>6</v>
      </c>
      <c r="L20" s="281">
        <f>_xlfn.DAYS(About!$A$3,'Core Indicators'!FI20)</f>
        <v>6</v>
      </c>
      <c r="M20" s="281">
        <f>_xlfn.DAYS(About!$A$3,'Core Indicators'!GG20)</f>
        <v>6</v>
      </c>
      <c r="N20" s="281">
        <f>_xlfn.DAYS(About!$A$3,'Core Indicators'!GO20)</f>
        <v>6</v>
      </c>
      <c r="O20" s="281">
        <f>_xlfn.DAYS(About!$A$3,'Core Indicators'!GW20)</f>
        <v>6</v>
      </c>
      <c r="P20" s="281">
        <f>_xlfn.DAYS(About!$A$3,'Core Indicators'!HE20)</f>
        <v>6</v>
      </c>
      <c r="Q20" s="281">
        <f>_xlfn.DAYS(About!$A$3,'Core Indicators'!HM20)</f>
        <v>6</v>
      </c>
      <c r="R20" s="281">
        <f>_xlfn.DAYS(About!$A$3,'Core Indicators'!HU20)</f>
        <v>6</v>
      </c>
      <c r="S20" s="281">
        <f>_xlfn.DAYS(About!$A$3,'Core Indicators'!IC20)</f>
        <v>6</v>
      </c>
      <c r="T20" s="281">
        <f>_xlfn.DAYS(About!$A$3,'Core Indicators'!IK20)</f>
        <v>6</v>
      </c>
      <c r="U20" s="281">
        <f>_xlfn.DAYS(About!$A$3,'Core Indicators'!IS20)</f>
        <v>6</v>
      </c>
      <c r="V20" s="282">
        <f t="shared" si="0"/>
        <v>6</v>
      </c>
    </row>
    <row r="21" spans="1:22" x14ac:dyDescent="0.3">
      <c r="A21" s="280" t="str">
        <f>Lists!C:C</f>
        <v>BDI001</v>
      </c>
      <c r="B21" s="281">
        <f>_xlfn.DAYS(About!$A$3,'Core Indicators'!U21)</f>
        <v>30</v>
      </c>
      <c r="C21" s="281">
        <f>_xlfn.DAYS(About!$A$3,'Core Indicators'!AC21)</f>
        <v>6</v>
      </c>
      <c r="D21" s="281">
        <f>_xlfn.DAYS(About!$A$3,'Core Indicators'!AK21)</f>
        <v>6</v>
      </c>
      <c r="E21" s="281">
        <f>_xlfn.DAYS(About!$A$3,'Core Indicators'!AS21)</f>
        <v>6</v>
      </c>
      <c r="F21" s="281">
        <f>_xlfn.DAYS(About!$A$3,'Core Indicators'!BQ21)</f>
        <v>6</v>
      </c>
      <c r="G21" s="281">
        <f>_xlfn.DAYS(About!$A$3,'Core Indicators'!DM21)</f>
        <v>6</v>
      </c>
      <c r="H21" s="281">
        <f>_xlfn.DAYS(About!$A$3,'Core Indicators'!DU21)</f>
        <v>6</v>
      </c>
      <c r="I21" s="281">
        <f>_xlfn.DAYS(About!$A$3,'Core Indicators'!EC21)</f>
        <v>6</v>
      </c>
      <c r="J21" s="281">
        <f>_xlfn.DAYS(About!$A$3,'Core Indicators'!EK21)</f>
        <v>6</v>
      </c>
      <c r="K21" s="281">
        <f>_xlfn.DAYS(About!$A$3,'Core Indicators'!ES21)</f>
        <v>6</v>
      </c>
      <c r="L21" s="281">
        <f>_xlfn.DAYS(About!$A$3,'Core Indicators'!FI21)</f>
        <v>617</v>
      </c>
      <c r="M21" s="281">
        <f>_xlfn.DAYS(About!$A$3,'Core Indicators'!GG21)</f>
        <v>373</v>
      </c>
      <c r="N21" s="281">
        <f>_xlfn.DAYS(About!$A$3,'Core Indicators'!GO21)</f>
        <v>373</v>
      </c>
      <c r="O21" s="281">
        <f>_xlfn.DAYS(About!$A$3,'Core Indicators'!GW21)</f>
        <v>373</v>
      </c>
      <c r="P21" s="281">
        <f>_xlfn.DAYS(About!$A$3,'Core Indicators'!HE21)</f>
        <v>373</v>
      </c>
      <c r="Q21" s="281">
        <f>_xlfn.DAYS(About!$A$3,'Core Indicators'!HM21)</f>
        <v>373</v>
      </c>
      <c r="R21" s="281">
        <f>_xlfn.DAYS(About!$A$3,'Core Indicators'!HU21)</f>
        <v>373</v>
      </c>
      <c r="S21" s="281">
        <f>_xlfn.DAYS(About!$A$3,'Core Indicators'!IC21)</f>
        <v>373</v>
      </c>
      <c r="T21" s="281">
        <f>_xlfn.DAYS(About!$A$3,'Core Indicators'!IK21)</f>
        <v>373</v>
      </c>
      <c r="U21" s="281">
        <f>_xlfn.DAYS(About!$A$3,'Core Indicators'!IS21)</f>
        <v>373</v>
      </c>
      <c r="V21" s="282">
        <f t="shared" si="0"/>
        <v>103.8</v>
      </c>
    </row>
    <row r="22" spans="1:22" x14ac:dyDescent="0.3">
      <c r="A22" s="280" t="str">
        <f>Lists!C:C</f>
        <v>CMR001</v>
      </c>
      <c r="B22" s="281">
        <f>_xlfn.DAYS(About!$A$3,'Core Indicators'!U22)</f>
        <v>443</v>
      </c>
      <c r="C22" s="281">
        <f>_xlfn.DAYS(About!$A$3,'Core Indicators'!AC22)</f>
        <v>6</v>
      </c>
      <c r="D22" s="281">
        <f>_xlfn.DAYS(About!$A$3,'Core Indicators'!AK22)</f>
        <v>6</v>
      </c>
      <c r="E22" s="281">
        <f>_xlfn.DAYS(About!$A$3,'Core Indicators'!AS22)</f>
        <v>6</v>
      </c>
      <c r="F22" s="281">
        <f>_xlfn.DAYS(About!$A$3,'Core Indicators'!BQ22)</f>
        <v>6</v>
      </c>
      <c r="G22" s="281">
        <f>_xlfn.DAYS(About!$A$3,'Core Indicators'!DM22)</f>
        <v>71</v>
      </c>
      <c r="H22" s="281">
        <f>_xlfn.DAYS(About!$A$3,'Core Indicators'!DU22)</f>
        <v>71</v>
      </c>
      <c r="I22" s="281">
        <f>_xlfn.DAYS(About!$A$3,'Core Indicators'!EC22)</f>
        <v>71</v>
      </c>
      <c r="J22" s="281">
        <f>_xlfn.DAYS(About!$A$3,'Core Indicators'!EK22)</f>
        <v>71</v>
      </c>
      <c r="K22" s="281">
        <f>_xlfn.DAYS(About!$A$3,'Core Indicators'!ES22)</f>
        <v>71</v>
      </c>
      <c r="L22" s="281">
        <f>_xlfn.DAYS(About!$A$3,'Core Indicators'!FI22)</f>
        <v>631</v>
      </c>
      <c r="M22" s="281">
        <f>_xlfn.DAYS(About!$A$3,'Core Indicators'!GG22)</f>
        <v>373</v>
      </c>
      <c r="N22" s="281">
        <f>_xlfn.DAYS(About!$A$3,'Core Indicators'!GO22)</f>
        <v>373</v>
      </c>
      <c r="O22" s="281">
        <f>_xlfn.DAYS(About!$A$3,'Core Indicators'!GW22)</f>
        <v>373</v>
      </c>
      <c r="P22" s="281">
        <f>_xlfn.DAYS(About!$A$3,'Core Indicators'!HE22)</f>
        <v>373</v>
      </c>
      <c r="Q22" s="281">
        <f>_xlfn.DAYS(About!$A$3,'Core Indicators'!HM22)</f>
        <v>373</v>
      </c>
      <c r="R22" s="281">
        <f>_xlfn.DAYS(About!$A$3,'Core Indicators'!HU22)</f>
        <v>373</v>
      </c>
      <c r="S22" s="281">
        <f>_xlfn.DAYS(About!$A$3,'Core Indicators'!IC22)</f>
        <v>373</v>
      </c>
      <c r="T22" s="281">
        <f>_xlfn.DAYS(About!$A$3,'Core Indicators'!IK22)</f>
        <v>373</v>
      </c>
      <c r="U22" s="281">
        <f>_xlfn.DAYS(About!$A$3,'Core Indicators'!IS22)</f>
        <v>373</v>
      </c>
      <c r="V22" s="282">
        <f t="shared" si="0"/>
        <v>137.69999999999999</v>
      </c>
    </row>
    <row r="23" spans="1:22" x14ac:dyDescent="0.3">
      <c r="A23" s="280" t="str">
        <f>Lists!C:C</f>
        <v>CMR002</v>
      </c>
      <c r="B23" s="281">
        <f>_xlfn.DAYS(About!$A$3,'Core Indicators'!U23)</f>
        <v>443</v>
      </c>
      <c r="C23" s="281">
        <f>_xlfn.DAYS(About!$A$3,'Core Indicators'!AC23)</f>
        <v>71</v>
      </c>
      <c r="D23" s="281">
        <f>_xlfn.DAYS(About!$A$3,'Core Indicators'!AK23)</f>
        <v>71</v>
      </c>
      <c r="E23" s="281">
        <f>_xlfn.DAYS(About!$A$3,'Core Indicators'!AS23)</f>
        <v>6</v>
      </c>
      <c r="F23" s="281">
        <f>_xlfn.DAYS(About!$A$3,'Core Indicators'!BQ23)</f>
        <v>6</v>
      </c>
      <c r="G23" s="281">
        <f>_xlfn.DAYS(About!$A$3,'Core Indicators'!DM23)</f>
        <v>71</v>
      </c>
      <c r="H23" s="281">
        <f>_xlfn.DAYS(About!$A$3,'Core Indicators'!DU23)</f>
        <v>71</v>
      </c>
      <c r="I23" s="281">
        <f>_xlfn.DAYS(About!$A$3,'Core Indicators'!EC23)</f>
        <v>71</v>
      </c>
      <c r="J23" s="281">
        <f>_xlfn.DAYS(About!$A$3,'Core Indicators'!EK23)</f>
        <v>71</v>
      </c>
      <c r="K23" s="281">
        <f>_xlfn.DAYS(About!$A$3,'Core Indicators'!ES23)</f>
        <v>71</v>
      </c>
      <c r="L23" s="281">
        <f>_xlfn.DAYS(About!$A$3,'Core Indicators'!FI23)</f>
        <v>556</v>
      </c>
      <c r="M23" s="281">
        <f>_xlfn.DAYS(About!$A$3,'Core Indicators'!GG23)</f>
        <v>373</v>
      </c>
      <c r="N23" s="281">
        <f>_xlfn.DAYS(About!$A$3,'Core Indicators'!GO23)</f>
        <v>373</v>
      </c>
      <c r="O23" s="281">
        <f>_xlfn.DAYS(About!$A$3,'Core Indicators'!GW23)</f>
        <v>373</v>
      </c>
      <c r="P23" s="281">
        <f>_xlfn.DAYS(About!$A$3,'Core Indicators'!HE23)</f>
        <v>373</v>
      </c>
      <c r="Q23" s="281">
        <f>_xlfn.DAYS(About!$A$3,'Core Indicators'!HM23)</f>
        <v>373</v>
      </c>
      <c r="R23" s="281">
        <f>_xlfn.DAYS(About!$A$3,'Core Indicators'!HU23)</f>
        <v>373</v>
      </c>
      <c r="S23" s="281">
        <f>_xlfn.DAYS(About!$A$3,'Core Indicators'!IC23)</f>
        <v>373</v>
      </c>
      <c r="T23" s="281">
        <f>_xlfn.DAYS(About!$A$3,'Core Indicators'!IK23)</f>
        <v>373</v>
      </c>
      <c r="U23" s="281">
        <f>_xlfn.DAYS(About!$A$3,'Core Indicators'!IS23)</f>
        <v>373</v>
      </c>
      <c r="V23" s="282">
        <f t="shared" si="0"/>
        <v>136.69999999999999</v>
      </c>
    </row>
    <row r="24" spans="1:22" x14ac:dyDescent="0.3">
      <c r="A24" s="280" t="str">
        <f>Lists!C:C</f>
        <v>CMR003</v>
      </c>
      <c r="B24" s="281">
        <f>_xlfn.DAYS(About!$A$3,'Core Indicators'!U24)</f>
        <v>631</v>
      </c>
      <c r="C24" s="281">
        <f>_xlfn.DAYS(About!$A$3,'Core Indicators'!AC24)</f>
        <v>71</v>
      </c>
      <c r="D24" s="281">
        <f>_xlfn.DAYS(About!$A$3,'Core Indicators'!AK24)</f>
        <v>71</v>
      </c>
      <c r="E24" s="281">
        <f>_xlfn.DAYS(About!$A$3,'Core Indicators'!AS24)</f>
        <v>6</v>
      </c>
      <c r="F24" s="281">
        <f>_xlfn.DAYS(About!$A$3,'Core Indicators'!BQ24)</f>
        <v>6</v>
      </c>
      <c r="G24" s="281">
        <f>_xlfn.DAYS(About!$A$3,'Core Indicators'!DM24)</f>
        <v>71</v>
      </c>
      <c r="H24" s="281">
        <f>_xlfn.DAYS(About!$A$3,'Core Indicators'!DU24)</f>
        <v>71</v>
      </c>
      <c r="I24" s="281">
        <f>_xlfn.DAYS(About!$A$3,'Core Indicators'!EC24)</f>
        <v>71</v>
      </c>
      <c r="J24" s="281">
        <f>_xlfn.DAYS(About!$A$3,'Core Indicators'!EK24)</f>
        <v>71</v>
      </c>
      <c r="K24" s="281">
        <f>_xlfn.DAYS(About!$A$3,'Core Indicators'!ES24)</f>
        <v>71</v>
      </c>
      <c r="L24" s="281">
        <f>_xlfn.DAYS(About!$A$3,'Core Indicators'!FI24)</f>
        <v>443</v>
      </c>
      <c r="M24" s="281">
        <f>_xlfn.DAYS(About!$A$3,'Core Indicators'!GG24)</f>
        <v>373</v>
      </c>
      <c r="N24" s="281">
        <f>_xlfn.DAYS(About!$A$3,'Core Indicators'!GO24)</f>
        <v>373</v>
      </c>
      <c r="O24" s="281">
        <f>_xlfn.DAYS(About!$A$3,'Core Indicators'!GW24)</f>
        <v>373</v>
      </c>
      <c r="P24" s="281">
        <f>_xlfn.DAYS(About!$A$3,'Core Indicators'!HE24)</f>
        <v>373</v>
      </c>
      <c r="Q24" s="281">
        <f>_xlfn.DAYS(About!$A$3,'Core Indicators'!HM24)</f>
        <v>373</v>
      </c>
      <c r="R24" s="281">
        <f>_xlfn.DAYS(About!$A$3,'Core Indicators'!HU24)</f>
        <v>373</v>
      </c>
      <c r="S24" s="281">
        <f>_xlfn.DAYS(About!$A$3,'Core Indicators'!IC24)</f>
        <v>373</v>
      </c>
      <c r="T24" s="281">
        <f>_xlfn.DAYS(About!$A$3,'Core Indicators'!IK24)</f>
        <v>373</v>
      </c>
      <c r="U24" s="281">
        <f>_xlfn.DAYS(About!$A$3,'Core Indicators'!IS24)</f>
        <v>373</v>
      </c>
      <c r="V24" s="282">
        <f t="shared" si="0"/>
        <v>125.4</v>
      </c>
    </row>
    <row r="25" spans="1:22" x14ac:dyDescent="0.3">
      <c r="A25" s="280" t="str">
        <f>Lists!C:C</f>
        <v>CMR004</v>
      </c>
      <c r="B25" s="281">
        <f>_xlfn.DAYS(About!$A$3,'Core Indicators'!U25)</f>
        <v>631</v>
      </c>
      <c r="C25" s="281">
        <f>_xlfn.DAYS(About!$A$3,'Core Indicators'!AC25)</f>
        <v>6</v>
      </c>
      <c r="D25" s="281">
        <f>_xlfn.DAYS(About!$A$3,'Core Indicators'!AK25)</f>
        <v>6</v>
      </c>
      <c r="E25" s="281">
        <f>_xlfn.DAYS(About!$A$3,'Core Indicators'!AS25)</f>
        <v>6</v>
      </c>
      <c r="F25" s="281">
        <f>_xlfn.DAYS(About!$A$3,'Core Indicators'!BQ25)</f>
        <v>443</v>
      </c>
      <c r="G25" s="281">
        <f>_xlfn.DAYS(About!$A$3,'Core Indicators'!DM25)</f>
        <v>6</v>
      </c>
      <c r="H25" s="281">
        <f>_xlfn.DAYS(About!$A$3,'Core Indicators'!DU25)</f>
        <v>6</v>
      </c>
      <c r="I25" s="281">
        <f>_xlfn.DAYS(About!$A$3,'Core Indicators'!EC25)</f>
        <v>6</v>
      </c>
      <c r="J25" s="281">
        <f>_xlfn.DAYS(About!$A$3,'Core Indicators'!EK25)</f>
        <v>6</v>
      </c>
      <c r="K25" s="281">
        <f>_xlfn.DAYS(About!$A$3,'Core Indicators'!ES25)</f>
        <v>6</v>
      </c>
      <c r="L25" s="281">
        <f>_xlfn.DAYS(About!$A$3,'Core Indicators'!FI25)</f>
        <v>631</v>
      </c>
      <c r="M25" s="281">
        <f>_xlfn.DAYS(About!$A$3,'Core Indicators'!GG25)</f>
        <v>373</v>
      </c>
      <c r="N25" s="281">
        <f>_xlfn.DAYS(About!$A$3,'Core Indicators'!GO25)</f>
        <v>373</v>
      </c>
      <c r="O25" s="281">
        <f>_xlfn.DAYS(About!$A$3,'Core Indicators'!GW25)</f>
        <v>373</v>
      </c>
      <c r="P25" s="281">
        <f>_xlfn.DAYS(About!$A$3,'Core Indicators'!HE25)</f>
        <v>373</v>
      </c>
      <c r="Q25" s="281">
        <f>_xlfn.DAYS(About!$A$3,'Core Indicators'!HM25)</f>
        <v>373</v>
      </c>
      <c r="R25" s="281">
        <f>_xlfn.DAYS(About!$A$3,'Core Indicators'!HU25)</f>
        <v>373</v>
      </c>
      <c r="S25" s="281">
        <f>_xlfn.DAYS(About!$A$3,'Core Indicators'!IC25)</f>
        <v>373</v>
      </c>
      <c r="T25" s="281">
        <f>_xlfn.DAYS(About!$A$3,'Core Indicators'!IK25)</f>
        <v>373</v>
      </c>
      <c r="U25" s="281">
        <f>_xlfn.DAYS(About!$A$3,'Core Indicators'!IS25)</f>
        <v>373</v>
      </c>
      <c r="V25" s="282">
        <f t="shared" si="0"/>
        <v>148.9</v>
      </c>
    </row>
    <row r="26" spans="1:22" x14ac:dyDescent="0.3">
      <c r="A26" s="280" t="str">
        <f>Lists!C:C</f>
        <v>CAF001</v>
      </c>
      <c r="B26" s="281">
        <f>_xlfn.DAYS(About!$A$3,'Core Indicators'!U26)</f>
        <v>632</v>
      </c>
      <c r="C26" s="281">
        <f>_xlfn.DAYS(About!$A$3,'Core Indicators'!AC26)</f>
        <v>370</v>
      </c>
      <c r="D26" s="281">
        <f>_xlfn.DAYS(About!$A$3,'Core Indicators'!AK26)</f>
        <v>370</v>
      </c>
      <c r="E26" s="281">
        <f>_xlfn.DAYS(About!$A$3,'Core Indicators'!AS26)</f>
        <v>9</v>
      </c>
      <c r="F26" s="281">
        <f>_xlfn.DAYS(About!$A$3,'Core Indicators'!BQ26)</f>
        <v>9</v>
      </c>
      <c r="G26" s="281">
        <f>_xlfn.DAYS(About!$A$3,'Core Indicators'!DM26)</f>
        <v>9</v>
      </c>
      <c r="H26" s="281">
        <f>_xlfn.DAYS(About!$A$3,'Core Indicators'!DU26)</f>
        <v>9</v>
      </c>
      <c r="I26" s="281">
        <f>_xlfn.DAYS(About!$A$3,'Core Indicators'!EC26)</f>
        <v>9</v>
      </c>
      <c r="J26" s="281">
        <f>_xlfn.DAYS(About!$A$3,'Core Indicators'!EK26)</f>
        <v>9</v>
      </c>
      <c r="K26" s="281">
        <f>_xlfn.DAYS(About!$A$3,'Core Indicators'!ES26)</f>
        <v>9</v>
      </c>
      <c r="L26" s="281">
        <f>_xlfn.DAYS(About!$A$3,'Core Indicators'!FI26)</f>
        <v>220</v>
      </c>
      <c r="M26" s="281">
        <f>_xlfn.DAYS(About!$A$3,'Core Indicators'!GG26)</f>
        <v>7</v>
      </c>
      <c r="N26" s="281">
        <f>_xlfn.DAYS(About!$A$3,'Core Indicators'!GO26)</f>
        <v>7</v>
      </c>
      <c r="O26" s="281">
        <f>_xlfn.DAYS(About!$A$3,'Core Indicators'!GW26)</f>
        <v>7</v>
      </c>
      <c r="P26" s="281">
        <f>_xlfn.DAYS(About!$A$3,'Core Indicators'!HE26)</f>
        <v>7</v>
      </c>
      <c r="Q26" s="281">
        <f>_xlfn.DAYS(About!$A$3,'Core Indicators'!HM26)</f>
        <v>7</v>
      </c>
      <c r="R26" s="281">
        <f>_xlfn.DAYS(About!$A$3,'Core Indicators'!HU26)</f>
        <v>7</v>
      </c>
      <c r="S26" s="281">
        <f>_xlfn.DAYS(About!$A$3,'Core Indicators'!IC26)</f>
        <v>7</v>
      </c>
      <c r="T26" s="281">
        <f>_xlfn.DAYS(About!$A$3,'Core Indicators'!IK26)</f>
        <v>7</v>
      </c>
      <c r="U26" s="281">
        <f>_xlfn.DAYS(About!$A$3,'Core Indicators'!IS26)</f>
        <v>7</v>
      </c>
      <c r="V26" s="282">
        <f t="shared" si="0"/>
        <v>66</v>
      </c>
    </row>
    <row r="27" spans="1:22" x14ac:dyDescent="0.3">
      <c r="A27" s="280" t="str">
        <f>Lists!C:C</f>
        <v>TCD001</v>
      </c>
      <c r="B27" s="281">
        <f>_xlfn.DAYS(About!$A$3,'Core Indicators'!U27)</f>
        <v>34</v>
      </c>
      <c r="C27" s="281">
        <f>_xlfn.DAYS(About!$A$3,'Core Indicators'!AC27)</f>
        <v>34</v>
      </c>
      <c r="D27" s="281">
        <f>_xlfn.DAYS(About!$A$3,'Core Indicators'!AK27)</f>
        <v>6</v>
      </c>
      <c r="E27" s="281">
        <f>_xlfn.DAYS(About!$A$3,'Core Indicators'!AS27)</f>
        <v>6</v>
      </c>
      <c r="F27" s="281">
        <f>_xlfn.DAYS(About!$A$3,'Core Indicators'!BQ27)</f>
        <v>6</v>
      </c>
      <c r="G27" s="281">
        <f>_xlfn.DAYS(About!$A$3,'Core Indicators'!DM27)</f>
        <v>99</v>
      </c>
      <c r="H27" s="281">
        <f>_xlfn.DAYS(About!$A$3,'Core Indicators'!DU27)</f>
        <v>99</v>
      </c>
      <c r="I27" s="281">
        <f>_xlfn.DAYS(About!$A$3,'Core Indicators'!EC27)</f>
        <v>99</v>
      </c>
      <c r="J27" s="281">
        <f>_xlfn.DAYS(About!$A$3,'Core Indicators'!EK27)</f>
        <v>99</v>
      </c>
      <c r="K27" s="281">
        <f>_xlfn.DAYS(About!$A$3,'Core Indicators'!ES27)</f>
        <v>99</v>
      </c>
      <c r="L27" s="281">
        <f>_xlfn.DAYS(About!$A$3,'Core Indicators'!FI27)</f>
        <v>629</v>
      </c>
      <c r="M27" s="281">
        <f>_xlfn.DAYS(About!$A$3,'Core Indicators'!GG27)</f>
        <v>1</v>
      </c>
      <c r="N27" s="281">
        <f>_xlfn.DAYS(About!$A$3,'Core Indicators'!GO27)</f>
        <v>1</v>
      </c>
      <c r="O27" s="281">
        <f>_xlfn.DAYS(About!$A$3,'Core Indicators'!GW27)</f>
        <v>1</v>
      </c>
      <c r="P27" s="281">
        <f>_xlfn.DAYS(About!$A$3,'Core Indicators'!HE27)</f>
        <v>1</v>
      </c>
      <c r="Q27" s="281">
        <f>_xlfn.DAYS(About!$A$3,'Core Indicators'!HM27)</f>
        <v>1</v>
      </c>
      <c r="R27" s="281">
        <f>_xlfn.DAYS(About!$A$3,'Core Indicators'!HU27)</f>
        <v>1</v>
      </c>
      <c r="S27" s="281">
        <f>_xlfn.DAYS(About!$A$3,'Core Indicators'!IC27)</f>
        <v>1</v>
      </c>
      <c r="T27" s="281">
        <f>_xlfn.DAYS(About!$A$3,'Core Indicators'!IK27)</f>
        <v>1</v>
      </c>
      <c r="U27" s="281">
        <f>_xlfn.DAYS(About!$A$3,'Core Indicators'!IS27)</f>
        <v>1</v>
      </c>
      <c r="V27" s="282">
        <f t="shared" si="0"/>
        <v>114.3</v>
      </c>
    </row>
    <row r="28" spans="1:22" x14ac:dyDescent="0.3">
      <c r="A28" s="280" t="str">
        <f>Lists!C:C</f>
        <v>TCD003</v>
      </c>
      <c r="B28" s="281">
        <f>_xlfn.DAYS(About!$A$3,'Core Indicators'!U28)</f>
        <v>629</v>
      </c>
      <c r="C28" s="281">
        <f>_xlfn.DAYS(About!$A$3,'Core Indicators'!AC28)</f>
        <v>6</v>
      </c>
      <c r="D28" s="281">
        <f>_xlfn.DAYS(About!$A$3,'Core Indicators'!AK28)</f>
        <v>6</v>
      </c>
      <c r="E28" s="281">
        <f>_xlfn.DAYS(About!$A$3,'Core Indicators'!AS28)</f>
        <v>6</v>
      </c>
      <c r="F28" s="281">
        <f>_xlfn.DAYS(About!$A$3,'Core Indicators'!BQ28)</f>
        <v>6</v>
      </c>
      <c r="G28" s="281">
        <f>_xlfn.DAYS(About!$A$3,'Core Indicators'!DM28)</f>
        <v>21</v>
      </c>
      <c r="H28" s="281">
        <f>_xlfn.DAYS(About!$A$3,'Core Indicators'!DU28)</f>
        <v>21</v>
      </c>
      <c r="I28" s="281">
        <f>_xlfn.DAYS(About!$A$3,'Core Indicators'!EC28)</f>
        <v>21</v>
      </c>
      <c r="J28" s="281">
        <f>_xlfn.DAYS(About!$A$3,'Core Indicators'!EK28)</f>
        <v>21</v>
      </c>
      <c r="K28" s="281">
        <f>_xlfn.DAYS(About!$A$3,'Core Indicators'!ES28)</f>
        <v>21</v>
      </c>
      <c r="L28" s="281">
        <f>_xlfn.DAYS(About!$A$3,'Core Indicators'!FI28)</f>
        <v>629</v>
      </c>
      <c r="M28" s="281">
        <f>_xlfn.DAYS(About!$A$3,'Core Indicators'!GG28)</f>
        <v>1</v>
      </c>
      <c r="N28" s="281">
        <f>_xlfn.DAYS(About!$A$3,'Core Indicators'!GO28)</f>
        <v>1</v>
      </c>
      <c r="O28" s="281">
        <f>_xlfn.DAYS(About!$A$3,'Core Indicators'!GW28)</f>
        <v>1</v>
      </c>
      <c r="P28" s="281">
        <f>_xlfn.DAYS(About!$A$3,'Core Indicators'!HE28)</f>
        <v>1</v>
      </c>
      <c r="Q28" s="281">
        <f>_xlfn.DAYS(About!$A$3,'Core Indicators'!HM28)</f>
        <v>1</v>
      </c>
      <c r="R28" s="281">
        <f>_xlfn.DAYS(About!$A$3,'Core Indicators'!HU28)</f>
        <v>1</v>
      </c>
      <c r="S28" s="281">
        <f>_xlfn.DAYS(About!$A$3,'Core Indicators'!IC28)</f>
        <v>1</v>
      </c>
      <c r="T28" s="281">
        <f>_xlfn.DAYS(About!$A$3,'Core Indicators'!IK28)</f>
        <v>1</v>
      </c>
      <c r="U28" s="281">
        <f>_xlfn.DAYS(About!$A$3,'Core Indicators'!IS28)</f>
        <v>1</v>
      </c>
      <c r="V28" s="282">
        <f t="shared" si="0"/>
        <v>75.3</v>
      </c>
    </row>
    <row r="29" spans="1:22" x14ac:dyDescent="0.3">
      <c r="A29" s="280" t="str">
        <f>Lists!C:C</f>
        <v>TCD004</v>
      </c>
      <c r="B29" s="281">
        <f>_xlfn.DAYS(About!$A$3,'Core Indicators'!U29)</f>
        <v>226</v>
      </c>
      <c r="C29" s="281">
        <f>_xlfn.DAYS(About!$A$3,'Core Indicators'!AC29)</f>
        <v>226</v>
      </c>
      <c r="D29" s="281">
        <f>_xlfn.DAYS(About!$A$3,'Core Indicators'!AK29)</f>
        <v>226</v>
      </c>
      <c r="E29" s="281">
        <f>_xlfn.DAYS(About!$A$3,'Core Indicators'!AS29)</f>
        <v>6</v>
      </c>
      <c r="F29" s="281">
        <f>_xlfn.DAYS(About!$A$3,'Core Indicators'!BQ29)</f>
        <v>629</v>
      </c>
      <c r="G29" s="281">
        <f>_xlfn.DAYS(About!$A$3,'Core Indicators'!DM29)</f>
        <v>226</v>
      </c>
      <c r="H29" s="281">
        <f>_xlfn.DAYS(About!$A$3,'Core Indicators'!DU29)</f>
        <v>226</v>
      </c>
      <c r="I29" s="281">
        <f>_xlfn.DAYS(About!$A$3,'Core Indicators'!EC29)</f>
        <v>226</v>
      </c>
      <c r="J29" s="281">
        <f>_xlfn.DAYS(About!$A$3,'Core Indicators'!EK29)</f>
        <v>226</v>
      </c>
      <c r="K29" s="281">
        <f>_xlfn.DAYS(About!$A$3,'Core Indicators'!ES29)</f>
        <v>226</v>
      </c>
      <c r="L29" s="281">
        <f>_xlfn.DAYS(About!$A$3,'Core Indicators'!FI29)</f>
        <v>629</v>
      </c>
      <c r="M29" s="281">
        <f>_xlfn.DAYS(About!$A$3,'Core Indicators'!GG29)</f>
        <v>1</v>
      </c>
      <c r="N29" s="281">
        <f>_xlfn.DAYS(About!$A$3,'Core Indicators'!GO29)</f>
        <v>1</v>
      </c>
      <c r="O29" s="281">
        <f>_xlfn.DAYS(About!$A$3,'Core Indicators'!GW29)</f>
        <v>1</v>
      </c>
      <c r="P29" s="281">
        <f>_xlfn.DAYS(About!$A$3,'Core Indicators'!HE29)</f>
        <v>1</v>
      </c>
      <c r="Q29" s="281">
        <f>_xlfn.DAYS(About!$A$3,'Core Indicators'!HM29)</f>
        <v>1</v>
      </c>
      <c r="R29" s="281">
        <f>_xlfn.DAYS(About!$A$3,'Core Indicators'!HU29)</f>
        <v>1</v>
      </c>
      <c r="S29" s="281">
        <f>_xlfn.DAYS(About!$A$3,'Core Indicators'!IC29)</f>
        <v>1</v>
      </c>
      <c r="T29" s="281">
        <f>_xlfn.DAYS(About!$A$3,'Core Indicators'!IK29)</f>
        <v>1</v>
      </c>
      <c r="U29" s="281">
        <f>_xlfn.DAYS(About!$A$3,'Core Indicators'!IS29)</f>
        <v>1</v>
      </c>
      <c r="V29" s="282">
        <f t="shared" si="0"/>
        <v>262.10000000000002</v>
      </c>
    </row>
    <row r="30" spans="1:22" x14ac:dyDescent="0.3">
      <c r="A30" s="280" t="str">
        <f>Lists!C:C</f>
        <v>TCD005</v>
      </c>
      <c r="B30" s="281">
        <f>_xlfn.DAYS(About!$A$3,'Core Indicators'!U30)</f>
        <v>226</v>
      </c>
      <c r="C30" s="281">
        <f>_xlfn.DAYS(About!$A$3,'Core Indicators'!AC30)</f>
        <v>226</v>
      </c>
      <c r="D30" s="281">
        <f>_xlfn.DAYS(About!$A$3,'Core Indicators'!AK30)</f>
        <v>226</v>
      </c>
      <c r="E30" s="281">
        <f>_xlfn.DAYS(About!$A$3,'Core Indicators'!AS30)</f>
        <v>6</v>
      </c>
      <c r="F30" s="281">
        <f>_xlfn.DAYS(About!$A$3,'Core Indicators'!BQ30)</f>
        <v>6</v>
      </c>
      <c r="G30" s="281">
        <f>_xlfn.DAYS(About!$A$3,'Core Indicators'!DM30)</f>
        <v>226</v>
      </c>
      <c r="H30" s="281">
        <f>_xlfn.DAYS(About!$A$3,'Core Indicators'!DU30)</f>
        <v>226</v>
      </c>
      <c r="I30" s="281">
        <f>_xlfn.DAYS(About!$A$3,'Core Indicators'!EC30)</f>
        <v>226</v>
      </c>
      <c r="J30" s="281">
        <f>_xlfn.DAYS(About!$A$3,'Core Indicators'!EK30)</f>
        <v>226</v>
      </c>
      <c r="K30" s="281">
        <f>_xlfn.DAYS(About!$A$3,'Core Indicators'!ES30)</f>
        <v>226</v>
      </c>
      <c r="L30" s="281">
        <f>_xlfn.DAYS(About!$A$3,'Core Indicators'!FI30)</f>
        <v>629</v>
      </c>
      <c r="M30" s="281">
        <f>_xlfn.DAYS(About!$A$3,'Core Indicators'!GG30)</f>
        <v>1</v>
      </c>
      <c r="N30" s="281">
        <f>_xlfn.DAYS(About!$A$3,'Core Indicators'!GO30)</f>
        <v>1</v>
      </c>
      <c r="O30" s="281">
        <f>_xlfn.DAYS(About!$A$3,'Core Indicators'!GW30)</f>
        <v>1</v>
      </c>
      <c r="P30" s="281">
        <f>_xlfn.DAYS(About!$A$3,'Core Indicators'!HE30)</f>
        <v>1</v>
      </c>
      <c r="Q30" s="281">
        <f>_xlfn.DAYS(About!$A$3,'Core Indicators'!HM30)</f>
        <v>1</v>
      </c>
      <c r="R30" s="281">
        <f>_xlfn.DAYS(About!$A$3,'Core Indicators'!HU30)</f>
        <v>1</v>
      </c>
      <c r="S30" s="281">
        <f>_xlfn.DAYS(About!$A$3,'Core Indicators'!IC30)</f>
        <v>1</v>
      </c>
      <c r="T30" s="281">
        <f>_xlfn.DAYS(About!$A$3,'Core Indicators'!IK30)</f>
        <v>1</v>
      </c>
      <c r="U30" s="281">
        <f>_xlfn.DAYS(About!$A$3,'Core Indicators'!IS30)</f>
        <v>1</v>
      </c>
      <c r="V30" s="282">
        <f t="shared" si="0"/>
        <v>199.8</v>
      </c>
    </row>
    <row r="31" spans="1:22" x14ac:dyDescent="0.3">
      <c r="A31" s="280" t="str">
        <f>Lists!C:C</f>
        <v>TCD006</v>
      </c>
      <c r="B31" s="281">
        <f>_xlfn.DAYS(About!$A$3,'Core Indicators'!U31)</f>
        <v>629</v>
      </c>
      <c r="C31" s="281">
        <f>_xlfn.DAYS(About!$A$3,'Core Indicators'!AC31)</f>
        <v>226</v>
      </c>
      <c r="D31" s="281">
        <f>_xlfn.DAYS(About!$A$3,'Core Indicators'!AK31)</f>
        <v>226</v>
      </c>
      <c r="E31" s="281">
        <f>_xlfn.DAYS(About!$A$3,'Core Indicators'!AS31)</f>
        <v>629</v>
      </c>
      <c r="F31" s="281">
        <f>_xlfn.DAYS(About!$A$3,'Core Indicators'!BQ31)</f>
        <v>6</v>
      </c>
      <c r="G31" s="281">
        <f>_xlfn.DAYS(About!$A$3,'Core Indicators'!DM31)</f>
        <v>99</v>
      </c>
      <c r="H31" s="281">
        <f>_xlfn.DAYS(About!$A$3,'Core Indicators'!DU31)</f>
        <v>99</v>
      </c>
      <c r="I31" s="281">
        <f>_xlfn.DAYS(About!$A$3,'Core Indicators'!EC31)</f>
        <v>99</v>
      </c>
      <c r="J31" s="281">
        <f>_xlfn.DAYS(About!$A$3,'Core Indicators'!EK31)</f>
        <v>99</v>
      </c>
      <c r="K31" s="281">
        <f>_xlfn.DAYS(About!$A$3,'Core Indicators'!ES31)</f>
        <v>99</v>
      </c>
      <c r="L31" s="281">
        <f>_xlfn.DAYS(About!$A$3,'Core Indicators'!FI31)</f>
        <v>371</v>
      </c>
      <c r="M31" s="281">
        <f>_xlfn.DAYS(About!$A$3,'Core Indicators'!GG31)</f>
        <v>1</v>
      </c>
      <c r="N31" s="281">
        <f>_xlfn.DAYS(About!$A$3,'Core Indicators'!GO31)</f>
        <v>1</v>
      </c>
      <c r="O31" s="281">
        <f>_xlfn.DAYS(About!$A$3,'Core Indicators'!GW31)</f>
        <v>1</v>
      </c>
      <c r="P31" s="281">
        <f>_xlfn.DAYS(About!$A$3,'Core Indicators'!HE31)</f>
        <v>1</v>
      </c>
      <c r="Q31" s="281">
        <f>_xlfn.DAYS(About!$A$3,'Core Indicators'!HM31)</f>
        <v>1</v>
      </c>
      <c r="R31" s="281">
        <f>_xlfn.DAYS(About!$A$3,'Core Indicators'!HU31)</f>
        <v>1</v>
      </c>
      <c r="S31" s="281">
        <f>_xlfn.DAYS(About!$A$3,'Core Indicators'!IC31)</f>
        <v>1</v>
      </c>
      <c r="T31" s="281">
        <f>_xlfn.DAYS(About!$A$3,'Core Indicators'!IK31)</f>
        <v>1</v>
      </c>
      <c r="U31" s="281">
        <f>_xlfn.DAYS(About!$A$3,'Core Indicators'!IS31)</f>
        <v>1</v>
      </c>
      <c r="V31" s="282">
        <f t="shared" si="0"/>
        <v>172.8</v>
      </c>
    </row>
    <row r="32" spans="1:22" x14ac:dyDescent="0.3">
      <c r="A32" s="280" t="str">
        <f>Lists!C:C</f>
        <v>TCD008</v>
      </c>
      <c r="B32" s="281">
        <f>_xlfn.DAYS(About!$A$3,'Core Indicators'!U32)</f>
        <v>6</v>
      </c>
      <c r="C32" s="281">
        <f>_xlfn.DAYS(About!$A$3,'Core Indicators'!AC32)</f>
        <v>6</v>
      </c>
      <c r="D32" s="281">
        <f>_xlfn.DAYS(About!$A$3,'Core Indicators'!AK32)</f>
        <v>6</v>
      </c>
      <c r="E32" s="281">
        <f>_xlfn.DAYS(About!$A$3,'Core Indicators'!AS32)</f>
        <v>34</v>
      </c>
      <c r="F32" s="281">
        <f>_xlfn.DAYS(About!$A$3,'Core Indicators'!BQ32)</f>
        <v>34</v>
      </c>
      <c r="G32" s="281">
        <f>_xlfn.DAYS(About!$A$3,'Core Indicators'!DM32)</f>
        <v>6</v>
      </c>
      <c r="H32" s="281">
        <f>_xlfn.DAYS(About!$A$3,'Core Indicators'!DU32)</f>
        <v>6</v>
      </c>
      <c r="I32" s="281">
        <f>_xlfn.DAYS(About!$A$3,'Core Indicators'!EC32)</f>
        <v>6</v>
      </c>
      <c r="J32" s="281">
        <f>_xlfn.DAYS(About!$A$3,'Core Indicators'!EK32)</f>
        <v>6</v>
      </c>
      <c r="K32" s="281">
        <f>_xlfn.DAYS(About!$A$3,'Core Indicators'!ES32)</f>
        <v>6</v>
      </c>
      <c r="L32" s="281">
        <f>_xlfn.DAYS(About!$A$3,'Core Indicators'!FI32)</f>
        <v>34</v>
      </c>
      <c r="M32" s="281">
        <f>_xlfn.DAYS(About!$A$3,'Core Indicators'!GG32)</f>
        <v>1</v>
      </c>
      <c r="N32" s="281">
        <f>_xlfn.DAYS(About!$A$3,'Core Indicators'!GO32)</f>
        <v>1</v>
      </c>
      <c r="O32" s="281">
        <f>_xlfn.DAYS(About!$A$3,'Core Indicators'!GW32)</f>
        <v>1</v>
      </c>
      <c r="P32" s="281">
        <f>_xlfn.DAYS(About!$A$3,'Core Indicators'!HE32)</f>
        <v>1</v>
      </c>
      <c r="Q32" s="281">
        <f>_xlfn.DAYS(About!$A$3,'Core Indicators'!HM32)</f>
        <v>1</v>
      </c>
      <c r="R32" s="281">
        <f>_xlfn.DAYS(About!$A$3,'Core Indicators'!HU32)</f>
        <v>1</v>
      </c>
      <c r="S32" s="281">
        <f>_xlfn.DAYS(About!$A$3,'Core Indicators'!IC32)</f>
        <v>1</v>
      </c>
      <c r="T32" s="281">
        <f>_xlfn.DAYS(About!$A$3,'Core Indicators'!IK32)</f>
        <v>1</v>
      </c>
      <c r="U32" s="281">
        <f>_xlfn.DAYS(About!$A$3,'Core Indicators'!IS32)</f>
        <v>1</v>
      </c>
      <c r="V32" s="282">
        <f t="shared" si="0"/>
        <v>13.9</v>
      </c>
    </row>
    <row r="33" spans="1:22" x14ac:dyDescent="0.3">
      <c r="A33" s="280" t="str">
        <f>Lists!C:C</f>
        <v>COL001</v>
      </c>
      <c r="B33" s="281">
        <f>_xlfn.DAYS(About!$A$3,'Core Indicators'!U33)</f>
        <v>29</v>
      </c>
      <c r="C33" s="281">
        <f>_xlfn.DAYS(About!$A$3,'Core Indicators'!AC33)</f>
        <v>190</v>
      </c>
      <c r="D33" s="281">
        <f>_xlfn.DAYS(About!$A$3,'Core Indicators'!AK33)</f>
        <v>190</v>
      </c>
      <c r="E33" s="281">
        <f>_xlfn.DAYS(About!$A$3,'Core Indicators'!AS33)</f>
        <v>30</v>
      </c>
      <c r="F33" s="281">
        <f>_xlfn.DAYS(About!$A$3,'Core Indicators'!BQ33)</f>
        <v>400</v>
      </c>
      <c r="G33" s="281">
        <f>_xlfn.DAYS(About!$A$3,'Core Indicators'!DM33)</f>
        <v>21</v>
      </c>
      <c r="H33" s="281">
        <f>_xlfn.DAYS(About!$A$3,'Core Indicators'!DU33)</f>
        <v>21</v>
      </c>
      <c r="I33" s="281">
        <f>_xlfn.DAYS(About!$A$3,'Core Indicators'!EC33)</f>
        <v>21</v>
      </c>
      <c r="J33" s="281">
        <f>_xlfn.DAYS(About!$A$3,'Core Indicators'!EK33)</f>
        <v>21</v>
      </c>
      <c r="K33" s="281">
        <f>_xlfn.DAYS(About!$A$3,'Core Indicators'!ES33)</f>
        <v>21</v>
      </c>
      <c r="L33" s="281">
        <f>_xlfn.DAYS(About!$A$3,'Core Indicators'!FI33)</f>
        <v>630</v>
      </c>
      <c r="M33" s="281">
        <f>_xlfn.DAYS(About!$A$3,'Core Indicators'!GG33)</f>
        <v>370</v>
      </c>
      <c r="N33" s="281">
        <f>_xlfn.DAYS(About!$A$3,'Core Indicators'!GO33)</f>
        <v>370</v>
      </c>
      <c r="O33" s="281">
        <f>_xlfn.DAYS(About!$A$3,'Core Indicators'!GW33)</f>
        <v>370</v>
      </c>
      <c r="P33" s="281">
        <f>_xlfn.DAYS(About!$A$3,'Core Indicators'!HE33)</f>
        <v>370</v>
      </c>
      <c r="Q33" s="281">
        <f>_xlfn.DAYS(About!$A$3,'Core Indicators'!HM33)</f>
        <v>370</v>
      </c>
      <c r="R33" s="281">
        <f>_xlfn.DAYS(About!$A$3,'Core Indicators'!HU33)</f>
        <v>370</v>
      </c>
      <c r="S33" s="281">
        <f>_xlfn.DAYS(About!$A$3,'Core Indicators'!IC33)</f>
        <v>370</v>
      </c>
      <c r="T33" s="281">
        <f>_xlfn.DAYS(About!$A$3,'Core Indicators'!IK33)</f>
        <v>370</v>
      </c>
      <c r="U33" s="281">
        <f>_xlfn.DAYS(About!$A$3,'Core Indicators'!IS33)</f>
        <v>370</v>
      </c>
      <c r="V33" s="282">
        <f t="shared" si="0"/>
        <v>172.5</v>
      </c>
    </row>
    <row r="34" spans="1:22" x14ac:dyDescent="0.3">
      <c r="A34" s="280" t="str">
        <f>Lists!C:C</f>
        <v>COL002</v>
      </c>
      <c r="B34" s="281">
        <f>_xlfn.DAYS(About!$A$3,'Core Indicators'!U34)</f>
        <v>555</v>
      </c>
      <c r="C34" s="281">
        <f>_xlfn.DAYS(About!$A$3,'Core Indicators'!AC34)</f>
        <v>555</v>
      </c>
      <c r="D34" s="281">
        <f>_xlfn.DAYS(About!$A$3,'Core Indicators'!AK34)</f>
        <v>30</v>
      </c>
      <c r="E34" s="281">
        <f>_xlfn.DAYS(About!$A$3,'Core Indicators'!AS34)</f>
        <v>30</v>
      </c>
      <c r="F34" s="281">
        <f>_xlfn.DAYS(About!$A$3,'Core Indicators'!BQ34)</f>
        <v>273</v>
      </c>
      <c r="G34" s="281">
        <f>_xlfn.DAYS(About!$A$3,'Core Indicators'!DM34)</f>
        <v>30</v>
      </c>
      <c r="H34" s="281">
        <f>_xlfn.DAYS(About!$A$3,'Core Indicators'!DU34)</f>
        <v>30</v>
      </c>
      <c r="I34" s="281">
        <f>_xlfn.DAYS(About!$A$3,'Core Indicators'!EC34)</f>
        <v>30</v>
      </c>
      <c r="J34" s="281">
        <f>_xlfn.DAYS(About!$A$3,'Core Indicators'!EK34)</f>
        <v>30</v>
      </c>
      <c r="K34" s="281">
        <f>_xlfn.DAYS(About!$A$3,'Core Indicators'!ES34)</f>
        <v>30</v>
      </c>
      <c r="L34" s="281">
        <f>_xlfn.DAYS(About!$A$3,'Core Indicators'!FI34)</f>
        <v>630</v>
      </c>
      <c r="M34" s="281">
        <f>_xlfn.DAYS(About!$A$3,'Core Indicators'!GG34)</f>
        <v>370</v>
      </c>
      <c r="N34" s="281">
        <f>_xlfn.DAYS(About!$A$3,'Core Indicators'!GO34)</f>
        <v>370</v>
      </c>
      <c r="O34" s="281">
        <f>_xlfn.DAYS(About!$A$3,'Core Indicators'!GW34)</f>
        <v>370</v>
      </c>
      <c r="P34" s="281">
        <f>_xlfn.DAYS(About!$A$3,'Core Indicators'!HE34)</f>
        <v>370</v>
      </c>
      <c r="Q34" s="281">
        <f>_xlfn.DAYS(About!$A$3,'Core Indicators'!HM34)</f>
        <v>370</v>
      </c>
      <c r="R34" s="281">
        <f>_xlfn.DAYS(About!$A$3,'Core Indicators'!HU34)</f>
        <v>370</v>
      </c>
      <c r="S34" s="281">
        <f>_xlfn.DAYS(About!$A$3,'Core Indicators'!IC34)</f>
        <v>370</v>
      </c>
      <c r="T34" s="281">
        <f>_xlfn.DAYS(About!$A$3,'Core Indicators'!IK34)</f>
        <v>370</v>
      </c>
      <c r="U34" s="281">
        <f>_xlfn.DAYS(About!$A$3,'Core Indicators'!IS34)</f>
        <v>370</v>
      </c>
      <c r="V34" s="282">
        <f t="shared" si="0"/>
        <v>148.30000000000001</v>
      </c>
    </row>
    <row r="35" spans="1:22" x14ac:dyDescent="0.3">
      <c r="A35" s="280" t="str">
        <f>Lists!C:C</f>
        <v>COG004</v>
      </c>
      <c r="B35" s="281">
        <f>_xlfn.DAYS(About!$A$3,'Core Indicators'!U35)</f>
        <v>1</v>
      </c>
      <c r="C35" s="281">
        <f>_xlfn.DAYS(About!$A$3,'Core Indicators'!AC35)</f>
        <v>0</v>
      </c>
      <c r="D35" s="281">
        <f>_xlfn.DAYS(About!$A$3,'Core Indicators'!AK35)</f>
        <v>1</v>
      </c>
      <c r="E35" s="281">
        <f>_xlfn.DAYS(About!$A$3,'Core Indicators'!AS35)</f>
        <v>1</v>
      </c>
      <c r="F35" s="281">
        <f>_xlfn.DAYS(About!$A$3,'Core Indicators'!BQ35)</f>
        <v>1</v>
      </c>
      <c r="G35" s="281">
        <f>_xlfn.DAYS(About!$A$3,'Core Indicators'!DM35)</f>
        <v>1</v>
      </c>
      <c r="H35" s="281">
        <f>_xlfn.DAYS(About!$A$3,'Core Indicators'!DU35)</f>
        <v>1</v>
      </c>
      <c r="I35" s="281">
        <f>_xlfn.DAYS(About!$A$3,'Core Indicators'!EC35)</f>
        <v>1</v>
      </c>
      <c r="J35" s="281">
        <f>_xlfn.DAYS(About!$A$3,'Core Indicators'!EK35)</f>
        <v>1</v>
      </c>
      <c r="K35" s="281">
        <f>_xlfn.DAYS(About!$A$3,'Core Indicators'!ES35)</f>
        <v>1</v>
      </c>
      <c r="L35" s="281">
        <f>_xlfn.DAYS(About!$A$3,'Core Indicators'!FI35)</f>
        <v>1</v>
      </c>
      <c r="M35" s="281">
        <f>_xlfn.DAYS(About!$A$3,'Core Indicators'!GG35)</f>
        <v>1</v>
      </c>
      <c r="N35" s="281">
        <f>_xlfn.DAYS(About!$A$3,'Core Indicators'!GO35)</f>
        <v>1</v>
      </c>
      <c r="O35" s="281">
        <f>_xlfn.DAYS(About!$A$3,'Core Indicators'!GW35)</f>
        <v>1</v>
      </c>
      <c r="P35" s="281">
        <f>_xlfn.DAYS(About!$A$3,'Core Indicators'!HE35)</f>
        <v>1</v>
      </c>
      <c r="Q35" s="281">
        <f>_xlfn.DAYS(About!$A$3,'Core Indicators'!HM35)</f>
        <v>1</v>
      </c>
      <c r="R35" s="281">
        <f>_xlfn.DAYS(About!$A$3,'Core Indicators'!HU35)</f>
        <v>1</v>
      </c>
      <c r="S35" s="281">
        <f>_xlfn.DAYS(About!$A$3,'Core Indicators'!IC35)</f>
        <v>1</v>
      </c>
      <c r="T35" s="281">
        <f>_xlfn.DAYS(About!$A$3,'Core Indicators'!IK35)</f>
        <v>1</v>
      </c>
      <c r="U35" s="281">
        <f>_xlfn.DAYS(About!$A$3,'Core Indicators'!IS35)</f>
        <v>1</v>
      </c>
      <c r="V35" s="282">
        <f t="shared" si="0"/>
        <v>1</v>
      </c>
    </row>
    <row r="36" spans="1:22" x14ac:dyDescent="0.3">
      <c r="A36" s="280" t="str">
        <f>Lists!C:C</f>
        <v>CRI002</v>
      </c>
      <c r="B36" s="281">
        <f>_xlfn.DAYS(About!$A$3,'Core Indicators'!U36)</f>
        <v>273</v>
      </c>
      <c r="C36" s="281">
        <f>_xlfn.DAYS(About!$A$3,'Core Indicators'!AC36)</f>
        <v>30</v>
      </c>
      <c r="D36" s="281">
        <f>_xlfn.DAYS(About!$A$3,'Core Indicators'!AK36)</f>
        <v>30</v>
      </c>
      <c r="E36" s="281">
        <f>_xlfn.DAYS(About!$A$3,'Core Indicators'!AS36)</f>
        <v>30</v>
      </c>
      <c r="F36" s="281">
        <f>_xlfn.DAYS(About!$A$3,'Core Indicators'!BQ36)</f>
        <v>128</v>
      </c>
      <c r="G36" s="281">
        <f>_xlfn.DAYS(About!$A$3,'Core Indicators'!DM36)</f>
        <v>30</v>
      </c>
      <c r="H36" s="281">
        <f>_xlfn.DAYS(About!$A$3,'Core Indicators'!DU36)</f>
        <v>30</v>
      </c>
      <c r="I36" s="281">
        <f>_xlfn.DAYS(About!$A$3,'Core Indicators'!EC36)</f>
        <v>30</v>
      </c>
      <c r="J36" s="281">
        <f>_xlfn.DAYS(About!$A$3,'Core Indicators'!EK36)</f>
        <v>30</v>
      </c>
      <c r="K36" s="281">
        <f>_xlfn.DAYS(About!$A$3,'Core Indicators'!ES36)</f>
        <v>30</v>
      </c>
      <c r="L36" s="281">
        <f>_xlfn.DAYS(About!$A$3,'Core Indicators'!FI36)</f>
        <v>574</v>
      </c>
      <c r="M36" s="281">
        <f>_xlfn.DAYS(About!$A$3,'Core Indicators'!GG36)</f>
        <v>371</v>
      </c>
      <c r="N36" s="281">
        <f>_xlfn.DAYS(About!$A$3,'Core Indicators'!GO36)</f>
        <v>371</v>
      </c>
      <c r="O36" s="281">
        <f>_xlfn.DAYS(About!$A$3,'Core Indicators'!GW36)</f>
        <v>371</v>
      </c>
      <c r="P36" s="281">
        <f>_xlfn.DAYS(About!$A$3,'Core Indicators'!HE36)</f>
        <v>371</v>
      </c>
      <c r="Q36" s="281">
        <f>_xlfn.DAYS(About!$A$3,'Core Indicators'!HM36)</f>
        <v>371</v>
      </c>
      <c r="R36" s="281">
        <f>_xlfn.DAYS(About!$A$3,'Core Indicators'!HU36)</f>
        <v>371</v>
      </c>
      <c r="S36" s="281">
        <f>_xlfn.DAYS(About!$A$3,'Core Indicators'!IC36)</f>
        <v>371</v>
      </c>
      <c r="T36" s="281">
        <f>_xlfn.DAYS(About!$A$3,'Core Indicators'!IK36)</f>
        <v>371</v>
      </c>
      <c r="U36" s="281">
        <f>_xlfn.DAYS(About!$A$3,'Core Indicators'!IS36)</f>
        <v>371</v>
      </c>
      <c r="V36" s="282">
        <f t="shared" si="0"/>
        <v>128.30000000000001</v>
      </c>
    </row>
    <row r="37" spans="1:22" x14ac:dyDescent="0.3">
      <c r="A37" s="280" t="str">
        <f>Lists!C:C</f>
        <v>DJI001</v>
      </c>
      <c r="B37" s="281">
        <f>_xlfn.DAYS(About!$A$3,'Core Indicators'!U37)</f>
        <v>29</v>
      </c>
      <c r="C37" s="281">
        <f>_xlfn.DAYS(About!$A$3,'Core Indicators'!AC37)</f>
        <v>324</v>
      </c>
      <c r="D37" s="281">
        <f>_xlfn.DAYS(About!$A$3,'Core Indicators'!AK37)</f>
        <v>76</v>
      </c>
      <c r="E37" s="281">
        <f>_xlfn.DAYS(About!$A$3,'Core Indicators'!AS37)</f>
        <v>324</v>
      </c>
      <c r="F37" s="281">
        <f>_xlfn.DAYS(About!$A$3,'Core Indicators'!BQ37)</f>
        <v>0</v>
      </c>
      <c r="G37" s="281">
        <f>_xlfn.DAYS(About!$A$3,'Core Indicators'!DM37)</f>
        <v>20</v>
      </c>
      <c r="H37" s="281">
        <f>_xlfn.DAYS(About!$A$3,'Core Indicators'!DU37)</f>
        <v>29</v>
      </c>
      <c r="I37" s="281">
        <f>_xlfn.DAYS(About!$A$3,'Core Indicators'!EC37)</f>
        <v>29</v>
      </c>
      <c r="J37" s="281">
        <f>_xlfn.DAYS(About!$A$3,'Core Indicators'!EK37)</f>
        <v>29</v>
      </c>
      <c r="K37" s="281">
        <f>_xlfn.DAYS(About!$A$3,'Core Indicators'!ES37)</f>
        <v>29</v>
      </c>
      <c r="L37" s="281">
        <f>_xlfn.DAYS(About!$A$3,'Core Indicators'!FI37)</f>
        <v>324</v>
      </c>
      <c r="M37" s="281">
        <f>_xlfn.DAYS(About!$A$3,'Core Indicators'!GG37)</f>
        <v>324</v>
      </c>
      <c r="N37" s="281">
        <f>_xlfn.DAYS(About!$A$3,'Core Indicators'!GO37)</f>
        <v>324</v>
      </c>
      <c r="O37" s="281">
        <f>_xlfn.DAYS(About!$A$3,'Core Indicators'!GW37)</f>
        <v>324</v>
      </c>
      <c r="P37" s="281">
        <f>_xlfn.DAYS(About!$A$3,'Core Indicators'!HE37)</f>
        <v>324</v>
      </c>
      <c r="Q37" s="281">
        <f>_xlfn.DAYS(About!$A$3,'Core Indicators'!HM37)</f>
        <v>324</v>
      </c>
      <c r="R37" s="281">
        <f>_xlfn.DAYS(About!$A$3,'Core Indicators'!HU37)</f>
        <v>324</v>
      </c>
      <c r="S37" s="281">
        <f>_xlfn.DAYS(About!$A$3,'Core Indicators'!IC37)</f>
        <v>324</v>
      </c>
      <c r="T37" s="281">
        <f>_xlfn.DAYS(About!$A$3,'Core Indicators'!IK37)</f>
        <v>324</v>
      </c>
      <c r="U37" s="281">
        <f>_xlfn.DAYS(About!$A$3,'Core Indicators'!IS37)</f>
        <v>324</v>
      </c>
      <c r="V37" s="282">
        <f t="shared" si="0"/>
        <v>118.4</v>
      </c>
    </row>
    <row r="38" spans="1:22" x14ac:dyDescent="0.3">
      <c r="A38" s="280" t="str">
        <f>Lists!C:C</f>
        <v>DJI002</v>
      </c>
      <c r="B38" s="281">
        <f>_xlfn.DAYS(About!$A$3,'Core Indicators'!U38)</f>
        <v>29</v>
      </c>
      <c r="C38" s="281">
        <f>_xlfn.DAYS(About!$A$3,'Core Indicators'!AC38)</f>
        <v>342</v>
      </c>
      <c r="D38" s="281">
        <f>_xlfn.DAYS(About!$A$3,'Core Indicators'!AK38)</f>
        <v>342</v>
      </c>
      <c r="E38" s="281">
        <f>_xlfn.DAYS(About!$A$3,'Core Indicators'!AS38)</f>
        <v>342</v>
      </c>
      <c r="F38" s="281">
        <f>_xlfn.DAYS(About!$A$3,'Core Indicators'!BQ38)</f>
        <v>324</v>
      </c>
      <c r="G38" s="281">
        <f>_xlfn.DAYS(About!$A$3,'Core Indicators'!DM38)</f>
        <v>465</v>
      </c>
      <c r="H38" s="281">
        <f>_xlfn.DAYS(About!$A$3,'Core Indicators'!DU38)</f>
        <v>555</v>
      </c>
      <c r="I38" s="281">
        <f>_xlfn.DAYS(About!$A$3,'Core Indicators'!EC38)</f>
        <v>342</v>
      </c>
      <c r="J38" s="281">
        <f>_xlfn.DAYS(About!$A$3,'Core Indicators'!EK38)</f>
        <v>465</v>
      </c>
      <c r="K38" s="281">
        <f>_xlfn.DAYS(About!$A$3,'Core Indicators'!ES38)</f>
        <v>630</v>
      </c>
      <c r="L38" s="281">
        <f>_xlfn.DAYS(About!$A$3,'Core Indicators'!FI38)</f>
        <v>630</v>
      </c>
      <c r="M38" s="281">
        <f>_xlfn.DAYS(About!$A$3,'Core Indicators'!GG38)</f>
        <v>370</v>
      </c>
      <c r="N38" s="281">
        <f>_xlfn.DAYS(About!$A$3,'Core Indicators'!GO38)</f>
        <v>370</v>
      </c>
      <c r="O38" s="281">
        <f>_xlfn.DAYS(About!$A$3,'Core Indicators'!GW38)</f>
        <v>370</v>
      </c>
      <c r="P38" s="281">
        <f>_xlfn.DAYS(About!$A$3,'Core Indicators'!HE38)</f>
        <v>370</v>
      </c>
      <c r="Q38" s="281">
        <f>_xlfn.DAYS(About!$A$3,'Core Indicators'!HM38)</f>
        <v>370</v>
      </c>
      <c r="R38" s="281">
        <f>_xlfn.DAYS(About!$A$3,'Core Indicators'!HU38)</f>
        <v>370</v>
      </c>
      <c r="S38" s="281">
        <f>_xlfn.DAYS(About!$A$3,'Core Indicators'!IC38)</f>
        <v>370</v>
      </c>
      <c r="T38" s="281">
        <f>_xlfn.DAYS(About!$A$3,'Core Indicators'!IK38)</f>
        <v>370</v>
      </c>
      <c r="U38" s="281">
        <f>_xlfn.DAYS(About!$A$3,'Core Indicators'!IS38)</f>
        <v>370</v>
      </c>
      <c r="V38" s="282">
        <f t="shared" si="0"/>
        <v>446.5</v>
      </c>
    </row>
    <row r="39" spans="1:22" x14ac:dyDescent="0.3">
      <c r="A39" s="280" t="str">
        <f>Lists!C:C</f>
        <v>DJI003</v>
      </c>
      <c r="B39" s="281">
        <f>_xlfn.DAYS(About!$A$3,'Core Indicators'!U39)</f>
        <v>29</v>
      </c>
      <c r="C39" s="281">
        <f>_xlfn.DAYS(About!$A$3,'Core Indicators'!AC39)</f>
        <v>29</v>
      </c>
      <c r="D39" s="281">
        <f>_xlfn.DAYS(About!$A$3,'Core Indicators'!AK39)</f>
        <v>342</v>
      </c>
      <c r="E39" s="281">
        <f>_xlfn.DAYS(About!$A$3,'Core Indicators'!AS39)</f>
        <v>589</v>
      </c>
      <c r="F39" s="281">
        <f>_xlfn.DAYS(About!$A$3,'Core Indicators'!BQ39)</f>
        <v>324</v>
      </c>
      <c r="G39" s="281">
        <f>_xlfn.DAYS(About!$A$3,'Core Indicators'!DM39)</f>
        <v>29</v>
      </c>
      <c r="H39" s="281">
        <f>_xlfn.DAYS(About!$A$3,'Core Indicators'!DU39)</f>
        <v>29</v>
      </c>
      <c r="I39" s="281">
        <f>_xlfn.DAYS(About!$A$3,'Core Indicators'!EC39)</f>
        <v>29</v>
      </c>
      <c r="J39" s="281">
        <f>_xlfn.DAYS(About!$A$3,'Core Indicators'!EK39)</f>
        <v>29</v>
      </c>
      <c r="K39" s="281">
        <f>_xlfn.DAYS(About!$A$3,'Core Indicators'!ES39)</f>
        <v>29</v>
      </c>
      <c r="L39" s="281">
        <f>_xlfn.DAYS(About!$A$3,'Core Indicators'!FI39)</f>
        <v>528</v>
      </c>
      <c r="M39" s="281">
        <f>_xlfn.DAYS(About!$A$3,'Core Indicators'!GG39)</f>
        <v>370</v>
      </c>
      <c r="N39" s="281">
        <f>_xlfn.DAYS(About!$A$3,'Core Indicators'!GO39)</f>
        <v>370</v>
      </c>
      <c r="O39" s="281">
        <f>_xlfn.DAYS(About!$A$3,'Core Indicators'!GW39)</f>
        <v>370</v>
      </c>
      <c r="P39" s="281">
        <f>_xlfn.DAYS(About!$A$3,'Core Indicators'!HE39)</f>
        <v>370</v>
      </c>
      <c r="Q39" s="281">
        <f>_xlfn.DAYS(About!$A$3,'Core Indicators'!HM39)</f>
        <v>370</v>
      </c>
      <c r="R39" s="281">
        <f>_xlfn.DAYS(About!$A$3,'Core Indicators'!HU39)</f>
        <v>370</v>
      </c>
      <c r="S39" s="281">
        <f>_xlfn.DAYS(About!$A$3,'Core Indicators'!IC39)</f>
        <v>370</v>
      </c>
      <c r="T39" s="281">
        <f>_xlfn.DAYS(About!$A$3,'Core Indicators'!IK39)</f>
        <v>370</v>
      </c>
      <c r="U39" s="281">
        <f>_xlfn.DAYS(About!$A$3,'Core Indicators'!IS39)</f>
        <v>370</v>
      </c>
      <c r="V39" s="282">
        <f t="shared" si="0"/>
        <v>229.8</v>
      </c>
    </row>
    <row r="40" spans="1:22" x14ac:dyDescent="0.3">
      <c r="A40" s="280" t="str">
        <f>Lists!C:C</f>
        <v>PRK001</v>
      </c>
      <c r="B40" s="281">
        <f>_xlfn.DAYS(About!$A$3,'Core Indicators'!U40)</f>
        <v>647</v>
      </c>
      <c r="C40" s="281">
        <f>_xlfn.DAYS(About!$A$3,'Core Indicators'!AC40)</f>
        <v>351</v>
      </c>
      <c r="D40" s="281">
        <f>_xlfn.DAYS(About!$A$3,'Core Indicators'!AK40)</f>
        <v>351</v>
      </c>
      <c r="E40" s="281">
        <f>_xlfn.DAYS(About!$A$3,'Core Indicators'!AS40)</f>
        <v>370</v>
      </c>
      <c r="F40" s="281">
        <f>_xlfn.DAYS(About!$A$3,'Core Indicators'!BQ40)</f>
        <v>647</v>
      </c>
      <c r="G40" s="281">
        <f>_xlfn.DAYS(About!$A$3,'Core Indicators'!DM40)</f>
        <v>220</v>
      </c>
      <c r="H40" s="281">
        <f>_xlfn.DAYS(About!$A$3,'Core Indicators'!DU40)</f>
        <v>220</v>
      </c>
      <c r="I40" s="281">
        <f>_xlfn.DAYS(About!$A$3,'Core Indicators'!EC40)</f>
        <v>220</v>
      </c>
      <c r="J40" s="281">
        <f>_xlfn.DAYS(About!$A$3,'Core Indicators'!EK40)</f>
        <v>220</v>
      </c>
      <c r="K40" s="281">
        <f>_xlfn.DAYS(About!$A$3,'Core Indicators'!ES40)</f>
        <v>220</v>
      </c>
      <c r="L40" s="281">
        <f>_xlfn.DAYS(About!$A$3,'Core Indicators'!FI40)</f>
        <v>647</v>
      </c>
      <c r="M40" s="281">
        <f>_xlfn.DAYS(About!$A$3,'Core Indicators'!GG40)</f>
        <v>370</v>
      </c>
      <c r="N40" s="281">
        <f>_xlfn.DAYS(About!$A$3,'Core Indicators'!GO40)</f>
        <v>370</v>
      </c>
      <c r="O40" s="281">
        <f>_xlfn.DAYS(About!$A$3,'Core Indicators'!GW40)</f>
        <v>370</v>
      </c>
      <c r="P40" s="281">
        <f>_xlfn.DAYS(About!$A$3,'Core Indicators'!HE40)</f>
        <v>370</v>
      </c>
      <c r="Q40" s="281">
        <f>_xlfn.DAYS(About!$A$3,'Core Indicators'!HM40)</f>
        <v>370</v>
      </c>
      <c r="R40" s="281">
        <f>_xlfn.DAYS(About!$A$3,'Core Indicators'!HU40)</f>
        <v>370</v>
      </c>
      <c r="S40" s="281">
        <f>_xlfn.DAYS(About!$A$3,'Core Indicators'!IC40)</f>
        <v>370</v>
      </c>
      <c r="T40" s="281">
        <f>_xlfn.DAYS(About!$A$3,'Core Indicators'!IK40)</f>
        <v>370</v>
      </c>
      <c r="U40" s="281">
        <f>_xlfn.DAYS(About!$A$3,'Core Indicators'!IS40)</f>
        <v>370</v>
      </c>
      <c r="V40" s="282">
        <f t="shared" si="0"/>
        <v>348.5</v>
      </c>
    </row>
    <row r="41" spans="1:22" x14ac:dyDescent="0.3">
      <c r="A41" s="280" t="str">
        <f>Lists!C:C</f>
        <v>COD001</v>
      </c>
      <c r="B41" s="281">
        <f>_xlfn.DAYS(About!$A$3,'Core Indicators'!U41)</f>
        <v>31</v>
      </c>
      <c r="C41" s="281">
        <f>_xlfn.DAYS(About!$A$3,'Core Indicators'!AC41)</f>
        <v>98</v>
      </c>
      <c r="D41" s="281">
        <f>_xlfn.DAYS(About!$A$3,'Core Indicators'!AK41)</f>
        <v>370</v>
      </c>
      <c r="E41" s="281">
        <f>_xlfn.DAYS(About!$A$3,'Core Indicators'!AS41)</f>
        <v>1</v>
      </c>
      <c r="F41" s="281">
        <f>_xlfn.DAYS(About!$A$3,'Core Indicators'!BQ41)</f>
        <v>1</v>
      </c>
      <c r="G41" s="281">
        <f>_xlfn.DAYS(About!$A$3,'Core Indicators'!DM41)</f>
        <v>21</v>
      </c>
      <c r="H41" s="281">
        <f>_xlfn.DAYS(About!$A$3,'Core Indicators'!DU41)</f>
        <v>21</v>
      </c>
      <c r="I41" s="281">
        <f>_xlfn.DAYS(About!$A$3,'Core Indicators'!EC41)</f>
        <v>21</v>
      </c>
      <c r="J41" s="281">
        <f>_xlfn.DAYS(About!$A$3,'Core Indicators'!EK41)</f>
        <v>21</v>
      </c>
      <c r="K41" s="281">
        <f>_xlfn.DAYS(About!$A$3,'Core Indicators'!ES41)</f>
        <v>21</v>
      </c>
      <c r="L41" s="281">
        <f>_xlfn.DAYS(About!$A$3,'Core Indicators'!FI41)</f>
        <v>631</v>
      </c>
      <c r="M41" s="281">
        <f>_xlfn.DAYS(About!$A$3,'Core Indicators'!GG41)</f>
        <v>1</v>
      </c>
      <c r="N41" s="281">
        <f>_xlfn.DAYS(About!$A$3,'Core Indicators'!GO41)</f>
        <v>1</v>
      </c>
      <c r="O41" s="281">
        <f>_xlfn.DAYS(About!$A$3,'Core Indicators'!GW41)</f>
        <v>1</v>
      </c>
      <c r="P41" s="281">
        <f>_xlfn.DAYS(About!$A$3,'Core Indicators'!HE41)</f>
        <v>1</v>
      </c>
      <c r="Q41" s="281">
        <f>_xlfn.DAYS(About!$A$3,'Core Indicators'!HM41)</f>
        <v>1</v>
      </c>
      <c r="R41" s="281">
        <f>_xlfn.DAYS(About!$A$3,'Core Indicators'!HU41)</f>
        <v>1</v>
      </c>
      <c r="S41" s="281">
        <f>_xlfn.DAYS(About!$A$3,'Core Indicators'!IC41)</f>
        <v>1</v>
      </c>
      <c r="T41" s="281">
        <f>_xlfn.DAYS(About!$A$3,'Core Indicators'!IK41)</f>
        <v>1</v>
      </c>
      <c r="U41" s="281">
        <f>_xlfn.DAYS(About!$A$3,'Core Indicators'!IS41)</f>
        <v>1</v>
      </c>
      <c r="V41" s="282">
        <f t="shared" si="0"/>
        <v>110.9</v>
      </c>
    </row>
    <row r="42" spans="1:22" x14ac:dyDescent="0.3">
      <c r="A42" s="280" t="str">
        <f>Lists!C:C</f>
        <v>COD003</v>
      </c>
      <c r="B42" s="281">
        <f>_xlfn.DAYS(About!$A$3,'Core Indicators'!U42)</f>
        <v>129</v>
      </c>
      <c r="C42" s="281">
        <f>_xlfn.DAYS(About!$A$3,'Core Indicators'!AC42)</f>
        <v>129</v>
      </c>
      <c r="D42" s="281">
        <f>_xlfn.DAYS(About!$A$3,'Core Indicators'!AK42)</f>
        <v>129</v>
      </c>
      <c r="E42" s="281">
        <f>_xlfn.DAYS(About!$A$3,'Core Indicators'!AS42)</f>
        <v>129</v>
      </c>
      <c r="F42" s="281">
        <f>_xlfn.DAYS(About!$A$3,'Core Indicators'!BQ42)</f>
        <v>129</v>
      </c>
      <c r="G42" s="281">
        <f>_xlfn.DAYS(About!$A$3,'Core Indicators'!DM42)</f>
        <v>129</v>
      </c>
      <c r="H42" s="281">
        <f>_xlfn.DAYS(About!$A$3,'Core Indicators'!DU42)</f>
        <v>129</v>
      </c>
      <c r="I42" s="281">
        <f>_xlfn.DAYS(About!$A$3,'Core Indicators'!EC42)</f>
        <v>129</v>
      </c>
      <c r="J42" s="281">
        <f>_xlfn.DAYS(About!$A$3,'Core Indicators'!EK42)</f>
        <v>129</v>
      </c>
      <c r="K42" s="281">
        <f>_xlfn.DAYS(About!$A$3,'Core Indicators'!ES42)</f>
        <v>129</v>
      </c>
      <c r="L42" s="281">
        <f>_xlfn.DAYS(About!$A$3,'Core Indicators'!FI42)</f>
        <v>129</v>
      </c>
      <c r="M42" s="281">
        <f>_xlfn.DAYS(About!$A$3,'Core Indicators'!GG42)</f>
        <v>1</v>
      </c>
      <c r="N42" s="281">
        <f>_xlfn.DAYS(About!$A$3,'Core Indicators'!GO42)</f>
        <v>1</v>
      </c>
      <c r="O42" s="281">
        <f>_xlfn.DAYS(About!$A$3,'Core Indicators'!GW42)</f>
        <v>1</v>
      </c>
      <c r="P42" s="281">
        <f>_xlfn.DAYS(About!$A$3,'Core Indicators'!HE42)</f>
        <v>1</v>
      </c>
      <c r="Q42" s="281">
        <f>_xlfn.DAYS(About!$A$3,'Core Indicators'!HM42)</f>
        <v>1</v>
      </c>
      <c r="R42" s="281">
        <f>_xlfn.DAYS(About!$A$3,'Core Indicators'!HU42)</f>
        <v>1</v>
      </c>
      <c r="S42" s="281">
        <f>_xlfn.DAYS(About!$A$3,'Core Indicators'!IC42)</f>
        <v>1</v>
      </c>
      <c r="T42" s="281">
        <f>_xlfn.DAYS(About!$A$3,'Core Indicators'!IK42)</f>
        <v>1</v>
      </c>
      <c r="U42" s="281">
        <f>_xlfn.DAYS(About!$A$3,'Core Indicators'!IS42)</f>
        <v>1</v>
      </c>
      <c r="V42" s="282">
        <f t="shared" si="0"/>
        <v>116.2</v>
      </c>
    </row>
    <row r="43" spans="1:22" x14ac:dyDescent="0.3">
      <c r="A43" s="280" t="str">
        <f>Lists!C:C</f>
        <v>ECU002</v>
      </c>
      <c r="B43" s="281">
        <f>_xlfn.DAYS(About!$A$3,'Core Indicators'!U43)</f>
        <v>273</v>
      </c>
      <c r="C43" s="281">
        <f>_xlfn.DAYS(About!$A$3,'Core Indicators'!AC43)</f>
        <v>273</v>
      </c>
      <c r="D43" s="281">
        <f>_xlfn.DAYS(About!$A$3,'Core Indicators'!AK43)</f>
        <v>30</v>
      </c>
      <c r="E43" s="281">
        <f>_xlfn.DAYS(About!$A$3,'Core Indicators'!AS43)</f>
        <v>30</v>
      </c>
      <c r="F43" s="281">
        <f>_xlfn.DAYS(About!$A$3,'Core Indicators'!BQ43)</f>
        <v>128</v>
      </c>
      <c r="G43" s="281">
        <f>_xlfn.DAYS(About!$A$3,'Core Indicators'!DM43)</f>
        <v>30</v>
      </c>
      <c r="H43" s="281">
        <f>_xlfn.DAYS(About!$A$3,'Core Indicators'!DU43)</f>
        <v>30</v>
      </c>
      <c r="I43" s="281">
        <f>_xlfn.DAYS(About!$A$3,'Core Indicators'!EC43)</f>
        <v>30</v>
      </c>
      <c r="J43" s="281">
        <f>_xlfn.DAYS(About!$A$3,'Core Indicators'!EK43)</f>
        <v>30</v>
      </c>
      <c r="K43" s="281">
        <f>_xlfn.DAYS(About!$A$3,'Core Indicators'!ES43)</f>
        <v>30</v>
      </c>
      <c r="L43" s="281">
        <f>_xlfn.DAYS(About!$A$3,'Core Indicators'!FI43)</f>
        <v>630</v>
      </c>
      <c r="M43" s="281">
        <f>_xlfn.DAYS(About!$A$3,'Core Indicators'!GG43)</f>
        <v>370</v>
      </c>
      <c r="N43" s="281">
        <f>_xlfn.DAYS(About!$A$3,'Core Indicators'!GO43)</f>
        <v>370</v>
      </c>
      <c r="O43" s="281">
        <f>_xlfn.DAYS(About!$A$3,'Core Indicators'!GW43)</f>
        <v>370</v>
      </c>
      <c r="P43" s="281">
        <f>_xlfn.DAYS(About!$A$3,'Core Indicators'!HE43)</f>
        <v>370</v>
      </c>
      <c r="Q43" s="281">
        <f>_xlfn.DAYS(About!$A$3,'Core Indicators'!HM43)</f>
        <v>370</v>
      </c>
      <c r="R43" s="281">
        <f>_xlfn.DAYS(About!$A$3,'Core Indicators'!HU43)</f>
        <v>370</v>
      </c>
      <c r="S43" s="281">
        <f>_xlfn.DAYS(About!$A$3,'Core Indicators'!IC43)</f>
        <v>370</v>
      </c>
      <c r="T43" s="281">
        <f>_xlfn.DAYS(About!$A$3,'Core Indicators'!IK43)</f>
        <v>370</v>
      </c>
      <c r="U43" s="281">
        <f>_xlfn.DAYS(About!$A$3,'Core Indicators'!IS43)</f>
        <v>370</v>
      </c>
      <c r="V43" s="282">
        <f t="shared" si="0"/>
        <v>133.80000000000001</v>
      </c>
    </row>
    <row r="44" spans="1:22" x14ac:dyDescent="0.3">
      <c r="A44" s="280" t="str">
        <f>Lists!C:C</f>
        <v>EGY002</v>
      </c>
      <c r="B44" s="281">
        <f>_xlfn.DAYS(About!$A$3,'Core Indicators'!U44)</f>
        <v>190</v>
      </c>
      <c r="C44" s="281">
        <f>_xlfn.DAYS(About!$A$3,'Core Indicators'!AC44)</f>
        <v>148</v>
      </c>
      <c r="D44" s="281">
        <f>_xlfn.DAYS(About!$A$3,'Core Indicators'!AK44)</f>
        <v>148</v>
      </c>
      <c r="E44" s="281">
        <f>_xlfn.DAYS(About!$A$3,'Core Indicators'!AS44)</f>
        <v>148</v>
      </c>
      <c r="F44" s="281">
        <f>_xlfn.DAYS(About!$A$3,'Core Indicators'!BQ44)</f>
        <v>76</v>
      </c>
      <c r="G44" s="281">
        <f>_xlfn.DAYS(About!$A$3,'Core Indicators'!DM44)</f>
        <v>148</v>
      </c>
      <c r="H44" s="281">
        <f>_xlfn.DAYS(About!$A$3,'Core Indicators'!DU44)</f>
        <v>148</v>
      </c>
      <c r="I44" s="281">
        <f>_xlfn.DAYS(About!$A$3,'Core Indicators'!EC44)</f>
        <v>148</v>
      </c>
      <c r="J44" s="281">
        <f>_xlfn.DAYS(About!$A$3,'Core Indicators'!EK44)</f>
        <v>148</v>
      </c>
      <c r="K44" s="281">
        <f>_xlfn.DAYS(About!$A$3,'Core Indicators'!ES44)</f>
        <v>190</v>
      </c>
      <c r="L44" s="281">
        <f>_xlfn.DAYS(About!$A$3,'Core Indicators'!FI44)</f>
        <v>633</v>
      </c>
      <c r="M44" s="281">
        <f>_xlfn.DAYS(About!$A$3,'Core Indicators'!GG44)</f>
        <v>370</v>
      </c>
      <c r="N44" s="281">
        <f>_xlfn.DAYS(About!$A$3,'Core Indicators'!GO44)</f>
        <v>370</v>
      </c>
      <c r="O44" s="281">
        <f>_xlfn.DAYS(About!$A$3,'Core Indicators'!GW44)</f>
        <v>370</v>
      </c>
      <c r="P44" s="281">
        <f>_xlfn.DAYS(About!$A$3,'Core Indicators'!HE44)</f>
        <v>370</v>
      </c>
      <c r="Q44" s="281">
        <f>_xlfn.DAYS(About!$A$3,'Core Indicators'!HM44)</f>
        <v>370</v>
      </c>
      <c r="R44" s="281">
        <f>_xlfn.DAYS(About!$A$3,'Core Indicators'!HU44)</f>
        <v>370</v>
      </c>
      <c r="S44" s="281">
        <f>_xlfn.DAYS(About!$A$3,'Core Indicators'!IC44)</f>
        <v>370</v>
      </c>
      <c r="T44" s="281">
        <f>_xlfn.DAYS(About!$A$3,'Core Indicators'!IK44)</f>
        <v>370</v>
      </c>
      <c r="U44" s="281">
        <f>_xlfn.DAYS(About!$A$3,'Core Indicators'!IS44)</f>
        <v>370</v>
      </c>
      <c r="V44" s="282">
        <f t="shared" si="0"/>
        <v>215.7</v>
      </c>
    </row>
    <row r="45" spans="1:22" x14ac:dyDescent="0.3">
      <c r="A45" s="280" t="str">
        <f>Lists!C:C</f>
        <v>SLV001</v>
      </c>
      <c r="B45" s="281">
        <f>_xlfn.DAYS(About!$A$3,'Core Indicators'!U45)</f>
        <v>29</v>
      </c>
      <c r="C45" s="281">
        <f>_xlfn.DAYS(About!$A$3,'Core Indicators'!AC45)</f>
        <v>30</v>
      </c>
      <c r="D45" s="281">
        <f>_xlfn.DAYS(About!$A$3,'Core Indicators'!AK45)</f>
        <v>30</v>
      </c>
      <c r="E45" s="281">
        <f>_xlfn.DAYS(About!$A$3,'Core Indicators'!AS45)</f>
        <v>30</v>
      </c>
      <c r="F45" s="281">
        <f>_xlfn.DAYS(About!$A$3,'Core Indicators'!BQ45)</f>
        <v>30</v>
      </c>
      <c r="G45" s="281">
        <f>_xlfn.DAYS(About!$A$3,'Core Indicators'!DM45)</f>
        <v>30</v>
      </c>
      <c r="H45" s="281">
        <f>_xlfn.DAYS(About!$A$3,'Core Indicators'!DU45)</f>
        <v>30</v>
      </c>
      <c r="I45" s="281">
        <f>_xlfn.DAYS(About!$A$3,'Core Indicators'!EC45)</f>
        <v>30</v>
      </c>
      <c r="J45" s="281">
        <f>_xlfn.DAYS(About!$A$3,'Core Indicators'!EK45)</f>
        <v>30</v>
      </c>
      <c r="K45" s="281">
        <f>_xlfn.DAYS(About!$A$3,'Core Indicators'!ES45)</f>
        <v>30</v>
      </c>
      <c r="L45" s="281">
        <f>_xlfn.DAYS(About!$A$3,'Core Indicators'!FI45)</f>
        <v>631</v>
      </c>
      <c r="M45" s="281">
        <f>_xlfn.DAYS(About!$A$3,'Core Indicators'!GG45)</f>
        <v>371</v>
      </c>
      <c r="N45" s="281">
        <f>_xlfn.DAYS(About!$A$3,'Core Indicators'!GO45)</f>
        <v>371</v>
      </c>
      <c r="O45" s="281">
        <f>_xlfn.DAYS(About!$A$3,'Core Indicators'!GW45)</f>
        <v>371</v>
      </c>
      <c r="P45" s="281">
        <f>_xlfn.DAYS(About!$A$3,'Core Indicators'!HE45)</f>
        <v>371</v>
      </c>
      <c r="Q45" s="281">
        <f>_xlfn.DAYS(About!$A$3,'Core Indicators'!HM45)</f>
        <v>371</v>
      </c>
      <c r="R45" s="281">
        <f>_xlfn.DAYS(About!$A$3,'Core Indicators'!HU45)</f>
        <v>371</v>
      </c>
      <c r="S45" s="281">
        <f>_xlfn.DAYS(About!$A$3,'Core Indicators'!IC45)</f>
        <v>371</v>
      </c>
      <c r="T45" s="281">
        <f>_xlfn.DAYS(About!$A$3,'Core Indicators'!IK45)</f>
        <v>371</v>
      </c>
      <c r="U45" s="281">
        <f>_xlfn.DAYS(About!$A$3,'Core Indicators'!IS45)</f>
        <v>371</v>
      </c>
      <c r="V45" s="282">
        <f t="shared" si="0"/>
        <v>124.2</v>
      </c>
    </row>
    <row r="46" spans="1:22" x14ac:dyDescent="0.3">
      <c r="A46" s="280" t="str">
        <f>Lists!C:C</f>
        <v>ERI001</v>
      </c>
      <c r="B46" s="281">
        <f>_xlfn.DAYS(About!$A$3,'Core Indicators'!U46)</f>
        <v>29</v>
      </c>
      <c r="C46" s="281">
        <f>_xlfn.DAYS(About!$A$3,'Core Indicators'!AC46)</f>
        <v>350</v>
      </c>
      <c r="D46" s="281">
        <f>_xlfn.DAYS(About!$A$3,'Core Indicators'!AK46)</f>
        <v>350</v>
      </c>
      <c r="E46" s="281">
        <f>_xlfn.DAYS(About!$A$3,'Core Indicators'!AS46)</f>
        <v>350</v>
      </c>
      <c r="F46" s="281">
        <f>_xlfn.DAYS(About!$A$3,'Core Indicators'!BQ46)</f>
        <v>0</v>
      </c>
      <c r="G46" s="281">
        <f>_xlfn.DAYS(About!$A$3,'Core Indicators'!DM46)</f>
        <v>350</v>
      </c>
      <c r="H46" s="281">
        <f>_xlfn.DAYS(About!$A$3,'Core Indicators'!DU46)</f>
        <v>542</v>
      </c>
      <c r="I46" s="281">
        <f>_xlfn.DAYS(About!$A$3,'Core Indicators'!EC46)</f>
        <v>350</v>
      </c>
      <c r="J46" s="281">
        <f>_xlfn.DAYS(About!$A$3,'Core Indicators'!EK46)</f>
        <v>542</v>
      </c>
      <c r="K46" s="281">
        <f>_xlfn.DAYS(About!$A$3,'Core Indicators'!ES46)</f>
        <v>542</v>
      </c>
      <c r="L46" s="281">
        <f>_xlfn.DAYS(About!$A$3,'Core Indicators'!FI46)</f>
        <v>631</v>
      </c>
      <c r="M46" s="281">
        <f>_xlfn.DAYS(About!$A$3,'Core Indicators'!GG46)</f>
        <v>370</v>
      </c>
      <c r="N46" s="281">
        <f>_xlfn.DAYS(About!$A$3,'Core Indicators'!GO46)</f>
        <v>370</v>
      </c>
      <c r="O46" s="281">
        <f>_xlfn.DAYS(About!$A$3,'Core Indicators'!GW46)</f>
        <v>370</v>
      </c>
      <c r="P46" s="281">
        <f>_xlfn.DAYS(About!$A$3,'Core Indicators'!HE46)</f>
        <v>370</v>
      </c>
      <c r="Q46" s="281">
        <f>_xlfn.DAYS(About!$A$3,'Core Indicators'!HM46)</f>
        <v>370</v>
      </c>
      <c r="R46" s="281">
        <f>_xlfn.DAYS(About!$A$3,'Core Indicators'!HU46)</f>
        <v>370</v>
      </c>
      <c r="S46" s="281">
        <f>_xlfn.DAYS(About!$A$3,'Core Indicators'!IC46)</f>
        <v>370</v>
      </c>
      <c r="T46" s="281">
        <f>_xlfn.DAYS(About!$A$3,'Core Indicators'!IK46)</f>
        <v>370</v>
      </c>
      <c r="U46" s="281">
        <f>_xlfn.DAYS(About!$A$3,'Core Indicators'!IS46)</f>
        <v>370</v>
      </c>
      <c r="V46" s="282">
        <f t="shared" si="0"/>
        <v>402.7</v>
      </c>
    </row>
    <row r="47" spans="1:22" x14ac:dyDescent="0.3">
      <c r="A47" s="280" t="str">
        <f>Lists!C:C</f>
        <v>SWZ001</v>
      </c>
      <c r="B47" s="281">
        <f>_xlfn.DAYS(About!$A$3,'Core Indicators'!U47)</f>
        <v>30</v>
      </c>
      <c r="C47" s="281">
        <f>_xlfn.DAYS(About!$A$3,'Core Indicators'!AC47)</f>
        <v>6</v>
      </c>
      <c r="D47" s="281">
        <f>_xlfn.DAYS(About!$A$3,'Core Indicators'!AK47)</f>
        <v>6</v>
      </c>
      <c r="E47" s="281">
        <f>_xlfn.DAYS(About!$A$3,'Core Indicators'!AS47)</f>
        <v>266</v>
      </c>
      <c r="F47" s="281">
        <f>_xlfn.DAYS(About!$A$3,'Core Indicators'!BQ47)</f>
        <v>6</v>
      </c>
      <c r="G47" s="281">
        <f>_xlfn.DAYS(About!$A$3,'Core Indicators'!DM47)</f>
        <v>6</v>
      </c>
      <c r="H47" s="281">
        <f>_xlfn.DAYS(About!$A$3,'Core Indicators'!DU47)</f>
        <v>6</v>
      </c>
      <c r="I47" s="281">
        <f>_xlfn.DAYS(About!$A$3,'Core Indicators'!EC47)</f>
        <v>6</v>
      </c>
      <c r="J47" s="281">
        <f>_xlfn.DAYS(About!$A$3,'Core Indicators'!EK47)</f>
        <v>6</v>
      </c>
      <c r="K47" s="281">
        <f>_xlfn.DAYS(About!$A$3,'Core Indicators'!ES47)</f>
        <v>6</v>
      </c>
      <c r="L47" s="281">
        <f>_xlfn.DAYS(About!$A$3,'Core Indicators'!FI47)</f>
        <v>272</v>
      </c>
      <c r="M47" s="281">
        <f>_xlfn.DAYS(About!$A$3,'Core Indicators'!GG47)</f>
        <v>272</v>
      </c>
      <c r="N47" s="281">
        <f>_xlfn.DAYS(About!$A$3,'Core Indicators'!GO47)</f>
        <v>272</v>
      </c>
      <c r="O47" s="281">
        <f>_xlfn.DAYS(About!$A$3,'Core Indicators'!GW47)</f>
        <v>272</v>
      </c>
      <c r="P47" s="281">
        <f>_xlfn.DAYS(About!$A$3,'Core Indicators'!HE47)</f>
        <v>272</v>
      </c>
      <c r="Q47" s="281">
        <f>_xlfn.DAYS(About!$A$3,'Core Indicators'!HM47)</f>
        <v>272</v>
      </c>
      <c r="R47" s="281">
        <f>_xlfn.DAYS(About!$A$3,'Core Indicators'!HU47)</f>
        <v>272</v>
      </c>
      <c r="S47" s="281">
        <f>_xlfn.DAYS(About!$A$3,'Core Indicators'!IC47)</f>
        <v>272</v>
      </c>
      <c r="T47" s="281">
        <f>_xlfn.DAYS(About!$A$3,'Core Indicators'!IK47)</f>
        <v>272</v>
      </c>
      <c r="U47" s="281">
        <f>_xlfn.DAYS(About!$A$3,'Core Indicators'!IS47)</f>
        <v>272</v>
      </c>
      <c r="V47" s="282">
        <f t="shared" si="0"/>
        <v>85.2</v>
      </c>
    </row>
    <row r="48" spans="1:22" x14ac:dyDescent="0.3">
      <c r="A48" s="280" t="str">
        <f>Lists!C:C</f>
        <v>ETH001</v>
      </c>
      <c r="B48" s="281">
        <f>_xlfn.DAYS(About!$A$3,'Core Indicators'!U48)</f>
        <v>29</v>
      </c>
      <c r="C48" s="281">
        <f>_xlfn.DAYS(About!$A$3,'Core Indicators'!AC48)</f>
        <v>190</v>
      </c>
      <c r="D48" s="281">
        <f>_xlfn.DAYS(About!$A$3,'Core Indicators'!AK48)</f>
        <v>190</v>
      </c>
      <c r="E48" s="281">
        <f>_xlfn.DAYS(About!$A$3,'Core Indicators'!AS48)</f>
        <v>129</v>
      </c>
      <c r="F48" s="281">
        <f>_xlfn.DAYS(About!$A$3,'Core Indicators'!BQ48)</f>
        <v>0</v>
      </c>
      <c r="G48" s="281">
        <f>_xlfn.DAYS(About!$A$3,'Core Indicators'!DM48)</f>
        <v>29</v>
      </c>
      <c r="H48" s="281">
        <f>_xlfn.DAYS(About!$A$3,'Core Indicators'!DU48)</f>
        <v>29</v>
      </c>
      <c r="I48" s="281">
        <f>_xlfn.DAYS(About!$A$3,'Core Indicators'!EC48)</f>
        <v>29</v>
      </c>
      <c r="J48" s="281">
        <f>_xlfn.DAYS(About!$A$3,'Core Indicators'!EK48)</f>
        <v>29</v>
      </c>
      <c r="K48" s="281">
        <f>_xlfn.DAYS(About!$A$3,'Core Indicators'!ES48)</f>
        <v>29</v>
      </c>
      <c r="L48" s="281">
        <f>_xlfn.DAYS(About!$A$3,'Core Indicators'!FI48)</f>
        <v>629</v>
      </c>
      <c r="M48" s="281">
        <f>_xlfn.DAYS(About!$A$3,'Core Indicators'!GG48)</f>
        <v>370</v>
      </c>
      <c r="N48" s="281">
        <f>_xlfn.DAYS(About!$A$3,'Core Indicators'!GO48)</f>
        <v>370</v>
      </c>
      <c r="O48" s="281">
        <f>_xlfn.DAYS(About!$A$3,'Core Indicators'!GW48)</f>
        <v>370</v>
      </c>
      <c r="P48" s="281">
        <f>_xlfn.DAYS(About!$A$3,'Core Indicators'!HE48)</f>
        <v>370</v>
      </c>
      <c r="Q48" s="281">
        <f>_xlfn.DAYS(About!$A$3,'Core Indicators'!HM48)</f>
        <v>370</v>
      </c>
      <c r="R48" s="281">
        <f>_xlfn.DAYS(About!$A$3,'Core Indicators'!HU48)</f>
        <v>370</v>
      </c>
      <c r="S48" s="281">
        <f>_xlfn.DAYS(About!$A$3,'Core Indicators'!IC48)</f>
        <v>370</v>
      </c>
      <c r="T48" s="281">
        <f>_xlfn.DAYS(About!$A$3,'Core Indicators'!IK48)</f>
        <v>370</v>
      </c>
      <c r="U48" s="281">
        <f>_xlfn.DAYS(About!$A$3,'Core Indicators'!IS48)</f>
        <v>370</v>
      </c>
      <c r="V48" s="282">
        <f t="shared" si="0"/>
        <v>146.30000000000001</v>
      </c>
    </row>
    <row r="49" spans="1:22" x14ac:dyDescent="0.3">
      <c r="A49" s="280" t="str">
        <f>Lists!C:C</f>
        <v>ETH002</v>
      </c>
      <c r="B49" s="281">
        <f>_xlfn.DAYS(About!$A$3,'Core Indicators'!U49)</f>
        <v>153</v>
      </c>
      <c r="C49" s="281">
        <f>_xlfn.DAYS(About!$A$3,'Core Indicators'!AC49)</f>
        <v>17</v>
      </c>
      <c r="D49" s="281">
        <f>_xlfn.DAYS(About!$A$3,'Core Indicators'!AK49)</f>
        <v>29</v>
      </c>
      <c r="E49" s="281">
        <f>_xlfn.DAYS(About!$A$3,'Core Indicators'!AS49)</f>
        <v>29</v>
      </c>
      <c r="F49" s="281">
        <f>_xlfn.DAYS(About!$A$3,'Core Indicators'!BQ49)</f>
        <v>153</v>
      </c>
      <c r="G49" s="281">
        <f>_xlfn.DAYS(About!$A$3,'Core Indicators'!DM49)</f>
        <v>76</v>
      </c>
      <c r="H49" s="281">
        <f>_xlfn.DAYS(About!$A$3,'Core Indicators'!DU49)</f>
        <v>76</v>
      </c>
      <c r="I49" s="281">
        <f>_xlfn.DAYS(About!$A$3,'Core Indicators'!EC49)</f>
        <v>76</v>
      </c>
      <c r="J49" s="281">
        <f>_xlfn.DAYS(About!$A$3,'Core Indicators'!EK49)</f>
        <v>76</v>
      </c>
      <c r="K49" s="281">
        <f>_xlfn.DAYS(About!$A$3,'Core Indicators'!ES49)</f>
        <v>76</v>
      </c>
      <c r="L49" s="281">
        <f>_xlfn.DAYS(About!$A$3,'Core Indicators'!FI49)</f>
        <v>153</v>
      </c>
      <c r="M49" s="281">
        <f>_xlfn.DAYS(About!$A$3,'Core Indicators'!GG49)</f>
        <v>153</v>
      </c>
      <c r="N49" s="281">
        <f>_xlfn.DAYS(About!$A$3,'Core Indicators'!GO49)</f>
        <v>152</v>
      </c>
      <c r="O49" s="281">
        <f>_xlfn.DAYS(About!$A$3,'Core Indicators'!GW49)</f>
        <v>153</v>
      </c>
      <c r="P49" s="281">
        <f>_xlfn.DAYS(About!$A$3,'Core Indicators'!HE49)</f>
        <v>152</v>
      </c>
      <c r="Q49" s="281">
        <f>_xlfn.DAYS(About!$A$3,'Core Indicators'!HM49)</f>
        <v>153</v>
      </c>
      <c r="R49" s="281">
        <f>_xlfn.DAYS(About!$A$3,'Core Indicators'!HU49)</f>
        <v>152</v>
      </c>
      <c r="S49" s="281">
        <f>_xlfn.DAYS(About!$A$3,'Core Indicators'!IC49)</f>
        <v>153</v>
      </c>
      <c r="T49" s="281">
        <f>_xlfn.DAYS(About!$A$3,'Core Indicators'!IK49)</f>
        <v>153</v>
      </c>
      <c r="U49" s="281">
        <f>_xlfn.DAYS(About!$A$3,'Core Indicators'!IS49)</f>
        <v>153</v>
      </c>
      <c r="V49" s="282">
        <f t="shared" si="0"/>
        <v>89.7</v>
      </c>
    </row>
    <row r="50" spans="1:22" x14ac:dyDescent="0.3">
      <c r="A50" s="280" t="str">
        <f>Lists!C:C</f>
        <v>ETH003</v>
      </c>
      <c r="B50" s="281">
        <f>_xlfn.DAYS(About!$A$3,'Core Indicators'!U50)</f>
        <v>127</v>
      </c>
      <c r="C50" s="281">
        <f>_xlfn.DAYS(About!$A$3,'Core Indicators'!AC50)</f>
        <v>127</v>
      </c>
      <c r="D50" s="281">
        <f>_xlfn.DAYS(About!$A$3,'Core Indicators'!AK50)</f>
        <v>76</v>
      </c>
      <c r="E50" s="281">
        <f>_xlfn.DAYS(About!$A$3,'Core Indicators'!AS50)</f>
        <v>76</v>
      </c>
      <c r="F50" s="281">
        <f>_xlfn.DAYS(About!$A$3,'Core Indicators'!BQ50)</f>
        <v>127</v>
      </c>
      <c r="G50" s="281">
        <f>_xlfn.DAYS(About!$A$3,'Core Indicators'!DM50)</f>
        <v>76</v>
      </c>
      <c r="H50" s="281">
        <f>_xlfn.DAYS(About!$A$3,'Core Indicators'!DU50)</f>
        <v>76</v>
      </c>
      <c r="I50" s="281">
        <f>_xlfn.DAYS(About!$A$3,'Core Indicators'!EC50)</f>
        <v>76</v>
      </c>
      <c r="J50" s="281">
        <f>_xlfn.DAYS(About!$A$3,'Core Indicators'!EK50)</f>
        <v>76</v>
      </c>
      <c r="K50" s="281">
        <f>_xlfn.DAYS(About!$A$3,'Core Indicators'!ES50)</f>
        <v>76</v>
      </c>
      <c r="L50" s="281">
        <f>_xlfn.DAYS(About!$A$3,'Core Indicators'!FI50)</f>
        <v>76</v>
      </c>
      <c r="M50" s="281">
        <f>_xlfn.DAYS(About!$A$3,'Core Indicators'!GG50)</f>
        <v>122</v>
      </c>
      <c r="N50" s="281">
        <f>_xlfn.DAYS(About!$A$3,'Core Indicators'!GO50)</f>
        <v>122</v>
      </c>
      <c r="O50" s="281">
        <f>_xlfn.DAYS(About!$A$3,'Core Indicators'!GW50)</f>
        <v>122</v>
      </c>
      <c r="P50" s="281">
        <f>_xlfn.DAYS(About!$A$3,'Core Indicators'!HE50)</f>
        <v>122</v>
      </c>
      <c r="Q50" s="281">
        <f>_xlfn.DAYS(About!$A$3,'Core Indicators'!HM50)</f>
        <v>122</v>
      </c>
      <c r="R50" s="281">
        <f>_xlfn.DAYS(About!$A$3,'Core Indicators'!HU50)</f>
        <v>122</v>
      </c>
      <c r="S50" s="281">
        <f>_xlfn.DAYS(About!$A$3,'Core Indicators'!IC50)</f>
        <v>122</v>
      </c>
      <c r="T50" s="281">
        <f>_xlfn.DAYS(About!$A$3,'Core Indicators'!IK50)</f>
        <v>122</v>
      </c>
      <c r="U50" s="281">
        <f>_xlfn.DAYS(About!$A$3,'Core Indicators'!IS50)</f>
        <v>122</v>
      </c>
      <c r="V50" s="282">
        <f t="shared" si="0"/>
        <v>85.7</v>
      </c>
    </row>
    <row r="51" spans="1:22" x14ac:dyDescent="0.3">
      <c r="A51" s="280" t="str">
        <f>Lists!C:C</f>
        <v>GRC002</v>
      </c>
      <c r="B51" s="281">
        <f>_xlfn.DAYS(About!$A$3,'Core Indicators'!U51)</f>
        <v>555</v>
      </c>
      <c r="C51" s="281">
        <f>_xlfn.DAYS(About!$A$3,'Core Indicators'!AC51)</f>
        <v>31</v>
      </c>
      <c r="D51" s="281">
        <f>_xlfn.DAYS(About!$A$3,'Core Indicators'!AK51)</f>
        <v>31</v>
      </c>
      <c r="E51" s="281">
        <f>_xlfn.DAYS(About!$A$3,'Core Indicators'!AS51)</f>
        <v>31</v>
      </c>
      <c r="F51" s="281">
        <f>_xlfn.DAYS(About!$A$3,'Core Indicators'!BQ51)</f>
        <v>1</v>
      </c>
      <c r="G51" s="281">
        <f>_xlfn.DAYS(About!$A$3,'Core Indicators'!DM51)</f>
        <v>31</v>
      </c>
      <c r="H51" s="281">
        <f>_xlfn.DAYS(About!$A$3,'Core Indicators'!DU51)</f>
        <v>31</v>
      </c>
      <c r="I51" s="281">
        <f>_xlfn.DAYS(About!$A$3,'Core Indicators'!EC51)</f>
        <v>31</v>
      </c>
      <c r="J51" s="281">
        <f>_xlfn.DAYS(About!$A$3,'Core Indicators'!EK51)</f>
        <v>31</v>
      </c>
      <c r="K51" s="281">
        <f>_xlfn.DAYS(About!$A$3,'Core Indicators'!ES51)</f>
        <v>31</v>
      </c>
      <c r="L51" s="281">
        <f>_xlfn.DAYS(About!$A$3,'Core Indicators'!FI51)</f>
        <v>639</v>
      </c>
      <c r="M51" s="281">
        <f>_xlfn.DAYS(About!$A$3,'Core Indicators'!GG51)</f>
        <v>0</v>
      </c>
      <c r="N51" s="281">
        <f>_xlfn.DAYS(About!$A$3,'Core Indicators'!GO51)</f>
        <v>0</v>
      </c>
      <c r="O51" s="281">
        <f>_xlfn.DAYS(About!$A$3,'Core Indicators'!GW51)</f>
        <v>0</v>
      </c>
      <c r="P51" s="281">
        <f>_xlfn.DAYS(About!$A$3,'Core Indicators'!HE51)</f>
        <v>0</v>
      </c>
      <c r="Q51" s="281">
        <f>_xlfn.DAYS(About!$A$3,'Core Indicators'!HM51)</f>
        <v>0</v>
      </c>
      <c r="R51" s="281">
        <f>_xlfn.DAYS(About!$A$3,'Core Indicators'!HU51)</f>
        <v>0</v>
      </c>
      <c r="S51" s="281">
        <f>_xlfn.DAYS(About!$A$3,'Core Indicators'!IC51)</f>
        <v>0</v>
      </c>
      <c r="T51" s="281">
        <f>_xlfn.DAYS(About!$A$3,'Core Indicators'!IK51)</f>
        <v>0</v>
      </c>
      <c r="U51" s="281">
        <f>_xlfn.DAYS(About!$A$3,'Core Indicators'!IS51)</f>
        <v>0</v>
      </c>
      <c r="V51" s="282">
        <f t="shared" si="0"/>
        <v>85.7</v>
      </c>
    </row>
    <row r="52" spans="1:22" x14ac:dyDescent="0.3">
      <c r="A52" s="280" t="str">
        <f>Lists!C:C</f>
        <v>GTM001</v>
      </c>
      <c r="B52" s="281">
        <f>_xlfn.DAYS(About!$A$3,'Core Indicators'!U52)</f>
        <v>29</v>
      </c>
      <c r="C52" s="281">
        <f>_xlfn.DAYS(About!$A$3,'Core Indicators'!AC52)</f>
        <v>30</v>
      </c>
      <c r="D52" s="281">
        <f>_xlfn.DAYS(About!$A$3,'Core Indicators'!AK52)</f>
        <v>30</v>
      </c>
      <c r="E52" s="281">
        <f>_xlfn.DAYS(About!$A$3,'Core Indicators'!AS52)</f>
        <v>30</v>
      </c>
      <c r="F52" s="281">
        <f>_xlfn.DAYS(About!$A$3,'Core Indicators'!BQ52)</f>
        <v>30</v>
      </c>
      <c r="G52" s="281">
        <f>_xlfn.DAYS(About!$A$3,'Core Indicators'!DM52)</f>
        <v>30</v>
      </c>
      <c r="H52" s="281">
        <f>_xlfn.DAYS(About!$A$3,'Core Indicators'!DU52)</f>
        <v>30</v>
      </c>
      <c r="I52" s="281">
        <f>_xlfn.DAYS(About!$A$3,'Core Indicators'!EC52)</f>
        <v>30</v>
      </c>
      <c r="J52" s="281">
        <f>_xlfn.DAYS(About!$A$3,'Core Indicators'!EK52)</f>
        <v>30</v>
      </c>
      <c r="K52" s="281">
        <f>_xlfn.DAYS(About!$A$3,'Core Indicators'!ES52)</f>
        <v>30</v>
      </c>
      <c r="L52" s="281">
        <f>_xlfn.DAYS(About!$A$3,'Core Indicators'!FI52)</f>
        <v>496</v>
      </c>
      <c r="M52" s="281">
        <f>_xlfn.DAYS(About!$A$3,'Core Indicators'!GG52)</f>
        <v>371</v>
      </c>
      <c r="N52" s="281">
        <f>_xlfn.DAYS(About!$A$3,'Core Indicators'!GO52)</f>
        <v>371</v>
      </c>
      <c r="O52" s="281">
        <f>_xlfn.DAYS(About!$A$3,'Core Indicators'!GW52)</f>
        <v>371</v>
      </c>
      <c r="P52" s="281">
        <f>_xlfn.DAYS(About!$A$3,'Core Indicators'!HE52)</f>
        <v>371</v>
      </c>
      <c r="Q52" s="281">
        <f>_xlfn.DAYS(About!$A$3,'Core Indicators'!HM52)</f>
        <v>371</v>
      </c>
      <c r="R52" s="281">
        <f>_xlfn.DAYS(About!$A$3,'Core Indicators'!HU52)</f>
        <v>371</v>
      </c>
      <c r="S52" s="281">
        <f>_xlfn.DAYS(About!$A$3,'Core Indicators'!IC52)</f>
        <v>371</v>
      </c>
      <c r="T52" s="281">
        <f>_xlfn.DAYS(About!$A$3,'Core Indicators'!IK52)</f>
        <v>371</v>
      </c>
      <c r="U52" s="281">
        <f>_xlfn.DAYS(About!$A$3,'Core Indicators'!IS52)</f>
        <v>371</v>
      </c>
      <c r="V52" s="282">
        <f t="shared" si="0"/>
        <v>110.7</v>
      </c>
    </row>
    <row r="53" spans="1:22" x14ac:dyDescent="0.3">
      <c r="A53" s="280" t="str">
        <f>Lists!C:C</f>
        <v>HTI001</v>
      </c>
      <c r="B53" s="281">
        <f>_xlfn.DAYS(About!$A$3,'Core Indicators'!U53)</f>
        <v>647</v>
      </c>
      <c r="C53" s="281">
        <f>_xlfn.DAYS(About!$A$3,'Core Indicators'!AC53)</f>
        <v>30</v>
      </c>
      <c r="D53" s="281">
        <f>_xlfn.DAYS(About!$A$3,'Core Indicators'!AK53)</f>
        <v>30</v>
      </c>
      <c r="E53" s="281">
        <f>_xlfn.DAYS(About!$A$3,'Core Indicators'!AS53)</f>
        <v>30</v>
      </c>
      <c r="F53" s="281">
        <f>_xlfn.DAYS(About!$A$3,'Core Indicators'!BQ53)</f>
        <v>30</v>
      </c>
      <c r="G53" s="281">
        <f>_xlfn.DAYS(About!$A$3,'Core Indicators'!DM53)</f>
        <v>30</v>
      </c>
      <c r="H53" s="281">
        <f>_xlfn.DAYS(About!$A$3,'Core Indicators'!DU53)</f>
        <v>30</v>
      </c>
      <c r="I53" s="281">
        <f>_xlfn.DAYS(About!$A$3,'Core Indicators'!EC53)</f>
        <v>30</v>
      </c>
      <c r="J53" s="281">
        <f>_xlfn.DAYS(About!$A$3,'Core Indicators'!EK53)</f>
        <v>30</v>
      </c>
      <c r="K53" s="281">
        <f>_xlfn.DAYS(About!$A$3,'Core Indicators'!ES53)</f>
        <v>30</v>
      </c>
      <c r="L53" s="281">
        <f>_xlfn.DAYS(About!$A$3,'Core Indicators'!FI53)</f>
        <v>647</v>
      </c>
      <c r="M53" s="281">
        <f>_xlfn.DAYS(About!$A$3,'Core Indicators'!GG53)</f>
        <v>0</v>
      </c>
      <c r="N53" s="281">
        <f>_xlfn.DAYS(About!$A$3,'Core Indicators'!GO53)</f>
        <v>0</v>
      </c>
      <c r="O53" s="281">
        <f>_xlfn.DAYS(About!$A$3,'Core Indicators'!GW53)</f>
        <v>0</v>
      </c>
      <c r="P53" s="281">
        <f>_xlfn.DAYS(About!$A$3,'Core Indicators'!HE53)</f>
        <v>0</v>
      </c>
      <c r="Q53" s="281">
        <f>_xlfn.DAYS(About!$A$3,'Core Indicators'!HM53)</f>
        <v>0</v>
      </c>
      <c r="R53" s="281">
        <f>_xlfn.DAYS(About!$A$3,'Core Indicators'!HU53)</f>
        <v>0</v>
      </c>
      <c r="S53" s="281">
        <f>_xlfn.DAYS(About!$A$3,'Core Indicators'!IC53)</f>
        <v>0</v>
      </c>
      <c r="T53" s="281">
        <f>_xlfn.DAYS(About!$A$3,'Core Indicators'!IK53)</f>
        <v>0</v>
      </c>
      <c r="U53" s="281">
        <f>_xlfn.DAYS(About!$A$3,'Core Indicators'!IS53)</f>
        <v>0</v>
      </c>
      <c r="V53" s="282">
        <f t="shared" si="0"/>
        <v>88.7</v>
      </c>
    </row>
    <row r="54" spans="1:22" x14ac:dyDescent="0.3">
      <c r="A54" s="280" t="str">
        <f>Lists!C:C</f>
        <v>HND001</v>
      </c>
      <c r="B54" s="281">
        <f>_xlfn.DAYS(About!$A$3,'Core Indicators'!U54)</f>
        <v>29</v>
      </c>
      <c r="C54" s="281">
        <f>_xlfn.DAYS(About!$A$3,'Core Indicators'!AC54)</f>
        <v>30</v>
      </c>
      <c r="D54" s="281">
        <f>_xlfn.DAYS(About!$A$3,'Core Indicators'!AK54)</f>
        <v>30</v>
      </c>
      <c r="E54" s="281">
        <f>_xlfn.DAYS(About!$A$3,'Core Indicators'!AS54)</f>
        <v>30</v>
      </c>
      <c r="F54" s="281">
        <f>_xlfn.DAYS(About!$A$3,'Core Indicators'!BQ54)</f>
        <v>273</v>
      </c>
      <c r="G54" s="281">
        <f>_xlfn.DAYS(About!$A$3,'Core Indicators'!DM54)</f>
        <v>30</v>
      </c>
      <c r="H54" s="281">
        <f>_xlfn.DAYS(About!$A$3,'Core Indicators'!DU54)</f>
        <v>30</v>
      </c>
      <c r="I54" s="281">
        <f>_xlfn.DAYS(About!$A$3,'Core Indicators'!EC54)</f>
        <v>30</v>
      </c>
      <c r="J54" s="281">
        <f>_xlfn.DAYS(About!$A$3,'Core Indicators'!EK54)</f>
        <v>30</v>
      </c>
      <c r="K54" s="281">
        <f>_xlfn.DAYS(About!$A$3,'Core Indicators'!ES54)</f>
        <v>30</v>
      </c>
      <c r="L54" s="281">
        <f>_xlfn.DAYS(About!$A$3,'Core Indicators'!FI54)</f>
        <v>631</v>
      </c>
      <c r="M54" s="281">
        <f>_xlfn.DAYS(About!$A$3,'Core Indicators'!GG54)</f>
        <v>371</v>
      </c>
      <c r="N54" s="281">
        <f>_xlfn.DAYS(About!$A$3,'Core Indicators'!GO54)</f>
        <v>371</v>
      </c>
      <c r="O54" s="281">
        <f>_xlfn.DAYS(About!$A$3,'Core Indicators'!GW54)</f>
        <v>371</v>
      </c>
      <c r="P54" s="281">
        <f>_xlfn.DAYS(About!$A$3,'Core Indicators'!HE54)</f>
        <v>371</v>
      </c>
      <c r="Q54" s="281">
        <f>_xlfn.DAYS(About!$A$3,'Core Indicators'!HM54)</f>
        <v>371</v>
      </c>
      <c r="R54" s="281">
        <f>_xlfn.DAYS(About!$A$3,'Core Indicators'!HU54)</f>
        <v>371</v>
      </c>
      <c r="S54" s="281">
        <f>_xlfn.DAYS(About!$A$3,'Core Indicators'!IC54)</f>
        <v>371</v>
      </c>
      <c r="T54" s="281">
        <f>_xlfn.DAYS(About!$A$3,'Core Indicators'!IK54)</f>
        <v>371</v>
      </c>
      <c r="U54" s="281">
        <f>_xlfn.DAYS(About!$A$3,'Core Indicators'!IS54)</f>
        <v>371</v>
      </c>
      <c r="V54" s="282">
        <f t="shared" si="0"/>
        <v>148.5</v>
      </c>
    </row>
    <row r="55" spans="1:22" x14ac:dyDescent="0.3">
      <c r="A55" s="280" t="str">
        <f>Lists!C:C</f>
        <v>IND001</v>
      </c>
      <c r="B55" s="281">
        <f>_xlfn.DAYS(About!$A$3,'Core Indicators'!U55)</f>
        <v>8</v>
      </c>
      <c r="C55" s="281">
        <f>_xlfn.DAYS(About!$A$3,'Core Indicators'!AC55)</f>
        <v>8</v>
      </c>
      <c r="D55" s="281">
        <f>_xlfn.DAYS(About!$A$3,'Core Indicators'!AK55)</f>
        <v>8</v>
      </c>
      <c r="E55" s="281">
        <f>_xlfn.DAYS(About!$A$3,'Core Indicators'!AS55)</f>
        <v>8</v>
      </c>
      <c r="F55" s="281">
        <f>_xlfn.DAYS(About!$A$3,'Core Indicators'!BQ55)</f>
        <v>8</v>
      </c>
      <c r="G55" s="281">
        <f>_xlfn.DAYS(About!$A$3,'Core Indicators'!DM55)</f>
        <v>8</v>
      </c>
      <c r="H55" s="281">
        <f>_xlfn.DAYS(About!$A$3,'Core Indicators'!DU55)</f>
        <v>8</v>
      </c>
      <c r="I55" s="281">
        <f>_xlfn.DAYS(About!$A$3,'Core Indicators'!EC55)</f>
        <v>8</v>
      </c>
      <c r="J55" s="281">
        <f>_xlfn.DAYS(About!$A$3,'Core Indicators'!EK55)</f>
        <v>8</v>
      </c>
      <c r="K55" s="281">
        <f>_xlfn.DAYS(About!$A$3,'Core Indicators'!ES55)</f>
        <v>8</v>
      </c>
      <c r="L55" s="281">
        <f>_xlfn.DAYS(About!$A$3,'Core Indicators'!FI55)</f>
        <v>153</v>
      </c>
      <c r="M55" s="281">
        <f>_xlfn.DAYS(About!$A$3,'Core Indicators'!GG55)</f>
        <v>153</v>
      </c>
      <c r="N55" s="281">
        <f>_xlfn.DAYS(About!$A$3,'Core Indicators'!GO55)</f>
        <v>30</v>
      </c>
      <c r="O55" s="281">
        <f>_xlfn.DAYS(About!$A$3,'Core Indicators'!GW55)</f>
        <v>153</v>
      </c>
      <c r="P55" s="281">
        <f>_xlfn.DAYS(About!$A$3,'Core Indicators'!HE55)</f>
        <v>153</v>
      </c>
      <c r="Q55" s="281">
        <f>_xlfn.DAYS(About!$A$3,'Core Indicators'!HM55)</f>
        <v>153</v>
      </c>
      <c r="R55" s="281">
        <f>_xlfn.DAYS(About!$A$3,'Core Indicators'!HU55)</f>
        <v>153</v>
      </c>
      <c r="S55" s="281">
        <f>_xlfn.DAYS(About!$A$3,'Core Indicators'!IC55)</f>
        <v>153</v>
      </c>
      <c r="T55" s="281">
        <f>_xlfn.DAYS(About!$A$3,'Core Indicators'!IK55)</f>
        <v>153</v>
      </c>
      <c r="U55" s="281">
        <f>_xlfn.DAYS(About!$A$3,'Core Indicators'!IS55)</f>
        <v>153</v>
      </c>
      <c r="V55" s="282">
        <f t="shared" si="0"/>
        <v>37</v>
      </c>
    </row>
    <row r="56" spans="1:22" x14ac:dyDescent="0.3">
      <c r="A56" s="280" t="str">
        <f>Lists!C:C</f>
        <v>IND002</v>
      </c>
      <c r="B56" s="281">
        <f>_xlfn.DAYS(About!$A$3,'Core Indicators'!U56)</f>
        <v>587</v>
      </c>
      <c r="C56" s="281">
        <f>_xlfn.DAYS(About!$A$3,'Core Indicators'!AC56)</f>
        <v>587</v>
      </c>
      <c r="D56" s="281">
        <f>_xlfn.DAYS(About!$A$3,'Core Indicators'!AK56)</f>
        <v>587</v>
      </c>
      <c r="E56" s="281">
        <f>_xlfn.DAYS(About!$A$3,'Core Indicators'!AS56)</f>
        <v>587</v>
      </c>
      <c r="F56" s="281">
        <f>_xlfn.DAYS(About!$A$3,'Core Indicators'!BQ56)</f>
        <v>8</v>
      </c>
      <c r="G56" s="281">
        <f>_xlfn.DAYS(About!$A$3,'Core Indicators'!DM56)</f>
        <v>559</v>
      </c>
      <c r="H56" s="281">
        <f>_xlfn.DAYS(About!$A$3,'Core Indicators'!DU56)</f>
        <v>587</v>
      </c>
      <c r="I56" s="281">
        <f>_xlfn.DAYS(About!$A$3,'Core Indicators'!EC56)</f>
        <v>587</v>
      </c>
      <c r="J56" s="281">
        <f>_xlfn.DAYS(About!$A$3,'Core Indicators'!EK56)</f>
        <v>587</v>
      </c>
      <c r="K56" s="281">
        <f>_xlfn.DAYS(About!$A$3,'Core Indicators'!ES56)</f>
        <v>587</v>
      </c>
      <c r="L56" s="281">
        <f>_xlfn.DAYS(About!$A$3,'Core Indicators'!FI56)</f>
        <v>344</v>
      </c>
      <c r="M56" s="281">
        <f>_xlfn.DAYS(About!$A$3,'Core Indicators'!GG56)</f>
        <v>373</v>
      </c>
      <c r="N56" s="281">
        <f>_xlfn.DAYS(About!$A$3,'Core Indicators'!GO56)</f>
        <v>373</v>
      </c>
      <c r="O56" s="281">
        <f>_xlfn.DAYS(About!$A$3,'Core Indicators'!GW56)</f>
        <v>373</v>
      </c>
      <c r="P56" s="281">
        <f>_xlfn.DAYS(About!$A$3,'Core Indicators'!HE56)</f>
        <v>373</v>
      </c>
      <c r="Q56" s="281">
        <f>_xlfn.DAYS(About!$A$3,'Core Indicators'!HM56)</f>
        <v>373</v>
      </c>
      <c r="R56" s="281">
        <f>_xlfn.DAYS(About!$A$3,'Core Indicators'!HU56)</f>
        <v>373</v>
      </c>
      <c r="S56" s="281">
        <f>_xlfn.DAYS(About!$A$3,'Core Indicators'!IC56)</f>
        <v>373</v>
      </c>
      <c r="T56" s="281">
        <f>_xlfn.DAYS(About!$A$3,'Core Indicators'!IK56)</f>
        <v>373</v>
      </c>
      <c r="U56" s="281">
        <f>_xlfn.DAYS(About!$A$3,'Core Indicators'!IS56)</f>
        <v>373</v>
      </c>
      <c r="V56" s="282">
        <f t="shared" si="0"/>
        <v>480.6</v>
      </c>
    </row>
    <row r="57" spans="1:22" x14ac:dyDescent="0.3">
      <c r="A57" s="280" t="str">
        <f>Lists!C:C</f>
        <v>IND003</v>
      </c>
      <c r="B57" s="281">
        <f>_xlfn.DAYS(About!$A$3,'Core Indicators'!U57)</f>
        <v>153</v>
      </c>
      <c r="C57" s="281">
        <f>_xlfn.DAYS(About!$A$3,'Core Indicators'!AC57)</f>
        <v>22</v>
      </c>
      <c r="D57" s="281">
        <f>_xlfn.DAYS(About!$A$3,'Core Indicators'!AK57)</f>
        <v>69</v>
      </c>
      <c r="E57" s="281">
        <f>_xlfn.DAYS(About!$A$3,'Core Indicators'!AS57)</f>
        <v>153</v>
      </c>
      <c r="F57" s="281">
        <f>_xlfn.DAYS(About!$A$3,'Core Indicators'!BQ57)</f>
        <v>153</v>
      </c>
      <c r="G57" s="281">
        <f>_xlfn.DAYS(About!$A$3,'Core Indicators'!DM57)</f>
        <v>30</v>
      </c>
      <c r="H57" s="281">
        <f>_xlfn.DAYS(About!$A$3,'Core Indicators'!DU57)</f>
        <v>69</v>
      </c>
      <c r="I57" s="281">
        <f>_xlfn.DAYS(About!$A$3,'Core Indicators'!EC57)</f>
        <v>69</v>
      </c>
      <c r="J57" s="281">
        <f>_xlfn.DAYS(About!$A$3,'Core Indicators'!EK57)</f>
        <v>153</v>
      </c>
      <c r="K57" s="281">
        <f>_xlfn.DAYS(About!$A$3,'Core Indicators'!ES57)</f>
        <v>153</v>
      </c>
      <c r="L57" s="281">
        <f>_xlfn.DAYS(About!$A$3,'Core Indicators'!FI57)</f>
        <v>153</v>
      </c>
      <c r="M57" s="281">
        <f>_xlfn.DAYS(About!$A$3,'Core Indicators'!GG57)</f>
        <v>153</v>
      </c>
      <c r="N57" s="281">
        <f>_xlfn.DAYS(About!$A$3,'Core Indicators'!GO57)</f>
        <v>153</v>
      </c>
      <c r="O57" s="281">
        <f>_xlfn.DAYS(About!$A$3,'Core Indicators'!GW57)</f>
        <v>153</v>
      </c>
      <c r="P57" s="281">
        <f>_xlfn.DAYS(About!$A$3,'Core Indicators'!HE57)</f>
        <v>153</v>
      </c>
      <c r="Q57" s="281">
        <f>_xlfn.DAYS(About!$A$3,'Core Indicators'!HM57)</f>
        <v>153</v>
      </c>
      <c r="R57" s="281">
        <f>_xlfn.DAYS(About!$A$3,'Core Indicators'!HU57)</f>
        <v>153</v>
      </c>
      <c r="S57" s="281">
        <f>_xlfn.DAYS(About!$A$3,'Core Indicators'!IC57)</f>
        <v>153</v>
      </c>
      <c r="T57" s="281">
        <f>_xlfn.DAYS(About!$A$3,'Core Indicators'!IK57)</f>
        <v>153</v>
      </c>
      <c r="U57" s="281">
        <f>_xlfn.DAYS(About!$A$3,'Core Indicators'!IS57)</f>
        <v>153</v>
      </c>
      <c r="V57" s="282">
        <f t="shared" si="0"/>
        <v>115.5</v>
      </c>
    </row>
    <row r="58" spans="1:22" x14ac:dyDescent="0.3">
      <c r="A58" s="280" t="str">
        <f>Lists!C:C</f>
        <v>IND005</v>
      </c>
      <c r="B58" s="281">
        <f>_xlfn.DAYS(About!$A$3,'Core Indicators'!U58)</f>
        <v>8</v>
      </c>
      <c r="C58" s="281">
        <f>_xlfn.DAYS(About!$A$3,'Core Indicators'!AC58)</f>
        <v>8</v>
      </c>
      <c r="D58" s="281">
        <f>_xlfn.DAYS(About!$A$3,'Core Indicators'!AK58)</f>
        <v>8</v>
      </c>
      <c r="E58" s="281">
        <f>_xlfn.DAYS(About!$A$3,'Core Indicators'!AS58)</f>
        <v>8</v>
      </c>
      <c r="F58" s="281">
        <f>_xlfn.DAYS(About!$A$3,'Core Indicators'!BQ58)</f>
        <v>8</v>
      </c>
      <c r="G58" s="281">
        <f>_xlfn.DAYS(About!$A$3,'Core Indicators'!DM58)</f>
        <v>8</v>
      </c>
      <c r="H58" s="281">
        <f>_xlfn.DAYS(About!$A$3,'Core Indicators'!DU58)</f>
        <v>8</v>
      </c>
      <c r="I58" s="281">
        <f>_xlfn.DAYS(About!$A$3,'Core Indicators'!EC58)</f>
        <v>8</v>
      </c>
      <c r="J58" s="281">
        <f>_xlfn.DAYS(About!$A$3,'Core Indicators'!EK58)</f>
        <v>8</v>
      </c>
      <c r="K58" s="281">
        <f>_xlfn.DAYS(About!$A$3,'Core Indicators'!ES58)</f>
        <v>8</v>
      </c>
      <c r="L58" s="281">
        <f>_xlfn.DAYS(About!$A$3,'Core Indicators'!FI58)</f>
        <v>30</v>
      </c>
      <c r="M58" s="281">
        <f>_xlfn.DAYS(About!$A$3,'Core Indicators'!GG58)</f>
        <v>52</v>
      </c>
      <c r="N58" s="281">
        <f>_xlfn.DAYS(About!$A$3,'Core Indicators'!GO58)</f>
        <v>52</v>
      </c>
      <c r="O58" s="281">
        <f>_xlfn.DAYS(About!$A$3,'Core Indicators'!GW58)</f>
        <v>52</v>
      </c>
      <c r="P58" s="281">
        <f>_xlfn.DAYS(About!$A$3,'Core Indicators'!HE58)</f>
        <v>52</v>
      </c>
      <c r="Q58" s="281">
        <f>_xlfn.DAYS(About!$A$3,'Core Indicators'!HM58)</f>
        <v>52</v>
      </c>
      <c r="R58" s="281">
        <f>_xlfn.DAYS(About!$A$3,'Core Indicators'!HU58)</f>
        <v>52</v>
      </c>
      <c r="S58" s="281">
        <f>_xlfn.DAYS(About!$A$3,'Core Indicators'!IC58)</f>
        <v>52</v>
      </c>
      <c r="T58" s="281">
        <f>_xlfn.DAYS(About!$A$3,'Core Indicators'!IK58)</f>
        <v>52</v>
      </c>
      <c r="U58" s="281">
        <f>_xlfn.DAYS(About!$A$3,'Core Indicators'!IS58)</f>
        <v>52</v>
      </c>
      <c r="V58" s="282">
        <f t="shared" si="0"/>
        <v>14.6</v>
      </c>
    </row>
    <row r="59" spans="1:22" x14ac:dyDescent="0.3">
      <c r="A59" s="280" t="str">
        <f>Lists!C:C</f>
        <v>REG003</v>
      </c>
      <c r="B59" s="281">
        <f>_xlfn.DAYS(About!$A$3,'Core Indicators'!U59)</f>
        <v>353</v>
      </c>
      <c r="C59" s="281">
        <f>_xlfn.DAYS(About!$A$3,'Core Indicators'!AC59)</f>
        <v>353</v>
      </c>
      <c r="D59" s="281">
        <f>_xlfn.DAYS(About!$A$3,'Core Indicators'!AK59)</f>
        <v>30</v>
      </c>
      <c r="E59" s="281">
        <f>_xlfn.DAYS(About!$A$3,'Core Indicators'!AS59)</f>
        <v>353</v>
      </c>
      <c r="F59" s="281">
        <f>_xlfn.DAYS(About!$A$3,'Core Indicators'!BQ59)</f>
        <v>8</v>
      </c>
      <c r="G59" s="281">
        <f>_xlfn.DAYS(About!$A$3,'Core Indicators'!DM59)</f>
        <v>353</v>
      </c>
      <c r="H59" s="281">
        <f>_xlfn.DAYS(About!$A$3,'Core Indicators'!DU59)</f>
        <v>560</v>
      </c>
      <c r="I59" s="281">
        <f>_xlfn.DAYS(About!$A$3,'Core Indicators'!EC59)</f>
        <v>560</v>
      </c>
      <c r="J59" s="281">
        <f>_xlfn.DAYS(About!$A$3,'Core Indicators'!EK59)</f>
        <v>560</v>
      </c>
      <c r="K59" s="281">
        <f>_xlfn.DAYS(About!$A$3,'Core Indicators'!ES59)</f>
        <v>560</v>
      </c>
      <c r="L59" s="281">
        <f>_xlfn.DAYS(About!$A$3,'Core Indicators'!FI59)</f>
        <v>560</v>
      </c>
      <c r="M59" s="281">
        <f>_xlfn.DAYS(About!$A$3,'Core Indicators'!GG59)</f>
        <v>373</v>
      </c>
      <c r="N59" s="281">
        <f>_xlfn.DAYS(About!$A$3,'Core Indicators'!GO59)</f>
        <v>373</v>
      </c>
      <c r="O59" s="281">
        <f>_xlfn.DAYS(About!$A$3,'Core Indicators'!GW59)</f>
        <v>373</v>
      </c>
      <c r="P59" s="281">
        <f>_xlfn.DAYS(About!$A$3,'Core Indicators'!HE59)</f>
        <v>373</v>
      </c>
      <c r="Q59" s="281">
        <f>_xlfn.DAYS(About!$A$3,'Core Indicators'!HM59)</f>
        <v>373</v>
      </c>
      <c r="R59" s="281">
        <f>_xlfn.DAYS(About!$A$3,'Core Indicators'!HU59)</f>
        <v>373</v>
      </c>
      <c r="S59" s="281">
        <f>_xlfn.DAYS(About!$A$3,'Core Indicators'!IC59)</f>
        <v>373</v>
      </c>
      <c r="T59" s="281">
        <f>_xlfn.DAYS(About!$A$3,'Core Indicators'!IK59)</f>
        <v>373</v>
      </c>
      <c r="U59" s="281">
        <f>_xlfn.DAYS(About!$A$3,'Core Indicators'!IS59)</f>
        <v>373</v>
      </c>
      <c r="V59" s="282">
        <f t="shared" si="0"/>
        <v>391.7</v>
      </c>
    </row>
    <row r="60" spans="1:22" x14ac:dyDescent="0.3">
      <c r="A60" s="280" t="str">
        <f>Lists!C:C</f>
        <v>IDN002</v>
      </c>
      <c r="B60" s="281">
        <f>_xlfn.DAYS(About!$A$3,'Core Indicators'!U60)</f>
        <v>281</v>
      </c>
      <c r="C60" s="281">
        <f>_xlfn.DAYS(About!$A$3,'Core Indicators'!AC60)</f>
        <v>281</v>
      </c>
      <c r="D60" s="281">
        <f>_xlfn.DAYS(About!$A$3,'Core Indicators'!AK60)</f>
        <v>281</v>
      </c>
      <c r="E60" s="281">
        <f>_xlfn.DAYS(About!$A$3,'Core Indicators'!AS60)</f>
        <v>281</v>
      </c>
      <c r="F60" s="281">
        <f>_xlfn.DAYS(About!$A$3,'Core Indicators'!BQ60)</f>
        <v>8</v>
      </c>
      <c r="G60" s="281">
        <f>_xlfn.DAYS(About!$A$3,'Core Indicators'!DM60)</f>
        <v>281</v>
      </c>
      <c r="H60" s="281">
        <f>_xlfn.DAYS(About!$A$3,'Core Indicators'!DU60)</f>
        <v>281</v>
      </c>
      <c r="I60" s="281">
        <f>_xlfn.DAYS(About!$A$3,'Core Indicators'!EC60)</f>
        <v>281</v>
      </c>
      <c r="J60" s="281">
        <f>_xlfn.DAYS(About!$A$3,'Core Indicators'!EK60)</f>
        <v>281</v>
      </c>
      <c r="K60" s="281">
        <f>_xlfn.DAYS(About!$A$3,'Core Indicators'!ES60)</f>
        <v>281</v>
      </c>
      <c r="L60" s="281">
        <f>_xlfn.DAYS(About!$A$3,'Core Indicators'!FI60)</f>
        <v>464</v>
      </c>
      <c r="M60" s="281">
        <f>_xlfn.DAYS(About!$A$3,'Core Indicators'!GG60)</f>
        <v>370</v>
      </c>
      <c r="N60" s="281">
        <f>_xlfn.DAYS(About!$A$3,'Core Indicators'!GO60)</f>
        <v>370</v>
      </c>
      <c r="O60" s="281">
        <f>_xlfn.DAYS(About!$A$3,'Core Indicators'!GW60)</f>
        <v>370</v>
      </c>
      <c r="P60" s="281">
        <f>_xlfn.DAYS(About!$A$3,'Core Indicators'!HE60)</f>
        <v>370</v>
      </c>
      <c r="Q60" s="281">
        <f>_xlfn.DAYS(About!$A$3,'Core Indicators'!HM60)</f>
        <v>370</v>
      </c>
      <c r="R60" s="281">
        <f>_xlfn.DAYS(About!$A$3,'Core Indicators'!HU60)</f>
        <v>370</v>
      </c>
      <c r="S60" s="281">
        <f>_xlfn.DAYS(About!$A$3,'Core Indicators'!IC60)</f>
        <v>370</v>
      </c>
      <c r="T60" s="281">
        <f>_xlfn.DAYS(About!$A$3,'Core Indicators'!IK60)</f>
        <v>370</v>
      </c>
      <c r="U60" s="281">
        <f>_xlfn.DAYS(About!$A$3,'Core Indicators'!IS60)</f>
        <v>370</v>
      </c>
      <c r="V60" s="282">
        <f t="shared" si="0"/>
        <v>280.89999999999998</v>
      </c>
    </row>
    <row r="61" spans="1:22" x14ac:dyDescent="0.3">
      <c r="A61" s="280" t="str">
        <f>Lists!C:C</f>
        <v>IRN004</v>
      </c>
      <c r="B61" s="281">
        <f>_xlfn.DAYS(About!$A$3,'Core Indicators'!U61)</f>
        <v>220</v>
      </c>
      <c r="C61" s="281">
        <f>_xlfn.DAYS(About!$A$3,'Core Indicators'!AC61)</f>
        <v>220</v>
      </c>
      <c r="D61" s="281">
        <f>_xlfn.DAYS(About!$A$3,'Core Indicators'!AK61)</f>
        <v>8</v>
      </c>
      <c r="E61" s="281">
        <f>_xlfn.DAYS(About!$A$3,'Core Indicators'!AS61)</f>
        <v>8</v>
      </c>
      <c r="F61" s="281">
        <f>_xlfn.DAYS(About!$A$3,'Core Indicators'!BQ61)</f>
        <v>220</v>
      </c>
      <c r="G61" s="281">
        <f>_xlfn.DAYS(About!$A$3,'Core Indicators'!DM61)</f>
        <v>220</v>
      </c>
      <c r="H61" s="281">
        <f>_xlfn.DAYS(About!$A$3,'Core Indicators'!DU61)</f>
        <v>220</v>
      </c>
      <c r="I61" s="281">
        <f>_xlfn.DAYS(About!$A$3,'Core Indicators'!EC61)</f>
        <v>220</v>
      </c>
      <c r="J61" s="281">
        <f>_xlfn.DAYS(About!$A$3,'Core Indicators'!EK61)</f>
        <v>220</v>
      </c>
      <c r="K61" s="281">
        <f>_xlfn.DAYS(About!$A$3,'Core Indicators'!ES61)</f>
        <v>220</v>
      </c>
      <c r="L61" s="281">
        <f>_xlfn.DAYS(About!$A$3,'Core Indicators'!FI61)</f>
        <v>220</v>
      </c>
      <c r="M61" s="281">
        <f>_xlfn.DAYS(About!$A$3,'Core Indicators'!GG61)</f>
        <v>220</v>
      </c>
      <c r="N61" s="281">
        <f>_xlfn.DAYS(About!$A$3,'Core Indicators'!GO61)</f>
        <v>220</v>
      </c>
      <c r="O61" s="281">
        <f>_xlfn.DAYS(About!$A$3,'Core Indicators'!GW61)</f>
        <v>220</v>
      </c>
      <c r="P61" s="281">
        <f>_xlfn.DAYS(About!$A$3,'Core Indicators'!HE61)</f>
        <v>220</v>
      </c>
      <c r="Q61" s="281">
        <f>_xlfn.DAYS(About!$A$3,'Core Indicators'!HM61)</f>
        <v>220</v>
      </c>
      <c r="R61" s="281">
        <f>_xlfn.DAYS(About!$A$3,'Core Indicators'!HU61)</f>
        <v>220</v>
      </c>
      <c r="S61" s="281">
        <f>_xlfn.DAYS(About!$A$3,'Core Indicators'!IC61)</f>
        <v>220</v>
      </c>
      <c r="T61" s="281">
        <f>_xlfn.DAYS(About!$A$3,'Core Indicators'!IK61)</f>
        <v>220</v>
      </c>
      <c r="U61" s="281">
        <f>_xlfn.DAYS(About!$A$3,'Core Indicators'!IS61)</f>
        <v>220</v>
      </c>
      <c r="V61" s="282">
        <f t="shared" si="0"/>
        <v>177.6</v>
      </c>
    </row>
    <row r="62" spans="1:22" x14ac:dyDescent="0.3">
      <c r="A62" s="280" t="str">
        <f>Lists!C:C</f>
        <v>IRQ001</v>
      </c>
      <c r="B62" s="281">
        <f>_xlfn.DAYS(About!$A$3,'Core Indicators'!U62)</f>
        <v>37</v>
      </c>
      <c r="C62" s="281">
        <f>_xlfn.DAYS(About!$A$3,'Core Indicators'!AC62)</f>
        <v>22</v>
      </c>
      <c r="D62" s="281">
        <f>_xlfn.DAYS(About!$A$3,'Core Indicators'!AK62)</f>
        <v>10</v>
      </c>
      <c r="E62" s="281">
        <f>_xlfn.DAYS(About!$A$3,'Core Indicators'!AS62)</f>
        <v>10</v>
      </c>
      <c r="F62" s="281">
        <f>_xlfn.DAYS(About!$A$3,'Core Indicators'!BQ62)</f>
        <v>10</v>
      </c>
      <c r="G62" s="281">
        <f>_xlfn.DAYS(About!$A$3,'Core Indicators'!DM62)</f>
        <v>10</v>
      </c>
      <c r="H62" s="281">
        <f>_xlfn.DAYS(About!$A$3,'Core Indicators'!DU62)</f>
        <v>10</v>
      </c>
      <c r="I62" s="281">
        <f>_xlfn.DAYS(About!$A$3,'Core Indicators'!EC62)</f>
        <v>10</v>
      </c>
      <c r="J62" s="281">
        <f>_xlfn.DAYS(About!$A$3,'Core Indicators'!EK62)</f>
        <v>10</v>
      </c>
      <c r="K62" s="281">
        <f>_xlfn.DAYS(About!$A$3,'Core Indicators'!ES62)</f>
        <v>10</v>
      </c>
      <c r="L62" s="281">
        <f>_xlfn.DAYS(About!$A$3,'Core Indicators'!FI62)</f>
        <v>190</v>
      </c>
      <c r="M62" s="281">
        <f>_xlfn.DAYS(About!$A$3,'Core Indicators'!GG62)</f>
        <v>370</v>
      </c>
      <c r="N62" s="281">
        <f>_xlfn.DAYS(About!$A$3,'Core Indicators'!GO62)</f>
        <v>370</v>
      </c>
      <c r="O62" s="281">
        <f>_xlfn.DAYS(About!$A$3,'Core Indicators'!GW62)</f>
        <v>370</v>
      </c>
      <c r="P62" s="281">
        <f>_xlfn.DAYS(About!$A$3,'Core Indicators'!HE62)</f>
        <v>370</v>
      </c>
      <c r="Q62" s="281">
        <f>_xlfn.DAYS(About!$A$3,'Core Indicators'!HM62)</f>
        <v>370</v>
      </c>
      <c r="R62" s="281">
        <f>_xlfn.DAYS(About!$A$3,'Core Indicators'!HU62)</f>
        <v>370</v>
      </c>
      <c r="S62" s="281">
        <f>_xlfn.DAYS(About!$A$3,'Core Indicators'!IC62)</f>
        <v>370</v>
      </c>
      <c r="T62" s="281">
        <f>_xlfn.DAYS(About!$A$3,'Core Indicators'!IK62)</f>
        <v>370</v>
      </c>
      <c r="U62" s="281">
        <f>_xlfn.DAYS(About!$A$3,'Core Indicators'!IS62)</f>
        <v>370</v>
      </c>
      <c r="V62" s="282">
        <f t="shared" si="0"/>
        <v>64</v>
      </c>
    </row>
    <row r="63" spans="1:22" x14ac:dyDescent="0.3">
      <c r="A63" s="280" t="str">
        <f>Lists!C:C</f>
        <v>IRQ002</v>
      </c>
      <c r="B63" s="281">
        <f>_xlfn.DAYS(About!$A$3,'Core Indicators'!U63)</f>
        <v>37</v>
      </c>
      <c r="C63" s="281">
        <f>_xlfn.DAYS(About!$A$3,'Core Indicators'!AC63)</f>
        <v>21</v>
      </c>
      <c r="D63" s="281">
        <f>_xlfn.DAYS(About!$A$3,'Core Indicators'!AK63)</f>
        <v>10</v>
      </c>
      <c r="E63" s="281">
        <f>_xlfn.DAYS(About!$A$3,'Core Indicators'!AS63)</f>
        <v>10</v>
      </c>
      <c r="F63" s="281">
        <f>_xlfn.DAYS(About!$A$3,'Core Indicators'!BQ63)</f>
        <v>10</v>
      </c>
      <c r="G63" s="281">
        <f>_xlfn.DAYS(About!$A$3,'Core Indicators'!DM63)</f>
        <v>21</v>
      </c>
      <c r="H63" s="281">
        <f>_xlfn.DAYS(About!$A$3,'Core Indicators'!DU63)</f>
        <v>21</v>
      </c>
      <c r="I63" s="281">
        <f>_xlfn.DAYS(About!$A$3,'Core Indicators'!EC63)</f>
        <v>190</v>
      </c>
      <c r="J63" s="281">
        <f>_xlfn.DAYS(About!$A$3,'Core Indicators'!EK63)</f>
        <v>190</v>
      </c>
      <c r="K63" s="281">
        <f>_xlfn.DAYS(About!$A$3,'Core Indicators'!ES63)</f>
        <v>190</v>
      </c>
      <c r="L63" s="281">
        <f>_xlfn.DAYS(About!$A$3,'Core Indicators'!FI63)</f>
        <v>273</v>
      </c>
      <c r="M63" s="281">
        <f>_xlfn.DAYS(About!$A$3,'Core Indicators'!GG63)</f>
        <v>370</v>
      </c>
      <c r="N63" s="281">
        <f>_xlfn.DAYS(About!$A$3,'Core Indicators'!GO63)</f>
        <v>370</v>
      </c>
      <c r="O63" s="281">
        <f>_xlfn.DAYS(About!$A$3,'Core Indicators'!GW63)</f>
        <v>370</v>
      </c>
      <c r="P63" s="281">
        <f>_xlfn.DAYS(About!$A$3,'Core Indicators'!HE63)</f>
        <v>370</v>
      </c>
      <c r="Q63" s="281">
        <f>_xlfn.DAYS(About!$A$3,'Core Indicators'!HM63)</f>
        <v>370</v>
      </c>
      <c r="R63" s="281">
        <f>_xlfn.DAYS(About!$A$3,'Core Indicators'!HU63)</f>
        <v>370</v>
      </c>
      <c r="S63" s="281">
        <f>_xlfn.DAYS(About!$A$3,'Core Indicators'!IC63)</f>
        <v>370</v>
      </c>
      <c r="T63" s="281">
        <f>_xlfn.DAYS(About!$A$3,'Core Indicators'!IK63)</f>
        <v>370</v>
      </c>
      <c r="U63" s="281">
        <f>_xlfn.DAYS(About!$A$3,'Core Indicators'!IS63)</f>
        <v>370</v>
      </c>
      <c r="V63" s="282">
        <f t="shared" si="0"/>
        <v>128.5</v>
      </c>
    </row>
    <row r="64" spans="1:22" x14ac:dyDescent="0.3">
      <c r="A64" s="280" t="str">
        <f>Lists!C:C</f>
        <v>IRQ003</v>
      </c>
      <c r="B64" s="281">
        <f>_xlfn.DAYS(About!$A$3,'Core Indicators'!U64)</f>
        <v>190</v>
      </c>
      <c r="C64" s="281">
        <f>_xlfn.DAYS(About!$A$3,'Core Indicators'!AC64)</f>
        <v>10</v>
      </c>
      <c r="D64" s="281">
        <f>_xlfn.DAYS(About!$A$3,'Core Indicators'!AK64)</f>
        <v>10</v>
      </c>
      <c r="E64" s="281">
        <f>_xlfn.DAYS(About!$A$3,'Core Indicators'!AS64)</f>
        <v>10</v>
      </c>
      <c r="F64" s="281">
        <f>_xlfn.DAYS(About!$A$3,'Core Indicators'!BQ64)</f>
        <v>10</v>
      </c>
      <c r="G64" s="281">
        <f>_xlfn.DAYS(About!$A$3,'Core Indicators'!DM64)</f>
        <v>10</v>
      </c>
      <c r="H64" s="281">
        <f>_xlfn.DAYS(About!$A$3,'Core Indicators'!DU64)</f>
        <v>10</v>
      </c>
      <c r="I64" s="281">
        <f>_xlfn.DAYS(About!$A$3,'Core Indicators'!EC64)</f>
        <v>10</v>
      </c>
      <c r="J64" s="281">
        <f>_xlfn.DAYS(About!$A$3,'Core Indicators'!EK64)</f>
        <v>10</v>
      </c>
      <c r="K64" s="281">
        <f>_xlfn.DAYS(About!$A$3,'Core Indicators'!ES64)</f>
        <v>10</v>
      </c>
      <c r="L64" s="281">
        <f>_xlfn.DAYS(About!$A$3,'Core Indicators'!FI64)</f>
        <v>629</v>
      </c>
      <c r="M64" s="281">
        <f>_xlfn.DAYS(About!$A$3,'Core Indicators'!GG64)</f>
        <v>370</v>
      </c>
      <c r="N64" s="281">
        <f>_xlfn.DAYS(About!$A$3,'Core Indicators'!GO64)</f>
        <v>370</v>
      </c>
      <c r="O64" s="281">
        <f>_xlfn.DAYS(About!$A$3,'Core Indicators'!GW64)</f>
        <v>370</v>
      </c>
      <c r="P64" s="281">
        <f>_xlfn.DAYS(About!$A$3,'Core Indicators'!HE64)</f>
        <v>370</v>
      </c>
      <c r="Q64" s="281">
        <f>_xlfn.DAYS(About!$A$3,'Core Indicators'!HM64)</f>
        <v>370</v>
      </c>
      <c r="R64" s="281">
        <f>_xlfn.DAYS(About!$A$3,'Core Indicators'!HU64)</f>
        <v>370</v>
      </c>
      <c r="S64" s="281">
        <f>_xlfn.DAYS(About!$A$3,'Core Indicators'!IC64)</f>
        <v>370</v>
      </c>
      <c r="T64" s="281">
        <f>_xlfn.DAYS(About!$A$3,'Core Indicators'!IK64)</f>
        <v>370</v>
      </c>
      <c r="U64" s="281">
        <f>_xlfn.DAYS(About!$A$3,'Core Indicators'!IS64)</f>
        <v>370</v>
      </c>
      <c r="V64" s="282">
        <f t="shared" si="0"/>
        <v>107.9</v>
      </c>
    </row>
    <row r="65" spans="1:22" x14ac:dyDescent="0.3">
      <c r="A65" s="280" t="str">
        <f>Lists!C:C</f>
        <v>JOR002</v>
      </c>
      <c r="B65" s="281">
        <f>_xlfn.DAYS(About!$A$3,'Core Indicators'!U65)</f>
        <v>38</v>
      </c>
      <c r="C65" s="281">
        <f>_xlfn.DAYS(About!$A$3,'Core Indicators'!AC65)</f>
        <v>38</v>
      </c>
      <c r="D65" s="281">
        <f>_xlfn.DAYS(About!$A$3,'Core Indicators'!AK65)</f>
        <v>38</v>
      </c>
      <c r="E65" s="281">
        <f>_xlfn.DAYS(About!$A$3,'Core Indicators'!AS65)</f>
        <v>38</v>
      </c>
      <c r="F65" s="281">
        <f>_xlfn.DAYS(About!$A$3,'Core Indicators'!BQ65)</f>
        <v>38</v>
      </c>
      <c r="G65" s="281">
        <f>_xlfn.DAYS(About!$A$3,'Core Indicators'!DM65)</f>
        <v>38</v>
      </c>
      <c r="H65" s="281">
        <f>_xlfn.DAYS(About!$A$3,'Core Indicators'!DU65)</f>
        <v>38</v>
      </c>
      <c r="I65" s="281">
        <f>_xlfn.DAYS(About!$A$3,'Core Indicators'!EC65)</f>
        <v>38</v>
      </c>
      <c r="J65" s="281">
        <f>_xlfn.DAYS(About!$A$3,'Core Indicators'!EK65)</f>
        <v>38</v>
      </c>
      <c r="K65" s="281">
        <f>_xlfn.DAYS(About!$A$3,'Core Indicators'!ES65)</f>
        <v>38</v>
      </c>
      <c r="L65" s="281">
        <f>_xlfn.DAYS(About!$A$3,'Core Indicators'!FI65)</f>
        <v>125</v>
      </c>
      <c r="M65" s="281">
        <f>_xlfn.DAYS(About!$A$3,'Core Indicators'!GG65)</f>
        <v>370</v>
      </c>
      <c r="N65" s="281">
        <f>_xlfn.DAYS(About!$A$3,'Core Indicators'!GO65)</f>
        <v>370</v>
      </c>
      <c r="O65" s="281">
        <f>_xlfn.DAYS(About!$A$3,'Core Indicators'!GW65)</f>
        <v>370</v>
      </c>
      <c r="P65" s="281">
        <f>_xlfn.DAYS(About!$A$3,'Core Indicators'!HE65)</f>
        <v>370</v>
      </c>
      <c r="Q65" s="281">
        <f>_xlfn.DAYS(About!$A$3,'Core Indicators'!HM65)</f>
        <v>370</v>
      </c>
      <c r="R65" s="281">
        <f>_xlfn.DAYS(About!$A$3,'Core Indicators'!HU65)</f>
        <v>370</v>
      </c>
      <c r="S65" s="281">
        <f>_xlfn.DAYS(About!$A$3,'Core Indicators'!IC65)</f>
        <v>370</v>
      </c>
      <c r="T65" s="281">
        <f>_xlfn.DAYS(About!$A$3,'Core Indicators'!IK65)</f>
        <v>370</v>
      </c>
      <c r="U65" s="281">
        <f>_xlfn.DAYS(About!$A$3,'Core Indicators'!IS65)</f>
        <v>370</v>
      </c>
      <c r="V65" s="282">
        <f t="shared" si="0"/>
        <v>79.900000000000006</v>
      </c>
    </row>
    <row r="66" spans="1:22" x14ac:dyDescent="0.3">
      <c r="A66" s="280" t="str">
        <f>Lists!C:C</f>
        <v>KEN001</v>
      </c>
      <c r="B66" s="281">
        <f>_xlfn.DAYS(About!$A$3,'Core Indicators'!U66)</f>
        <v>29</v>
      </c>
      <c r="C66" s="281">
        <f>_xlfn.DAYS(About!$A$3,'Core Indicators'!AC66)</f>
        <v>126</v>
      </c>
      <c r="D66" s="281">
        <f>_xlfn.DAYS(About!$A$3,'Core Indicators'!AK66)</f>
        <v>126</v>
      </c>
      <c r="E66" s="281">
        <f>_xlfn.DAYS(About!$A$3,'Core Indicators'!AS66)</f>
        <v>126</v>
      </c>
      <c r="F66" s="281">
        <f>_xlfn.DAYS(About!$A$3,'Core Indicators'!BQ66)</f>
        <v>0</v>
      </c>
      <c r="G66" s="281">
        <f>_xlfn.DAYS(About!$A$3,'Core Indicators'!DM66)</f>
        <v>126</v>
      </c>
      <c r="H66" s="281">
        <f>_xlfn.DAYS(About!$A$3,'Core Indicators'!DU66)</f>
        <v>126</v>
      </c>
      <c r="I66" s="281">
        <f>_xlfn.DAYS(About!$A$3,'Core Indicators'!EC66)</f>
        <v>126</v>
      </c>
      <c r="J66" s="281">
        <f>_xlfn.DAYS(About!$A$3,'Core Indicators'!EK66)</f>
        <v>126</v>
      </c>
      <c r="K66" s="281">
        <f>_xlfn.DAYS(About!$A$3,'Core Indicators'!ES66)</f>
        <v>126</v>
      </c>
      <c r="L66" s="281">
        <f>_xlfn.DAYS(About!$A$3,'Core Indicators'!FI66)</f>
        <v>499</v>
      </c>
      <c r="M66" s="281">
        <f>_xlfn.DAYS(About!$A$3,'Core Indicators'!GG66)</f>
        <v>373</v>
      </c>
      <c r="N66" s="281">
        <f>_xlfn.DAYS(About!$A$3,'Core Indicators'!GO66)</f>
        <v>373</v>
      </c>
      <c r="O66" s="281">
        <f>_xlfn.DAYS(About!$A$3,'Core Indicators'!GW66)</f>
        <v>373</v>
      </c>
      <c r="P66" s="281">
        <f>_xlfn.DAYS(About!$A$3,'Core Indicators'!HE66)</f>
        <v>373</v>
      </c>
      <c r="Q66" s="281">
        <f>_xlfn.DAYS(About!$A$3,'Core Indicators'!HM66)</f>
        <v>373</v>
      </c>
      <c r="R66" s="281">
        <f>_xlfn.DAYS(About!$A$3,'Core Indicators'!HU66)</f>
        <v>373</v>
      </c>
      <c r="S66" s="281">
        <f>_xlfn.DAYS(About!$A$3,'Core Indicators'!IC66)</f>
        <v>373</v>
      </c>
      <c r="T66" s="281">
        <f>_xlfn.DAYS(About!$A$3,'Core Indicators'!IK66)</f>
        <v>373</v>
      </c>
      <c r="U66" s="281">
        <f>_xlfn.DAYS(About!$A$3,'Core Indicators'!IS66)</f>
        <v>373</v>
      </c>
      <c r="V66" s="282">
        <f t="shared" si="0"/>
        <v>175.4</v>
      </c>
    </row>
    <row r="67" spans="1:22" x14ac:dyDescent="0.3">
      <c r="A67" s="280" t="str">
        <f>Lists!C:C</f>
        <v>KEN002</v>
      </c>
      <c r="B67" s="281">
        <f>_xlfn.DAYS(About!$A$3,'Core Indicators'!U67)</f>
        <v>629</v>
      </c>
      <c r="C67" s="281">
        <f>_xlfn.DAYS(About!$A$3,'Core Indicators'!AC67)</f>
        <v>126</v>
      </c>
      <c r="D67" s="281">
        <f>_xlfn.DAYS(About!$A$3,'Core Indicators'!AK67)</f>
        <v>126</v>
      </c>
      <c r="E67" s="281">
        <f>_xlfn.DAYS(About!$A$3,'Core Indicators'!AS67)</f>
        <v>126</v>
      </c>
      <c r="F67" s="281">
        <f>_xlfn.DAYS(About!$A$3,'Core Indicators'!BQ67)</f>
        <v>629</v>
      </c>
      <c r="G67" s="281">
        <f>_xlfn.DAYS(About!$A$3,'Core Indicators'!DM67)</f>
        <v>220</v>
      </c>
      <c r="H67" s="281">
        <f>_xlfn.DAYS(About!$A$3,'Core Indicators'!DU67)</f>
        <v>220</v>
      </c>
      <c r="I67" s="281">
        <f>_xlfn.DAYS(About!$A$3,'Core Indicators'!EC67)</f>
        <v>126</v>
      </c>
      <c r="J67" s="281">
        <f>_xlfn.DAYS(About!$A$3,'Core Indicators'!EK67)</f>
        <v>220</v>
      </c>
      <c r="K67" s="281">
        <f>_xlfn.DAYS(About!$A$3,'Core Indicators'!ES67)</f>
        <v>220</v>
      </c>
      <c r="L67" s="281">
        <f>_xlfn.DAYS(About!$A$3,'Core Indicators'!FI67)</f>
        <v>629</v>
      </c>
      <c r="M67" s="281">
        <f>_xlfn.DAYS(About!$A$3,'Core Indicators'!GG67)</f>
        <v>373</v>
      </c>
      <c r="N67" s="281">
        <f>_xlfn.DAYS(About!$A$3,'Core Indicators'!GO67)</f>
        <v>373</v>
      </c>
      <c r="O67" s="281">
        <f>_xlfn.DAYS(About!$A$3,'Core Indicators'!GW67)</f>
        <v>373</v>
      </c>
      <c r="P67" s="281">
        <f>_xlfn.DAYS(About!$A$3,'Core Indicators'!HE67)</f>
        <v>373</v>
      </c>
      <c r="Q67" s="281">
        <f>_xlfn.DAYS(About!$A$3,'Core Indicators'!HM67)</f>
        <v>373</v>
      </c>
      <c r="R67" s="281">
        <f>_xlfn.DAYS(About!$A$3,'Core Indicators'!HU67)</f>
        <v>373</v>
      </c>
      <c r="S67" s="281">
        <f>_xlfn.DAYS(About!$A$3,'Core Indicators'!IC67)</f>
        <v>373</v>
      </c>
      <c r="T67" s="281">
        <f>_xlfn.DAYS(About!$A$3,'Core Indicators'!IK67)</f>
        <v>373</v>
      </c>
      <c r="U67" s="281">
        <f>_xlfn.DAYS(About!$A$3,'Core Indicators'!IS67)</f>
        <v>373</v>
      </c>
      <c r="V67" s="282">
        <f t="shared" si="0"/>
        <v>288.89999999999998</v>
      </c>
    </row>
    <row r="68" spans="1:22" x14ac:dyDescent="0.3">
      <c r="A68" s="280" t="str">
        <f>Lists!C:C</f>
        <v>KEN003</v>
      </c>
      <c r="B68" s="281">
        <f>_xlfn.DAYS(About!$A$3,'Core Indicators'!U68)</f>
        <v>29</v>
      </c>
      <c r="C68" s="281">
        <f>_xlfn.DAYS(About!$A$3,'Core Indicators'!AC68)</f>
        <v>126</v>
      </c>
      <c r="D68" s="281">
        <f>_xlfn.DAYS(About!$A$3,'Core Indicators'!AK68)</f>
        <v>126</v>
      </c>
      <c r="E68" s="281">
        <f>_xlfn.DAYS(About!$A$3,'Core Indicators'!AS68)</f>
        <v>499</v>
      </c>
      <c r="F68" s="281">
        <f>_xlfn.DAYS(About!$A$3,'Core Indicators'!BQ68)</f>
        <v>499</v>
      </c>
      <c r="G68" s="281">
        <f>_xlfn.DAYS(About!$A$3,'Core Indicators'!DM68)</f>
        <v>126</v>
      </c>
      <c r="H68" s="281">
        <f>_xlfn.DAYS(About!$A$3,'Core Indicators'!DU68)</f>
        <v>126</v>
      </c>
      <c r="I68" s="281">
        <f>_xlfn.DAYS(About!$A$3,'Core Indicators'!EC68)</f>
        <v>126</v>
      </c>
      <c r="J68" s="281">
        <f>_xlfn.DAYS(About!$A$3,'Core Indicators'!EK68)</f>
        <v>126</v>
      </c>
      <c r="K68" s="281">
        <f>_xlfn.DAYS(About!$A$3,'Core Indicators'!ES68)</f>
        <v>499</v>
      </c>
      <c r="L68" s="281">
        <f>_xlfn.DAYS(About!$A$3,'Core Indicators'!FI68)</f>
        <v>499</v>
      </c>
      <c r="M68" s="281">
        <f>_xlfn.DAYS(About!$A$3,'Core Indicators'!GG68)</f>
        <v>373</v>
      </c>
      <c r="N68" s="281">
        <f>_xlfn.DAYS(About!$A$3,'Core Indicators'!GO68)</f>
        <v>373</v>
      </c>
      <c r="O68" s="281">
        <f>_xlfn.DAYS(About!$A$3,'Core Indicators'!GW68)</f>
        <v>373</v>
      </c>
      <c r="P68" s="281">
        <f>_xlfn.DAYS(About!$A$3,'Core Indicators'!HE68)</f>
        <v>373</v>
      </c>
      <c r="Q68" s="281">
        <f>_xlfn.DAYS(About!$A$3,'Core Indicators'!HM68)</f>
        <v>373</v>
      </c>
      <c r="R68" s="281">
        <f>_xlfn.DAYS(About!$A$3,'Core Indicators'!HU68)</f>
        <v>373</v>
      </c>
      <c r="S68" s="281">
        <f>_xlfn.DAYS(About!$A$3,'Core Indicators'!IC68)</f>
        <v>373</v>
      </c>
      <c r="T68" s="281">
        <f>_xlfn.DAYS(About!$A$3,'Core Indicators'!IK68)</f>
        <v>373</v>
      </c>
      <c r="U68" s="281">
        <f>_xlfn.DAYS(About!$A$3,'Core Indicators'!IS68)</f>
        <v>373</v>
      </c>
      <c r="V68" s="282">
        <f t="shared" ref="V68:V131" si="1">AVERAGE(D68:M68)</f>
        <v>299.89999999999998</v>
      </c>
    </row>
    <row r="69" spans="1:22" x14ac:dyDescent="0.3">
      <c r="A69" s="280" t="str">
        <f>Lists!C:C</f>
        <v>KEN005</v>
      </c>
      <c r="B69" s="281">
        <f>_xlfn.DAYS(About!$A$3,'Core Indicators'!U69)</f>
        <v>153</v>
      </c>
      <c r="C69" s="281">
        <f>_xlfn.DAYS(About!$A$3,'Core Indicators'!AC69)</f>
        <v>153</v>
      </c>
      <c r="D69" s="281">
        <f>_xlfn.DAYS(About!$A$3,'Core Indicators'!AK69)</f>
        <v>153</v>
      </c>
      <c r="E69" s="281">
        <f>_xlfn.DAYS(About!$A$3,'Core Indicators'!AS69)</f>
        <v>153</v>
      </c>
      <c r="F69" s="281">
        <f>_xlfn.DAYS(About!$A$3,'Core Indicators'!BQ69)</f>
        <v>153</v>
      </c>
      <c r="G69" s="281">
        <f>_xlfn.DAYS(About!$A$3,'Core Indicators'!DM69)</f>
        <v>153</v>
      </c>
      <c r="H69" s="281">
        <f>_xlfn.DAYS(About!$A$3,'Core Indicators'!DU69)</f>
        <v>153</v>
      </c>
      <c r="I69" s="281">
        <f>_xlfn.DAYS(About!$A$3,'Core Indicators'!EC69)</f>
        <v>153</v>
      </c>
      <c r="J69" s="281">
        <f>_xlfn.DAYS(About!$A$3,'Core Indicators'!EK69)</f>
        <v>153</v>
      </c>
      <c r="K69" s="281">
        <f>_xlfn.DAYS(About!$A$3,'Core Indicators'!ES69)</f>
        <v>153</v>
      </c>
      <c r="L69" s="281">
        <f>_xlfn.DAYS(About!$A$3,'Core Indicators'!FI69)</f>
        <v>190</v>
      </c>
      <c r="M69" s="281">
        <f>_xlfn.DAYS(About!$A$3,'Core Indicators'!GG69)</f>
        <v>190</v>
      </c>
      <c r="N69" s="281">
        <f>_xlfn.DAYS(About!$A$3,'Core Indicators'!GO69)</f>
        <v>190</v>
      </c>
      <c r="O69" s="281">
        <f>_xlfn.DAYS(About!$A$3,'Core Indicators'!GW69)</f>
        <v>190</v>
      </c>
      <c r="P69" s="281">
        <f>_xlfn.DAYS(About!$A$3,'Core Indicators'!HE69)</f>
        <v>190</v>
      </c>
      <c r="Q69" s="281">
        <f>_xlfn.DAYS(About!$A$3,'Core Indicators'!HM69)</f>
        <v>190</v>
      </c>
      <c r="R69" s="281">
        <f>_xlfn.DAYS(About!$A$3,'Core Indicators'!HU69)</f>
        <v>190</v>
      </c>
      <c r="S69" s="281">
        <f>_xlfn.DAYS(About!$A$3,'Core Indicators'!IC69)</f>
        <v>190</v>
      </c>
      <c r="T69" s="281">
        <f>_xlfn.DAYS(About!$A$3,'Core Indicators'!IK69)</f>
        <v>190</v>
      </c>
      <c r="U69" s="281">
        <f>_xlfn.DAYS(About!$A$3,'Core Indicators'!IS69)</f>
        <v>190</v>
      </c>
      <c r="V69" s="282">
        <f t="shared" si="1"/>
        <v>160.4</v>
      </c>
    </row>
    <row r="70" spans="1:22" x14ac:dyDescent="0.3">
      <c r="A70" s="280" t="str">
        <f>Lists!C:C</f>
        <v>LBN002</v>
      </c>
      <c r="B70" s="281">
        <f>_xlfn.DAYS(About!$A$3,'Core Indicators'!U70)</f>
        <v>153</v>
      </c>
      <c r="C70" s="281">
        <f>_xlfn.DAYS(About!$A$3,'Core Indicators'!AC70)</f>
        <v>153</v>
      </c>
      <c r="D70" s="281">
        <f>_xlfn.DAYS(About!$A$3,'Core Indicators'!AK70)</f>
        <v>153</v>
      </c>
      <c r="E70" s="281">
        <f>_xlfn.DAYS(About!$A$3,'Core Indicators'!AS70)</f>
        <v>153</v>
      </c>
      <c r="F70" s="281">
        <f>_xlfn.DAYS(About!$A$3,'Core Indicators'!BQ70)</f>
        <v>8</v>
      </c>
      <c r="G70" s="281">
        <f>_xlfn.DAYS(About!$A$3,'Core Indicators'!DM70)</f>
        <v>8</v>
      </c>
      <c r="H70" s="281">
        <f>_xlfn.DAYS(About!$A$3,'Core Indicators'!DU70)</f>
        <v>8</v>
      </c>
      <c r="I70" s="281">
        <f>_xlfn.DAYS(About!$A$3,'Core Indicators'!EC70)</f>
        <v>8</v>
      </c>
      <c r="J70" s="281">
        <f>_xlfn.DAYS(About!$A$3,'Core Indicators'!EK70)</f>
        <v>8</v>
      </c>
      <c r="K70" s="281">
        <f>_xlfn.DAYS(About!$A$3,'Core Indicators'!ES70)</f>
        <v>8</v>
      </c>
      <c r="L70" s="281">
        <f>_xlfn.DAYS(About!$A$3,'Core Indicators'!FI70)</f>
        <v>153</v>
      </c>
      <c r="M70" s="281">
        <f>_xlfn.DAYS(About!$A$3,'Core Indicators'!GG70)</f>
        <v>373</v>
      </c>
      <c r="N70" s="281">
        <f>_xlfn.DAYS(About!$A$3,'Core Indicators'!GO70)</f>
        <v>373</v>
      </c>
      <c r="O70" s="281">
        <f>_xlfn.DAYS(About!$A$3,'Core Indicators'!GW70)</f>
        <v>373</v>
      </c>
      <c r="P70" s="281">
        <f>_xlfn.DAYS(About!$A$3,'Core Indicators'!HE70)</f>
        <v>373</v>
      </c>
      <c r="Q70" s="281">
        <f>_xlfn.DAYS(About!$A$3,'Core Indicators'!HM70)</f>
        <v>373</v>
      </c>
      <c r="R70" s="281">
        <f>_xlfn.DAYS(About!$A$3,'Core Indicators'!HU70)</f>
        <v>373</v>
      </c>
      <c r="S70" s="281">
        <f>_xlfn.DAYS(About!$A$3,'Core Indicators'!IC70)</f>
        <v>373</v>
      </c>
      <c r="T70" s="281">
        <f>_xlfn.DAYS(About!$A$3,'Core Indicators'!IK70)</f>
        <v>373</v>
      </c>
      <c r="U70" s="281">
        <f>_xlfn.DAYS(About!$A$3,'Core Indicators'!IS70)</f>
        <v>373</v>
      </c>
      <c r="V70" s="282">
        <f t="shared" si="1"/>
        <v>88</v>
      </c>
    </row>
    <row r="71" spans="1:22" x14ac:dyDescent="0.3">
      <c r="A71" s="280" t="str">
        <f>Lists!C:C</f>
        <v>LBN004</v>
      </c>
      <c r="B71" s="281">
        <f>_xlfn.DAYS(About!$A$3,'Core Indicators'!U71)</f>
        <v>190</v>
      </c>
      <c r="C71" s="281">
        <f>_xlfn.DAYS(About!$A$3,'Core Indicators'!AC71)</f>
        <v>190</v>
      </c>
      <c r="D71" s="281">
        <f>_xlfn.DAYS(About!$A$3,'Core Indicators'!AK71)</f>
        <v>36</v>
      </c>
      <c r="E71" s="281">
        <f>_xlfn.DAYS(About!$A$3,'Core Indicators'!AS71)</f>
        <v>190</v>
      </c>
      <c r="F71" s="281">
        <f>_xlfn.DAYS(About!$A$3,'Core Indicators'!BQ71)</f>
        <v>8</v>
      </c>
      <c r="G71" s="281">
        <f>_xlfn.DAYS(About!$A$3,'Core Indicators'!DM71)</f>
        <v>36</v>
      </c>
      <c r="H71" s="281">
        <f>_xlfn.DAYS(About!$A$3,'Core Indicators'!DU71)</f>
        <v>36</v>
      </c>
      <c r="I71" s="281">
        <f>_xlfn.DAYS(About!$A$3,'Core Indicators'!EC71)</f>
        <v>36</v>
      </c>
      <c r="J71" s="281">
        <f>_xlfn.DAYS(About!$A$3,'Core Indicators'!EK71)</f>
        <v>36</v>
      </c>
      <c r="K71" s="281">
        <f>_xlfn.DAYS(About!$A$3,'Core Indicators'!ES71)</f>
        <v>36</v>
      </c>
      <c r="L71" s="281">
        <f>_xlfn.DAYS(About!$A$3,'Core Indicators'!FI71)</f>
        <v>190</v>
      </c>
      <c r="M71" s="281">
        <f>_xlfn.DAYS(About!$A$3,'Core Indicators'!GG71)</f>
        <v>190</v>
      </c>
      <c r="N71" s="281">
        <f>_xlfn.DAYS(About!$A$3,'Core Indicators'!GO71)</f>
        <v>190</v>
      </c>
      <c r="O71" s="281">
        <f>_xlfn.DAYS(About!$A$3,'Core Indicators'!GW71)</f>
        <v>190</v>
      </c>
      <c r="P71" s="281">
        <f>_xlfn.DAYS(About!$A$3,'Core Indicators'!HE71)</f>
        <v>190</v>
      </c>
      <c r="Q71" s="281">
        <f>_xlfn.DAYS(About!$A$3,'Core Indicators'!HM71)</f>
        <v>190</v>
      </c>
      <c r="R71" s="281">
        <f>_xlfn.DAYS(About!$A$3,'Core Indicators'!HU71)</f>
        <v>190</v>
      </c>
      <c r="S71" s="281">
        <f>_xlfn.DAYS(About!$A$3,'Core Indicators'!IC71)</f>
        <v>190</v>
      </c>
      <c r="T71" s="281">
        <f>_xlfn.DAYS(About!$A$3,'Core Indicators'!IK71)</f>
        <v>190</v>
      </c>
      <c r="U71" s="281">
        <f>_xlfn.DAYS(About!$A$3,'Core Indicators'!IS71)</f>
        <v>190</v>
      </c>
      <c r="V71" s="282">
        <f t="shared" si="1"/>
        <v>79.400000000000006</v>
      </c>
    </row>
    <row r="72" spans="1:22" x14ac:dyDescent="0.3">
      <c r="A72" s="280" t="str">
        <f>Lists!C:C</f>
        <v>LBN005</v>
      </c>
      <c r="B72" s="281">
        <f>_xlfn.DAYS(About!$A$3,'Core Indicators'!U72)</f>
        <v>76</v>
      </c>
      <c r="C72" s="281">
        <f>_xlfn.DAYS(About!$A$3,'Core Indicators'!AC72)</f>
        <v>76</v>
      </c>
      <c r="D72" s="281">
        <f>_xlfn.DAYS(About!$A$3,'Core Indicators'!AK72)</f>
        <v>76</v>
      </c>
      <c r="E72" s="281">
        <f>_xlfn.DAYS(About!$A$3,'Core Indicators'!AS72)</f>
        <v>76</v>
      </c>
      <c r="F72" s="281">
        <f>_xlfn.DAYS(About!$A$3,'Core Indicators'!BQ72)</f>
        <v>8</v>
      </c>
      <c r="G72" s="281">
        <f>_xlfn.DAYS(About!$A$3,'Core Indicators'!DM72)</f>
        <v>76</v>
      </c>
      <c r="H72" s="281">
        <f>_xlfn.DAYS(About!$A$3,'Core Indicators'!DU72)</f>
        <v>76</v>
      </c>
      <c r="I72" s="281">
        <f>_xlfn.DAYS(About!$A$3,'Core Indicators'!EC72)</f>
        <v>76</v>
      </c>
      <c r="J72" s="281">
        <f>_xlfn.DAYS(About!$A$3,'Core Indicators'!EK72)</f>
        <v>76</v>
      </c>
      <c r="K72" s="281">
        <f>_xlfn.DAYS(About!$A$3,'Core Indicators'!ES72)</f>
        <v>76</v>
      </c>
      <c r="L72" s="281">
        <f>_xlfn.DAYS(About!$A$3,'Core Indicators'!FI72)</f>
        <v>76</v>
      </c>
      <c r="M72" s="281">
        <f>_xlfn.DAYS(About!$A$3,'Core Indicators'!GG72)</f>
        <v>76</v>
      </c>
      <c r="N72" s="281">
        <f>_xlfn.DAYS(About!$A$3,'Core Indicators'!GO72)</f>
        <v>76</v>
      </c>
      <c r="O72" s="281">
        <f>_xlfn.DAYS(About!$A$3,'Core Indicators'!GW72)</f>
        <v>76</v>
      </c>
      <c r="P72" s="281">
        <f>_xlfn.DAYS(About!$A$3,'Core Indicators'!HE72)</f>
        <v>76</v>
      </c>
      <c r="Q72" s="281">
        <f>_xlfn.DAYS(About!$A$3,'Core Indicators'!HM72)</f>
        <v>76</v>
      </c>
      <c r="R72" s="281">
        <f>_xlfn.DAYS(About!$A$3,'Core Indicators'!HU72)</f>
        <v>76</v>
      </c>
      <c r="S72" s="281">
        <f>_xlfn.DAYS(About!$A$3,'Core Indicators'!IC72)</f>
        <v>76</v>
      </c>
      <c r="T72" s="281">
        <f>_xlfn.DAYS(About!$A$3,'Core Indicators'!IK72)</f>
        <v>76</v>
      </c>
      <c r="U72" s="281">
        <f>_xlfn.DAYS(About!$A$3,'Core Indicators'!IS72)</f>
        <v>76</v>
      </c>
      <c r="V72" s="282">
        <f t="shared" si="1"/>
        <v>69.2</v>
      </c>
    </row>
    <row r="73" spans="1:22" x14ac:dyDescent="0.3">
      <c r="A73" s="280" t="str">
        <f>Lists!C:C</f>
        <v>LSO002</v>
      </c>
      <c r="B73" s="281">
        <f>_xlfn.DAYS(About!$A$3,'Core Indicators'!U73)</f>
        <v>464</v>
      </c>
      <c r="C73" s="281">
        <f>_xlfn.DAYS(About!$A$3,'Core Indicators'!AC73)</f>
        <v>6</v>
      </c>
      <c r="D73" s="281">
        <f>_xlfn.DAYS(About!$A$3,'Core Indicators'!AK73)</f>
        <v>6</v>
      </c>
      <c r="E73" s="281">
        <f>_xlfn.DAYS(About!$A$3,'Core Indicators'!AS73)</f>
        <v>27</v>
      </c>
      <c r="F73" s="281">
        <f>_xlfn.DAYS(About!$A$3,'Core Indicators'!BQ73)</f>
        <v>645</v>
      </c>
      <c r="G73" s="281">
        <f>_xlfn.DAYS(About!$A$3,'Core Indicators'!DM73)</f>
        <v>6</v>
      </c>
      <c r="H73" s="281">
        <f>_xlfn.DAYS(About!$A$3,'Core Indicators'!DU73)</f>
        <v>6</v>
      </c>
      <c r="I73" s="281">
        <f>_xlfn.DAYS(About!$A$3,'Core Indicators'!EC73)</f>
        <v>6</v>
      </c>
      <c r="J73" s="281">
        <f>_xlfn.DAYS(About!$A$3,'Core Indicators'!EK73)</f>
        <v>6</v>
      </c>
      <c r="K73" s="281">
        <f>_xlfn.DAYS(About!$A$3,'Core Indicators'!ES73)</f>
        <v>6</v>
      </c>
      <c r="L73" s="281">
        <f>_xlfn.DAYS(About!$A$3,'Core Indicators'!FI73)</f>
        <v>645</v>
      </c>
      <c r="M73" s="281">
        <f>_xlfn.DAYS(About!$A$3,'Core Indicators'!GG73)</f>
        <v>374</v>
      </c>
      <c r="N73" s="281">
        <f>_xlfn.DAYS(About!$A$3,'Core Indicators'!GO73)</f>
        <v>374</v>
      </c>
      <c r="O73" s="281">
        <f>_xlfn.DAYS(About!$A$3,'Core Indicators'!GW73)</f>
        <v>374</v>
      </c>
      <c r="P73" s="281">
        <f>_xlfn.DAYS(About!$A$3,'Core Indicators'!HE73)</f>
        <v>374</v>
      </c>
      <c r="Q73" s="281">
        <f>_xlfn.DAYS(About!$A$3,'Core Indicators'!HM73)</f>
        <v>374</v>
      </c>
      <c r="R73" s="281">
        <f>_xlfn.DAYS(About!$A$3,'Core Indicators'!HU73)</f>
        <v>374</v>
      </c>
      <c r="S73" s="281">
        <f>_xlfn.DAYS(About!$A$3,'Core Indicators'!IC73)</f>
        <v>374</v>
      </c>
      <c r="T73" s="281">
        <f>_xlfn.DAYS(About!$A$3,'Core Indicators'!IK73)</f>
        <v>374</v>
      </c>
      <c r="U73" s="281">
        <f>_xlfn.DAYS(About!$A$3,'Core Indicators'!IS73)</f>
        <v>374</v>
      </c>
      <c r="V73" s="282">
        <f t="shared" si="1"/>
        <v>172.7</v>
      </c>
    </row>
    <row r="74" spans="1:22" x14ac:dyDescent="0.3">
      <c r="A74" s="280" t="str">
        <f>Lists!C:C</f>
        <v>REG012</v>
      </c>
      <c r="B74" s="281">
        <f>_xlfn.DAYS(About!$A$3,'Core Indicators'!U74)</f>
        <v>30</v>
      </c>
      <c r="C74" s="281">
        <f>_xlfn.DAYS(About!$A$3,'Core Indicators'!AC74)</f>
        <v>4</v>
      </c>
      <c r="D74" s="281">
        <f>_xlfn.DAYS(About!$A$3,'Core Indicators'!AK74)</f>
        <v>4</v>
      </c>
      <c r="E74" s="281">
        <f>_xlfn.DAYS(About!$A$3,'Core Indicators'!AS74)</f>
        <v>71</v>
      </c>
      <c r="F74" s="281">
        <f>_xlfn.DAYS(About!$A$3,'Core Indicators'!BQ74)</f>
        <v>4</v>
      </c>
      <c r="G74" s="281">
        <f>_xlfn.DAYS(About!$A$3,'Core Indicators'!DM74)</f>
        <v>4</v>
      </c>
      <c r="H74" s="281">
        <f>_xlfn.DAYS(About!$A$3,'Core Indicators'!DU74)</f>
        <v>4</v>
      </c>
      <c r="I74" s="281">
        <f>_xlfn.DAYS(About!$A$3,'Core Indicators'!EC74)</f>
        <v>4</v>
      </c>
      <c r="J74" s="281">
        <f>_xlfn.DAYS(About!$A$3,'Core Indicators'!EK74)</f>
        <v>4</v>
      </c>
      <c r="K74" s="281">
        <f>_xlfn.DAYS(About!$A$3,'Core Indicators'!ES74)</f>
        <v>4</v>
      </c>
      <c r="L74" s="281">
        <f>_xlfn.DAYS(About!$A$3,'Core Indicators'!FI74)</f>
        <v>266</v>
      </c>
      <c r="M74" s="281">
        <f>_xlfn.DAYS(About!$A$3,'Core Indicators'!GG74)</f>
        <v>266</v>
      </c>
      <c r="N74" s="281">
        <f>_xlfn.DAYS(About!$A$3,'Core Indicators'!GO74)</f>
        <v>266</v>
      </c>
      <c r="O74" s="281">
        <f>_xlfn.DAYS(About!$A$3,'Core Indicators'!GW74)</f>
        <v>266</v>
      </c>
      <c r="P74" s="281">
        <f>_xlfn.DAYS(About!$A$3,'Core Indicators'!HE74)</f>
        <v>266</v>
      </c>
      <c r="Q74" s="281">
        <f>_xlfn.DAYS(About!$A$3,'Core Indicators'!HM74)</f>
        <v>266</v>
      </c>
      <c r="R74" s="281">
        <f>_xlfn.DAYS(About!$A$3,'Core Indicators'!HU74)</f>
        <v>266</v>
      </c>
      <c r="S74" s="281">
        <f>_xlfn.DAYS(About!$A$3,'Core Indicators'!IC74)</f>
        <v>266</v>
      </c>
      <c r="T74" s="281">
        <f>_xlfn.DAYS(About!$A$3,'Core Indicators'!IK74)</f>
        <v>266</v>
      </c>
      <c r="U74" s="281">
        <f>_xlfn.DAYS(About!$A$3,'Core Indicators'!IS74)</f>
        <v>266</v>
      </c>
      <c r="V74" s="282">
        <f t="shared" si="1"/>
        <v>63.1</v>
      </c>
    </row>
    <row r="75" spans="1:22" x14ac:dyDescent="0.3">
      <c r="A75" s="280" t="str">
        <f>Lists!C:C</f>
        <v>LBY001</v>
      </c>
      <c r="B75" s="281">
        <f>_xlfn.DAYS(About!$A$3,'Core Indicators'!U75)</f>
        <v>190</v>
      </c>
      <c r="C75" s="281">
        <f>_xlfn.DAYS(About!$A$3,'Core Indicators'!AC75)</f>
        <v>190</v>
      </c>
      <c r="D75" s="281">
        <f>_xlfn.DAYS(About!$A$3,'Core Indicators'!AK75)</f>
        <v>190</v>
      </c>
      <c r="E75" s="281">
        <f>_xlfn.DAYS(About!$A$3,'Core Indicators'!AS75)</f>
        <v>38</v>
      </c>
      <c r="F75" s="281">
        <f>_xlfn.DAYS(About!$A$3,'Core Indicators'!BQ75)</f>
        <v>10</v>
      </c>
      <c r="G75" s="281">
        <f>_xlfn.DAYS(About!$A$3,'Core Indicators'!DM75)</f>
        <v>190</v>
      </c>
      <c r="H75" s="281">
        <f>_xlfn.DAYS(About!$A$3,'Core Indicators'!DU75)</f>
        <v>190</v>
      </c>
      <c r="I75" s="281">
        <f>_xlfn.DAYS(About!$A$3,'Core Indicators'!EC75)</f>
        <v>190</v>
      </c>
      <c r="J75" s="281">
        <f>_xlfn.DAYS(About!$A$3,'Core Indicators'!EK75)</f>
        <v>190</v>
      </c>
      <c r="K75" s="281">
        <f>_xlfn.DAYS(About!$A$3,'Core Indicators'!ES75)</f>
        <v>190</v>
      </c>
      <c r="L75" s="281">
        <f>_xlfn.DAYS(About!$A$3,'Core Indicators'!FI75)</f>
        <v>190</v>
      </c>
      <c r="M75" s="281">
        <f>_xlfn.DAYS(About!$A$3,'Core Indicators'!GG75)</f>
        <v>373</v>
      </c>
      <c r="N75" s="281">
        <f>_xlfn.DAYS(About!$A$3,'Core Indicators'!GO75)</f>
        <v>373</v>
      </c>
      <c r="O75" s="281">
        <f>_xlfn.DAYS(About!$A$3,'Core Indicators'!GW75)</f>
        <v>373</v>
      </c>
      <c r="P75" s="281">
        <f>_xlfn.DAYS(About!$A$3,'Core Indicators'!HE75)</f>
        <v>373</v>
      </c>
      <c r="Q75" s="281">
        <f>_xlfn.DAYS(About!$A$3,'Core Indicators'!HM75)</f>
        <v>373</v>
      </c>
      <c r="R75" s="281">
        <f>_xlfn.DAYS(About!$A$3,'Core Indicators'!HU75)</f>
        <v>373</v>
      </c>
      <c r="S75" s="281">
        <f>_xlfn.DAYS(About!$A$3,'Core Indicators'!IC75)</f>
        <v>373</v>
      </c>
      <c r="T75" s="281">
        <f>_xlfn.DAYS(About!$A$3,'Core Indicators'!IK75)</f>
        <v>373</v>
      </c>
      <c r="U75" s="281">
        <f>_xlfn.DAYS(About!$A$3,'Core Indicators'!IS75)</f>
        <v>373</v>
      </c>
      <c r="V75" s="282">
        <f t="shared" si="1"/>
        <v>175.1</v>
      </c>
    </row>
    <row r="76" spans="1:22" x14ac:dyDescent="0.3">
      <c r="A76" s="280" t="str">
        <f>Lists!C:C</f>
        <v>LBY002</v>
      </c>
      <c r="B76" s="281">
        <f>_xlfn.DAYS(About!$A$3,'Core Indicators'!U76)</f>
        <v>38</v>
      </c>
      <c r="C76" s="281">
        <f>_xlfn.DAYS(About!$A$3,'Core Indicators'!AC76)</f>
        <v>38</v>
      </c>
      <c r="D76" s="281">
        <f>_xlfn.DAYS(About!$A$3,'Core Indicators'!AK76)</f>
        <v>27</v>
      </c>
      <c r="E76" s="281">
        <f>_xlfn.DAYS(About!$A$3,'Core Indicators'!AS76)</f>
        <v>27</v>
      </c>
      <c r="F76" s="281">
        <f>_xlfn.DAYS(About!$A$3,'Core Indicators'!BQ76)</f>
        <v>10</v>
      </c>
      <c r="G76" s="281">
        <f>_xlfn.DAYS(About!$A$3,'Core Indicators'!DM76)</f>
        <v>29</v>
      </c>
      <c r="H76" s="281">
        <f>_xlfn.DAYS(About!$A$3,'Core Indicators'!DU76)</f>
        <v>38</v>
      </c>
      <c r="I76" s="281">
        <f>_xlfn.DAYS(About!$A$3,'Core Indicators'!EC76)</f>
        <v>38</v>
      </c>
      <c r="J76" s="281">
        <f>_xlfn.DAYS(About!$A$3,'Core Indicators'!EK76)</f>
        <v>38</v>
      </c>
      <c r="K76" s="281">
        <f>_xlfn.DAYS(About!$A$3,'Core Indicators'!ES76)</f>
        <v>38</v>
      </c>
      <c r="L76" s="281">
        <f>_xlfn.DAYS(About!$A$3,'Core Indicators'!FI76)</f>
        <v>190</v>
      </c>
      <c r="M76" s="281">
        <f>_xlfn.DAYS(About!$A$3,'Core Indicators'!GG76)</f>
        <v>373</v>
      </c>
      <c r="N76" s="281">
        <f>_xlfn.DAYS(About!$A$3,'Core Indicators'!GO76)</f>
        <v>373</v>
      </c>
      <c r="O76" s="281">
        <f>_xlfn.DAYS(About!$A$3,'Core Indicators'!GW76)</f>
        <v>373</v>
      </c>
      <c r="P76" s="281">
        <f>_xlfn.DAYS(About!$A$3,'Core Indicators'!HE76)</f>
        <v>373</v>
      </c>
      <c r="Q76" s="281">
        <f>_xlfn.DAYS(About!$A$3,'Core Indicators'!HM76)</f>
        <v>373</v>
      </c>
      <c r="R76" s="281">
        <f>_xlfn.DAYS(About!$A$3,'Core Indicators'!HU76)</f>
        <v>373</v>
      </c>
      <c r="S76" s="281">
        <f>_xlfn.DAYS(About!$A$3,'Core Indicators'!IC76)</f>
        <v>373</v>
      </c>
      <c r="T76" s="281">
        <f>_xlfn.DAYS(About!$A$3,'Core Indicators'!IK76)</f>
        <v>373</v>
      </c>
      <c r="U76" s="281">
        <f>_xlfn.DAYS(About!$A$3,'Core Indicators'!IS76)</f>
        <v>373</v>
      </c>
      <c r="V76" s="282">
        <f t="shared" si="1"/>
        <v>80.8</v>
      </c>
    </row>
    <row r="77" spans="1:22" x14ac:dyDescent="0.3">
      <c r="A77" s="280" t="str">
        <f>Lists!C:C</f>
        <v>MDG002</v>
      </c>
      <c r="B77" s="281">
        <f>_xlfn.DAYS(About!$A$3,'Core Indicators'!U77)</f>
        <v>407</v>
      </c>
      <c r="C77" s="281">
        <f>_xlfn.DAYS(About!$A$3,'Core Indicators'!AC77)</f>
        <v>161</v>
      </c>
      <c r="D77" s="281">
        <f>_xlfn.DAYS(About!$A$3,'Core Indicators'!AK77)</f>
        <v>161</v>
      </c>
      <c r="E77" s="281">
        <f>_xlfn.DAYS(About!$A$3,'Core Indicators'!AS77)</f>
        <v>27</v>
      </c>
      <c r="F77" s="281">
        <f>_xlfn.DAYS(About!$A$3,'Core Indicators'!BQ77)</f>
        <v>6</v>
      </c>
      <c r="G77" s="281">
        <f>_xlfn.DAYS(About!$A$3,'Core Indicators'!DM77)</f>
        <v>161</v>
      </c>
      <c r="H77" s="281">
        <f>_xlfn.DAYS(About!$A$3,'Core Indicators'!DU77)</f>
        <v>161</v>
      </c>
      <c r="I77" s="281">
        <f>_xlfn.DAYS(About!$A$3,'Core Indicators'!EC77)</f>
        <v>161</v>
      </c>
      <c r="J77" s="281">
        <f>_xlfn.DAYS(About!$A$3,'Core Indicators'!EK77)</f>
        <v>161</v>
      </c>
      <c r="K77" s="281">
        <f>_xlfn.DAYS(About!$A$3,'Core Indicators'!ES77)</f>
        <v>161</v>
      </c>
      <c r="L77" s="281">
        <f>_xlfn.DAYS(About!$A$3,'Core Indicators'!FI77)</f>
        <v>490</v>
      </c>
      <c r="M77" s="281">
        <f>_xlfn.DAYS(About!$A$3,'Core Indicators'!GG77)</f>
        <v>374</v>
      </c>
      <c r="N77" s="281">
        <f>_xlfn.DAYS(About!$A$3,'Core Indicators'!GO77)</f>
        <v>374</v>
      </c>
      <c r="O77" s="281">
        <f>_xlfn.DAYS(About!$A$3,'Core Indicators'!GW77)</f>
        <v>374</v>
      </c>
      <c r="P77" s="281">
        <f>_xlfn.DAYS(About!$A$3,'Core Indicators'!HE77)</f>
        <v>374</v>
      </c>
      <c r="Q77" s="281">
        <f>_xlfn.DAYS(About!$A$3,'Core Indicators'!HM77)</f>
        <v>374</v>
      </c>
      <c r="R77" s="281">
        <f>_xlfn.DAYS(About!$A$3,'Core Indicators'!HU77)</f>
        <v>374</v>
      </c>
      <c r="S77" s="281">
        <f>_xlfn.DAYS(About!$A$3,'Core Indicators'!IC77)</f>
        <v>374</v>
      </c>
      <c r="T77" s="281">
        <f>_xlfn.DAYS(About!$A$3,'Core Indicators'!IK77)</f>
        <v>374</v>
      </c>
      <c r="U77" s="281">
        <f>_xlfn.DAYS(About!$A$3,'Core Indicators'!IS77)</f>
        <v>374</v>
      </c>
      <c r="V77" s="282">
        <f t="shared" si="1"/>
        <v>186.3</v>
      </c>
    </row>
    <row r="78" spans="1:22" x14ac:dyDescent="0.3">
      <c r="A78" s="280" t="str">
        <f>Lists!C:C</f>
        <v>MDG004</v>
      </c>
      <c r="B78" s="281">
        <f>_xlfn.DAYS(About!$A$3,'Core Indicators'!U78)</f>
        <v>272</v>
      </c>
      <c r="C78" s="281">
        <f>_xlfn.DAYS(About!$A$3,'Core Indicators'!AC78)</f>
        <v>272</v>
      </c>
      <c r="D78" s="281">
        <f>_xlfn.DAYS(About!$A$3,'Core Indicators'!AK78)</f>
        <v>272</v>
      </c>
      <c r="E78" s="281">
        <f>_xlfn.DAYS(About!$A$3,'Core Indicators'!AS78)</f>
        <v>272</v>
      </c>
      <c r="F78" s="281">
        <f>_xlfn.DAYS(About!$A$3,'Core Indicators'!BQ78)</f>
        <v>272</v>
      </c>
      <c r="G78" s="281">
        <f>_xlfn.DAYS(About!$A$3,'Core Indicators'!DM78)</f>
        <v>272</v>
      </c>
      <c r="H78" s="281">
        <f>_xlfn.DAYS(About!$A$3,'Core Indicators'!DU78)</f>
        <v>272</v>
      </c>
      <c r="I78" s="281">
        <f>_xlfn.DAYS(About!$A$3,'Core Indicators'!EC78)</f>
        <v>272</v>
      </c>
      <c r="J78" s="281">
        <f>_xlfn.DAYS(About!$A$3,'Core Indicators'!EK78)</f>
        <v>272</v>
      </c>
      <c r="K78" s="281">
        <f>_xlfn.DAYS(About!$A$3,'Core Indicators'!ES78)</f>
        <v>272</v>
      </c>
      <c r="L78" s="281">
        <f>_xlfn.DAYS(About!$A$3,'Core Indicators'!FI78)</f>
        <v>272</v>
      </c>
      <c r="M78" s="281">
        <f>_xlfn.DAYS(About!$A$3,'Core Indicators'!GG78)</f>
        <v>272</v>
      </c>
      <c r="N78" s="281">
        <f>_xlfn.DAYS(About!$A$3,'Core Indicators'!GO78)</f>
        <v>272</v>
      </c>
      <c r="O78" s="281">
        <f>_xlfn.DAYS(About!$A$3,'Core Indicators'!GW78)</f>
        <v>272</v>
      </c>
      <c r="P78" s="281">
        <f>_xlfn.DAYS(About!$A$3,'Core Indicators'!HE78)</f>
        <v>272</v>
      </c>
      <c r="Q78" s="281">
        <f>_xlfn.DAYS(About!$A$3,'Core Indicators'!HM78)</f>
        <v>272</v>
      </c>
      <c r="R78" s="281">
        <f>_xlfn.DAYS(About!$A$3,'Core Indicators'!HU78)</f>
        <v>272</v>
      </c>
      <c r="S78" s="281">
        <f>_xlfn.DAYS(About!$A$3,'Core Indicators'!IC78)</f>
        <v>272</v>
      </c>
      <c r="T78" s="281">
        <f>_xlfn.DAYS(About!$A$3,'Core Indicators'!IK78)</f>
        <v>272</v>
      </c>
      <c r="U78" s="281">
        <f>_xlfn.DAYS(About!$A$3,'Core Indicators'!IS78)</f>
        <v>272</v>
      </c>
      <c r="V78" s="282">
        <f t="shared" si="1"/>
        <v>272</v>
      </c>
    </row>
    <row r="79" spans="1:22" x14ac:dyDescent="0.3">
      <c r="A79" s="280" t="str">
        <f>Lists!C:C</f>
        <v>MDG005</v>
      </c>
      <c r="B79" s="281">
        <f>_xlfn.DAYS(About!$A$3,'Core Indicators'!U79)</f>
        <v>272</v>
      </c>
      <c r="C79" s="281">
        <f>_xlfn.DAYS(About!$A$3,'Core Indicators'!AC79)</f>
        <v>161</v>
      </c>
      <c r="D79" s="281">
        <f>_xlfn.DAYS(About!$A$3,'Core Indicators'!AK79)</f>
        <v>161</v>
      </c>
      <c r="E79" s="281">
        <f>_xlfn.DAYS(About!$A$3,'Core Indicators'!AS79)</f>
        <v>6</v>
      </c>
      <c r="F79" s="281">
        <f>_xlfn.DAYS(About!$A$3,'Core Indicators'!BQ79)</f>
        <v>6</v>
      </c>
      <c r="G79" s="281">
        <f>_xlfn.DAYS(About!$A$3,'Core Indicators'!DM79)</f>
        <v>161</v>
      </c>
      <c r="H79" s="281">
        <f>_xlfn.DAYS(About!$A$3,'Core Indicators'!DU79)</f>
        <v>161</v>
      </c>
      <c r="I79" s="281">
        <f>_xlfn.DAYS(About!$A$3,'Core Indicators'!EC79)</f>
        <v>161</v>
      </c>
      <c r="J79" s="281">
        <f>_xlfn.DAYS(About!$A$3,'Core Indicators'!EK79)</f>
        <v>161</v>
      </c>
      <c r="K79" s="281">
        <f>_xlfn.DAYS(About!$A$3,'Core Indicators'!ES79)</f>
        <v>161</v>
      </c>
      <c r="L79" s="281">
        <f>_xlfn.DAYS(About!$A$3,'Core Indicators'!FI79)</f>
        <v>272</v>
      </c>
      <c r="M79" s="281">
        <f>_xlfn.DAYS(About!$A$3,'Core Indicators'!GG79)</f>
        <v>272</v>
      </c>
      <c r="N79" s="281">
        <f>_xlfn.DAYS(About!$A$3,'Core Indicators'!GO79)</f>
        <v>272</v>
      </c>
      <c r="O79" s="281">
        <f>_xlfn.DAYS(About!$A$3,'Core Indicators'!GW79)</f>
        <v>272</v>
      </c>
      <c r="P79" s="281">
        <f>_xlfn.DAYS(About!$A$3,'Core Indicators'!HE79)</f>
        <v>272</v>
      </c>
      <c r="Q79" s="281">
        <f>_xlfn.DAYS(About!$A$3,'Core Indicators'!HM79)</f>
        <v>272</v>
      </c>
      <c r="R79" s="281">
        <f>_xlfn.DAYS(About!$A$3,'Core Indicators'!HU79)</f>
        <v>272</v>
      </c>
      <c r="S79" s="281">
        <f>_xlfn.DAYS(About!$A$3,'Core Indicators'!IC79)</f>
        <v>272</v>
      </c>
      <c r="T79" s="281">
        <f>_xlfn.DAYS(About!$A$3,'Core Indicators'!IK79)</f>
        <v>272</v>
      </c>
      <c r="U79" s="281">
        <f>_xlfn.DAYS(About!$A$3,'Core Indicators'!IS79)</f>
        <v>272</v>
      </c>
      <c r="V79" s="282">
        <f t="shared" si="1"/>
        <v>152.19999999999999</v>
      </c>
    </row>
    <row r="80" spans="1:22" x14ac:dyDescent="0.3">
      <c r="A80" s="280" t="str">
        <f>Lists!C:C</f>
        <v>MWI002</v>
      </c>
      <c r="B80" s="281">
        <f>_xlfn.DAYS(About!$A$3,'Core Indicators'!U80)</f>
        <v>591</v>
      </c>
      <c r="C80" s="281">
        <f>_xlfn.DAYS(About!$A$3,'Core Indicators'!AC80)</f>
        <v>6</v>
      </c>
      <c r="D80" s="281">
        <f>_xlfn.DAYS(About!$A$3,'Core Indicators'!AK80)</f>
        <v>6</v>
      </c>
      <c r="E80" s="281">
        <f>_xlfn.DAYS(About!$A$3,'Core Indicators'!AS80)</f>
        <v>434</v>
      </c>
      <c r="F80" s="281">
        <f>_xlfn.DAYS(About!$A$3,'Core Indicators'!BQ80)</f>
        <v>6</v>
      </c>
      <c r="G80" s="281">
        <f>_xlfn.DAYS(About!$A$3,'Core Indicators'!DM80)</f>
        <v>6</v>
      </c>
      <c r="H80" s="281">
        <f>_xlfn.DAYS(About!$A$3,'Core Indicators'!DU80)</f>
        <v>6</v>
      </c>
      <c r="I80" s="281">
        <f>_xlfn.DAYS(About!$A$3,'Core Indicators'!EC80)</f>
        <v>6</v>
      </c>
      <c r="J80" s="281">
        <f>_xlfn.DAYS(About!$A$3,'Core Indicators'!EK80)</f>
        <v>6</v>
      </c>
      <c r="K80" s="281">
        <f>_xlfn.DAYS(About!$A$3,'Core Indicators'!ES80)</f>
        <v>6</v>
      </c>
      <c r="L80" s="281">
        <f>_xlfn.DAYS(About!$A$3,'Core Indicators'!FI80)</f>
        <v>433</v>
      </c>
      <c r="M80" s="281">
        <f>_xlfn.DAYS(About!$A$3,'Core Indicators'!GG80)</f>
        <v>373</v>
      </c>
      <c r="N80" s="281">
        <f>_xlfn.DAYS(About!$A$3,'Core Indicators'!GO80)</f>
        <v>373</v>
      </c>
      <c r="O80" s="281">
        <f>_xlfn.DAYS(About!$A$3,'Core Indicators'!GW80)</f>
        <v>373</v>
      </c>
      <c r="P80" s="281">
        <f>_xlfn.DAYS(About!$A$3,'Core Indicators'!HE80)</f>
        <v>373</v>
      </c>
      <c r="Q80" s="281">
        <f>_xlfn.DAYS(About!$A$3,'Core Indicators'!HM80)</f>
        <v>373</v>
      </c>
      <c r="R80" s="281">
        <f>_xlfn.DAYS(About!$A$3,'Core Indicators'!HU80)</f>
        <v>373</v>
      </c>
      <c r="S80" s="281">
        <f>_xlfn.DAYS(About!$A$3,'Core Indicators'!IC80)</f>
        <v>373</v>
      </c>
      <c r="T80" s="281">
        <f>_xlfn.DAYS(About!$A$3,'Core Indicators'!IK80)</f>
        <v>373</v>
      </c>
      <c r="U80" s="281">
        <f>_xlfn.DAYS(About!$A$3,'Core Indicators'!IS80)</f>
        <v>373</v>
      </c>
      <c r="V80" s="282">
        <f t="shared" si="1"/>
        <v>128.19999999999999</v>
      </c>
    </row>
    <row r="81" spans="1:22" x14ac:dyDescent="0.3">
      <c r="A81" s="280" t="str">
        <f>Lists!C:C</f>
        <v>MLI001</v>
      </c>
      <c r="B81" s="281">
        <f>_xlfn.DAYS(About!$A$3,'Core Indicators'!U81)</f>
        <v>31</v>
      </c>
      <c r="C81" s="281">
        <f>_xlfn.DAYS(About!$A$3,'Core Indicators'!AC81)</f>
        <v>125</v>
      </c>
      <c r="D81" s="281">
        <f>_xlfn.DAYS(About!$A$3,'Core Indicators'!AK81)</f>
        <v>125</v>
      </c>
      <c r="E81" s="281">
        <f>_xlfn.DAYS(About!$A$3,'Core Indicators'!AS81)</f>
        <v>0</v>
      </c>
      <c r="F81" s="281">
        <f>_xlfn.DAYS(About!$A$3,'Core Indicators'!BQ81)</f>
        <v>0</v>
      </c>
      <c r="G81" s="281">
        <f>_xlfn.DAYS(About!$A$3,'Core Indicators'!DM81)</f>
        <v>125</v>
      </c>
      <c r="H81" s="281">
        <f>_xlfn.DAYS(About!$A$3,'Core Indicators'!DU81)</f>
        <v>125</v>
      </c>
      <c r="I81" s="281">
        <f>_xlfn.DAYS(About!$A$3,'Core Indicators'!EC81)</f>
        <v>125</v>
      </c>
      <c r="J81" s="281">
        <f>_xlfn.DAYS(About!$A$3,'Core Indicators'!EK81)</f>
        <v>125</v>
      </c>
      <c r="K81" s="281">
        <f>_xlfn.DAYS(About!$A$3,'Core Indicators'!ES81)</f>
        <v>433</v>
      </c>
      <c r="L81" s="281">
        <f>_xlfn.DAYS(About!$A$3,'Core Indicators'!FI81)</f>
        <v>651</v>
      </c>
      <c r="M81" s="281">
        <f>_xlfn.DAYS(About!$A$3,'Core Indicators'!GG81)</f>
        <v>371</v>
      </c>
      <c r="N81" s="281">
        <f>_xlfn.DAYS(About!$A$3,'Core Indicators'!GO81)</f>
        <v>371</v>
      </c>
      <c r="O81" s="281">
        <f>_xlfn.DAYS(About!$A$3,'Core Indicators'!GW81)</f>
        <v>371</v>
      </c>
      <c r="P81" s="281">
        <f>_xlfn.DAYS(About!$A$3,'Core Indicators'!HE81)</f>
        <v>371</v>
      </c>
      <c r="Q81" s="281">
        <f>_xlfn.DAYS(About!$A$3,'Core Indicators'!HM81)</f>
        <v>371</v>
      </c>
      <c r="R81" s="281">
        <f>_xlfn.DAYS(About!$A$3,'Core Indicators'!HU81)</f>
        <v>371</v>
      </c>
      <c r="S81" s="281">
        <f>_xlfn.DAYS(About!$A$3,'Core Indicators'!IC81)</f>
        <v>371</v>
      </c>
      <c r="T81" s="281">
        <f>_xlfn.DAYS(About!$A$3,'Core Indicators'!IK81)</f>
        <v>371</v>
      </c>
      <c r="U81" s="281">
        <f>_xlfn.DAYS(About!$A$3,'Core Indicators'!IS81)</f>
        <v>371</v>
      </c>
      <c r="V81" s="282">
        <f t="shared" si="1"/>
        <v>208</v>
      </c>
    </row>
    <row r="82" spans="1:22" x14ac:dyDescent="0.3">
      <c r="A82" s="280" t="str">
        <f>Lists!C:C</f>
        <v>MRT002</v>
      </c>
      <c r="B82" s="281">
        <f>_xlfn.DAYS(About!$A$3,'Core Indicators'!U82)</f>
        <v>630</v>
      </c>
      <c r="C82" s="281">
        <f>_xlfn.DAYS(About!$A$3,'Core Indicators'!AC82)</f>
        <v>10</v>
      </c>
      <c r="D82" s="281">
        <f>_xlfn.DAYS(About!$A$3,'Core Indicators'!AK82)</f>
        <v>10</v>
      </c>
      <c r="E82" s="281">
        <f>_xlfn.DAYS(About!$A$3,'Core Indicators'!AS82)</f>
        <v>10</v>
      </c>
      <c r="F82" s="281">
        <f>_xlfn.DAYS(About!$A$3,'Core Indicators'!BQ82)</f>
        <v>496</v>
      </c>
      <c r="G82" s="281">
        <f>_xlfn.DAYS(About!$A$3,'Core Indicators'!DM82)</f>
        <v>10</v>
      </c>
      <c r="H82" s="281">
        <f>_xlfn.DAYS(About!$A$3,'Core Indicators'!DU82)</f>
        <v>10</v>
      </c>
      <c r="I82" s="281">
        <f>_xlfn.DAYS(About!$A$3,'Core Indicators'!EC82)</f>
        <v>10</v>
      </c>
      <c r="J82" s="281">
        <f>_xlfn.DAYS(About!$A$3,'Core Indicators'!EK82)</f>
        <v>10</v>
      </c>
      <c r="K82" s="281">
        <f>_xlfn.DAYS(About!$A$3,'Core Indicators'!ES82)</f>
        <v>10</v>
      </c>
      <c r="L82" s="281">
        <f>_xlfn.DAYS(About!$A$3,'Core Indicators'!FI82)</f>
        <v>630</v>
      </c>
      <c r="M82" s="281">
        <f>_xlfn.DAYS(About!$A$3,'Core Indicators'!GG82)</f>
        <v>371</v>
      </c>
      <c r="N82" s="281">
        <f>_xlfn.DAYS(About!$A$3,'Core Indicators'!GO82)</f>
        <v>371</v>
      </c>
      <c r="O82" s="281">
        <f>_xlfn.DAYS(About!$A$3,'Core Indicators'!GW82)</f>
        <v>371</v>
      </c>
      <c r="P82" s="281">
        <f>_xlfn.DAYS(About!$A$3,'Core Indicators'!HE82)</f>
        <v>371</v>
      </c>
      <c r="Q82" s="281">
        <f>_xlfn.DAYS(About!$A$3,'Core Indicators'!HM82)</f>
        <v>371</v>
      </c>
      <c r="R82" s="281">
        <f>_xlfn.DAYS(About!$A$3,'Core Indicators'!HU82)</f>
        <v>371</v>
      </c>
      <c r="S82" s="281">
        <f>_xlfn.DAYS(About!$A$3,'Core Indicators'!IC82)</f>
        <v>371</v>
      </c>
      <c r="T82" s="281">
        <f>_xlfn.DAYS(About!$A$3,'Core Indicators'!IK82)</f>
        <v>371</v>
      </c>
      <c r="U82" s="281">
        <f>_xlfn.DAYS(About!$A$3,'Core Indicators'!IS82)</f>
        <v>371</v>
      </c>
      <c r="V82" s="282">
        <f t="shared" si="1"/>
        <v>156.69999999999999</v>
      </c>
    </row>
    <row r="83" spans="1:22" x14ac:dyDescent="0.3">
      <c r="A83" s="280" t="str">
        <f>Lists!C:C</f>
        <v>MRT003</v>
      </c>
      <c r="B83" s="281">
        <f>_xlfn.DAYS(About!$A$3,'Core Indicators'!U83)</f>
        <v>38</v>
      </c>
      <c r="C83" s="281">
        <f>_xlfn.DAYS(About!$A$3,'Core Indicators'!AC83)</f>
        <v>10</v>
      </c>
      <c r="D83" s="281">
        <f>_xlfn.DAYS(About!$A$3,'Core Indicators'!AK83)</f>
        <v>10</v>
      </c>
      <c r="E83" s="281">
        <f>_xlfn.DAYS(About!$A$3,'Core Indicators'!AS83)</f>
        <v>71</v>
      </c>
      <c r="F83" s="281">
        <f>_xlfn.DAYS(About!$A$3,'Core Indicators'!BQ83)</f>
        <v>71</v>
      </c>
      <c r="G83" s="281">
        <f>_xlfn.DAYS(About!$A$3,'Core Indicators'!DM83)</f>
        <v>10</v>
      </c>
      <c r="H83" s="281">
        <f>_xlfn.DAYS(About!$A$3,'Core Indicators'!DU83)</f>
        <v>10</v>
      </c>
      <c r="I83" s="281">
        <f>_xlfn.DAYS(About!$A$3,'Core Indicators'!EC83)</f>
        <v>10</v>
      </c>
      <c r="J83" s="281">
        <f>_xlfn.DAYS(About!$A$3,'Core Indicators'!EK83)</f>
        <v>10</v>
      </c>
      <c r="K83" s="281">
        <f>_xlfn.DAYS(About!$A$3,'Core Indicators'!ES83)</f>
        <v>10</v>
      </c>
      <c r="L83" s="281">
        <f>_xlfn.DAYS(About!$A$3,'Core Indicators'!FI83)</f>
        <v>71</v>
      </c>
      <c r="M83" s="281">
        <f>_xlfn.DAYS(About!$A$3,'Core Indicators'!GG83)</f>
        <v>71</v>
      </c>
      <c r="N83" s="281">
        <f>_xlfn.DAYS(About!$A$3,'Core Indicators'!GO83)</f>
        <v>71</v>
      </c>
      <c r="O83" s="281">
        <f>_xlfn.DAYS(About!$A$3,'Core Indicators'!GW83)</f>
        <v>71</v>
      </c>
      <c r="P83" s="281">
        <f>_xlfn.DAYS(About!$A$3,'Core Indicators'!HE83)</f>
        <v>71</v>
      </c>
      <c r="Q83" s="281">
        <f>_xlfn.DAYS(About!$A$3,'Core Indicators'!HM83)</f>
        <v>71</v>
      </c>
      <c r="R83" s="281">
        <f>_xlfn.DAYS(About!$A$3,'Core Indicators'!HU83)</f>
        <v>71</v>
      </c>
      <c r="S83" s="281">
        <f>_xlfn.DAYS(About!$A$3,'Core Indicators'!IC83)</f>
        <v>71</v>
      </c>
      <c r="T83" s="281">
        <f>_xlfn.DAYS(About!$A$3,'Core Indicators'!IK83)</f>
        <v>71</v>
      </c>
      <c r="U83" s="281">
        <f>_xlfn.DAYS(About!$A$3,'Core Indicators'!IS83)</f>
        <v>71</v>
      </c>
      <c r="V83" s="282">
        <f t="shared" si="1"/>
        <v>34.4</v>
      </c>
    </row>
    <row r="84" spans="1:22" x14ac:dyDescent="0.3">
      <c r="A84" s="280" t="str">
        <f>Lists!C:C</f>
        <v>MEX001</v>
      </c>
      <c r="B84" s="281">
        <f>_xlfn.DAYS(About!$A$3,'Core Indicators'!U84)</f>
        <v>342</v>
      </c>
      <c r="C84" s="281">
        <f>_xlfn.DAYS(About!$A$3,'Core Indicators'!AC84)</f>
        <v>329</v>
      </c>
      <c r="D84" s="281">
        <f>_xlfn.DAYS(About!$A$3,'Core Indicators'!AK84)</f>
        <v>342</v>
      </c>
      <c r="E84" s="281">
        <f>_xlfn.DAYS(About!$A$3,'Core Indicators'!AS84)</f>
        <v>128</v>
      </c>
      <c r="F84" s="281">
        <f>_xlfn.DAYS(About!$A$3,'Core Indicators'!BQ84)</f>
        <v>342</v>
      </c>
      <c r="G84" s="281">
        <f>_xlfn.DAYS(About!$A$3,'Core Indicators'!DM84)</f>
        <v>329</v>
      </c>
      <c r="H84" s="281">
        <f>_xlfn.DAYS(About!$A$3,'Core Indicators'!DU84)</f>
        <v>342</v>
      </c>
      <c r="I84" s="281">
        <f>_xlfn.DAYS(About!$A$3,'Core Indicators'!EC84)</f>
        <v>329</v>
      </c>
      <c r="J84" s="281">
        <f>_xlfn.DAYS(About!$A$3,'Core Indicators'!EK84)</f>
        <v>342</v>
      </c>
      <c r="K84" s="281">
        <f>_xlfn.DAYS(About!$A$3,'Core Indicators'!ES84)</f>
        <v>342</v>
      </c>
      <c r="L84" s="281">
        <f>_xlfn.DAYS(About!$A$3,'Core Indicators'!FI84)</f>
        <v>342</v>
      </c>
      <c r="M84" s="281">
        <f>_xlfn.DAYS(About!$A$3,'Core Indicators'!GG84)</f>
        <v>342</v>
      </c>
      <c r="N84" s="281">
        <f>_xlfn.DAYS(About!$A$3,'Core Indicators'!GO84)</f>
        <v>342</v>
      </c>
      <c r="O84" s="281">
        <f>_xlfn.DAYS(About!$A$3,'Core Indicators'!GW84)</f>
        <v>342</v>
      </c>
      <c r="P84" s="281">
        <f>_xlfn.DAYS(About!$A$3,'Core Indicators'!HE84)</f>
        <v>342</v>
      </c>
      <c r="Q84" s="281">
        <f>_xlfn.DAYS(About!$A$3,'Core Indicators'!HM84)</f>
        <v>342</v>
      </c>
      <c r="R84" s="281">
        <f>_xlfn.DAYS(About!$A$3,'Core Indicators'!HU84)</f>
        <v>342</v>
      </c>
      <c r="S84" s="281">
        <f>_xlfn.DAYS(About!$A$3,'Core Indicators'!IC84)</f>
        <v>342</v>
      </c>
      <c r="T84" s="281">
        <f>_xlfn.DAYS(About!$A$3,'Core Indicators'!IK84)</f>
        <v>342</v>
      </c>
      <c r="U84" s="281">
        <f>_xlfn.DAYS(About!$A$3,'Core Indicators'!IS84)</f>
        <v>342</v>
      </c>
      <c r="V84" s="282">
        <f t="shared" si="1"/>
        <v>318</v>
      </c>
    </row>
    <row r="85" spans="1:22" x14ac:dyDescent="0.3">
      <c r="A85" s="280" t="str">
        <f>Lists!C:C</f>
        <v>MEX002</v>
      </c>
      <c r="B85" s="281">
        <f>_xlfn.DAYS(About!$A$3,'Core Indicators'!U85)</f>
        <v>342</v>
      </c>
      <c r="C85" s="281">
        <f>_xlfn.DAYS(About!$A$3,'Core Indicators'!AC85)</f>
        <v>329</v>
      </c>
      <c r="D85" s="281">
        <f>_xlfn.DAYS(About!$A$3,'Core Indicators'!AK85)</f>
        <v>329</v>
      </c>
      <c r="E85" s="281">
        <f>_xlfn.DAYS(About!$A$3,'Core Indicators'!AS85)</f>
        <v>342</v>
      </c>
      <c r="F85" s="281">
        <f>_xlfn.DAYS(About!$A$3,'Core Indicators'!BQ85)</f>
        <v>273</v>
      </c>
      <c r="G85" s="281">
        <f>_xlfn.DAYS(About!$A$3,'Core Indicators'!DM85)</f>
        <v>329</v>
      </c>
      <c r="H85" s="281">
        <f>_xlfn.DAYS(About!$A$3,'Core Indicators'!DU85)</f>
        <v>342</v>
      </c>
      <c r="I85" s="281">
        <f>_xlfn.DAYS(About!$A$3,'Core Indicators'!EC85)</f>
        <v>329</v>
      </c>
      <c r="J85" s="281">
        <f>_xlfn.DAYS(About!$A$3,'Core Indicators'!EK85)</f>
        <v>342</v>
      </c>
      <c r="K85" s="281">
        <f>_xlfn.DAYS(About!$A$3,'Core Indicators'!ES85)</f>
        <v>342</v>
      </c>
      <c r="L85" s="281">
        <f>_xlfn.DAYS(About!$A$3,'Core Indicators'!FI85)</f>
        <v>342</v>
      </c>
      <c r="M85" s="281">
        <f>_xlfn.DAYS(About!$A$3,'Core Indicators'!GG85)</f>
        <v>342</v>
      </c>
      <c r="N85" s="281">
        <f>_xlfn.DAYS(About!$A$3,'Core Indicators'!GO85)</f>
        <v>342</v>
      </c>
      <c r="O85" s="281">
        <f>_xlfn.DAYS(About!$A$3,'Core Indicators'!GW85)</f>
        <v>342</v>
      </c>
      <c r="P85" s="281">
        <f>_xlfn.DAYS(About!$A$3,'Core Indicators'!HE85)</f>
        <v>342</v>
      </c>
      <c r="Q85" s="281">
        <f>_xlfn.DAYS(About!$A$3,'Core Indicators'!HM85)</f>
        <v>342</v>
      </c>
      <c r="R85" s="281">
        <f>_xlfn.DAYS(About!$A$3,'Core Indicators'!HU85)</f>
        <v>342</v>
      </c>
      <c r="S85" s="281">
        <f>_xlfn.DAYS(About!$A$3,'Core Indicators'!IC85)</f>
        <v>342</v>
      </c>
      <c r="T85" s="281">
        <f>_xlfn.DAYS(About!$A$3,'Core Indicators'!IK85)</f>
        <v>342</v>
      </c>
      <c r="U85" s="281">
        <f>_xlfn.DAYS(About!$A$3,'Core Indicators'!IS85)</f>
        <v>342</v>
      </c>
      <c r="V85" s="282">
        <f t="shared" si="1"/>
        <v>331.2</v>
      </c>
    </row>
    <row r="86" spans="1:22" x14ac:dyDescent="0.3">
      <c r="A86" s="280" t="str">
        <f>Lists!C:C</f>
        <v>MEX003</v>
      </c>
      <c r="B86" s="281">
        <f>_xlfn.DAYS(About!$A$3,'Core Indicators'!U86)</f>
        <v>342</v>
      </c>
      <c r="C86" s="281">
        <f>_xlfn.DAYS(About!$A$3,'Core Indicators'!AC86)</f>
        <v>329</v>
      </c>
      <c r="D86" s="281">
        <f>_xlfn.DAYS(About!$A$3,'Core Indicators'!AK86)</f>
        <v>329</v>
      </c>
      <c r="E86" s="281">
        <f>_xlfn.DAYS(About!$A$3,'Core Indicators'!AS86)</f>
        <v>329</v>
      </c>
      <c r="F86" s="281">
        <f>_xlfn.DAYS(About!$A$3,'Core Indicators'!BQ86)</f>
        <v>30</v>
      </c>
      <c r="G86" s="281">
        <f>_xlfn.DAYS(About!$A$3,'Core Indicators'!DM86)</f>
        <v>329</v>
      </c>
      <c r="H86" s="281">
        <f>_xlfn.DAYS(About!$A$3,'Core Indicators'!DU86)</f>
        <v>329</v>
      </c>
      <c r="I86" s="281">
        <f>_xlfn.DAYS(About!$A$3,'Core Indicators'!EC86)</f>
        <v>329</v>
      </c>
      <c r="J86" s="281">
        <f>_xlfn.DAYS(About!$A$3,'Core Indicators'!EK86)</f>
        <v>342</v>
      </c>
      <c r="K86" s="281">
        <f>_xlfn.DAYS(About!$A$3,'Core Indicators'!ES86)</f>
        <v>342</v>
      </c>
      <c r="L86" s="281">
        <f>_xlfn.DAYS(About!$A$3,'Core Indicators'!FI86)</f>
        <v>342</v>
      </c>
      <c r="M86" s="281">
        <f>_xlfn.DAYS(About!$A$3,'Core Indicators'!GG86)</f>
        <v>342</v>
      </c>
      <c r="N86" s="281">
        <f>_xlfn.DAYS(About!$A$3,'Core Indicators'!GO86)</f>
        <v>342</v>
      </c>
      <c r="O86" s="281">
        <f>_xlfn.DAYS(About!$A$3,'Core Indicators'!GW86)</f>
        <v>342</v>
      </c>
      <c r="P86" s="281">
        <f>_xlfn.DAYS(About!$A$3,'Core Indicators'!HE86)</f>
        <v>342</v>
      </c>
      <c r="Q86" s="281">
        <f>_xlfn.DAYS(About!$A$3,'Core Indicators'!HM86)</f>
        <v>342</v>
      </c>
      <c r="R86" s="281">
        <f>_xlfn.DAYS(About!$A$3,'Core Indicators'!HU86)</f>
        <v>342</v>
      </c>
      <c r="S86" s="281">
        <f>_xlfn.DAYS(About!$A$3,'Core Indicators'!IC86)</f>
        <v>342</v>
      </c>
      <c r="T86" s="281">
        <f>_xlfn.DAYS(About!$A$3,'Core Indicators'!IK86)</f>
        <v>342</v>
      </c>
      <c r="U86" s="281">
        <f>_xlfn.DAYS(About!$A$3,'Core Indicators'!IS86)</f>
        <v>342</v>
      </c>
      <c r="V86" s="282">
        <f t="shared" si="1"/>
        <v>304.3</v>
      </c>
    </row>
    <row r="87" spans="1:22" x14ac:dyDescent="0.3">
      <c r="A87" s="280" t="str">
        <f>Lists!C:C</f>
        <v>MAR002</v>
      </c>
      <c r="B87" s="281">
        <f>_xlfn.DAYS(About!$A$3,'Core Indicators'!U87)</f>
        <v>37</v>
      </c>
      <c r="C87" s="281">
        <f>_xlfn.DAYS(About!$A$3,'Core Indicators'!AC87)</f>
        <v>148</v>
      </c>
      <c r="D87" s="281">
        <f>_xlfn.DAYS(About!$A$3,'Core Indicators'!AK87)</f>
        <v>148</v>
      </c>
      <c r="E87" s="281">
        <f>_xlfn.DAYS(About!$A$3,'Core Indicators'!AS87)</f>
        <v>148</v>
      </c>
      <c r="F87" s="281">
        <f>_xlfn.DAYS(About!$A$3,'Core Indicators'!BQ87)</f>
        <v>3</v>
      </c>
      <c r="G87" s="281">
        <f>_xlfn.DAYS(About!$A$3,'Core Indicators'!DM87)</f>
        <v>342</v>
      </c>
      <c r="H87" s="281">
        <f>_xlfn.DAYS(About!$A$3,'Core Indicators'!DU87)</f>
        <v>342</v>
      </c>
      <c r="I87" s="281">
        <f>_xlfn.DAYS(About!$A$3,'Core Indicators'!EC87)</f>
        <v>342</v>
      </c>
      <c r="J87" s="281">
        <f>_xlfn.DAYS(About!$A$3,'Core Indicators'!EK87)</f>
        <v>342</v>
      </c>
      <c r="K87" s="281">
        <f>_xlfn.DAYS(About!$A$3,'Core Indicators'!ES87)</f>
        <v>342</v>
      </c>
      <c r="L87" s="281">
        <f>_xlfn.DAYS(About!$A$3,'Core Indicators'!FI87)</f>
        <v>629</v>
      </c>
      <c r="M87" s="281">
        <f>_xlfn.DAYS(About!$A$3,'Core Indicators'!GG87)</f>
        <v>373</v>
      </c>
      <c r="N87" s="281">
        <f>_xlfn.DAYS(About!$A$3,'Core Indicators'!GO87)</f>
        <v>373</v>
      </c>
      <c r="O87" s="281">
        <f>_xlfn.DAYS(About!$A$3,'Core Indicators'!GW87)</f>
        <v>373</v>
      </c>
      <c r="P87" s="281">
        <f>_xlfn.DAYS(About!$A$3,'Core Indicators'!HE87)</f>
        <v>373</v>
      </c>
      <c r="Q87" s="281">
        <f>_xlfn.DAYS(About!$A$3,'Core Indicators'!HM87)</f>
        <v>373</v>
      </c>
      <c r="R87" s="281">
        <f>_xlfn.DAYS(About!$A$3,'Core Indicators'!HU87)</f>
        <v>373</v>
      </c>
      <c r="S87" s="281">
        <f>_xlfn.DAYS(About!$A$3,'Core Indicators'!IC87)</f>
        <v>373</v>
      </c>
      <c r="T87" s="281">
        <f>_xlfn.DAYS(About!$A$3,'Core Indicators'!IK87)</f>
        <v>373</v>
      </c>
      <c r="U87" s="281">
        <f>_xlfn.DAYS(About!$A$3,'Core Indicators'!IS87)</f>
        <v>373</v>
      </c>
      <c r="V87" s="282">
        <f t="shared" si="1"/>
        <v>301.10000000000002</v>
      </c>
    </row>
    <row r="88" spans="1:22" x14ac:dyDescent="0.3">
      <c r="A88" s="280" t="str">
        <f>Lists!C:C</f>
        <v>MOZ001</v>
      </c>
      <c r="B88" s="281">
        <f>_xlfn.DAYS(About!$A$3,'Core Indicators'!U88)</f>
        <v>464</v>
      </c>
      <c r="C88" s="281">
        <f>_xlfn.DAYS(About!$A$3,'Core Indicators'!AC88)</f>
        <v>20</v>
      </c>
      <c r="D88" s="281">
        <f>_xlfn.DAYS(About!$A$3,'Core Indicators'!AK88)</f>
        <v>101</v>
      </c>
      <c r="E88" s="281">
        <f>_xlfn.DAYS(About!$A$3,'Core Indicators'!AS88)</f>
        <v>101</v>
      </c>
      <c r="F88" s="281">
        <f>_xlfn.DAYS(About!$A$3,'Core Indicators'!BQ88)</f>
        <v>0</v>
      </c>
      <c r="G88" s="281">
        <f>_xlfn.DAYS(About!$A$3,'Core Indicators'!DM88)</f>
        <v>20</v>
      </c>
      <c r="H88" s="281">
        <f>_xlfn.DAYS(About!$A$3,'Core Indicators'!DU88)</f>
        <v>20</v>
      </c>
      <c r="I88" s="281">
        <f>_xlfn.DAYS(About!$A$3,'Core Indicators'!EC88)</f>
        <v>20</v>
      </c>
      <c r="J88" s="281">
        <f>_xlfn.DAYS(About!$A$3,'Core Indicators'!EK88)</f>
        <v>20</v>
      </c>
      <c r="K88" s="281">
        <f>_xlfn.DAYS(About!$A$3,'Core Indicators'!ES88)</f>
        <v>20</v>
      </c>
      <c r="L88" s="281">
        <f>_xlfn.DAYS(About!$A$3,'Core Indicators'!FI88)</f>
        <v>464</v>
      </c>
      <c r="M88" s="281">
        <f>_xlfn.DAYS(About!$A$3,'Core Indicators'!GG88)</f>
        <v>373</v>
      </c>
      <c r="N88" s="281">
        <f>_xlfn.DAYS(About!$A$3,'Core Indicators'!GO88)</f>
        <v>77</v>
      </c>
      <c r="O88" s="281">
        <f>_xlfn.DAYS(About!$A$3,'Core Indicators'!GW88)</f>
        <v>373</v>
      </c>
      <c r="P88" s="281">
        <f>_xlfn.DAYS(About!$A$3,'Core Indicators'!HE88)</f>
        <v>373</v>
      </c>
      <c r="Q88" s="281">
        <f>_xlfn.DAYS(About!$A$3,'Core Indicators'!HM88)</f>
        <v>373</v>
      </c>
      <c r="R88" s="281">
        <f>_xlfn.DAYS(About!$A$3,'Core Indicators'!HU88)</f>
        <v>373</v>
      </c>
      <c r="S88" s="281">
        <f>_xlfn.DAYS(About!$A$3,'Core Indicators'!IC88)</f>
        <v>78</v>
      </c>
      <c r="T88" s="281">
        <f>_xlfn.DAYS(About!$A$3,'Core Indicators'!IK88)</f>
        <v>373</v>
      </c>
      <c r="U88" s="281">
        <f>_xlfn.DAYS(About!$A$3,'Core Indicators'!IS88)</f>
        <v>373</v>
      </c>
      <c r="V88" s="282">
        <f t="shared" si="1"/>
        <v>113.9</v>
      </c>
    </row>
    <row r="89" spans="1:22" x14ac:dyDescent="0.3">
      <c r="A89" s="280" t="str">
        <f>Lists!C:C</f>
        <v>MOZ004</v>
      </c>
      <c r="B89" s="281">
        <f>_xlfn.DAYS(About!$A$3,'Core Indicators'!U89)</f>
        <v>589</v>
      </c>
      <c r="C89" s="281">
        <f>_xlfn.DAYS(About!$A$3,'Core Indicators'!AC89)</f>
        <v>20</v>
      </c>
      <c r="D89" s="281">
        <f>_xlfn.DAYS(About!$A$3,'Core Indicators'!AK89)</f>
        <v>101</v>
      </c>
      <c r="E89" s="281">
        <f>_xlfn.DAYS(About!$A$3,'Core Indicators'!AS89)</f>
        <v>29</v>
      </c>
      <c r="F89" s="281">
        <f>_xlfn.DAYS(About!$A$3,'Core Indicators'!BQ89)</f>
        <v>69</v>
      </c>
      <c r="G89" s="281">
        <f>_xlfn.DAYS(About!$A$3,'Core Indicators'!DM89)</f>
        <v>20</v>
      </c>
      <c r="H89" s="281">
        <f>_xlfn.DAYS(About!$A$3,'Core Indicators'!DU89)</f>
        <v>20</v>
      </c>
      <c r="I89" s="281">
        <f>_xlfn.DAYS(About!$A$3,'Core Indicators'!EC89)</f>
        <v>20</v>
      </c>
      <c r="J89" s="281">
        <f>_xlfn.DAYS(About!$A$3,'Core Indicators'!EK89)</f>
        <v>20</v>
      </c>
      <c r="K89" s="281">
        <f>_xlfn.DAYS(About!$A$3,'Core Indicators'!ES89)</f>
        <v>20</v>
      </c>
      <c r="L89" s="281">
        <f>_xlfn.DAYS(About!$A$3,'Core Indicators'!FI89)</f>
        <v>589</v>
      </c>
      <c r="M89" s="281">
        <f>_xlfn.DAYS(About!$A$3,'Core Indicators'!GG89)</f>
        <v>373</v>
      </c>
      <c r="N89" s="281">
        <f>_xlfn.DAYS(About!$A$3,'Core Indicators'!GO89)</f>
        <v>77</v>
      </c>
      <c r="O89" s="281">
        <f>_xlfn.DAYS(About!$A$3,'Core Indicators'!GW89)</f>
        <v>373</v>
      </c>
      <c r="P89" s="281">
        <f>_xlfn.DAYS(About!$A$3,'Core Indicators'!HE89)</f>
        <v>373</v>
      </c>
      <c r="Q89" s="281">
        <f>_xlfn.DAYS(About!$A$3,'Core Indicators'!HM89)</f>
        <v>373</v>
      </c>
      <c r="R89" s="281">
        <f>_xlfn.DAYS(About!$A$3,'Core Indicators'!HU89)</f>
        <v>373</v>
      </c>
      <c r="S89" s="281">
        <f>_xlfn.DAYS(About!$A$3,'Core Indicators'!IC89)</f>
        <v>78</v>
      </c>
      <c r="T89" s="281">
        <f>_xlfn.DAYS(About!$A$3,'Core Indicators'!IK89)</f>
        <v>373</v>
      </c>
      <c r="U89" s="281">
        <f>_xlfn.DAYS(About!$A$3,'Core Indicators'!IS89)</f>
        <v>373</v>
      </c>
      <c r="V89" s="282">
        <f t="shared" si="1"/>
        <v>126.1</v>
      </c>
    </row>
    <row r="90" spans="1:22" x14ac:dyDescent="0.3">
      <c r="A90" s="280" t="str">
        <f>Lists!C:C</f>
        <v>MOZ006</v>
      </c>
      <c r="B90" s="281">
        <f>_xlfn.DAYS(About!$A$3,'Core Indicators'!U90)</f>
        <v>272</v>
      </c>
      <c r="C90" s="281">
        <f>_xlfn.DAYS(About!$A$3,'Core Indicators'!AC90)</f>
        <v>20</v>
      </c>
      <c r="D90" s="281">
        <f>_xlfn.DAYS(About!$A$3,'Core Indicators'!AK90)</f>
        <v>17</v>
      </c>
      <c r="E90" s="281">
        <f>_xlfn.DAYS(About!$A$3,'Core Indicators'!AS90)</f>
        <v>100</v>
      </c>
      <c r="F90" s="281">
        <f>_xlfn.DAYS(About!$A$3,'Core Indicators'!BQ90)</f>
        <v>272</v>
      </c>
      <c r="G90" s="281">
        <f>_xlfn.DAYS(About!$A$3,'Core Indicators'!DM90)</f>
        <v>20</v>
      </c>
      <c r="H90" s="281">
        <f>_xlfn.DAYS(About!$A$3,'Core Indicators'!DU90)</f>
        <v>20</v>
      </c>
      <c r="I90" s="281">
        <f>_xlfn.DAYS(About!$A$3,'Core Indicators'!EC90)</f>
        <v>20</v>
      </c>
      <c r="J90" s="281">
        <f>_xlfn.DAYS(About!$A$3,'Core Indicators'!EK90)</f>
        <v>20</v>
      </c>
      <c r="K90" s="281">
        <f>_xlfn.DAYS(About!$A$3,'Core Indicators'!ES90)</f>
        <v>20</v>
      </c>
      <c r="L90" s="281">
        <f>_xlfn.DAYS(About!$A$3,'Core Indicators'!FI90)</f>
        <v>272</v>
      </c>
      <c r="M90" s="281">
        <f>_xlfn.DAYS(About!$A$3,'Core Indicators'!GG90)</f>
        <v>272</v>
      </c>
      <c r="N90" s="281">
        <f>_xlfn.DAYS(About!$A$3,'Core Indicators'!GO90)</f>
        <v>272</v>
      </c>
      <c r="O90" s="281">
        <f>_xlfn.DAYS(About!$A$3,'Core Indicators'!GW90)</f>
        <v>272</v>
      </c>
      <c r="P90" s="281">
        <f>_xlfn.DAYS(About!$A$3,'Core Indicators'!HE90)</f>
        <v>272</v>
      </c>
      <c r="Q90" s="281">
        <f>_xlfn.DAYS(About!$A$3,'Core Indicators'!HM90)</f>
        <v>272</v>
      </c>
      <c r="R90" s="281">
        <f>_xlfn.DAYS(About!$A$3,'Core Indicators'!HU90)</f>
        <v>272</v>
      </c>
      <c r="S90" s="281">
        <f>_xlfn.DAYS(About!$A$3,'Core Indicators'!IC90)</f>
        <v>272</v>
      </c>
      <c r="T90" s="281">
        <f>_xlfn.DAYS(About!$A$3,'Core Indicators'!IK90)</f>
        <v>272</v>
      </c>
      <c r="U90" s="281">
        <f>_xlfn.DAYS(About!$A$3,'Core Indicators'!IS90)</f>
        <v>272</v>
      </c>
      <c r="V90" s="282">
        <f t="shared" si="1"/>
        <v>103.3</v>
      </c>
    </row>
    <row r="91" spans="1:22" x14ac:dyDescent="0.3">
      <c r="A91" s="280" t="str">
        <f>Lists!C:C</f>
        <v>MMR001</v>
      </c>
      <c r="B91" s="281">
        <f>_xlfn.DAYS(About!$A$3,'Core Indicators'!U91)</f>
        <v>220</v>
      </c>
      <c r="C91" s="281">
        <f>_xlfn.DAYS(About!$A$3,'Core Indicators'!AC91)</f>
        <v>220</v>
      </c>
      <c r="D91" s="281">
        <f>_xlfn.DAYS(About!$A$3,'Core Indicators'!AK91)</f>
        <v>220</v>
      </c>
      <c r="E91" s="281">
        <f>_xlfn.DAYS(About!$A$3,'Core Indicators'!AS91)</f>
        <v>8</v>
      </c>
      <c r="F91" s="281">
        <f>_xlfn.DAYS(About!$A$3,'Core Indicators'!BQ91)</f>
        <v>8</v>
      </c>
      <c r="G91" s="281">
        <f>_xlfn.DAYS(About!$A$3,'Core Indicators'!DM91)</f>
        <v>220</v>
      </c>
      <c r="H91" s="281">
        <f>_xlfn.DAYS(About!$A$3,'Core Indicators'!DU91)</f>
        <v>220</v>
      </c>
      <c r="I91" s="281">
        <f>_xlfn.DAYS(About!$A$3,'Core Indicators'!EC91)</f>
        <v>8</v>
      </c>
      <c r="J91" s="281">
        <f>_xlfn.DAYS(About!$A$3,'Core Indicators'!EK91)</f>
        <v>8</v>
      </c>
      <c r="K91" s="281">
        <f>_xlfn.DAYS(About!$A$3,'Core Indicators'!ES91)</f>
        <v>220</v>
      </c>
      <c r="L91" s="281">
        <f>_xlfn.DAYS(About!$A$3,'Core Indicators'!FI91)</f>
        <v>220</v>
      </c>
      <c r="M91" s="281">
        <f>_xlfn.DAYS(About!$A$3,'Core Indicators'!GG91)</f>
        <v>373</v>
      </c>
      <c r="N91" s="281">
        <f>_xlfn.DAYS(About!$A$3,'Core Indicators'!GO91)</f>
        <v>373</v>
      </c>
      <c r="O91" s="281">
        <f>_xlfn.DAYS(About!$A$3,'Core Indicators'!GW91)</f>
        <v>373</v>
      </c>
      <c r="P91" s="281">
        <f>_xlfn.DAYS(About!$A$3,'Core Indicators'!HE91)</f>
        <v>373</v>
      </c>
      <c r="Q91" s="281">
        <f>_xlfn.DAYS(About!$A$3,'Core Indicators'!HM91)</f>
        <v>373</v>
      </c>
      <c r="R91" s="281">
        <f>_xlfn.DAYS(About!$A$3,'Core Indicators'!HU91)</f>
        <v>373</v>
      </c>
      <c r="S91" s="281">
        <f>_xlfn.DAYS(About!$A$3,'Core Indicators'!IC91)</f>
        <v>373</v>
      </c>
      <c r="T91" s="281">
        <f>_xlfn.DAYS(About!$A$3,'Core Indicators'!IK91)</f>
        <v>373</v>
      </c>
      <c r="U91" s="281">
        <f>_xlfn.DAYS(About!$A$3,'Core Indicators'!IS91)</f>
        <v>373</v>
      </c>
      <c r="V91" s="282">
        <f t="shared" si="1"/>
        <v>150.5</v>
      </c>
    </row>
    <row r="92" spans="1:22" x14ac:dyDescent="0.3">
      <c r="A92" s="280" t="str">
        <f>Lists!C:C</f>
        <v>MMR002</v>
      </c>
      <c r="B92" s="281">
        <f>_xlfn.DAYS(About!$A$3,'Core Indicators'!U92)</f>
        <v>220</v>
      </c>
      <c r="C92" s="281">
        <f>_xlfn.DAYS(About!$A$3,'Core Indicators'!AC92)</f>
        <v>220</v>
      </c>
      <c r="D92" s="281">
        <f>_xlfn.DAYS(About!$A$3,'Core Indicators'!AK92)</f>
        <v>220</v>
      </c>
      <c r="E92" s="281">
        <f>_xlfn.DAYS(About!$A$3,'Core Indicators'!AS92)</f>
        <v>8</v>
      </c>
      <c r="F92" s="281">
        <f>_xlfn.DAYS(About!$A$3,'Core Indicators'!BQ92)</f>
        <v>8</v>
      </c>
      <c r="G92" s="281">
        <f>_xlfn.DAYS(About!$A$3,'Core Indicators'!DM92)</f>
        <v>21</v>
      </c>
      <c r="H92" s="281">
        <f>_xlfn.DAYS(About!$A$3,'Core Indicators'!DU92)</f>
        <v>220</v>
      </c>
      <c r="I92" s="281">
        <f>_xlfn.DAYS(About!$A$3,'Core Indicators'!EC92)</f>
        <v>220</v>
      </c>
      <c r="J92" s="281">
        <f>_xlfn.DAYS(About!$A$3,'Core Indicators'!EK92)</f>
        <v>220</v>
      </c>
      <c r="K92" s="281">
        <f>_xlfn.DAYS(About!$A$3,'Core Indicators'!ES92)</f>
        <v>220</v>
      </c>
      <c r="L92" s="281">
        <f>_xlfn.DAYS(About!$A$3,'Core Indicators'!FI92)</f>
        <v>220</v>
      </c>
      <c r="M92" s="281">
        <f>_xlfn.DAYS(About!$A$3,'Core Indicators'!GG92)</f>
        <v>373</v>
      </c>
      <c r="N92" s="281">
        <f>_xlfn.DAYS(About!$A$3,'Core Indicators'!GO92)</f>
        <v>373</v>
      </c>
      <c r="O92" s="281">
        <f>_xlfn.DAYS(About!$A$3,'Core Indicators'!GW92)</f>
        <v>373</v>
      </c>
      <c r="P92" s="281">
        <f>_xlfn.DAYS(About!$A$3,'Core Indicators'!HE92)</f>
        <v>373</v>
      </c>
      <c r="Q92" s="281">
        <f>_xlfn.DAYS(About!$A$3,'Core Indicators'!HM92)</f>
        <v>373</v>
      </c>
      <c r="R92" s="281">
        <f>_xlfn.DAYS(About!$A$3,'Core Indicators'!HU92)</f>
        <v>373</v>
      </c>
      <c r="S92" s="281">
        <f>_xlfn.DAYS(About!$A$3,'Core Indicators'!IC92)</f>
        <v>373</v>
      </c>
      <c r="T92" s="281">
        <f>_xlfn.DAYS(About!$A$3,'Core Indicators'!IK92)</f>
        <v>373</v>
      </c>
      <c r="U92" s="281">
        <f>_xlfn.DAYS(About!$A$3,'Core Indicators'!IS92)</f>
        <v>373</v>
      </c>
      <c r="V92" s="282">
        <f t="shared" si="1"/>
        <v>173</v>
      </c>
    </row>
    <row r="93" spans="1:22" x14ac:dyDescent="0.3">
      <c r="A93" s="280" t="str">
        <f>Lists!C:C</f>
        <v>MMR003</v>
      </c>
      <c r="B93" s="281">
        <f>_xlfn.DAYS(About!$A$3,'Core Indicators'!U93)</f>
        <v>532</v>
      </c>
      <c r="C93" s="281">
        <f>_xlfn.DAYS(About!$A$3,'Core Indicators'!AC93)</f>
        <v>220</v>
      </c>
      <c r="D93" s="281">
        <f>_xlfn.DAYS(About!$A$3,'Core Indicators'!AK93)</f>
        <v>220</v>
      </c>
      <c r="E93" s="281">
        <f>_xlfn.DAYS(About!$A$3,'Core Indicators'!AS93)</f>
        <v>8</v>
      </c>
      <c r="F93" s="281">
        <f>_xlfn.DAYS(About!$A$3,'Core Indicators'!BQ93)</f>
        <v>8</v>
      </c>
      <c r="G93" s="281">
        <f>_xlfn.DAYS(About!$A$3,'Core Indicators'!DM93)</f>
        <v>220</v>
      </c>
      <c r="H93" s="281">
        <f>_xlfn.DAYS(About!$A$3,'Core Indicators'!DU93)</f>
        <v>220</v>
      </c>
      <c r="I93" s="281">
        <f>_xlfn.DAYS(About!$A$3,'Core Indicators'!EC93)</f>
        <v>8</v>
      </c>
      <c r="J93" s="281">
        <f>_xlfn.DAYS(About!$A$3,'Core Indicators'!EK93)</f>
        <v>8</v>
      </c>
      <c r="K93" s="281">
        <f>_xlfn.DAYS(About!$A$3,'Core Indicators'!ES93)</f>
        <v>220</v>
      </c>
      <c r="L93" s="281">
        <f>_xlfn.DAYS(About!$A$3,'Core Indicators'!FI93)</f>
        <v>220</v>
      </c>
      <c r="M93" s="281">
        <f>_xlfn.DAYS(About!$A$3,'Core Indicators'!GG93)</f>
        <v>373</v>
      </c>
      <c r="N93" s="281">
        <f>_xlfn.DAYS(About!$A$3,'Core Indicators'!GO93)</f>
        <v>373</v>
      </c>
      <c r="O93" s="281">
        <f>_xlfn.DAYS(About!$A$3,'Core Indicators'!GW93)</f>
        <v>373</v>
      </c>
      <c r="P93" s="281">
        <f>_xlfn.DAYS(About!$A$3,'Core Indicators'!HE93)</f>
        <v>373</v>
      </c>
      <c r="Q93" s="281">
        <f>_xlfn.DAYS(About!$A$3,'Core Indicators'!HM93)</f>
        <v>373</v>
      </c>
      <c r="R93" s="281">
        <f>_xlfn.DAYS(About!$A$3,'Core Indicators'!HU93)</f>
        <v>373</v>
      </c>
      <c r="S93" s="281">
        <f>_xlfn.DAYS(About!$A$3,'Core Indicators'!IC93)</f>
        <v>373</v>
      </c>
      <c r="T93" s="281">
        <f>_xlfn.DAYS(About!$A$3,'Core Indicators'!IK93)</f>
        <v>373</v>
      </c>
      <c r="U93" s="281">
        <f>_xlfn.DAYS(About!$A$3,'Core Indicators'!IS93)</f>
        <v>373</v>
      </c>
      <c r="V93" s="282">
        <f t="shared" si="1"/>
        <v>150.5</v>
      </c>
    </row>
    <row r="94" spans="1:22" x14ac:dyDescent="0.3">
      <c r="A94" s="280" t="str">
        <f>Lists!C:C</f>
        <v>NAM002</v>
      </c>
      <c r="B94" s="281">
        <f>_xlfn.DAYS(About!$A$3,'Core Indicators'!U94)</f>
        <v>272</v>
      </c>
      <c r="C94" s="281">
        <f>_xlfn.DAYS(About!$A$3,'Core Indicators'!AC94)</f>
        <v>6</v>
      </c>
      <c r="D94" s="281">
        <f>_xlfn.DAYS(About!$A$3,'Core Indicators'!AK94)</f>
        <v>6</v>
      </c>
      <c r="E94" s="281">
        <f>_xlfn.DAYS(About!$A$3,'Core Indicators'!AS94)</f>
        <v>272</v>
      </c>
      <c r="F94" s="281">
        <f>_xlfn.DAYS(About!$A$3,'Core Indicators'!BQ94)</f>
        <v>6</v>
      </c>
      <c r="G94" s="281">
        <f>_xlfn.DAYS(About!$A$3,'Core Indicators'!DM94)</f>
        <v>6</v>
      </c>
      <c r="H94" s="281">
        <f>_xlfn.DAYS(About!$A$3,'Core Indicators'!DU94)</f>
        <v>6</v>
      </c>
      <c r="I94" s="281">
        <f>_xlfn.DAYS(About!$A$3,'Core Indicators'!EC94)</f>
        <v>6</v>
      </c>
      <c r="J94" s="281">
        <f>_xlfn.DAYS(About!$A$3,'Core Indicators'!EK94)</f>
        <v>6</v>
      </c>
      <c r="K94" s="281">
        <f>_xlfn.DAYS(About!$A$3,'Core Indicators'!ES94)</f>
        <v>6</v>
      </c>
      <c r="L94" s="281">
        <f>_xlfn.DAYS(About!$A$3,'Core Indicators'!FI94)</f>
        <v>272</v>
      </c>
      <c r="M94" s="281">
        <f>_xlfn.DAYS(About!$A$3,'Core Indicators'!GG94)</f>
        <v>272</v>
      </c>
      <c r="N94" s="281">
        <f>_xlfn.DAYS(About!$A$3,'Core Indicators'!GO94)</f>
        <v>272</v>
      </c>
      <c r="O94" s="281">
        <f>_xlfn.DAYS(About!$A$3,'Core Indicators'!GW94)</f>
        <v>272</v>
      </c>
      <c r="P94" s="281">
        <f>_xlfn.DAYS(About!$A$3,'Core Indicators'!HE94)</f>
        <v>272</v>
      </c>
      <c r="Q94" s="281">
        <f>_xlfn.DAYS(About!$A$3,'Core Indicators'!HM94)</f>
        <v>272</v>
      </c>
      <c r="R94" s="281">
        <f>_xlfn.DAYS(About!$A$3,'Core Indicators'!HU94)</f>
        <v>272</v>
      </c>
      <c r="S94" s="281">
        <f>_xlfn.DAYS(About!$A$3,'Core Indicators'!IC94)</f>
        <v>272</v>
      </c>
      <c r="T94" s="281">
        <f>_xlfn.DAYS(About!$A$3,'Core Indicators'!IK94)</f>
        <v>272</v>
      </c>
      <c r="U94" s="281">
        <f>_xlfn.DAYS(About!$A$3,'Core Indicators'!IS94)</f>
        <v>272</v>
      </c>
      <c r="V94" s="282">
        <f t="shared" si="1"/>
        <v>85.8</v>
      </c>
    </row>
    <row r="95" spans="1:22" x14ac:dyDescent="0.3">
      <c r="A95" s="280" t="str">
        <f>Lists!C:C</f>
        <v>NIC001</v>
      </c>
      <c r="B95" s="281">
        <f>_xlfn.DAYS(About!$A$3,'Core Indicators'!U95)</f>
        <v>273</v>
      </c>
      <c r="C95" s="281">
        <f>_xlfn.DAYS(About!$A$3,'Core Indicators'!AC95)</f>
        <v>30</v>
      </c>
      <c r="D95" s="281">
        <f>_xlfn.DAYS(About!$A$3,'Core Indicators'!AK95)</f>
        <v>651</v>
      </c>
      <c r="E95" s="281">
        <f>_xlfn.DAYS(About!$A$3,'Core Indicators'!AS95)</f>
        <v>30</v>
      </c>
      <c r="F95" s="281">
        <f>_xlfn.DAYS(About!$A$3,'Core Indicators'!BQ95)</f>
        <v>30</v>
      </c>
      <c r="G95" s="281">
        <f>_xlfn.DAYS(About!$A$3,'Core Indicators'!DM95)</f>
        <v>371</v>
      </c>
      <c r="H95" s="281">
        <f>_xlfn.DAYS(About!$A$3,'Core Indicators'!DU95)</f>
        <v>371</v>
      </c>
      <c r="I95" s="281">
        <f>_xlfn.DAYS(About!$A$3,'Core Indicators'!EC95)</f>
        <v>371</v>
      </c>
      <c r="J95" s="281">
        <f>_xlfn.DAYS(About!$A$3,'Core Indicators'!EK95)</f>
        <v>651</v>
      </c>
      <c r="K95" s="281">
        <f>_xlfn.DAYS(About!$A$3,'Core Indicators'!ES95)</f>
        <v>651</v>
      </c>
      <c r="L95" s="281">
        <f>_xlfn.DAYS(About!$A$3,'Core Indicators'!FI95)</f>
        <v>651</v>
      </c>
      <c r="M95" s="281">
        <f>_xlfn.DAYS(About!$A$3,'Core Indicators'!GG95)</f>
        <v>371</v>
      </c>
      <c r="N95" s="281">
        <f>_xlfn.DAYS(About!$A$3,'Core Indicators'!GO95)</f>
        <v>371</v>
      </c>
      <c r="O95" s="281">
        <f>_xlfn.DAYS(About!$A$3,'Core Indicators'!GW95)</f>
        <v>371</v>
      </c>
      <c r="P95" s="281">
        <f>_xlfn.DAYS(About!$A$3,'Core Indicators'!HE95)</f>
        <v>371</v>
      </c>
      <c r="Q95" s="281">
        <f>_xlfn.DAYS(About!$A$3,'Core Indicators'!HM95)</f>
        <v>371</v>
      </c>
      <c r="R95" s="281">
        <f>_xlfn.DAYS(About!$A$3,'Core Indicators'!HU95)</f>
        <v>371</v>
      </c>
      <c r="S95" s="281">
        <f>_xlfn.DAYS(About!$A$3,'Core Indicators'!IC95)</f>
        <v>371</v>
      </c>
      <c r="T95" s="281">
        <f>_xlfn.DAYS(About!$A$3,'Core Indicators'!IK95)</f>
        <v>371</v>
      </c>
      <c r="U95" s="281">
        <f>_xlfn.DAYS(About!$A$3,'Core Indicators'!IS95)</f>
        <v>371</v>
      </c>
      <c r="V95" s="282">
        <f t="shared" si="1"/>
        <v>414.8</v>
      </c>
    </row>
    <row r="96" spans="1:22" x14ac:dyDescent="0.3">
      <c r="A96" s="280" t="str">
        <f>Lists!C:C</f>
        <v>NER001</v>
      </c>
      <c r="B96" s="281">
        <f>_xlfn.DAYS(About!$A$3,'Core Indicators'!U96)</f>
        <v>632</v>
      </c>
      <c r="C96" s="281">
        <f>_xlfn.DAYS(About!$A$3,'Core Indicators'!AC96)</f>
        <v>31</v>
      </c>
      <c r="D96" s="281">
        <f>_xlfn.DAYS(About!$A$3,'Core Indicators'!AK96)</f>
        <v>6</v>
      </c>
      <c r="E96" s="281">
        <f>_xlfn.DAYS(About!$A$3,'Core Indicators'!AS96)</f>
        <v>6</v>
      </c>
      <c r="F96" s="281">
        <f>_xlfn.DAYS(About!$A$3,'Core Indicators'!BQ96)</f>
        <v>6</v>
      </c>
      <c r="G96" s="281">
        <f>_xlfn.DAYS(About!$A$3,'Core Indicators'!DM96)</f>
        <v>6</v>
      </c>
      <c r="H96" s="281">
        <f>_xlfn.DAYS(About!$A$3,'Core Indicators'!DU96)</f>
        <v>6</v>
      </c>
      <c r="I96" s="281">
        <f>_xlfn.DAYS(About!$A$3,'Core Indicators'!EC96)</f>
        <v>6</v>
      </c>
      <c r="J96" s="281">
        <f>_xlfn.DAYS(About!$A$3,'Core Indicators'!EK96)</f>
        <v>6</v>
      </c>
      <c r="K96" s="281">
        <f>_xlfn.DAYS(About!$A$3,'Core Indicators'!ES96)</f>
        <v>6</v>
      </c>
      <c r="L96" s="281">
        <f>_xlfn.DAYS(About!$A$3,'Core Indicators'!FI96)</f>
        <v>632</v>
      </c>
      <c r="M96" s="281">
        <f>_xlfn.DAYS(About!$A$3,'Core Indicators'!GG96)</f>
        <v>1</v>
      </c>
      <c r="N96" s="281">
        <f>_xlfn.DAYS(About!$A$3,'Core Indicators'!GO96)</f>
        <v>1</v>
      </c>
      <c r="O96" s="281">
        <f>_xlfn.DAYS(About!$A$3,'Core Indicators'!GW96)</f>
        <v>1</v>
      </c>
      <c r="P96" s="281">
        <f>_xlfn.DAYS(About!$A$3,'Core Indicators'!HE96)</f>
        <v>1</v>
      </c>
      <c r="Q96" s="281">
        <f>_xlfn.DAYS(About!$A$3,'Core Indicators'!HM96)</f>
        <v>1</v>
      </c>
      <c r="R96" s="281">
        <f>_xlfn.DAYS(About!$A$3,'Core Indicators'!HU96)</f>
        <v>1</v>
      </c>
      <c r="S96" s="281">
        <f>_xlfn.DAYS(About!$A$3,'Core Indicators'!IC96)</f>
        <v>1</v>
      </c>
      <c r="T96" s="281">
        <f>_xlfn.DAYS(About!$A$3,'Core Indicators'!IK96)</f>
        <v>1</v>
      </c>
      <c r="U96" s="281">
        <f>_xlfn.DAYS(About!$A$3,'Core Indicators'!IS96)</f>
        <v>1</v>
      </c>
      <c r="V96" s="282">
        <f t="shared" si="1"/>
        <v>68.099999999999994</v>
      </c>
    </row>
    <row r="97" spans="1:22" x14ac:dyDescent="0.3">
      <c r="A97" s="280" t="str">
        <f>Lists!C:C</f>
        <v>NER002</v>
      </c>
      <c r="B97" s="281">
        <f>_xlfn.DAYS(About!$A$3,'Core Indicators'!U97)</f>
        <v>632</v>
      </c>
      <c r="C97" s="281">
        <f>_xlfn.DAYS(About!$A$3,'Core Indicators'!AC97)</f>
        <v>561</v>
      </c>
      <c r="D97" s="281">
        <f>_xlfn.DAYS(About!$A$3,'Core Indicators'!AK97)</f>
        <v>371</v>
      </c>
      <c r="E97" s="281">
        <f>_xlfn.DAYS(About!$A$3,'Core Indicators'!AS97)</f>
        <v>6</v>
      </c>
      <c r="F97" s="281">
        <f>_xlfn.DAYS(About!$A$3,'Core Indicators'!BQ97)</f>
        <v>6</v>
      </c>
      <c r="G97" s="281">
        <f>_xlfn.DAYS(About!$A$3,'Core Indicators'!DM97)</f>
        <v>6</v>
      </c>
      <c r="H97" s="281">
        <f>_xlfn.DAYS(About!$A$3,'Core Indicators'!DU97)</f>
        <v>6</v>
      </c>
      <c r="I97" s="281">
        <f>_xlfn.DAYS(About!$A$3,'Core Indicators'!EC97)</f>
        <v>6</v>
      </c>
      <c r="J97" s="281">
        <f>_xlfn.DAYS(About!$A$3,'Core Indicators'!EK97)</f>
        <v>6</v>
      </c>
      <c r="K97" s="281">
        <f>_xlfn.DAYS(About!$A$3,'Core Indicators'!ES97)</f>
        <v>6</v>
      </c>
      <c r="L97" s="281">
        <f>_xlfn.DAYS(About!$A$3,'Core Indicators'!FI97)</f>
        <v>632</v>
      </c>
      <c r="M97" s="281">
        <f>_xlfn.DAYS(About!$A$3,'Core Indicators'!GG97)</f>
        <v>1</v>
      </c>
      <c r="N97" s="281">
        <f>_xlfn.DAYS(About!$A$3,'Core Indicators'!GO97)</f>
        <v>1</v>
      </c>
      <c r="O97" s="281">
        <f>_xlfn.DAYS(About!$A$3,'Core Indicators'!GW97)</f>
        <v>1</v>
      </c>
      <c r="P97" s="281">
        <f>_xlfn.DAYS(About!$A$3,'Core Indicators'!HE97)</f>
        <v>1</v>
      </c>
      <c r="Q97" s="281">
        <f>_xlfn.DAYS(About!$A$3,'Core Indicators'!HM97)</f>
        <v>1</v>
      </c>
      <c r="R97" s="281">
        <f>_xlfn.DAYS(About!$A$3,'Core Indicators'!HU97)</f>
        <v>1</v>
      </c>
      <c r="S97" s="281">
        <f>_xlfn.DAYS(About!$A$3,'Core Indicators'!IC97)</f>
        <v>1</v>
      </c>
      <c r="T97" s="281">
        <f>_xlfn.DAYS(About!$A$3,'Core Indicators'!IK97)</f>
        <v>1</v>
      </c>
      <c r="U97" s="281">
        <f>_xlfn.DAYS(About!$A$3,'Core Indicators'!IS97)</f>
        <v>1</v>
      </c>
      <c r="V97" s="282">
        <f t="shared" si="1"/>
        <v>104.6</v>
      </c>
    </row>
    <row r="98" spans="1:22" x14ac:dyDescent="0.3">
      <c r="A98" s="280" t="str">
        <f>Lists!C:C</f>
        <v>NER003</v>
      </c>
      <c r="B98" s="281">
        <f>_xlfn.DAYS(About!$A$3,'Core Indicators'!U98)</f>
        <v>632</v>
      </c>
      <c r="C98" s="281">
        <f>_xlfn.DAYS(About!$A$3,'Core Indicators'!AC98)</f>
        <v>561</v>
      </c>
      <c r="D98" s="281">
        <f>_xlfn.DAYS(About!$A$3,'Core Indicators'!AK98)</f>
        <v>273</v>
      </c>
      <c r="E98" s="281">
        <f>_xlfn.DAYS(About!$A$3,'Core Indicators'!AS98)</f>
        <v>6</v>
      </c>
      <c r="F98" s="281">
        <f>_xlfn.DAYS(About!$A$3,'Core Indicators'!BQ98)</f>
        <v>6</v>
      </c>
      <c r="G98" s="281">
        <f>_xlfn.DAYS(About!$A$3,'Core Indicators'!DM98)</f>
        <v>6</v>
      </c>
      <c r="H98" s="281">
        <f>_xlfn.DAYS(About!$A$3,'Core Indicators'!DU98)</f>
        <v>6</v>
      </c>
      <c r="I98" s="281">
        <f>_xlfn.DAYS(About!$A$3,'Core Indicators'!EC98)</f>
        <v>6</v>
      </c>
      <c r="J98" s="281">
        <f>_xlfn.DAYS(About!$A$3,'Core Indicators'!EK98)</f>
        <v>6</v>
      </c>
      <c r="K98" s="281">
        <f>_xlfn.DAYS(About!$A$3,'Core Indicators'!ES98)</f>
        <v>6</v>
      </c>
      <c r="L98" s="281">
        <f>_xlfn.DAYS(About!$A$3,'Core Indicators'!FI98)</f>
        <v>632</v>
      </c>
      <c r="M98" s="281">
        <f>_xlfn.DAYS(About!$A$3,'Core Indicators'!GG98)</f>
        <v>1</v>
      </c>
      <c r="N98" s="281">
        <f>_xlfn.DAYS(About!$A$3,'Core Indicators'!GO98)</f>
        <v>1</v>
      </c>
      <c r="O98" s="281">
        <f>_xlfn.DAYS(About!$A$3,'Core Indicators'!GW98)</f>
        <v>1</v>
      </c>
      <c r="P98" s="281">
        <f>_xlfn.DAYS(About!$A$3,'Core Indicators'!HE98)</f>
        <v>1</v>
      </c>
      <c r="Q98" s="281">
        <f>_xlfn.DAYS(About!$A$3,'Core Indicators'!HM98)</f>
        <v>1</v>
      </c>
      <c r="R98" s="281">
        <f>_xlfn.DAYS(About!$A$3,'Core Indicators'!HU98)</f>
        <v>1</v>
      </c>
      <c r="S98" s="281">
        <f>_xlfn.DAYS(About!$A$3,'Core Indicators'!IC98)</f>
        <v>1</v>
      </c>
      <c r="T98" s="281">
        <f>_xlfn.DAYS(About!$A$3,'Core Indicators'!IK98)</f>
        <v>1</v>
      </c>
      <c r="U98" s="281">
        <f>_xlfn.DAYS(About!$A$3,'Core Indicators'!IS98)</f>
        <v>1</v>
      </c>
      <c r="V98" s="282">
        <f t="shared" si="1"/>
        <v>94.8</v>
      </c>
    </row>
    <row r="99" spans="1:22" x14ac:dyDescent="0.3">
      <c r="A99" s="280" t="str">
        <f>Lists!C:C</f>
        <v>NER004</v>
      </c>
      <c r="B99" s="281">
        <f>_xlfn.DAYS(About!$A$3,'Core Indicators'!U99)</f>
        <v>325</v>
      </c>
      <c r="C99" s="281">
        <f>_xlfn.DAYS(About!$A$3,'Core Indicators'!AC99)</f>
        <v>21</v>
      </c>
      <c r="D99" s="281">
        <f>_xlfn.DAYS(About!$A$3,'Core Indicators'!AK99)</f>
        <v>6</v>
      </c>
      <c r="E99" s="281">
        <f>_xlfn.DAYS(About!$A$3,'Core Indicators'!AS99)</f>
        <v>6</v>
      </c>
      <c r="F99" s="281">
        <f>_xlfn.DAYS(About!$A$3,'Core Indicators'!BQ99)</f>
        <v>6</v>
      </c>
      <c r="G99" s="281">
        <f>_xlfn.DAYS(About!$A$3,'Core Indicators'!DM99)</f>
        <v>6</v>
      </c>
      <c r="H99" s="281">
        <f>_xlfn.DAYS(About!$A$3,'Core Indicators'!DU99)</f>
        <v>6</v>
      </c>
      <c r="I99" s="281">
        <f>_xlfn.DAYS(About!$A$3,'Core Indicators'!EC99)</f>
        <v>6</v>
      </c>
      <c r="J99" s="281">
        <f>_xlfn.DAYS(About!$A$3,'Core Indicators'!EK99)</f>
        <v>6</v>
      </c>
      <c r="K99" s="281">
        <f>_xlfn.DAYS(About!$A$3,'Core Indicators'!ES99)</f>
        <v>6</v>
      </c>
      <c r="L99" s="281">
        <f>_xlfn.DAYS(About!$A$3,'Core Indicators'!FI99)</f>
        <v>325</v>
      </c>
      <c r="M99" s="281">
        <f>_xlfn.DAYS(About!$A$3,'Core Indicators'!GG99)</f>
        <v>1</v>
      </c>
      <c r="N99" s="281">
        <f>_xlfn.DAYS(About!$A$3,'Core Indicators'!GO99)</f>
        <v>1</v>
      </c>
      <c r="O99" s="281">
        <f>_xlfn.DAYS(About!$A$3,'Core Indicators'!GW99)</f>
        <v>1</v>
      </c>
      <c r="P99" s="281">
        <f>_xlfn.DAYS(About!$A$3,'Core Indicators'!HE99)</f>
        <v>1</v>
      </c>
      <c r="Q99" s="281">
        <f>_xlfn.DAYS(About!$A$3,'Core Indicators'!HM99)</f>
        <v>1</v>
      </c>
      <c r="R99" s="281">
        <f>_xlfn.DAYS(About!$A$3,'Core Indicators'!HU99)</f>
        <v>1</v>
      </c>
      <c r="S99" s="281">
        <f>_xlfn.DAYS(About!$A$3,'Core Indicators'!IC99)</f>
        <v>1</v>
      </c>
      <c r="T99" s="281">
        <f>_xlfn.DAYS(About!$A$3,'Core Indicators'!IK99)</f>
        <v>1</v>
      </c>
      <c r="U99" s="281">
        <f>_xlfn.DAYS(About!$A$3,'Core Indicators'!IS99)</f>
        <v>1</v>
      </c>
      <c r="V99" s="282">
        <f t="shared" si="1"/>
        <v>37.4</v>
      </c>
    </row>
    <row r="100" spans="1:22" x14ac:dyDescent="0.3">
      <c r="A100" s="280" t="str">
        <f>Lists!C:C</f>
        <v>NER005</v>
      </c>
      <c r="B100" s="281">
        <f>_xlfn.DAYS(About!$A$3,'Core Indicators'!U100)</f>
        <v>31</v>
      </c>
      <c r="C100" s="281">
        <f>_xlfn.DAYS(About!$A$3,'Core Indicators'!AC100)</f>
        <v>1</v>
      </c>
      <c r="D100" s="281">
        <f>_xlfn.DAYS(About!$A$3,'Core Indicators'!AK100)</f>
        <v>31</v>
      </c>
      <c r="E100" s="281">
        <f>_xlfn.DAYS(About!$A$3,'Core Indicators'!AS100)</f>
        <v>31</v>
      </c>
      <c r="F100" s="281">
        <f>_xlfn.DAYS(About!$A$3,'Core Indicators'!BQ100)</f>
        <v>31</v>
      </c>
      <c r="G100" s="281">
        <f>_xlfn.DAYS(About!$A$3,'Core Indicators'!DM100)</f>
        <v>31</v>
      </c>
      <c r="H100" s="281">
        <f>_xlfn.DAYS(About!$A$3,'Core Indicators'!DU100)</f>
        <v>31</v>
      </c>
      <c r="I100" s="281">
        <f>_xlfn.DAYS(About!$A$3,'Core Indicators'!EC100)</f>
        <v>31</v>
      </c>
      <c r="J100" s="281">
        <f>_xlfn.DAYS(About!$A$3,'Core Indicators'!EK100)</f>
        <v>31</v>
      </c>
      <c r="K100" s="281">
        <f>_xlfn.DAYS(About!$A$3,'Core Indicators'!ES100)</f>
        <v>31</v>
      </c>
      <c r="L100" s="281">
        <f>_xlfn.DAYS(About!$A$3,'Core Indicators'!FI100)</f>
        <v>31</v>
      </c>
      <c r="M100" s="281">
        <f>_xlfn.DAYS(About!$A$3,'Core Indicators'!GG100)</f>
        <v>1</v>
      </c>
      <c r="N100" s="281">
        <f>_xlfn.DAYS(About!$A$3,'Core Indicators'!GO100)</f>
        <v>1</v>
      </c>
      <c r="O100" s="281">
        <f>_xlfn.DAYS(About!$A$3,'Core Indicators'!GW100)</f>
        <v>1</v>
      </c>
      <c r="P100" s="281">
        <f>_xlfn.DAYS(About!$A$3,'Core Indicators'!HE100)</f>
        <v>1</v>
      </c>
      <c r="Q100" s="281">
        <f>_xlfn.DAYS(About!$A$3,'Core Indicators'!HM100)</f>
        <v>1</v>
      </c>
      <c r="R100" s="281">
        <f>_xlfn.DAYS(About!$A$3,'Core Indicators'!HU100)</f>
        <v>1</v>
      </c>
      <c r="S100" s="281">
        <f>_xlfn.DAYS(About!$A$3,'Core Indicators'!IC100)</f>
        <v>1</v>
      </c>
      <c r="T100" s="281">
        <f>_xlfn.DAYS(About!$A$3,'Core Indicators'!IK100)</f>
        <v>1</v>
      </c>
      <c r="U100" s="281">
        <f>_xlfn.DAYS(About!$A$3,'Core Indicators'!IS100)</f>
        <v>1</v>
      </c>
      <c r="V100" s="282">
        <f t="shared" si="1"/>
        <v>28</v>
      </c>
    </row>
    <row r="101" spans="1:22" x14ac:dyDescent="0.3">
      <c r="A101" s="280" t="str">
        <f>Lists!C:C</f>
        <v>NGA001</v>
      </c>
      <c r="B101" s="281">
        <f>_xlfn.DAYS(About!$A$3,'Core Indicators'!U101)</f>
        <v>491</v>
      </c>
      <c r="C101" s="281">
        <f>_xlfn.DAYS(About!$A$3,'Core Indicators'!AC101)</f>
        <v>71</v>
      </c>
      <c r="D101" s="281">
        <f>_xlfn.DAYS(About!$A$3,'Core Indicators'!AK101)</f>
        <v>71</v>
      </c>
      <c r="E101" s="281">
        <f>_xlfn.DAYS(About!$A$3,'Core Indicators'!AS101)</f>
        <v>71</v>
      </c>
      <c r="F101" s="281">
        <f>_xlfn.DAYS(About!$A$3,'Core Indicators'!BQ101)</f>
        <v>6</v>
      </c>
      <c r="G101" s="281">
        <f>_xlfn.DAYS(About!$A$3,'Core Indicators'!DM101)</f>
        <v>71</v>
      </c>
      <c r="H101" s="281">
        <f>_xlfn.DAYS(About!$A$3,'Core Indicators'!DU101)</f>
        <v>71</v>
      </c>
      <c r="I101" s="281">
        <f>_xlfn.DAYS(About!$A$3,'Core Indicators'!EC101)</f>
        <v>71</v>
      </c>
      <c r="J101" s="281">
        <f>_xlfn.DAYS(About!$A$3,'Core Indicators'!EK101)</f>
        <v>71</v>
      </c>
      <c r="K101" s="281">
        <f>_xlfn.DAYS(About!$A$3,'Core Indicators'!ES101)</f>
        <v>71</v>
      </c>
      <c r="L101" s="281">
        <f>_xlfn.DAYS(About!$A$3,'Core Indicators'!FI101)</f>
        <v>491</v>
      </c>
      <c r="M101" s="281">
        <f>_xlfn.DAYS(About!$A$3,'Core Indicators'!GG101)</f>
        <v>370</v>
      </c>
      <c r="N101" s="281">
        <f>_xlfn.DAYS(About!$A$3,'Core Indicators'!GO101)</f>
        <v>370</v>
      </c>
      <c r="O101" s="281">
        <f>_xlfn.DAYS(About!$A$3,'Core Indicators'!GW101)</f>
        <v>370</v>
      </c>
      <c r="P101" s="281">
        <f>_xlfn.DAYS(About!$A$3,'Core Indicators'!HE101)</f>
        <v>370</v>
      </c>
      <c r="Q101" s="281">
        <f>_xlfn.DAYS(About!$A$3,'Core Indicators'!HM101)</f>
        <v>370</v>
      </c>
      <c r="R101" s="281">
        <f>_xlfn.DAYS(About!$A$3,'Core Indicators'!HU101)</f>
        <v>370</v>
      </c>
      <c r="S101" s="281">
        <f>_xlfn.DAYS(About!$A$3,'Core Indicators'!IC101)</f>
        <v>370</v>
      </c>
      <c r="T101" s="281">
        <f>_xlfn.DAYS(About!$A$3,'Core Indicators'!IK101)</f>
        <v>370</v>
      </c>
      <c r="U101" s="281">
        <f>_xlfn.DAYS(About!$A$3,'Core Indicators'!IS101)</f>
        <v>370</v>
      </c>
      <c r="V101" s="282">
        <f t="shared" si="1"/>
        <v>136.4</v>
      </c>
    </row>
    <row r="102" spans="1:22" x14ac:dyDescent="0.3">
      <c r="A102" s="280" t="str">
        <f>Lists!C:C</f>
        <v>NGA003</v>
      </c>
      <c r="B102" s="281">
        <f>_xlfn.DAYS(About!$A$3,'Core Indicators'!U102)</f>
        <v>492</v>
      </c>
      <c r="C102" s="281">
        <f>_xlfn.DAYS(About!$A$3,'Core Indicators'!AC102)</f>
        <v>468</v>
      </c>
      <c r="D102" s="281">
        <f>_xlfn.DAYS(About!$A$3,'Core Indicators'!AK102)</f>
        <v>492</v>
      </c>
      <c r="E102" s="281">
        <f>_xlfn.DAYS(About!$A$3,'Core Indicators'!AS102)</f>
        <v>370</v>
      </c>
      <c r="F102" s="281">
        <f>_xlfn.DAYS(About!$A$3,'Core Indicators'!BQ102)</f>
        <v>31</v>
      </c>
      <c r="G102" s="281">
        <f>_xlfn.DAYS(About!$A$3,'Core Indicators'!DM102)</f>
        <v>370</v>
      </c>
      <c r="H102" s="281">
        <f>_xlfn.DAYS(About!$A$3,'Core Indicators'!DU102)</f>
        <v>492</v>
      </c>
      <c r="I102" s="281">
        <f>_xlfn.DAYS(About!$A$3,'Core Indicators'!EC102)</f>
        <v>370</v>
      </c>
      <c r="J102" s="281">
        <f>_xlfn.DAYS(About!$A$3,'Core Indicators'!EK102)</f>
        <v>492</v>
      </c>
      <c r="K102" s="281">
        <f>_xlfn.DAYS(About!$A$3,'Core Indicators'!ES102)</f>
        <v>492</v>
      </c>
      <c r="L102" s="281">
        <f>_xlfn.DAYS(About!$A$3,'Core Indicators'!FI102)</f>
        <v>492</v>
      </c>
      <c r="M102" s="281">
        <f>_xlfn.DAYS(About!$A$3,'Core Indicators'!GG102)</f>
        <v>370</v>
      </c>
      <c r="N102" s="281">
        <f>_xlfn.DAYS(About!$A$3,'Core Indicators'!GO102)</f>
        <v>370</v>
      </c>
      <c r="O102" s="281">
        <f>_xlfn.DAYS(About!$A$3,'Core Indicators'!GW102)</f>
        <v>370</v>
      </c>
      <c r="P102" s="281">
        <f>_xlfn.DAYS(About!$A$3,'Core Indicators'!HE102)</f>
        <v>370</v>
      </c>
      <c r="Q102" s="281">
        <f>_xlfn.DAYS(About!$A$3,'Core Indicators'!HM102)</f>
        <v>370</v>
      </c>
      <c r="R102" s="281">
        <f>_xlfn.DAYS(About!$A$3,'Core Indicators'!HU102)</f>
        <v>370</v>
      </c>
      <c r="S102" s="281">
        <f>_xlfn.DAYS(About!$A$3,'Core Indicators'!IC102)</f>
        <v>370</v>
      </c>
      <c r="T102" s="281">
        <f>_xlfn.DAYS(About!$A$3,'Core Indicators'!IK102)</f>
        <v>370</v>
      </c>
      <c r="U102" s="281">
        <f>_xlfn.DAYS(About!$A$3,'Core Indicators'!IS102)</f>
        <v>370</v>
      </c>
      <c r="V102" s="282">
        <f t="shared" si="1"/>
        <v>397.1</v>
      </c>
    </row>
    <row r="103" spans="1:22" x14ac:dyDescent="0.3">
      <c r="A103" s="280" t="str">
        <f>Lists!C:C</f>
        <v>NGA004</v>
      </c>
      <c r="B103" s="281">
        <f>_xlfn.DAYS(About!$A$3,'Core Indicators'!U103)</f>
        <v>493</v>
      </c>
      <c r="C103" s="281">
        <f>_xlfn.DAYS(About!$A$3,'Core Indicators'!AC103)</f>
        <v>161</v>
      </c>
      <c r="D103" s="281">
        <f>_xlfn.DAYS(About!$A$3,'Core Indicators'!AK103)</f>
        <v>191</v>
      </c>
      <c r="E103" s="281">
        <f>_xlfn.DAYS(About!$A$3,'Core Indicators'!AS103)</f>
        <v>71</v>
      </c>
      <c r="F103" s="281">
        <f>_xlfn.DAYS(About!$A$3,'Core Indicators'!BQ103)</f>
        <v>6</v>
      </c>
      <c r="G103" s="281">
        <f>_xlfn.DAYS(About!$A$3,'Core Indicators'!DM103)</f>
        <v>191</v>
      </c>
      <c r="H103" s="281">
        <f>_xlfn.DAYS(About!$A$3,'Core Indicators'!DU103)</f>
        <v>191</v>
      </c>
      <c r="I103" s="281">
        <f>_xlfn.DAYS(About!$A$3,'Core Indicators'!EC103)</f>
        <v>191</v>
      </c>
      <c r="J103" s="281">
        <f>_xlfn.DAYS(About!$A$3,'Core Indicators'!EK103)</f>
        <v>191</v>
      </c>
      <c r="K103" s="281">
        <f>_xlfn.DAYS(About!$A$3,'Core Indicators'!ES103)</f>
        <v>191</v>
      </c>
      <c r="L103" s="281">
        <f>_xlfn.DAYS(About!$A$3,'Core Indicators'!FI103)</f>
        <v>493</v>
      </c>
      <c r="M103" s="281">
        <f>_xlfn.DAYS(About!$A$3,'Core Indicators'!GG103)</f>
        <v>370</v>
      </c>
      <c r="N103" s="281">
        <f>_xlfn.DAYS(About!$A$3,'Core Indicators'!GO103)</f>
        <v>370</v>
      </c>
      <c r="O103" s="281">
        <f>_xlfn.DAYS(About!$A$3,'Core Indicators'!GW103)</f>
        <v>370</v>
      </c>
      <c r="P103" s="281">
        <f>_xlfn.DAYS(About!$A$3,'Core Indicators'!HE103)</f>
        <v>370</v>
      </c>
      <c r="Q103" s="281">
        <f>_xlfn.DAYS(About!$A$3,'Core Indicators'!HM103)</f>
        <v>370</v>
      </c>
      <c r="R103" s="281">
        <f>_xlfn.DAYS(About!$A$3,'Core Indicators'!HU103)</f>
        <v>370</v>
      </c>
      <c r="S103" s="281">
        <f>_xlfn.DAYS(About!$A$3,'Core Indicators'!IC103)</f>
        <v>370</v>
      </c>
      <c r="T103" s="281">
        <f>_xlfn.DAYS(About!$A$3,'Core Indicators'!IK103)</f>
        <v>370</v>
      </c>
      <c r="U103" s="281">
        <f>_xlfn.DAYS(About!$A$3,'Core Indicators'!IS103)</f>
        <v>370</v>
      </c>
      <c r="V103" s="282">
        <f t="shared" si="1"/>
        <v>208.6</v>
      </c>
    </row>
    <row r="104" spans="1:22" x14ac:dyDescent="0.3">
      <c r="A104" s="280" t="str">
        <f>Lists!C:C</f>
        <v>NGA007</v>
      </c>
      <c r="B104" s="281">
        <f>_xlfn.DAYS(About!$A$3,'Core Indicators'!U104)</f>
        <v>191</v>
      </c>
      <c r="C104" s="281">
        <f>_xlfn.DAYS(About!$A$3,'Core Indicators'!AC104)</f>
        <v>71</v>
      </c>
      <c r="D104" s="281">
        <f>_xlfn.DAYS(About!$A$3,'Core Indicators'!AK104)</f>
        <v>71</v>
      </c>
      <c r="E104" s="281">
        <f>_xlfn.DAYS(About!$A$3,'Core Indicators'!AS104)</f>
        <v>71</v>
      </c>
      <c r="F104" s="281">
        <f>_xlfn.DAYS(About!$A$3,'Core Indicators'!BQ104)</f>
        <v>6</v>
      </c>
      <c r="G104" s="281">
        <f>_xlfn.DAYS(About!$A$3,'Core Indicators'!DM104)</f>
        <v>71</v>
      </c>
      <c r="H104" s="281">
        <f>_xlfn.DAYS(About!$A$3,'Core Indicators'!DU104)</f>
        <v>71</v>
      </c>
      <c r="I104" s="281">
        <f>_xlfn.DAYS(About!$A$3,'Core Indicators'!EC104)</f>
        <v>71</v>
      </c>
      <c r="J104" s="281">
        <f>_xlfn.DAYS(About!$A$3,'Core Indicators'!EK104)</f>
        <v>71</v>
      </c>
      <c r="K104" s="281">
        <f>_xlfn.DAYS(About!$A$3,'Core Indicators'!ES104)</f>
        <v>71</v>
      </c>
      <c r="L104" s="281">
        <f>_xlfn.DAYS(About!$A$3,'Core Indicators'!FI104)</f>
        <v>325</v>
      </c>
      <c r="M104" s="281">
        <f>_xlfn.DAYS(About!$A$3,'Core Indicators'!GG104)</f>
        <v>322</v>
      </c>
      <c r="N104" s="281">
        <f>_xlfn.DAYS(About!$A$3,'Core Indicators'!GO104)</f>
        <v>322</v>
      </c>
      <c r="O104" s="281">
        <f>_xlfn.DAYS(About!$A$3,'Core Indicators'!GW104)</f>
        <v>322</v>
      </c>
      <c r="P104" s="281">
        <f>_xlfn.DAYS(About!$A$3,'Core Indicators'!HE104)</f>
        <v>322</v>
      </c>
      <c r="Q104" s="281">
        <f>_xlfn.DAYS(About!$A$3,'Core Indicators'!HM104)</f>
        <v>322</v>
      </c>
      <c r="R104" s="281">
        <f>_xlfn.DAYS(About!$A$3,'Core Indicators'!HU104)</f>
        <v>322</v>
      </c>
      <c r="S104" s="281">
        <f>_xlfn.DAYS(About!$A$3,'Core Indicators'!IC104)</f>
        <v>322</v>
      </c>
      <c r="T104" s="281">
        <f>_xlfn.DAYS(About!$A$3,'Core Indicators'!IK104)</f>
        <v>322</v>
      </c>
      <c r="U104" s="281">
        <f>_xlfn.DAYS(About!$A$3,'Core Indicators'!IS104)</f>
        <v>322</v>
      </c>
      <c r="V104" s="282">
        <f t="shared" si="1"/>
        <v>115</v>
      </c>
    </row>
    <row r="105" spans="1:22" x14ac:dyDescent="0.3">
      <c r="A105" s="280" t="str">
        <f>Lists!C:C</f>
        <v>NGA008</v>
      </c>
      <c r="B105" s="281">
        <f>_xlfn.DAYS(About!$A$3,'Core Indicators'!U105)</f>
        <v>300</v>
      </c>
      <c r="C105" s="281">
        <f>_xlfn.DAYS(About!$A$3,'Core Indicators'!AC105)</f>
        <v>71</v>
      </c>
      <c r="D105" s="281">
        <f>_xlfn.DAYS(About!$A$3,'Core Indicators'!AK105)</f>
        <v>71</v>
      </c>
      <c r="E105" s="281">
        <f>_xlfn.DAYS(About!$A$3,'Core Indicators'!AS105)</f>
        <v>71</v>
      </c>
      <c r="F105" s="281">
        <f>_xlfn.DAYS(About!$A$3,'Core Indicators'!BQ105)</f>
        <v>6</v>
      </c>
      <c r="G105" s="281">
        <f>_xlfn.DAYS(About!$A$3,'Core Indicators'!DM105)</f>
        <v>71</v>
      </c>
      <c r="H105" s="281">
        <f>_xlfn.DAYS(About!$A$3,'Core Indicators'!DU105)</f>
        <v>71</v>
      </c>
      <c r="I105" s="281">
        <f>_xlfn.DAYS(About!$A$3,'Core Indicators'!EC105)</f>
        <v>71</v>
      </c>
      <c r="J105" s="281">
        <f>_xlfn.DAYS(About!$A$3,'Core Indicators'!EK105)</f>
        <v>71</v>
      </c>
      <c r="K105" s="281">
        <f>_xlfn.DAYS(About!$A$3,'Core Indicators'!ES105)</f>
        <v>71</v>
      </c>
      <c r="L105" s="281">
        <f>_xlfn.DAYS(About!$A$3,'Core Indicators'!FI105)</f>
        <v>281</v>
      </c>
      <c r="M105" s="281">
        <f>_xlfn.DAYS(About!$A$3,'Core Indicators'!GG105)</f>
        <v>262</v>
      </c>
      <c r="N105" s="281">
        <f>_xlfn.DAYS(About!$A$3,'Core Indicators'!GO105)</f>
        <v>262</v>
      </c>
      <c r="O105" s="281">
        <f>_xlfn.DAYS(About!$A$3,'Core Indicators'!GW105)</f>
        <v>262</v>
      </c>
      <c r="P105" s="281">
        <f>_xlfn.DAYS(About!$A$3,'Core Indicators'!HE105)</f>
        <v>262</v>
      </c>
      <c r="Q105" s="281">
        <f>_xlfn.DAYS(About!$A$3,'Core Indicators'!HM105)</f>
        <v>262</v>
      </c>
      <c r="R105" s="281">
        <f>_xlfn.DAYS(About!$A$3,'Core Indicators'!HU105)</f>
        <v>262</v>
      </c>
      <c r="S105" s="281">
        <f>_xlfn.DAYS(About!$A$3,'Core Indicators'!IC105)</f>
        <v>262</v>
      </c>
      <c r="T105" s="281">
        <f>_xlfn.DAYS(About!$A$3,'Core Indicators'!IK105)</f>
        <v>262</v>
      </c>
      <c r="U105" s="281">
        <f>_xlfn.DAYS(About!$A$3,'Core Indicators'!IS105)</f>
        <v>262</v>
      </c>
      <c r="V105" s="282">
        <f t="shared" si="1"/>
        <v>104.6</v>
      </c>
    </row>
    <row r="106" spans="1:22" x14ac:dyDescent="0.3">
      <c r="A106" s="280" t="str">
        <f>Lists!C:C</f>
        <v>REG001</v>
      </c>
      <c r="B106" s="281">
        <f>_xlfn.DAYS(About!$A$3,'Core Indicators'!U106)</f>
        <v>161</v>
      </c>
      <c r="C106" s="281">
        <f>_xlfn.DAYS(About!$A$3,'Core Indicators'!AC106)</f>
        <v>4</v>
      </c>
      <c r="D106" s="281">
        <f>_xlfn.DAYS(About!$A$3,'Core Indicators'!AK106)</f>
        <v>4</v>
      </c>
      <c r="E106" s="281">
        <f>_xlfn.DAYS(About!$A$3,'Core Indicators'!AS106)</f>
        <v>4</v>
      </c>
      <c r="F106" s="281">
        <f>_xlfn.DAYS(About!$A$3,'Core Indicators'!BQ106)</f>
        <v>4</v>
      </c>
      <c r="G106" s="281">
        <f>_xlfn.DAYS(About!$A$3,'Core Indicators'!DM106)</f>
        <v>4</v>
      </c>
      <c r="H106" s="281">
        <f>_xlfn.DAYS(About!$A$3,'Core Indicators'!DU106)</f>
        <v>4</v>
      </c>
      <c r="I106" s="281">
        <f>_xlfn.DAYS(About!$A$3,'Core Indicators'!EC106)</f>
        <v>4</v>
      </c>
      <c r="J106" s="281">
        <f>_xlfn.DAYS(About!$A$3,'Core Indicators'!EK106)</f>
        <v>4</v>
      </c>
      <c r="K106" s="281">
        <f>_xlfn.DAYS(About!$A$3,'Core Indicators'!ES106)</f>
        <v>4</v>
      </c>
      <c r="L106" s="281">
        <f>_xlfn.DAYS(About!$A$3,'Core Indicators'!FI106)</f>
        <v>554</v>
      </c>
      <c r="M106" s="281">
        <f>_xlfn.DAYS(About!$A$3,'Core Indicators'!GG106)</f>
        <v>371</v>
      </c>
      <c r="N106" s="281">
        <f>_xlfn.DAYS(About!$A$3,'Core Indicators'!GO106)</f>
        <v>371</v>
      </c>
      <c r="O106" s="281">
        <f>_xlfn.DAYS(About!$A$3,'Core Indicators'!GW106)</f>
        <v>371</v>
      </c>
      <c r="P106" s="281">
        <f>_xlfn.DAYS(About!$A$3,'Core Indicators'!HE106)</f>
        <v>371</v>
      </c>
      <c r="Q106" s="281">
        <f>_xlfn.DAYS(About!$A$3,'Core Indicators'!HM106)</f>
        <v>371</v>
      </c>
      <c r="R106" s="281">
        <f>_xlfn.DAYS(About!$A$3,'Core Indicators'!HU106)</f>
        <v>371</v>
      </c>
      <c r="S106" s="281">
        <f>_xlfn.DAYS(About!$A$3,'Core Indicators'!IC106)</f>
        <v>371</v>
      </c>
      <c r="T106" s="281">
        <f>_xlfn.DAYS(About!$A$3,'Core Indicators'!IK106)</f>
        <v>371</v>
      </c>
      <c r="U106" s="281">
        <f>_xlfn.DAYS(About!$A$3,'Core Indicators'!IS106)</f>
        <v>371</v>
      </c>
      <c r="V106" s="282">
        <f t="shared" si="1"/>
        <v>95.7</v>
      </c>
    </row>
    <row r="107" spans="1:22" x14ac:dyDescent="0.3">
      <c r="A107" s="280" t="str">
        <f>Lists!C:C</f>
        <v>PAK001</v>
      </c>
      <c r="B107" s="281">
        <f>_xlfn.DAYS(About!$A$3,'Core Indicators'!U107)</f>
        <v>30</v>
      </c>
      <c r="C107" s="281">
        <f>_xlfn.DAYS(About!$A$3,'Core Indicators'!AC107)</f>
        <v>30</v>
      </c>
      <c r="D107" s="281">
        <f>_xlfn.DAYS(About!$A$3,'Core Indicators'!AK107)</f>
        <v>30</v>
      </c>
      <c r="E107" s="281">
        <f>_xlfn.DAYS(About!$A$3,'Core Indicators'!AS107)</f>
        <v>398</v>
      </c>
      <c r="F107" s="281">
        <f>_xlfn.DAYS(About!$A$3,'Core Indicators'!BQ107)</f>
        <v>8</v>
      </c>
      <c r="G107" s="281">
        <f>_xlfn.DAYS(About!$A$3,'Core Indicators'!DM107)</f>
        <v>30</v>
      </c>
      <c r="H107" s="281">
        <f>_xlfn.DAYS(About!$A$3,'Core Indicators'!DU107)</f>
        <v>30</v>
      </c>
      <c r="I107" s="281">
        <f>_xlfn.DAYS(About!$A$3,'Core Indicators'!EC107)</f>
        <v>30</v>
      </c>
      <c r="J107" s="281">
        <f>_xlfn.DAYS(About!$A$3,'Core Indicators'!EK107)</f>
        <v>30</v>
      </c>
      <c r="K107" s="281">
        <f>_xlfn.DAYS(About!$A$3,'Core Indicators'!ES107)</f>
        <v>30</v>
      </c>
      <c r="L107" s="281">
        <f>_xlfn.DAYS(About!$A$3,'Core Indicators'!FI107)</f>
        <v>637</v>
      </c>
      <c r="M107" s="281">
        <f>_xlfn.DAYS(About!$A$3,'Core Indicators'!GG107)</f>
        <v>373</v>
      </c>
      <c r="N107" s="281">
        <f>_xlfn.DAYS(About!$A$3,'Core Indicators'!GO107)</f>
        <v>373</v>
      </c>
      <c r="O107" s="281">
        <f>_xlfn.DAYS(About!$A$3,'Core Indicators'!GW107)</f>
        <v>373</v>
      </c>
      <c r="P107" s="281">
        <f>_xlfn.DAYS(About!$A$3,'Core Indicators'!HE107)</f>
        <v>373</v>
      </c>
      <c r="Q107" s="281">
        <f>_xlfn.DAYS(About!$A$3,'Core Indicators'!HM107)</f>
        <v>373</v>
      </c>
      <c r="R107" s="281">
        <f>_xlfn.DAYS(About!$A$3,'Core Indicators'!HU107)</f>
        <v>373</v>
      </c>
      <c r="S107" s="281">
        <f>_xlfn.DAYS(About!$A$3,'Core Indicators'!IC107)</f>
        <v>373</v>
      </c>
      <c r="T107" s="281">
        <f>_xlfn.DAYS(About!$A$3,'Core Indicators'!IK107)</f>
        <v>373</v>
      </c>
      <c r="U107" s="281">
        <f>_xlfn.DAYS(About!$A$3,'Core Indicators'!IS107)</f>
        <v>373</v>
      </c>
      <c r="V107" s="282">
        <f t="shared" si="1"/>
        <v>159.6</v>
      </c>
    </row>
    <row r="108" spans="1:22" x14ac:dyDescent="0.3">
      <c r="A108" s="280" t="str">
        <f>Lists!C:C</f>
        <v>PAK004</v>
      </c>
      <c r="B108" s="281">
        <f>_xlfn.DAYS(About!$A$3,'Core Indicators'!U108)</f>
        <v>535</v>
      </c>
      <c r="C108" s="281">
        <f>_xlfn.DAYS(About!$A$3,'Core Indicators'!AC108)</f>
        <v>535</v>
      </c>
      <c r="D108" s="281">
        <f>_xlfn.DAYS(About!$A$3,'Core Indicators'!AK108)</f>
        <v>617</v>
      </c>
      <c r="E108" s="281">
        <f>_xlfn.DAYS(About!$A$3,'Core Indicators'!AS108)</f>
        <v>281</v>
      </c>
      <c r="F108" s="281">
        <f>_xlfn.DAYS(About!$A$3,'Core Indicators'!BQ108)</f>
        <v>8</v>
      </c>
      <c r="G108" s="281">
        <f>_xlfn.DAYS(About!$A$3,'Core Indicators'!DM108)</f>
        <v>344</v>
      </c>
      <c r="H108" s="281">
        <f>_xlfn.DAYS(About!$A$3,'Core Indicators'!DU108)</f>
        <v>617</v>
      </c>
      <c r="I108" s="281">
        <f>_xlfn.DAYS(About!$A$3,'Core Indicators'!EC108)</f>
        <v>617</v>
      </c>
      <c r="J108" s="281">
        <f>_xlfn.DAYS(About!$A$3,'Core Indicators'!EK108)</f>
        <v>617</v>
      </c>
      <c r="K108" s="281">
        <f>_xlfn.DAYS(About!$A$3,'Core Indicators'!ES108)</f>
        <v>617</v>
      </c>
      <c r="L108" s="281">
        <f>_xlfn.DAYS(About!$A$3,'Core Indicators'!FI108)</f>
        <v>617</v>
      </c>
      <c r="M108" s="281">
        <f>_xlfn.DAYS(About!$A$3,'Core Indicators'!GG108)</f>
        <v>373</v>
      </c>
      <c r="N108" s="281">
        <f>_xlfn.DAYS(About!$A$3,'Core Indicators'!GO108)</f>
        <v>373</v>
      </c>
      <c r="O108" s="281">
        <f>_xlfn.DAYS(About!$A$3,'Core Indicators'!GW108)</f>
        <v>373</v>
      </c>
      <c r="P108" s="281">
        <f>_xlfn.DAYS(About!$A$3,'Core Indicators'!HE108)</f>
        <v>373</v>
      </c>
      <c r="Q108" s="281">
        <f>_xlfn.DAYS(About!$A$3,'Core Indicators'!HM108)</f>
        <v>373</v>
      </c>
      <c r="R108" s="281">
        <f>_xlfn.DAYS(About!$A$3,'Core Indicators'!HU108)</f>
        <v>373</v>
      </c>
      <c r="S108" s="281">
        <f>_xlfn.DAYS(About!$A$3,'Core Indicators'!IC108)</f>
        <v>373</v>
      </c>
      <c r="T108" s="281">
        <f>_xlfn.DAYS(About!$A$3,'Core Indicators'!IK108)</f>
        <v>373</v>
      </c>
      <c r="U108" s="281">
        <f>_xlfn.DAYS(About!$A$3,'Core Indicators'!IS108)</f>
        <v>373</v>
      </c>
      <c r="V108" s="282">
        <f t="shared" si="1"/>
        <v>470.8</v>
      </c>
    </row>
    <row r="109" spans="1:22" x14ac:dyDescent="0.3">
      <c r="A109" s="280" t="str">
        <f>Lists!C:C</f>
        <v>PSE002</v>
      </c>
      <c r="B109" s="281">
        <f>_xlfn.DAYS(About!$A$3,'Core Indicators'!U109)</f>
        <v>37</v>
      </c>
      <c r="C109" s="281">
        <f>_xlfn.DAYS(About!$A$3,'Core Indicators'!AC109)</f>
        <v>29</v>
      </c>
      <c r="D109" s="281">
        <f>_xlfn.DAYS(About!$A$3,'Core Indicators'!AK109)</f>
        <v>71</v>
      </c>
      <c r="E109" s="281">
        <f>_xlfn.DAYS(About!$A$3,'Core Indicators'!AS109)</f>
        <v>10</v>
      </c>
      <c r="F109" s="281">
        <f>_xlfn.DAYS(About!$A$3,'Core Indicators'!BQ109)</f>
        <v>10</v>
      </c>
      <c r="G109" s="281">
        <f>_xlfn.DAYS(About!$A$3,'Core Indicators'!DM109)</f>
        <v>71</v>
      </c>
      <c r="H109" s="281">
        <f>_xlfn.DAYS(About!$A$3,'Core Indicators'!DU109)</f>
        <v>71</v>
      </c>
      <c r="I109" s="281">
        <f>_xlfn.DAYS(About!$A$3,'Core Indicators'!EC109)</f>
        <v>71</v>
      </c>
      <c r="J109" s="281">
        <f>_xlfn.DAYS(About!$A$3,'Core Indicators'!EK109)</f>
        <v>71</v>
      </c>
      <c r="K109" s="281">
        <f>_xlfn.DAYS(About!$A$3,'Core Indicators'!ES109)</f>
        <v>71</v>
      </c>
      <c r="L109" s="281">
        <f>_xlfn.DAYS(About!$A$3,'Core Indicators'!FI109)</f>
        <v>637</v>
      </c>
      <c r="M109" s="281">
        <f>_xlfn.DAYS(About!$A$3,'Core Indicators'!GG109)</f>
        <v>370</v>
      </c>
      <c r="N109" s="281">
        <f>_xlfn.DAYS(About!$A$3,'Core Indicators'!GO109)</f>
        <v>370</v>
      </c>
      <c r="O109" s="281">
        <f>_xlfn.DAYS(About!$A$3,'Core Indicators'!GW109)</f>
        <v>370</v>
      </c>
      <c r="P109" s="281">
        <f>_xlfn.DAYS(About!$A$3,'Core Indicators'!HE109)</f>
        <v>370</v>
      </c>
      <c r="Q109" s="281">
        <f>_xlfn.DAYS(About!$A$3,'Core Indicators'!HM109)</f>
        <v>370</v>
      </c>
      <c r="R109" s="281">
        <f>_xlfn.DAYS(About!$A$3,'Core Indicators'!HU109)</f>
        <v>370</v>
      </c>
      <c r="S109" s="281">
        <f>_xlfn.DAYS(About!$A$3,'Core Indicators'!IC109)</f>
        <v>370</v>
      </c>
      <c r="T109" s="281">
        <f>_xlfn.DAYS(About!$A$3,'Core Indicators'!IK109)</f>
        <v>370</v>
      </c>
      <c r="U109" s="281">
        <f>_xlfn.DAYS(About!$A$3,'Core Indicators'!IS109)</f>
        <v>370</v>
      </c>
      <c r="V109" s="282">
        <f t="shared" si="1"/>
        <v>145.30000000000001</v>
      </c>
    </row>
    <row r="110" spans="1:22" x14ac:dyDescent="0.3">
      <c r="A110" s="280" t="str">
        <f>Lists!C:C</f>
        <v>PER002</v>
      </c>
      <c r="B110" s="281">
        <f>_xlfn.DAYS(About!$A$3,'Core Indicators'!U110)</f>
        <v>273</v>
      </c>
      <c r="C110" s="281">
        <f>_xlfn.DAYS(About!$A$3,'Core Indicators'!AC110)</f>
        <v>273</v>
      </c>
      <c r="D110" s="281">
        <f>_xlfn.DAYS(About!$A$3,'Core Indicators'!AK110)</f>
        <v>30</v>
      </c>
      <c r="E110" s="281">
        <f>_xlfn.DAYS(About!$A$3,'Core Indicators'!AS110)</f>
        <v>30</v>
      </c>
      <c r="F110" s="281">
        <f>_xlfn.DAYS(About!$A$3,'Core Indicators'!BQ110)</f>
        <v>30</v>
      </c>
      <c r="G110" s="281">
        <f>_xlfn.DAYS(About!$A$3,'Core Indicators'!DM110)</f>
        <v>273</v>
      </c>
      <c r="H110" s="281">
        <f>_xlfn.DAYS(About!$A$3,'Core Indicators'!DU110)</f>
        <v>273</v>
      </c>
      <c r="I110" s="281">
        <f>_xlfn.DAYS(About!$A$3,'Core Indicators'!EC110)</f>
        <v>273</v>
      </c>
      <c r="J110" s="281">
        <f>_xlfn.DAYS(About!$A$3,'Core Indicators'!EK110)</f>
        <v>273</v>
      </c>
      <c r="K110" s="281">
        <f>_xlfn.DAYS(About!$A$3,'Core Indicators'!ES110)</f>
        <v>273</v>
      </c>
      <c r="L110" s="281">
        <f>_xlfn.DAYS(About!$A$3,'Core Indicators'!FI110)</f>
        <v>629</v>
      </c>
      <c r="M110" s="281">
        <f>_xlfn.DAYS(About!$A$3,'Core Indicators'!GG110)</f>
        <v>370</v>
      </c>
      <c r="N110" s="281">
        <f>_xlfn.DAYS(About!$A$3,'Core Indicators'!GO110)</f>
        <v>370</v>
      </c>
      <c r="O110" s="281">
        <f>_xlfn.DAYS(About!$A$3,'Core Indicators'!GW110)</f>
        <v>370</v>
      </c>
      <c r="P110" s="281">
        <f>_xlfn.DAYS(About!$A$3,'Core Indicators'!HE110)</f>
        <v>370</v>
      </c>
      <c r="Q110" s="281">
        <f>_xlfn.DAYS(About!$A$3,'Core Indicators'!HM110)</f>
        <v>370</v>
      </c>
      <c r="R110" s="281">
        <f>_xlfn.DAYS(About!$A$3,'Core Indicators'!HU110)</f>
        <v>370</v>
      </c>
      <c r="S110" s="281">
        <f>_xlfn.DAYS(About!$A$3,'Core Indicators'!IC110)</f>
        <v>370</v>
      </c>
      <c r="T110" s="281">
        <f>_xlfn.DAYS(About!$A$3,'Core Indicators'!IK110)</f>
        <v>370</v>
      </c>
      <c r="U110" s="281">
        <f>_xlfn.DAYS(About!$A$3,'Core Indicators'!IS110)</f>
        <v>370</v>
      </c>
      <c r="V110" s="282">
        <f t="shared" si="1"/>
        <v>245.4</v>
      </c>
    </row>
    <row r="111" spans="1:22" x14ac:dyDescent="0.3">
      <c r="A111" s="280" t="str">
        <f>Lists!C:C</f>
        <v>PHL001</v>
      </c>
      <c r="B111" s="281">
        <f>_xlfn.DAYS(About!$A$3,'Core Indicators'!U111)</f>
        <v>153</v>
      </c>
      <c r="C111" s="281">
        <f>_xlfn.DAYS(About!$A$3,'Core Indicators'!AC111)</f>
        <v>29</v>
      </c>
      <c r="D111" s="281">
        <f>_xlfn.DAYS(About!$A$3,'Core Indicators'!AK111)</f>
        <v>34</v>
      </c>
      <c r="E111" s="281">
        <f>_xlfn.DAYS(About!$A$3,'Core Indicators'!AS111)</f>
        <v>34</v>
      </c>
      <c r="F111" s="281">
        <f>_xlfn.DAYS(About!$A$3,'Core Indicators'!BQ111)</f>
        <v>8</v>
      </c>
      <c r="G111" s="281">
        <f>_xlfn.DAYS(About!$A$3,'Core Indicators'!DM111)</f>
        <v>34</v>
      </c>
      <c r="H111" s="281">
        <f>_xlfn.DAYS(About!$A$3,'Core Indicators'!DU111)</f>
        <v>34</v>
      </c>
      <c r="I111" s="281">
        <f>_xlfn.DAYS(About!$A$3,'Core Indicators'!EC111)</f>
        <v>34</v>
      </c>
      <c r="J111" s="281">
        <f>_xlfn.DAYS(About!$A$3,'Core Indicators'!EK111)</f>
        <v>34</v>
      </c>
      <c r="K111" s="281">
        <f>_xlfn.DAYS(About!$A$3,'Core Indicators'!ES111)</f>
        <v>34</v>
      </c>
      <c r="L111" s="281">
        <f>_xlfn.DAYS(About!$A$3,'Core Indicators'!FI111)</f>
        <v>325</v>
      </c>
      <c r="M111" s="281">
        <f>_xlfn.DAYS(About!$A$3,'Core Indicators'!GG111)</f>
        <v>325</v>
      </c>
      <c r="N111" s="281">
        <f>_xlfn.DAYS(About!$A$3,'Core Indicators'!GO111)</f>
        <v>325</v>
      </c>
      <c r="O111" s="281">
        <f>_xlfn.DAYS(About!$A$3,'Core Indicators'!GW111)</f>
        <v>325</v>
      </c>
      <c r="P111" s="281">
        <f>_xlfn.DAYS(About!$A$3,'Core Indicators'!HE111)</f>
        <v>325</v>
      </c>
      <c r="Q111" s="281">
        <f>_xlfn.DAYS(About!$A$3,'Core Indicators'!HM111)</f>
        <v>325</v>
      </c>
      <c r="R111" s="281">
        <f>_xlfn.DAYS(About!$A$3,'Core Indicators'!HU111)</f>
        <v>325</v>
      </c>
      <c r="S111" s="281">
        <f>_xlfn.DAYS(About!$A$3,'Core Indicators'!IC111)</f>
        <v>325</v>
      </c>
      <c r="T111" s="281">
        <f>_xlfn.DAYS(About!$A$3,'Core Indicators'!IK111)</f>
        <v>325</v>
      </c>
      <c r="U111" s="281">
        <f>_xlfn.DAYS(About!$A$3,'Core Indicators'!IS111)</f>
        <v>325</v>
      </c>
      <c r="V111" s="282">
        <f t="shared" si="1"/>
        <v>89.6</v>
      </c>
    </row>
    <row r="112" spans="1:22" x14ac:dyDescent="0.3">
      <c r="A112" s="280" t="str">
        <f>Lists!C:C</f>
        <v>PHL003</v>
      </c>
      <c r="B112" s="281">
        <f>_xlfn.DAYS(About!$A$3,'Core Indicators'!U112)</f>
        <v>342</v>
      </c>
      <c r="C112" s="281">
        <f>_xlfn.DAYS(About!$A$3,'Core Indicators'!AC112)</f>
        <v>342</v>
      </c>
      <c r="D112" s="281">
        <f>_xlfn.DAYS(About!$A$3,'Core Indicators'!AK112)</f>
        <v>34</v>
      </c>
      <c r="E112" s="281">
        <f>_xlfn.DAYS(About!$A$3,'Core Indicators'!AS112)</f>
        <v>34</v>
      </c>
      <c r="F112" s="281">
        <f>_xlfn.DAYS(About!$A$3,'Core Indicators'!BQ112)</f>
        <v>8</v>
      </c>
      <c r="G112" s="281">
        <f>_xlfn.DAYS(About!$A$3,'Core Indicators'!DM112)</f>
        <v>21</v>
      </c>
      <c r="H112" s="281">
        <f>_xlfn.DAYS(About!$A$3,'Core Indicators'!DU112)</f>
        <v>21</v>
      </c>
      <c r="I112" s="281">
        <f>_xlfn.DAYS(About!$A$3,'Core Indicators'!EC112)</f>
        <v>21</v>
      </c>
      <c r="J112" s="281">
        <f>_xlfn.DAYS(About!$A$3,'Core Indicators'!EK112)</f>
        <v>21</v>
      </c>
      <c r="K112" s="281">
        <f>_xlfn.DAYS(About!$A$3,'Core Indicators'!ES112)</f>
        <v>21</v>
      </c>
      <c r="L112" s="281">
        <f>_xlfn.DAYS(About!$A$3,'Core Indicators'!FI112)</f>
        <v>342</v>
      </c>
      <c r="M112" s="281">
        <f>_xlfn.DAYS(About!$A$3,'Core Indicators'!GG112)</f>
        <v>370</v>
      </c>
      <c r="N112" s="281">
        <f>_xlfn.DAYS(About!$A$3,'Core Indicators'!GO112)</f>
        <v>370</v>
      </c>
      <c r="O112" s="281">
        <f>_xlfn.DAYS(About!$A$3,'Core Indicators'!GW112)</f>
        <v>370</v>
      </c>
      <c r="P112" s="281">
        <f>_xlfn.DAYS(About!$A$3,'Core Indicators'!HE112)</f>
        <v>370</v>
      </c>
      <c r="Q112" s="281">
        <f>_xlfn.DAYS(About!$A$3,'Core Indicators'!HM112)</f>
        <v>370</v>
      </c>
      <c r="R112" s="281">
        <f>_xlfn.DAYS(About!$A$3,'Core Indicators'!HU112)</f>
        <v>370</v>
      </c>
      <c r="S112" s="281">
        <f>_xlfn.DAYS(About!$A$3,'Core Indicators'!IC112)</f>
        <v>370</v>
      </c>
      <c r="T112" s="281">
        <f>_xlfn.DAYS(About!$A$3,'Core Indicators'!IK112)</f>
        <v>370</v>
      </c>
      <c r="U112" s="281">
        <f>_xlfn.DAYS(About!$A$3,'Core Indicators'!IS112)</f>
        <v>370</v>
      </c>
      <c r="V112" s="282">
        <f t="shared" si="1"/>
        <v>89.3</v>
      </c>
    </row>
    <row r="113" spans="1:22" x14ac:dyDescent="0.3">
      <c r="A113" s="280" t="str">
        <f>Lists!C:C</f>
        <v>PHL004</v>
      </c>
      <c r="B113" s="281">
        <f>_xlfn.DAYS(About!$A$3,'Core Indicators'!U113)</f>
        <v>325</v>
      </c>
      <c r="C113" s="281">
        <f>_xlfn.DAYS(About!$A$3,'Core Indicators'!AC113)</f>
        <v>325</v>
      </c>
      <c r="D113" s="281">
        <f>_xlfn.DAYS(About!$A$3,'Core Indicators'!AK113)</f>
        <v>34</v>
      </c>
      <c r="E113" s="281">
        <f>_xlfn.DAYS(About!$A$3,'Core Indicators'!AS113)</f>
        <v>34</v>
      </c>
      <c r="F113" s="281">
        <f>_xlfn.DAYS(About!$A$3,'Core Indicators'!BQ113)</f>
        <v>153</v>
      </c>
      <c r="G113" s="281">
        <f>_xlfn.DAYS(About!$A$3,'Core Indicators'!DM113)</f>
        <v>34</v>
      </c>
      <c r="H113" s="281">
        <f>_xlfn.DAYS(About!$A$3,'Core Indicators'!DU113)</f>
        <v>34</v>
      </c>
      <c r="I113" s="281">
        <f>_xlfn.DAYS(About!$A$3,'Core Indicators'!EC113)</f>
        <v>34</v>
      </c>
      <c r="J113" s="281">
        <f>_xlfn.DAYS(About!$A$3,'Core Indicators'!EK113)</f>
        <v>34</v>
      </c>
      <c r="K113" s="281">
        <f>_xlfn.DAYS(About!$A$3,'Core Indicators'!ES113)</f>
        <v>34</v>
      </c>
      <c r="L113" s="281">
        <f>_xlfn.DAYS(About!$A$3,'Core Indicators'!FI113)</f>
        <v>325</v>
      </c>
      <c r="M113" s="281">
        <f>_xlfn.DAYS(About!$A$3,'Core Indicators'!GG113)</f>
        <v>325</v>
      </c>
      <c r="N113" s="281">
        <f>_xlfn.DAYS(About!$A$3,'Core Indicators'!GO113)</f>
        <v>325</v>
      </c>
      <c r="O113" s="281">
        <f>_xlfn.DAYS(About!$A$3,'Core Indicators'!GW113)</f>
        <v>325</v>
      </c>
      <c r="P113" s="281">
        <f>_xlfn.DAYS(About!$A$3,'Core Indicators'!HE113)</f>
        <v>325</v>
      </c>
      <c r="Q113" s="281">
        <f>_xlfn.DAYS(About!$A$3,'Core Indicators'!HM113)</f>
        <v>325</v>
      </c>
      <c r="R113" s="281">
        <f>_xlfn.DAYS(About!$A$3,'Core Indicators'!HU113)</f>
        <v>325</v>
      </c>
      <c r="S113" s="281">
        <f>_xlfn.DAYS(About!$A$3,'Core Indicators'!IC113)</f>
        <v>325</v>
      </c>
      <c r="T113" s="281">
        <f>_xlfn.DAYS(About!$A$3,'Core Indicators'!IK113)</f>
        <v>325</v>
      </c>
      <c r="U113" s="281">
        <f>_xlfn.DAYS(About!$A$3,'Core Indicators'!IS113)</f>
        <v>325</v>
      </c>
      <c r="V113" s="282">
        <f t="shared" si="1"/>
        <v>104.1</v>
      </c>
    </row>
    <row r="114" spans="1:22" x14ac:dyDescent="0.3">
      <c r="A114" s="280" t="str">
        <f>Lists!C:C</f>
        <v>RWA002</v>
      </c>
      <c r="B114" s="281">
        <f>_xlfn.DAYS(About!$A$3,'Core Indicators'!U114)</f>
        <v>629</v>
      </c>
      <c r="C114" s="281">
        <f>_xlfn.DAYS(About!$A$3,'Core Indicators'!AC114)</f>
        <v>71</v>
      </c>
      <c r="D114" s="281">
        <f>_xlfn.DAYS(About!$A$3,'Core Indicators'!AK114)</f>
        <v>6</v>
      </c>
      <c r="E114" s="281">
        <f>_xlfn.DAYS(About!$A$3,'Core Indicators'!AS114)</f>
        <v>6</v>
      </c>
      <c r="F114" s="281">
        <f>_xlfn.DAYS(About!$A$3,'Core Indicators'!BQ114)</f>
        <v>6</v>
      </c>
      <c r="G114" s="281">
        <f>_xlfn.DAYS(About!$A$3,'Core Indicators'!DM114)</f>
        <v>6</v>
      </c>
      <c r="H114" s="281">
        <f>_xlfn.DAYS(About!$A$3,'Core Indicators'!DU114)</f>
        <v>6</v>
      </c>
      <c r="I114" s="281">
        <f>_xlfn.DAYS(About!$A$3,'Core Indicators'!EC114)</f>
        <v>6</v>
      </c>
      <c r="J114" s="281">
        <f>_xlfn.DAYS(About!$A$3,'Core Indicators'!EK114)</f>
        <v>6</v>
      </c>
      <c r="K114" s="281">
        <f>_xlfn.DAYS(About!$A$3,'Core Indicators'!ES114)</f>
        <v>6</v>
      </c>
      <c r="L114" s="281">
        <f>_xlfn.DAYS(About!$A$3,'Core Indicators'!FI114)</f>
        <v>629</v>
      </c>
      <c r="M114" s="281">
        <f>_xlfn.DAYS(About!$A$3,'Core Indicators'!GG114)</f>
        <v>371</v>
      </c>
      <c r="N114" s="281">
        <f>_xlfn.DAYS(About!$A$3,'Core Indicators'!GO114)</f>
        <v>371</v>
      </c>
      <c r="O114" s="281">
        <f>_xlfn.DAYS(About!$A$3,'Core Indicators'!GW114)</f>
        <v>371</v>
      </c>
      <c r="P114" s="281">
        <f>_xlfn.DAYS(About!$A$3,'Core Indicators'!HE114)</f>
        <v>371</v>
      </c>
      <c r="Q114" s="281">
        <f>_xlfn.DAYS(About!$A$3,'Core Indicators'!HM114)</f>
        <v>371</v>
      </c>
      <c r="R114" s="281">
        <f>_xlfn.DAYS(About!$A$3,'Core Indicators'!HU114)</f>
        <v>371</v>
      </c>
      <c r="S114" s="281">
        <f>_xlfn.DAYS(About!$A$3,'Core Indicators'!IC114)</f>
        <v>371</v>
      </c>
      <c r="T114" s="281">
        <f>_xlfn.DAYS(About!$A$3,'Core Indicators'!IK114)</f>
        <v>371</v>
      </c>
      <c r="U114" s="281">
        <f>_xlfn.DAYS(About!$A$3,'Core Indicators'!IS114)</f>
        <v>371</v>
      </c>
      <c r="V114" s="282">
        <f t="shared" si="1"/>
        <v>104.8</v>
      </c>
    </row>
    <row r="115" spans="1:22" x14ac:dyDescent="0.3">
      <c r="A115" s="280" t="str">
        <f>Lists!C:C</f>
        <v>SEN002</v>
      </c>
      <c r="B115" s="281">
        <f>_xlfn.DAYS(About!$A$3,'Core Indicators'!U115)</f>
        <v>31</v>
      </c>
      <c r="C115" s="281">
        <f>_xlfn.DAYS(About!$A$3,'Core Indicators'!AC115)</f>
        <v>125</v>
      </c>
      <c r="D115" s="281">
        <f>_xlfn.DAYS(About!$A$3,'Core Indicators'!AK115)</f>
        <v>125</v>
      </c>
      <c r="E115" s="281">
        <f>_xlfn.DAYS(About!$A$3,'Core Indicators'!AS115)</f>
        <v>329</v>
      </c>
      <c r="F115" s="281">
        <f>_xlfn.DAYS(About!$A$3,'Core Indicators'!BQ115)</f>
        <v>651</v>
      </c>
      <c r="G115" s="281">
        <f>_xlfn.DAYS(About!$A$3,'Core Indicators'!DM115)</f>
        <v>125</v>
      </c>
      <c r="H115" s="281">
        <f>_xlfn.DAYS(About!$A$3,'Core Indicators'!DU115)</f>
        <v>125</v>
      </c>
      <c r="I115" s="281">
        <f>_xlfn.DAYS(About!$A$3,'Core Indicators'!EC115)</f>
        <v>125</v>
      </c>
      <c r="J115" s="281">
        <f>_xlfn.DAYS(About!$A$3,'Core Indicators'!EK115)</f>
        <v>125</v>
      </c>
      <c r="K115" s="281">
        <f>_xlfn.DAYS(About!$A$3,'Core Indicators'!ES115)</f>
        <v>125</v>
      </c>
      <c r="L115" s="281">
        <f>_xlfn.DAYS(About!$A$3,'Core Indicators'!FI115)</f>
        <v>651</v>
      </c>
      <c r="M115" s="281">
        <f>_xlfn.DAYS(About!$A$3,'Core Indicators'!GG115)</f>
        <v>371</v>
      </c>
      <c r="N115" s="281">
        <f>_xlfn.DAYS(About!$A$3,'Core Indicators'!GO115)</f>
        <v>371</v>
      </c>
      <c r="O115" s="281">
        <f>_xlfn.DAYS(About!$A$3,'Core Indicators'!GW115)</f>
        <v>371</v>
      </c>
      <c r="P115" s="281">
        <f>_xlfn.DAYS(About!$A$3,'Core Indicators'!HE115)</f>
        <v>371</v>
      </c>
      <c r="Q115" s="281">
        <f>_xlfn.DAYS(About!$A$3,'Core Indicators'!HM115)</f>
        <v>371</v>
      </c>
      <c r="R115" s="281">
        <f>_xlfn.DAYS(About!$A$3,'Core Indicators'!HU115)</f>
        <v>371</v>
      </c>
      <c r="S115" s="281">
        <f>_xlfn.DAYS(About!$A$3,'Core Indicators'!IC115)</f>
        <v>371</v>
      </c>
      <c r="T115" s="281">
        <f>_xlfn.DAYS(About!$A$3,'Core Indicators'!IK115)</f>
        <v>371</v>
      </c>
      <c r="U115" s="281">
        <f>_xlfn.DAYS(About!$A$3,'Core Indicators'!IS115)</f>
        <v>371</v>
      </c>
      <c r="V115" s="282">
        <f t="shared" si="1"/>
        <v>275.2</v>
      </c>
    </row>
    <row r="116" spans="1:22" x14ac:dyDescent="0.3">
      <c r="A116" s="280" t="str">
        <f>Lists!C:C</f>
        <v>SOM001</v>
      </c>
      <c r="B116" s="281">
        <f>_xlfn.DAYS(About!$A$3,'Core Indicators'!U116)</f>
        <v>381</v>
      </c>
      <c r="C116" s="281">
        <f>_xlfn.DAYS(About!$A$3,'Core Indicators'!AC116)</f>
        <v>272</v>
      </c>
      <c r="D116" s="281">
        <f>_xlfn.DAYS(About!$A$3,'Core Indicators'!AK116)</f>
        <v>272</v>
      </c>
      <c r="E116" s="281">
        <f>_xlfn.DAYS(About!$A$3,'Core Indicators'!AS116)</f>
        <v>104</v>
      </c>
      <c r="F116" s="281">
        <f>_xlfn.DAYS(About!$A$3,'Core Indicators'!BQ116)</f>
        <v>0</v>
      </c>
      <c r="G116" s="281">
        <f>_xlfn.DAYS(About!$A$3,'Core Indicators'!DM116)</f>
        <v>272</v>
      </c>
      <c r="H116" s="281">
        <f>_xlfn.DAYS(About!$A$3,'Core Indicators'!DU116)</f>
        <v>101</v>
      </c>
      <c r="I116" s="281">
        <f>_xlfn.DAYS(About!$A$3,'Core Indicators'!EC116)</f>
        <v>101</v>
      </c>
      <c r="J116" s="281">
        <f>_xlfn.DAYS(About!$A$3,'Core Indicators'!EK116)</f>
        <v>272</v>
      </c>
      <c r="K116" s="281">
        <f>_xlfn.DAYS(About!$A$3,'Core Indicators'!ES116)</f>
        <v>272</v>
      </c>
      <c r="L116" s="281">
        <f>_xlfn.DAYS(About!$A$3,'Core Indicators'!FI116)</f>
        <v>644</v>
      </c>
      <c r="M116" s="281">
        <f>_xlfn.DAYS(About!$A$3,'Core Indicators'!GG116)</f>
        <v>381</v>
      </c>
      <c r="N116" s="281">
        <f>_xlfn.DAYS(About!$A$3,'Core Indicators'!GO116)</f>
        <v>381</v>
      </c>
      <c r="O116" s="281">
        <f>_xlfn.DAYS(About!$A$3,'Core Indicators'!GW116)</f>
        <v>381</v>
      </c>
      <c r="P116" s="281">
        <f>_xlfn.DAYS(About!$A$3,'Core Indicators'!HE116)</f>
        <v>381</v>
      </c>
      <c r="Q116" s="281">
        <f>_xlfn.DAYS(About!$A$3,'Core Indicators'!HM116)</f>
        <v>381</v>
      </c>
      <c r="R116" s="281">
        <f>_xlfn.DAYS(About!$A$3,'Core Indicators'!HU116)</f>
        <v>381</v>
      </c>
      <c r="S116" s="281">
        <f>_xlfn.DAYS(About!$A$3,'Core Indicators'!IC116)</f>
        <v>381</v>
      </c>
      <c r="T116" s="281">
        <f>_xlfn.DAYS(About!$A$3,'Core Indicators'!IK116)</f>
        <v>381</v>
      </c>
      <c r="U116" s="281">
        <f>_xlfn.DAYS(About!$A$3,'Core Indicators'!IS116)</f>
        <v>381</v>
      </c>
      <c r="V116" s="282">
        <f t="shared" si="1"/>
        <v>241.9</v>
      </c>
    </row>
    <row r="117" spans="1:22" x14ac:dyDescent="0.3">
      <c r="A117" s="280" t="str">
        <f>Lists!C:C</f>
        <v>SOM002</v>
      </c>
      <c r="B117" s="281">
        <f>_xlfn.DAYS(About!$A$3,'Core Indicators'!U117)</f>
        <v>104</v>
      </c>
      <c r="C117" s="281">
        <f>_xlfn.DAYS(About!$A$3,'Core Indicators'!AC117)</f>
        <v>104</v>
      </c>
      <c r="D117" s="281">
        <f>_xlfn.DAYS(About!$A$3,'Core Indicators'!AK117)</f>
        <v>104</v>
      </c>
      <c r="E117" s="281">
        <f>_xlfn.DAYS(About!$A$3,'Core Indicators'!AS117)</f>
        <v>104</v>
      </c>
      <c r="F117" s="281">
        <f>_xlfn.DAYS(About!$A$3,'Core Indicators'!BQ117)</f>
        <v>76</v>
      </c>
      <c r="G117" s="281">
        <f>_xlfn.DAYS(About!$A$3,'Core Indicators'!DM117)</f>
        <v>556</v>
      </c>
      <c r="H117" s="281">
        <f>_xlfn.DAYS(About!$A$3,'Core Indicators'!DU117)</f>
        <v>556</v>
      </c>
      <c r="I117" s="281">
        <f>_xlfn.DAYS(About!$A$3,'Core Indicators'!EC117)</f>
        <v>104</v>
      </c>
      <c r="J117" s="281">
        <f>_xlfn.DAYS(About!$A$3,'Core Indicators'!EK117)</f>
        <v>104</v>
      </c>
      <c r="K117" s="281">
        <f>_xlfn.DAYS(About!$A$3,'Core Indicators'!ES117)</f>
        <v>104</v>
      </c>
      <c r="L117" s="281">
        <f>_xlfn.DAYS(About!$A$3,'Core Indicators'!FI117)</f>
        <v>556</v>
      </c>
      <c r="M117" s="281">
        <f>_xlfn.DAYS(About!$A$3,'Core Indicators'!GG117)</f>
        <v>371</v>
      </c>
      <c r="N117" s="281">
        <f>_xlfn.DAYS(About!$A$3,'Core Indicators'!GO117)</f>
        <v>371</v>
      </c>
      <c r="O117" s="281">
        <f>_xlfn.DAYS(About!$A$3,'Core Indicators'!GW117)</f>
        <v>371</v>
      </c>
      <c r="P117" s="281">
        <f>_xlfn.DAYS(About!$A$3,'Core Indicators'!HE117)</f>
        <v>371</v>
      </c>
      <c r="Q117" s="281">
        <f>_xlfn.DAYS(About!$A$3,'Core Indicators'!HM117)</f>
        <v>371</v>
      </c>
      <c r="R117" s="281">
        <f>_xlfn.DAYS(About!$A$3,'Core Indicators'!HU117)</f>
        <v>371</v>
      </c>
      <c r="S117" s="281">
        <f>_xlfn.DAYS(About!$A$3,'Core Indicators'!IC117)</f>
        <v>371</v>
      </c>
      <c r="T117" s="281">
        <f>_xlfn.DAYS(About!$A$3,'Core Indicators'!IK117)</f>
        <v>371</v>
      </c>
      <c r="U117" s="281">
        <f>_xlfn.DAYS(About!$A$3,'Core Indicators'!IS117)</f>
        <v>371</v>
      </c>
      <c r="V117" s="282">
        <f t="shared" si="1"/>
        <v>263.5</v>
      </c>
    </row>
    <row r="118" spans="1:22" x14ac:dyDescent="0.3">
      <c r="A118" s="280" t="str">
        <f>Lists!C:C</f>
        <v>SOM004</v>
      </c>
      <c r="B118" s="281">
        <f>_xlfn.DAYS(About!$A$3,'Core Indicators'!U118)</f>
        <v>342</v>
      </c>
      <c r="C118" s="281">
        <f>_xlfn.DAYS(About!$A$3,'Core Indicators'!AC118)</f>
        <v>342</v>
      </c>
      <c r="D118" s="281">
        <f>_xlfn.DAYS(About!$A$3,'Core Indicators'!AK118)</f>
        <v>342</v>
      </c>
      <c r="E118" s="281">
        <f>_xlfn.DAYS(About!$A$3,'Core Indicators'!AS118)</f>
        <v>330</v>
      </c>
      <c r="F118" s="281">
        <f>_xlfn.DAYS(About!$A$3,'Core Indicators'!BQ118)</f>
        <v>342</v>
      </c>
      <c r="G118" s="281">
        <f>_xlfn.DAYS(About!$A$3,'Core Indicators'!DM118)</f>
        <v>330</v>
      </c>
      <c r="H118" s="281">
        <f>_xlfn.DAYS(About!$A$3,'Core Indicators'!DU118)</f>
        <v>330</v>
      </c>
      <c r="I118" s="281">
        <f>_xlfn.DAYS(About!$A$3,'Core Indicators'!EC118)</f>
        <v>330</v>
      </c>
      <c r="J118" s="281">
        <f>_xlfn.DAYS(About!$A$3,'Core Indicators'!EK118)</f>
        <v>342</v>
      </c>
      <c r="K118" s="281">
        <f>_xlfn.DAYS(About!$A$3,'Core Indicators'!ES118)</f>
        <v>342</v>
      </c>
      <c r="L118" s="281">
        <f>_xlfn.DAYS(About!$A$3,'Core Indicators'!FI118)</f>
        <v>342</v>
      </c>
      <c r="M118" s="281">
        <f>_xlfn.DAYS(About!$A$3,'Core Indicators'!GG118)</f>
        <v>342</v>
      </c>
      <c r="N118" s="281">
        <f>_xlfn.DAYS(About!$A$3,'Core Indicators'!GO118)</f>
        <v>342</v>
      </c>
      <c r="O118" s="281">
        <f>_xlfn.DAYS(About!$A$3,'Core Indicators'!GW118)</f>
        <v>342</v>
      </c>
      <c r="P118" s="281">
        <f>_xlfn.DAYS(About!$A$3,'Core Indicators'!HE118)</f>
        <v>342</v>
      </c>
      <c r="Q118" s="281">
        <f>_xlfn.DAYS(About!$A$3,'Core Indicators'!HM118)</f>
        <v>342</v>
      </c>
      <c r="R118" s="281">
        <f>_xlfn.DAYS(About!$A$3,'Core Indicators'!HU118)</f>
        <v>342</v>
      </c>
      <c r="S118" s="281">
        <f>_xlfn.DAYS(About!$A$3,'Core Indicators'!IC118)</f>
        <v>342</v>
      </c>
      <c r="T118" s="281">
        <f>_xlfn.DAYS(About!$A$3,'Core Indicators'!IK118)</f>
        <v>342</v>
      </c>
      <c r="U118" s="281">
        <f>_xlfn.DAYS(About!$A$3,'Core Indicators'!IS118)</f>
        <v>342</v>
      </c>
      <c r="V118" s="282">
        <f t="shared" si="1"/>
        <v>337.2</v>
      </c>
    </row>
    <row r="119" spans="1:22" x14ac:dyDescent="0.3">
      <c r="A119" s="280" t="str">
        <f>Lists!C:C</f>
        <v>SSD001</v>
      </c>
      <c r="B119" s="281">
        <f>_xlfn.DAYS(About!$A$3,'Core Indicators'!U119)</f>
        <v>496</v>
      </c>
      <c r="C119" s="281">
        <f>_xlfn.DAYS(About!$A$3,'Core Indicators'!AC119)</f>
        <v>464</v>
      </c>
      <c r="D119" s="281">
        <f>_xlfn.DAYS(About!$A$3,'Core Indicators'!AK119)</f>
        <v>464</v>
      </c>
      <c r="E119" s="281">
        <f>_xlfn.DAYS(About!$A$3,'Core Indicators'!AS119)</f>
        <v>76</v>
      </c>
      <c r="F119" s="281">
        <f>_xlfn.DAYS(About!$A$3,'Core Indicators'!BQ119)</f>
        <v>0</v>
      </c>
      <c r="G119" s="281">
        <f>_xlfn.DAYS(About!$A$3,'Core Indicators'!DM119)</f>
        <v>405</v>
      </c>
      <c r="H119" s="281">
        <f>_xlfn.DAYS(About!$A$3,'Core Indicators'!DU119)</f>
        <v>405</v>
      </c>
      <c r="I119" s="281">
        <f>_xlfn.DAYS(About!$A$3,'Core Indicators'!EC119)</f>
        <v>405</v>
      </c>
      <c r="J119" s="281">
        <f>_xlfn.DAYS(About!$A$3,'Core Indicators'!EK119)</f>
        <v>405</v>
      </c>
      <c r="K119" s="281">
        <f>_xlfn.DAYS(About!$A$3,'Core Indicators'!ES119)</f>
        <v>405</v>
      </c>
      <c r="L119" s="281">
        <f>_xlfn.DAYS(About!$A$3,'Core Indicators'!FI119)</f>
        <v>496</v>
      </c>
      <c r="M119" s="281">
        <f>_xlfn.DAYS(About!$A$3,'Core Indicators'!GG119)</f>
        <v>372</v>
      </c>
      <c r="N119" s="281">
        <f>_xlfn.DAYS(About!$A$3,'Core Indicators'!GO119)</f>
        <v>372</v>
      </c>
      <c r="O119" s="281">
        <f>_xlfn.DAYS(About!$A$3,'Core Indicators'!GW119)</f>
        <v>372</v>
      </c>
      <c r="P119" s="281">
        <f>_xlfn.DAYS(About!$A$3,'Core Indicators'!HE119)</f>
        <v>372</v>
      </c>
      <c r="Q119" s="281">
        <f>_xlfn.DAYS(About!$A$3,'Core Indicators'!HM119)</f>
        <v>372</v>
      </c>
      <c r="R119" s="281">
        <f>_xlfn.DAYS(About!$A$3,'Core Indicators'!HU119)</f>
        <v>372</v>
      </c>
      <c r="S119" s="281">
        <f>_xlfn.DAYS(About!$A$3,'Core Indicators'!IC119)</f>
        <v>372</v>
      </c>
      <c r="T119" s="281">
        <f>_xlfn.DAYS(About!$A$3,'Core Indicators'!IK119)</f>
        <v>372</v>
      </c>
      <c r="U119" s="281">
        <f>_xlfn.DAYS(About!$A$3,'Core Indicators'!IS119)</f>
        <v>372</v>
      </c>
      <c r="V119" s="282">
        <f t="shared" si="1"/>
        <v>343.3</v>
      </c>
    </row>
    <row r="120" spans="1:22" x14ac:dyDescent="0.3">
      <c r="A120" s="280" t="str">
        <f>Lists!C:C</f>
        <v>SDN001</v>
      </c>
      <c r="B120" s="281">
        <f>_xlfn.DAYS(About!$A$3,'Core Indicators'!U120)</f>
        <v>272</v>
      </c>
      <c r="C120" s="281">
        <f>_xlfn.DAYS(About!$A$3,'Core Indicators'!AC120)</f>
        <v>272</v>
      </c>
      <c r="D120" s="281">
        <f>_xlfn.DAYS(About!$A$3,'Core Indicators'!AK120)</f>
        <v>101</v>
      </c>
      <c r="E120" s="281">
        <f>_xlfn.DAYS(About!$A$3,'Core Indicators'!AS120)</f>
        <v>272</v>
      </c>
      <c r="F120" s="281">
        <f>_xlfn.DAYS(About!$A$3,'Core Indicators'!BQ120)</f>
        <v>0</v>
      </c>
      <c r="G120" s="281">
        <f>_xlfn.DAYS(About!$A$3,'Core Indicators'!DM120)</f>
        <v>101</v>
      </c>
      <c r="H120" s="281">
        <f>_xlfn.DAYS(About!$A$3,'Core Indicators'!DU120)</f>
        <v>101</v>
      </c>
      <c r="I120" s="281">
        <f>_xlfn.DAYS(About!$A$3,'Core Indicators'!EC120)</f>
        <v>272</v>
      </c>
      <c r="J120" s="281">
        <f>_xlfn.DAYS(About!$A$3,'Core Indicators'!EK120)</f>
        <v>272</v>
      </c>
      <c r="K120" s="281">
        <f>_xlfn.DAYS(About!$A$3,'Core Indicators'!ES120)</f>
        <v>272</v>
      </c>
      <c r="L120" s="281">
        <f>_xlfn.DAYS(About!$A$3,'Core Indicators'!FI120)</f>
        <v>272</v>
      </c>
      <c r="M120" s="281">
        <f>_xlfn.DAYS(About!$A$3,'Core Indicators'!GG120)</f>
        <v>372</v>
      </c>
      <c r="N120" s="281">
        <f>_xlfn.DAYS(About!$A$3,'Core Indicators'!GO120)</f>
        <v>372</v>
      </c>
      <c r="O120" s="281">
        <f>_xlfn.DAYS(About!$A$3,'Core Indicators'!GW120)</f>
        <v>372</v>
      </c>
      <c r="P120" s="281">
        <f>_xlfn.DAYS(About!$A$3,'Core Indicators'!HE120)</f>
        <v>372</v>
      </c>
      <c r="Q120" s="281">
        <f>_xlfn.DAYS(About!$A$3,'Core Indicators'!HM120)</f>
        <v>372</v>
      </c>
      <c r="R120" s="281">
        <f>_xlfn.DAYS(About!$A$3,'Core Indicators'!HU120)</f>
        <v>372</v>
      </c>
      <c r="S120" s="281">
        <f>_xlfn.DAYS(About!$A$3,'Core Indicators'!IC120)</f>
        <v>372</v>
      </c>
      <c r="T120" s="281">
        <f>_xlfn.DAYS(About!$A$3,'Core Indicators'!IK120)</f>
        <v>372</v>
      </c>
      <c r="U120" s="281">
        <f>_xlfn.DAYS(About!$A$3,'Core Indicators'!IS120)</f>
        <v>372</v>
      </c>
      <c r="V120" s="282">
        <f t="shared" si="1"/>
        <v>203.5</v>
      </c>
    </row>
    <row r="121" spans="1:22" x14ac:dyDescent="0.3">
      <c r="A121" s="280" t="str">
        <f>Lists!C:C</f>
        <v>SDN005</v>
      </c>
      <c r="B121" s="281">
        <f>_xlfn.DAYS(About!$A$3,'Core Indicators'!U121)</f>
        <v>272</v>
      </c>
      <c r="C121" s="281">
        <f>_xlfn.DAYS(About!$A$3,'Core Indicators'!AC121)</f>
        <v>272</v>
      </c>
      <c r="D121" s="281">
        <f>_xlfn.DAYS(About!$A$3,'Core Indicators'!AK121)</f>
        <v>220</v>
      </c>
      <c r="E121" s="281">
        <f>_xlfn.DAYS(About!$A$3,'Core Indicators'!AS121)</f>
        <v>272</v>
      </c>
      <c r="F121" s="281">
        <f>_xlfn.DAYS(About!$A$3,'Core Indicators'!BQ121)</f>
        <v>272</v>
      </c>
      <c r="G121" s="281">
        <f>_xlfn.DAYS(About!$A$3,'Core Indicators'!DM121)</f>
        <v>220</v>
      </c>
      <c r="H121" s="281">
        <f>_xlfn.DAYS(About!$A$3,'Core Indicators'!DU121)</f>
        <v>220</v>
      </c>
      <c r="I121" s="281">
        <f>_xlfn.DAYS(About!$A$3,'Core Indicators'!EC121)</f>
        <v>220</v>
      </c>
      <c r="J121" s="281">
        <f>_xlfn.DAYS(About!$A$3,'Core Indicators'!EK121)</f>
        <v>220</v>
      </c>
      <c r="K121" s="281">
        <f>_xlfn.DAYS(About!$A$3,'Core Indicators'!ES121)</f>
        <v>220</v>
      </c>
      <c r="L121" s="281">
        <f>_xlfn.DAYS(About!$A$3,'Core Indicators'!FI121)</f>
        <v>272</v>
      </c>
      <c r="M121" s="281">
        <f>_xlfn.DAYS(About!$A$3,'Core Indicators'!GG121)</f>
        <v>272</v>
      </c>
      <c r="N121" s="281">
        <f>_xlfn.DAYS(About!$A$3,'Core Indicators'!GO121)</f>
        <v>272</v>
      </c>
      <c r="O121" s="281">
        <f>_xlfn.DAYS(About!$A$3,'Core Indicators'!GW121)</f>
        <v>272</v>
      </c>
      <c r="P121" s="281">
        <f>_xlfn.DAYS(About!$A$3,'Core Indicators'!HE121)</f>
        <v>272</v>
      </c>
      <c r="Q121" s="281">
        <f>_xlfn.DAYS(About!$A$3,'Core Indicators'!HM121)</f>
        <v>272</v>
      </c>
      <c r="R121" s="281">
        <f>_xlfn.DAYS(About!$A$3,'Core Indicators'!HU121)</f>
        <v>272</v>
      </c>
      <c r="S121" s="281">
        <f>_xlfn.DAYS(About!$A$3,'Core Indicators'!IC121)</f>
        <v>272</v>
      </c>
      <c r="T121" s="281">
        <f>_xlfn.DAYS(About!$A$3,'Core Indicators'!IK121)</f>
        <v>272</v>
      </c>
      <c r="U121" s="281">
        <f>_xlfn.DAYS(About!$A$3,'Core Indicators'!IS121)</f>
        <v>272</v>
      </c>
      <c r="V121" s="282">
        <f t="shared" si="1"/>
        <v>240.8</v>
      </c>
    </row>
    <row r="122" spans="1:22" x14ac:dyDescent="0.3">
      <c r="A122" s="280" t="str">
        <f>Lists!C:C</f>
        <v>SDN006</v>
      </c>
      <c r="B122" s="281">
        <f>_xlfn.DAYS(About!$A$3,'Core Indicators'!U122)</f>
        <v>30</v>
      </c>
      <c r="C122" s="281">
        <f>_xlfn.DAYS(About!$A$3,'Core Indicators'!AC122)</f>
        <v>20</v>
      </c>
      <c r="D122" s="281">
        <f>_xlfn.DAYS(About!$A$3,'Core Indicators'!AK122)</f>
        <v>0</v>
      </c>
      <c r="E122" s="281">
        <f>_xlfn.DAYS(About!$A$3,'Core Indicators'!AS122)</f>
        <v>30</v>
      </c>
      <c r="F122" s="281">
        <f>_xlfn.DAYS(About!$A$3,'Core Indicators'!BQ122)</f>
        <v>0</v>
      </c>
      <c r="G122" s="281">
        <f>_xlfn.DAYS(About!$A$3,'Core Indicators'!DM122)</f>
        <v>20</v>
      </c>
      <c r="H122" s="281">
        <f>_xlfn.DAYS(About!$A$3,'Core Indicators'!DU122)</f>
        <v>20</v>
      </c>
      <c r="I122" s="281">
        <f>_xlfn.DAYS(About!$A$3,'Core Indicators'!EC122)</f>
        <v>20</v>
      </c>
      <c r="J122" s="281">
        <f>_xlfn.DAYS(About!$A$3,'Core Indicators'!EK122)</f>
        <v>20</v>
      </c>
      <c r="K122" s="281">
        <f>_xlfn.DAYS(About!$A$3,'Core Indicators'!ES122)</f>
        <v>20</v>
      </c>
      <c r="L122" s="281">
        <f>_xlfn.DAYS(About!$A$3,'Core Indicators'!FI122)</f>
        <v>76</v>
      </c>
      <c r="M122" s="281">
        <f>_xlfn.DAYS(About!$A$3,'Core Indicators'!GG122)</f>
        <v>76</v>
      </c>
      <c r="N122" s="281">
        <f>_xlfn.DAYS(About!$A$3,'Core Indicators'!GO122)</f>
        <v>76</v>
      </c>
      <c r="O122" s="281">
        <f>_xlfn.DAYS(About!$A$3,'Core Indicators'!GW122)</f>
        <v>76</v>
      </c>
      <c r="P122" s="281">
        <f>_xlfn.DAYS(About!$A$3,'Core Indicators'!HE122)</f>
        <v>76</v>
      </c>
      <c r="Q122" s="281">
        <f>_xlfn.DAYS(About!$A$3,'Core Indicators'!HM122)</f>
        <v>76</v>
      </c>
      <c r="R122" s="281">
        <f>_xlfn.DAYS(About!$A$3,'Core Indicators'!HU122)</f>
        <v>76</v>
      </c>
      <c r="S122" s="281">
        <f>_xlfn.DAYS(About!$A$3,'Core Indicators'!IC122)</f>
        <v>76</v>
      </c>
      <c r="T122" s="281">
        <f>_xlfn.DAYS(About!$A$3,'Core Indicators'!IK122)</f>
        <v>76</v>
      </c>
      <c r="U122" s="281">
        <f>_xlfn.DAYS(About!$A$3,'Core Indicators'!IS122)</f>
        <v>76</v>
      </c>
      <c r="V122" s="282">
        <f t="shared" si="1"/>
        <v>28.2</v>
      </c>
    </row>
    <row r="123" spans="1:22" x14ac:dyDescent="0.3">
      <c r="A123" s="280" t="str">
        <f>Lists!C:C</f>
        <v>SYR001</v>
      </c>
      <c r="B123" s="281">
        <f>_xlfn.DAYS(About!$A$3,'Core Indicators'!U123)</f>
        <v>37</v>
      </c>
      <c r="C123" s="281">
        <f>_xlfn.DAYS(About!$A$3,'Core Indicators'!AC123)</f>
        <v>76</v>
      </c>
      <c r="D123" s="281">
        <f>_xlfn.DAYS(About!$A$3,'Core Indicators'!AK123)</f>
        <v>76</v>
      </c>
      <c r="E123" s="281">
        <f>_xlfn.DAYS(About!$A$3,'Core Indicators'!AS123)</f>
        <v>10</v>
      </c>
      <c r="F123" s="281">
        <f>_xlfn.DAYS(About!$A$3,'Core Indicators'!BQ123)</f>
        <v>10</v>
      </c>
      <c r="G123" s="281">
        <f>_xlfn.DAYS(About!$A$3,'Core Indicators'!DM123)</f>
        <v>373</v>
      </c>
      <c r="H123" s="281">
        <f>_xlfn.DAYS(About!$A$3,'Core Indicators'!DU123)</f>
        <v>76</v>
      </c>
      <c r="I123" s="281">
        <f>_xlfn.DAYS(About!$A$3,'Core Indicators'!EC123)</f>
        <v>373</v>
      </c>
      <c r="J123" s="281">
        <f>_xlfn.DAYS(About!$A$3,'Core Indicators'!EK123)</f>
        <v>373</v>
      </c>
      <c r="K123" s="281">
        <f>_xlfn.DAYS(About!$A$3,'Core Indicators'!ES123)</f>
        <v>373</v>
      </c>
      <c r="L123" s="281">
        <f>_xlfn.DAYS(About!$A$3,'Core Indicators'!FI123)</f>
        <v>645</v>
      </c>
      <c r="M123" s="281">
        <f>_xlfn.DAYS(About!$A$3,'Core Indicators'!GG123)</f>
        <v>373</v>
      </c>
      <c r="N123" s="281">
        <f>_xlfn.DAYS(About!$A$3,'Core Indicators'!GO123)</f>
        <v>373</v>
      </c>
      <c r="O123" s="281">
        <f>_xlfn.DAYS(About!$A$3,'Core Indicators'!GW123)</f>
        <v>373</v>
      </c>
      <c r="P123" s="281">
        <f>_xlfn.DAYS(About!$A$3,'Core Indicators'!HE123)</f>
        <v>373</v>
      </c>
      <c r="Q123" s="281">
        <f>_xlfn.DAYS(About!$A$3,'Core Indicators'!HM123)</f>
        <v>373</v>
      </c>
      <c r="R123" s="281">
        <f>_xlfn.DAYS(About!$A$3,'Core Indicators'!HU123)</f>
        <v>373</v>
      </c>
      <c r="S123" s="281">
        <f>_xlfn.DAYS(About!$A$3,'Core Indicators'!IC123)</f>
        <v>373</v>
      </c>
      <c r="T123" s="281">
        <f>_xlfn.DAYS(About!$A$3,'Core Indicators'!IK123)</f>
        <v>373</v>
      </c>
      <c r="U123" s="281">
        <f>_xlfn.DAYS(About!$A$3,'Core Indicators'!IS123)</f>
        <v>373</v>
      </c>
      <c r="V123" s="282">
        <f t="shared" si="1"/>
        <v>268.2</v>
      </c>
    </row>
    <row r="124" spans="1:22" x14ac:dyDescent="0.3">
      <c r="A124" s="280" t="str">
        <f>Lists!C:C</f>
        <v>REG004</v>
      </c>
      <c r="B124" s="281">
        <f>_xlfn.DAYS(About!$A$3,'Core Indicators'!U124)</f>
        <v>31</v>
      </c>
      <c r="C124" s="281">
        <f>_xlfn.DAYS(About!$A$3,'Core Indicators'!AC124)</f>
        <v>31</v>
      </c>
      <c r="D124" s="281">
        <f>_xlfn.DAYS(About!$A$3,'Core Indicators'!AK124)</f>
        <v>31</v>
      </c>
      <c r="E124" s="281">
        <f>_xlfn.DAYS(About!$A$3,'Core Indicators'!AS124)</f>
        <v>31</v>
      </c>
      <c r="F124" s="281">
        <f>_xlfn.DAYS(About!$A$3,'Core Indicators'!BQ124)</f>
        <v>31</v>
      </c>
      <c r="G124" s="281">
        <f>_xlfn.DAYS(About!$A$3,'Core Indicators'!DM124)</f>
        <v>31</v>
      </c>
      <c r="H124" s="281">
        <f>_xlfn.DAYS(About!$A$3,'Core Indicators'!DU124)</f>
        <v>31</v>
      </c>
      <c r="I124" s="281">
        <f>_xlfn.DAYS(About!$A$3,'Core Indicators'!EC124)</f>
        <v>31</v>
      </c>
      <c r="J124" s="281">
        <f>_xlfn.DAYS(About!$A$3,'Core Indicators'!EK124)</f>
        <v>31</v>
      </c>
      <c r="K124" s="281">
        <f>_xlfn.DAYS(About!$A$3,'Core Indicators'!ES124)</f>
        <v>31</v>
      </c>
      <c r="L124" s="281">
        <f>_xlfn.DAYS(About!$A$3,'Core Indicators'!FI124)</f>
        <v>534</v>
      </c>
      <c r="M124" s="281">
        <f>_xlfn.DAYS(About!$A$3,'Core Indicators'!GG124)</f>
        <v>373</v>
      </c>
      <c r="N124" s="281">
        <f>_xlfn.DAYS(About!$A$3,'Core Indicators'!GO124)</f>
        <v>373</v>
      </c>
      <c r="O124" s="281">
        <f>_xlfn.DAYS(About!$A$3,'Core Indicators'!GW124)</f>
        <v>373</v>
      </c>
      <c r="P124" s="281">
        <f>_xlfn.DAYS(About!$A$3,'Core Indicators'!HE124)</f>
        <v>373</v>
      </c>
      <c r="Q124" s="281">
        <f>_xlfn.DAYS(About!$A$3,'Core Indicators'!HM124)</f>
        <v>373</v>
      </c>
      <c r="R124" s="281">
        <f>_xlfn.DAYS(About!$A$3,'Core Indicators'!HU124)</f>
        <v>373</v>
      </c>
      <c r="S124" s="281">
        <f>_xlfn.DAYS(About!$A$3,'Core Indicators'!IC124)</f>
        <v>373</v>
      </c>
      <c r="T124" s="281">
        <f>_xlfn.DAYS(About!$A$3,'Core Indicators'!IK124)</f>
        <v>373</v>
      </c>
      <c r="U124" s="281">
        <f>_xlfn.DAYS(About!$A$3,'Core Indicators'!IS124)</f>
        <v>373</v>
      </c>
      <c r="V124" s="282">
        <f t="shared" si="1"/>
        <v>115.5</v>
      </c>
    </row>
    <row r="125" spans="1:22" x14ac:dyDescent="0.3">
      <c r="A125" s="280" t="str">
        <f>Lists!C:C</f>
        <v>TZA002</v>
      </c>
      <c r="B125" s="281">
        <f>_xlfn.DAYS(About!$A$3,'Core Indicators'!U125)</f>
        <v>470</v>
      </c>
      <c r="C125" s="281">
        <f>_xlfn.DAYS(About!$A$3,'Core Indicators'!AC125)</f>
        <v>6</v>
      </c>
      <c r="D125" s="281">
        <f>_xlfn.DAYS(About!$A$3,'Core Indicators'!AK125)</f>
        <v>6</v>
      </c>
      <c r="E125" s="281">
        <f>_xlfn.DAYS(About!$A$3,'Core Indicators'!AS125)</f>
        <v>6</v>
      </c>
      <c r="F125" s="281">
        <f>_xlfn.DAYS(About!$A$3,'Core Indicators'!BQ125)</f>
        <v>470</v>
      </c>
      <c r="G125" s="281">
        <f>_xlfn.DAYS(About!$A$3,'Core Indicators'!DM125)</f>
        <v>6</v>
      </c>
      <c r="H125" s="281">
        <f>_xlfn.DAYS(About!$A$3,'Core Indicators'!DU125)</f>
        <v>27</v>
      </c>
      <c r="I125" s="281">
        <f>_xlfn.DAYS(About!$A$3,'Core Indicators'!EC125)</f>
        <v>6</v>
      </c>
      <c r="J125" s="281">
        <f>_xlfn.DAYS(About!$A$3,'Core Indicators'!EK125)</f>
        <v>27</v>
      </c>
      <c r="K125" s="281">
        <f>_xlfn.DAYS(About!$A$3,'Core Indicators'!ES125)</f>
        <v>27</v>
      </c>
      <c r="L125" s="281">
        <f>_xlfn.DAYS(About!$A$3,'Core Indicators'!FI125)</f>
        <v>645</v>
      </c>
      <c r="M125" s="281">
        <f>_xlfn.DAYS(About!$A$3,'Core Indicators'!GG125)</f>
        <v>374</v>
      </c>
      <c r="N125" s="281">
        <f>_xlfn.DAYS(About!$A$3,'Core Indicators'!GO125)</f>
        <v>374</v>
      </c>
      <c r="O125" s="281">
        <f>_xlfn.DAYS(About!$A$3,'Core Indicators'!GW125)</f>
        <v>374</v>
      </c>
      <c r="P125" s="281">
        <f>_xlfn.DAYS(About!$A$3,'Core Indicators'!HE125)</f>
        <v>374</v>
      </c>
      <c r="Q125" s="281">
        <f>_xlfn.DAYS(About!$A$3,'Core Indicators'!HM125)</f>
        <v>374</v>
      </c>
      <c r="R125" s="281">
        <f>_xlfn.DAYS(About!$A$3,'Core Indicators'!HU125)</f>
        <v>374</v>
      </c>
      <c r="S125" s="281">
        <f>_xlfn.DAYS(About!$A$3,'Core Indicators'!IC125)</f>
        <v>374</v>
      </c>
      <c r="T125" s="281">
        <f>_xlfn.DAYS(About!$A$3,'Core Indicators'!IK125)</f>
        <v>374</v>
      </c>
      <c r="U125" s="281">
        <f>_xlfn.DAYS(About!$A$3,'Core Indicators'!IS125)</f>
        <v>374</v>
      </c>
      <c r="V125" s="282">
        <f t="shared" si="1"/>
        <v>159.4</v>
      </c>
    </row>
    <row r="126" spans="1:22" x14ac:dyDescent="0.3">
      <c r="A126" s="280" t="str">
        <f>Lists!C:C</f>
        <v>THA001</v>
      </c>
      <c r="B126" s="281">
        <f>_xlfn.DAYS(About!$A$3,'Core Indicators'!U126)</f>
        <v>464</v>
      </c>
      <c r="C126" s="281">
        <f>_xlfn.DAYS(About!$A$3,'Core Indicators'!AC126)</f>
        <v>8</v>
      </c>
      <c r="D126" s="281">
        <f>_xlfn.DAYS(About!$A$3,'Core Indicators'!AK126)</f>
        <v>8</v>
      </c>
      <c r="E126" s="281">
        <f>_xlfn.DAYS(About!$A$3,'Core Indicators'!AS126)</f>
        <v>8</v>
      </c>
      <c r="F126" s="281">
        <f>_xlfn.DAYS(About!$A$3,'Core Indicators'!BQ126)</f>
        <v>8</v>
      </c>
      <c r="G126" s="281">
        <f>_xlfn.DAYS(About!$A$3,'Core Indicators'!DM126)</f>
        <v>8</v>
      </c>
      <c r="H126" s="281">
        <f>_xlfn.DAYS(About!$A$3,'Core Indicators'!DU126)</f>
        <v>8</v>
      </c>
      <c r="I126" s="281">
        <f>_xlfn.DAYS(About!$A$3,'Core Indicators'!EC126)</f>
        <v>8</v>
      </c>
      <c r="J126" s="281">
        <f>_xlfn.DAYS(About!$A$3,'Core Indicators'!EK126)</f>
        <v>8</v>
      </c>
      <c r="K126" s="281">
        <f>_xlfn.DAYS(About!$A$3,'Core Indicators'!ES126)</f>
        <v>8</v>
      </c>
      <c r="L126" s="281">
        <f>_xlfn.DAYS(About!$A$3,'Core Indicators'!FI126)</f>
        <v>631</v>
      </c>
      <c r="M126" s="281">
        <f>_xlfn.DAYS(About!$A$3,'Core Indicators'!GG126)</f>
        <v>370</v>
      </c>
      <c r="N126" s="281">
        <f>_xlfn.DAYS(About!$A$3,'Core Indicators'!GO126)</f>
        <v>370</v>
      </c>
      <c r="O126" s="281">
        <f>_xlfn.DAYS(About!$A$3,'Core Indicators'!GW126)</f>
        <v>370</v>
      </c>
      <c r="P126" s="281">
        <f>_xlfn.DAYS(About!$A$3,'Core Indicators'!HE126)</f>
        <v>370</v>
      </c>
      <c r="Q126" s="281">
        <f>_xlfn.DAYS(About!$A$3,'Core Indicators'!HM126)</f>
        <v>370</v>
      </c>
      <c r="R126" s="281">
        <f>_xlfn.DAYS(About!$A$3,'Core Indicators'!HU126)</f>
        <v>370</v>
      </c>
      <c r="S126" s="281">
        <f>_xlfn.DAYS(About!$A$3,'Core Indicators'!IC126)</f>
        <v>370</v>
      </c>
      <c r="T126" s="281">
        <f>_xlfn.DAYS(About!$A$3,'Core Indicators'!IK126)</f>
        <v>370</v>
      </c>
      <c r="U126" s="281">
        <f>_xlfn.DAYS(About!$A$3,'Core Indicators'!IS126)</f>
        <v>370</v>
      </c>
      <c r="V126" s="282">
        <f t="shared" si="1"/>
        <v>106.5</v>
      </c>
    </row>
    <row r="127" spans="1:22" x14ac:dyDescent="0.3">
      <c r="A127" s="280" t="str">
        <f>Lists!C:C</f>
        <v>THA002</v>
      </c>
      <c r="B127" s="281">
        <f>_xlfn.DAYS(About!$A$3,'Core Indicators'!U127)</f>
        <v>464</v>
      </c>
      <c r="C127" s="281">
        <f>_xlfn.DAYS(About!$A$3,'Core Indicators'!AC127)</f>
        <v>464</v>
      </c>
      <c r="D127" s="281">
        <f>_xlfn.DAYS(About!$A$3,'Core Indicators'!AK127)</f>
        <v>464</v>
      </c>
      <c r="E127" s="281">
        <f>_xlfn.DAYS(About!$A$3,'Core Indicators'!AS127)</f>
        <v>464</v>
      </c>
      <c r="F127" s="281">
        <f>_xlfn.DAYS(About!$A$3,'Core Indicators'!BQ127)</f>
        <v>8</v>
      </c>
      <c r="G127" s="281">
        <f>_xlfn.DAYS(About!$A$3,'Core Indicators'!DM127)</f>
        <v>220</v>
      </c>
      <c r="H127" s="281">
        <f>_xlfn.DAYS(About!$A$3,'Core Indicators'!DU127)</f>
        <v>220</v>
      </c>
      <c r="I127" s="281">
        <f>_xlfn.DAYS(About!$A$3,'Core Indicators'!EC127)</f>
        <v>220</v>
      </c>
      <c r="J127" s="281">
        <f>_xlfn.DAYS(About!$A$3,'Core Indicators'!EK127)</f>
        <v>220</v>
      </c>
      <c r="K127" s="281">
        <f>_xlfn.DAYS(About!$A$3,'Core Indicators'!ES127)</f>
        <v>220</v>
      </c>
      <c r="L127" s="281">
        <f>_xlfn.DAYS(About!$A$3,'Core Indicators'!FI127)</f>
        <v>631</v>
      </c>
      <c r="M127" s="281">
        <f>_xlfn.DAYS(About!$A$3,'Core Indicators'!GG127)</f>
        <v>370</v>
      </c>
      <c r="N127" s="281">
        <f>_xlfn.DAYS(About!$A$3,'Core Indicators'!GO127)</f>
        <v>370</v>
      </c>
      <c r="O127" s="281">
        <f>_xlfn.DAYS(About!$A$3,'Core Indicators'!GW127)</f>
        <v>370</v>
      </c>
      <c r="P127" s="281">
        <f>_xlfn.DAYS(About!$A$3,'Core Indicators'!HE127)</f>
        <v>370</v>
      </c>
      <c r="Q127" s="281">
        <f>_xlfn.DAYS(About!$A$3,'Core Indicators'!HM127)</f>
        <v>370</v>
      </c>
      <c r="R127" s="281">
        <f>_xlfn.DAYS(About!$A$3,'Core Indicators'!HU127)</f>
        <v>370</v>
      </c>
      <c r="S127" s="281">
        <f>_xlfn.DAYS(About!$A$3,'Core Indicators'!IC127)</f>
        <v>370</v>
      </c>
      <c r="T127" s="281">
        <f>_xlfn.DAYS(About!$A$3,'Core Indicators'!IK127)</f>
        <v>370</v>
      </c>
      <c r="U127" s="281">
        <f>_xlfn.DAYS(About!$A$3,'Core Indicators'!IS127)</f>
        <v>370</v>
      </c>
      <c r="V127" s="282">
        <f t="shared" si="1"/>
        <v>303.7</v>
      </c>
    </row>
    <row r="128" spans="1:22" x14ac:dyDescent="0.3">
      <c r="A128" s="280" t="str">
        <f>Lists!C:C</f>
        <v>THA003</v>
      </c>
      <c r="B128" s="281">
        <f>_xlfn.DAYS(About!$A$3,'Core Indicators'!U128)</f>
        <v>349</v>
      </c>
      <c r="C128" s="281">
        <f>_xlfn.DAYS(About!$A$3,'Core Indicators'!AC128)</f>
        <v>8</v>
      </c>
      <c r="D128" s="281">
        <f>_xlfn.DAYS(About!$A$3,'Core Indicators'!AK128)</f>
        <v>8</v>
      </c>
      <c r="E128" s="281">
        <f>_xlfn.DAYS(About!$A$3,'Core Indicators'!AS128)</f>
        <v>8</v>
      </c>
      <c r="F128" s="281">
        <f>_xlfn.DAYS(About!$A$3,'Core Indicators'!BQ128)</f>
        <v>30</v>
      </c>
      <c r="G128" s="281">
        <f>_xlfn.DAYS(About!$A$3,'Core Indicators'!DM128)</f>
        <v>8</v>
      </c>
      <c r="H128" s="281">
        <f>_xlfn.DAYS(About!$A$3,'Core Indicators'!DU128)</f>
        <v>8</v>
      </c>
      <c r="I128" s="281">
        <f>_xlfn.DAYS(About!$A$3,'Core Indicators'!EC128)</f>
        <v>8</v>
      </c>
      <c r="J128" s="281">
        <f>_xlfn.DAYS(About!$A$3,'Core Indicators'!EK128)</f>
        <v>8</v>
      </c>
      <c r="K128" s="281">
        <f>_xlfn.DAYS(About!$A$3,'Core Indicators'!ES128)</f>
        <v>8</v>
      </c>
      <c r="L128" s="281">
        <f>_xlfn.DAYS(About!$A$3,'Core Indicators'!FI128)</f>
        <v>631</v>
      </c>
      <c r="M128" s="281">
        <f>_xlfn.DAYS(About!$A$3,'Core Indicators'!GG128)</f>
        <v>370</v>
      </c>
      <c r="N128" s="281">
        <f>_xlfn.DAYS(About!$A$3,'Core Indicators'!GO128)</f>
        <v>370</v>
      </c>
      <c r="O128" s="281">
        <f>_xlfn.DAYS(About!$A$3,'Core Indicators'!GW128)</f>
        <v>370</v>
      </c>
      <c r="P128" s="281">
        <f>_xlfn.DAYS(About!$A$3,'Core Indicators'!HE128)</f>
        <v>370</v>
      </c>
      <c r="Q128" s="281">
        <f>_xlfn.DAYS(About!$A$3,'Core Indicators'!HM128)</f>
        <v>370</v>
      </c>
      <c r="R128" s="281">
        <f>_xlfn.DAYS(About!$A$3,'Core Indicators'!HU128)</f>
        <v>370</v>
      </c>
      <c r="S128" s="281">
        <f>_xlfn.DAYS(About!$A$3,'Core Indicators'!IC128)</f>
        <v>370</v>
      </c>
      <c r="T128" s="281">
        <f>_xlfn.DAYS(About!$A$3,'Core Indicators'!IK128)</f>
        <v>370</v>
      </c>
      <c r="U128" s="281">
        <f>_xlfn.DAYS(About!$A$3,'Core Indicators'!IS128)</f>
        <v>370</v>
      </c>
      <c r="V128" s="282">
        <f t="shared" si="1"/>
        <v>108.7</v>
      </c>
    </row>
    <row r="129" spans="1:22" x14ac:dyDescent="0.3">
      <c r="A129" s="280" t="str">
        <f>Lists!C:C</f>
        <v>TTO002</v>
      </c>
      <c r="B129" s="281">
        <f>_xlfn.DAYS(About!$A$3,'Core Indicators'!U129)</f>
        <v>616</v>
      </c>
      <c r="C129" s="281">
        <f>_xlfn.DAYS(About!$A$3,'Core Indicators'!AC129)</f>
        <v>342</v>
      </c>
      <c r="D129" s="281">
        <f>_xlfn.DAYS(About!$A$3,'Core Indicators'!AK129)</f>
        <v>587</v>
      </c>
      <c r="E129" s="281">
        <f>_xlfn.DAYS(About!$A$3,'Core Indicators'!AS129)</f>
        <v>587</v>
      </c>
      <c r="F129" s="281">
        <f>_xlfn.DAYS(About!$A$3,'Core Indicators'!BQ129)</f>
        <v>30</v>
      </c>
      <c r="G129" s="281">
        <f>_xlfn.DAYS(About!$A$3,'Core Indicators'!DM129)</f>
        <v>30</v>
      </c>
      <c r="H129" s="281">
        <f>_xlfn.DAYS(About!$A$3,'Core Indicators'!DU129)</f>
        <v>273</v>
      </c>
      <c r="I129" s="281">
        <f>_xlfn.DAYS(About!$A$3,'Core Indicators'!EC129)</f>
        <v>273</v>
      </c>
      <c r="J129" s="281">
        <f>_xlfn.DAYS(About!$A$3,'Core Indicators'!EK129)</f>
        <v>273</v>
      </c>
      <c r="K129" s="281">
        <f>_xlfn.DAYS(About!$A$3,'Core Indicators'!ES129)</f>
        <v>273</v>
      </c>
      <c r="L129" s="281">
        <f>_xlfn.DAYS(About!$A$3,'Core Indicators'!FI129)</f>
        <v>342</v>
      </c>
      <c r="M129" s="281">
        <f>_xlfn.DAYS(About!$A$3,'Core Indicators'!GG129)</f>
        <v>370</v>
      </c>
      <c r="N129" s="281">
        <f>_xlfn.DAYS(About!$A$3,'Core Indicators'!GO129)</f>
        <v>370</v>
      </c>
      <c r="O129" s="281">
        <f>_xlfn.DAYS(About!$A$3,'Core Indicators'!GW129)</f>
        <v>370</v>
      </c>
      <c r="P129" s="281">
        <f>_xlfn.DAYS(About!$A$3,'Core Indicators'!HE129)</f>
        <v>370</v>
      </c>
      <c r="Q129" s="281">
        <f>_xlfn.DAYS(About!$A$3,'Core Indicators'!HM129)</f>
        <v>370</v>
      </c>
      <c r="R129" s="281">
        <f>_xlfn.DAYS(About!$A$3,'Core Indicators'!HU129)</f>
        <v>370</v>
      </c>
      <c r="S129" s="281">
        <f>_xlfn.DAYS(About!$A$3,'Core Indicators'!IC129)</f>
        <v>370</v>
      </c>
      <c r="T129" s="281">
        <f>_xlfn.DAYS(About!$A$3,'Core Indicators'!IK129)</f>
        <v>370</v>
      </c>
      <c r="U129" s="281">
        <f>_xlfn.DAYS(About!$A$3,'Core Indicators'!IS129)</f>
        <v>370</v>
      </c>
      <c r="V129" s="282">
        <f t="shared" si="1"/>
        <v>303.8</v>
      </c>
    </row>
    <row r="130" spans="1:22" x14ac:dyDescent="0.3">
      <c r="A130" s="280" t="str">
        <f>Lists!C:C</f>
        <v>TUN002</v>
      </c>
      <c r="B130" s="281">
        <f>_xlfn.DAYS(About!$A$3,'Core Indicators'!U130)</f>
        <v>37</v>
      </c>
      <c r="C130" s="281">
        <f>_xlfn.DAYS(About!$A$3,'Core Indicators'!AC130)</f>
        <v>148</v>
      </c>
      <c r="D130" s="281">
        <f>_xlfn.DAYS(About!$A$3,'Core Indicators'!AK130)</f>
        <v>148</v>
      </c>
      <c r="E130" s="281">
        <f>_xlfn.DAYS(About!$A$3,'Core Indicators'!AS130)</f>
        <v>148</v>
      </c>
      <c r="F130" s="281">
        <f>_xlfn.DAYS(About!$A$3,'Core Indicators'!BQ130)</f>
        <v>3</v>
      </c>
      <c r="G130" s="281">
        <f>_xlfn.DAYS(About!$A$3,'Core Indicators'!DM130)</f>
        <v>629</v>
      </c>
      <c r="H130" s="281">
        <f>_xlfn.DAYS(About!$A$3,'Core Indicators'!DU130)</f>
        <v>629</v>
      </c>
      <c r="I130" s="281">
        <f>_xlfn.DAYS(About!$A$3,'Core Indicators'!EC130)</f>
        <v>629</v>
      </c>
      <c r="J130" s="281">
        <f>_xlfn.DAYS(About!$A$3,'Core Indicators'!EK130)</f>
        <v>629</v>
      </c>
      <c r="K130" s="281">
        <f>_xlfn.DAYS(About!$A$3,'Core Indicators'!ES130)</f>
        <v>629</v>
      </c>
      <c r="L130" s="281">
        <f>_xlfn.DAYS(About!$A$3,'Core Indicators'!FI130)</f>
        <v>629</v>
      </c>
      <c r="M130" s="281">
        <f>_xlfn.DAYS(About!$A$3,'Core Indicators'!GG130)</f>
        <v>373</v>
      </c>
      <c r="N130" s="281">
        <f>_xlfn.DAYS(About!$A$3,'Core Indicators'!GO130)</f>
        <v>373</v>
      </c>
      <c r="O130" s="281">
        <f>_xlfn.DAYS(About!$A$3,'Core Indicators'!GW130)</f>
        <v>373</v>
      </c>
      <c r="P130" s="281">
        <f>_xlfn.DAYS(About!$A$3,'Core Indicators'!HE130)</f>
        <v>373</v>
      </c>
      <c r="Q130" s="281">
        <f>_xlfn.DAYS(About!$A$3,'Core Indicators'!HM130)</f>
        <v>373</v>
      </c>
      <c r="R130" s="281">
        <f>_xlfn.DAYS(About!$A$3,'Core Indicators'!HU130)</f>
        <v>373</v>
      </c>
      <c r="S130" s="281">
        <f>_xlfn.DAYS(About!$A$3,'Core Indicators'!IC130)</f>
        <v>373</v>
      </c>
      <c r="T130" s="281">
        <f>_xlfn.DAYS(About!$A$3,'Core Indicators'!IK130)</f>
        <v>373</v>
      </c>
      <c r="U130" s="281">
        <f>_xlfn.DAYS(About!$A$3,'Core Indicators'!IS130)</f>
        <v>373</v>
      </c>
      <c r="V130" s="282">
        <f t="shared" si="1"/>
        <v>444.6</v>
      </c>
    </row>
    <row r="131" spans="1:22" x14ac:dyDescent="0.3">
      <c r="A131" s="280" t="str">
        <f>Lists!C:C</f>
        <v>TUR001</v>
      </c>
      <c r="B131" s="281">
        <f>_xlfn.DAYS(About!$A$3,'Core Indicators'!U131)</f>
        <v>629</v>
      </c>
      <c r="C131" s="281">
        <f>_xlfn.DAYS(About!$A$3,'Core Indicators'!AC131)</f>
        <v>629</v>
      </c>
      <c r="D131" s="281">
        <f>_xlfn.DAYS(About!$A$3,'Core Indicators'!AK131)</f>
        <v>1</v>
      </c>
      <c r="E131" s="281">
        <f>_xlfn.DAYS(About!$A$3,'Core Indicators'!AS131)</f>
        <v>1</v>
      </c>
      <c r="F131" s="281">
        <f>_xlfn.DAYS(About!$A$3,'Core Indicators'!BQ131)</f>
        <v>1</v>
      </c>
      <c r="G131" s="281">
        <f>_xlfn.DAYS(About!$A$3,'Core Indicators'!DM131)</f>
        <v>1</v>
      </c>
      <c r="H131" s="281">
        <f>_xlfn.DAYS(About!$A$3,'Core Indicators'!DU131)</f>
        <v>1</v>
      </c>
      <c r="I131" s="281">
        <f>_xlfn.DAYS(About!$A$3,'Core Indicators'!EC131)</f>
        <v>1</v>
      </c>
      <c r="J131" s="281">
        <f>_xlfn.DAYS(About!$A$3,'Core Indicators'!EK131)</f>
        <v>1</v>
      </c>
      <c r="K131" s="281">
        <f>_xlfn.DAYS(About!$A$3,'Core Indicators'!ES131)</f>
        <v>1</v>
      </c>
      <c r="L131" s="281">
        <f>_xlfn.DAYS(About!$A$3,'Core Indicators'!FI131)</f>
        <v>629</v>
      </c>
      <c r="M131" s="281">
        <f>_xlfn.DAYS(About!$A$3,'Core Indicators'!GG131)</f>
        <v>373</v>
      </c>
      <c r="N131" s="281">
        <f>_xlfn.DAYS(About!$A$3,'Core Indicators'!GO131)</f>
        <v>373</v>
      </c>
      <c r="O131" s="281">
        <f>_xlfn.DAYS(About!$A$3,'Core Indicators'!GW131)</f>
        <v>373</v>
      </c>
      <c r="P131" s="281">
        <f>_xlfn.DAYS(About!$A$3,'Core Indicators'!HE131)</f>
        <v>373</v>
      </c>
      <c r="Q131" s="281">
        <f>_xlfn.DAYS(About!$A$3,'Core Indicators'!HM131)</f>
        <v>373</v>
      </c>
      <c r="R131" s="281">
        <f>_xlfn.DAYS(About!$A$3,'Core Indicators'!HU131)</f>
        <v>373</v>
      </c>
      <c r="S131" s="281">
        <f>_xlfn.DAYS(About!$A$3,'Core Indicators'!IC131)</f>
        <v>373</v>
      </c>
      <c r="T131" s="281">
        <f>_xlfn.DAYS(About!$A$3,'Core Indicators'!IK131)</f>
        <v>373</v>
      </c>
      <c r="U131" s="281">
        <f>_xlfn.DAYS(About!$A$3,'Core Indicators'!IS131)</f>
        <v>373</v>
      </c>
      <c r="V131" s="282">
        <f t="shared" si="1"/>
        <v>101</v>
      </c>
    </row>
    <row r="132" spans="1:22" x14ac:dyDescent="0.3">
      <c r="A132" s="280" t="str">
        <f>Lists!C:C</f>
        <v>TUR002</v>
      </c>
      <c r="B132" s="281">
        <f>_xlfn.DAYS(About!$A$3,'Core Indicators'!U132)</f>
        <v>629</v>
      </c>
      <c r="C132" s="281">
        <f>_xlfn.DAYS(About!$A$3,'Core Indicators'!AC132)</f>
        <v>589</v>
      </c>
      <c r="D132" s="281">
        <f>_xlfn.DAYS(About!$A$3,'Core Indicators'!AK132)</f>
        <v>1</v>
      </c>
      <c r="E132" s="281">
        <f>_xlfn.DAYS(About!$A$3,'Core Indicators'!AS132)</f>
        <v>1</v>
      </c>
      <c r="F132" s="281">
        <f>_xlfn.DAYS(About!$A$3,'Core Indicators'!BQ132)</f>
        <v>629</v>
      </c>
      <c r="G132" s="281">
        <f>_xlfn.DAYS(About!$A$3,'Core Indicators'!DM132)</f>
        <v>1</v>
      </c>
      <c r="H132" s="281">
        <f>_xlfn.DAYS(About!$A$3,'Core Indicators'!DU132)</f>
        <v>1</v>
      </c>
      <c r="I132" s="281">
        <f>_xlfn.DAYS(About!$A$3,'Core Indicators'!EC132)</f>
        <v>1</v>
      </c>
      <c r="J132" s="281">
        <f>_xlfn.DAYS(About!$A$3,'Core Indicators'!EK132)</f>
        <v>1</v>
      </c>
      <c r="K132" s="281">
        <f>_xlfn.DAYS(About!$A$3,'Core Indicators'!ES132)</f>
        <v>1</v>
      </c>
      <c r="L132" s="281">
        <f>_xlfn.DAYS(About!$A$3,'Core Indicators'!FI132)</f>
        <v>629</v>
      </c>
      <c r="M132" s="281">
        <f>_xlfn.DAYS(About!$A$3,'Core Indicators'!GG132)</f>
        <v>373</v>
      </c>
      <c r="N132" s="281">
        <f>_xlfn.DAYS(About!$A$3,'Core Indicators'!GO132)</f>
        <v>373</v>
      </c>
      <c r="O132" s="281">
        <f>_xlfn.DAYS(About!$A$3,'Core Indicators'!GW132)</f>
        <v>373</v>
      </c>
      <c r="P132" s="281">
        <f>_xlfn.DAYS(About!$A$3,'Core Indicators'!HE132)</f>
        <v>373</v>
      </c>
      <c r="Q132" s="281">
        <f>_xlfn.DAYS(About!$A$3,'Core Indicators'!HM132)</f>
        <v>373</v>
      </c>
      <c r="R132" s="281">
        <f>_xlfn.DAYS(About!$A$3,'Core Indicators'!HU132)</f>
        <v>373</v>
      </c>
      <c r="S132" s="281">
        <f>_xlfn.DAYS(About!$A$3,'Core Indicators'!IC132)</f>
        <v>373</v>
      </c>
      <c r="T132" s="281">
        <f>_xlfn.DAYS(About!$A$3,'Core Indicators'!IK132)</f>
        <v>373</v>
      </c>
      <c r="U132" s="281">
        <f>_xlfn.DAYS(About!$A$3,'Core Indicators'!IS132)</f>
        <v>373</v>
      </c>
      <c r="V132" s="282">
        <f t="shared" ref="V132:V141" si="2">AVERAGE(D132:M132)</f>
        <v>163.80000000000001</v>
      </c>
    </row>
    <row r="133" spans="1:22" x14ac:dyDescent="0.3">
      <c r="A133" s="280" t="str">
        <f>Lists!C:C</f>
        <v>TUR003</v>
      </c>
      <c r="B133" s="281">
        <f>_xlfn.DAYS(About!$A$3,'Core Indicators'!U133)</f>
        <v>629</v>
      </c>
      <c r="C133" s="281">
        <f>_xlfn.DAYS(About!$A$3,'Core Indicators'!AC133)</f>
        <v>629</v>
      </c>
      <c r="D133" s="281">
        <f>_xlfn.DAYS(About!$A$3,'Core Indicators'!AK133)</f>
        <v>0</v>
      </c>
      <c r="E133" s="281">
        <f>_xlfn.DAYS(About!$A$3,'Core Indicators'!AS133)</f>
        <v>0</v>
      </c>
      <c r="F133" s="281">
        <f>_xlfn.DAYS(About!$A$3,'Core Indicators'!BQ133)</f>
        <v>0</v>
      </c>
      <c r="G133" s="281">
        <f>_xlfn.DAYS(About!$A$3,'Core Indicators'!DM133)</f>
        <v>0</v>
      </c>
      <c r="H133" s="281">
        <f>_xlfn.DAYS(About!$A$3,'Core Indicators'!DU133)</f>
        <v>0</v>
      </c>
      <c r="I133" s="281">
        <f>_xlfn.DAYS(About!$A$3,'Core Indicators'!EC133)</f>
        <v>0</v>
      </c>
      <c r="J133" s="281">
        <f>_xlfn.DAYS(About!$A$3,'Core Indicators'!EK133)</f>
        <v>0</v>
      </c>
      <c r="K133" s="281">
        <f>_xlfn.DAYS(About!$A$3,'Core Indicators'!ES133)</f>
        <v>0</v>
      </c>
      <c r="L133" s="281">
        <f>_xlfn.DAYS(About!$A$3,'Core Indicators'!FI133)</f>
        <v>629</v>
      </c>
      <c r="M133" s="281">
        <f>_xlfn.DAYS(About!$A$3,'Core Indicators'!GG133)</f>
        <v>373</v>
      </c>
      <c r="N133" s="281">
        <f>_xlfn.DAYS(About!$A$3,'Core Indicators'!GO133)</f>
        <v>373</v>
      </c>
      <c r="O133" s="281">
        <f>_xlfn.DAYS(About!$A$3,'Core Indicators'!GW133)</f>
        <v>373</v>
      </c>
      <c r="P133" s="281">
        <f>_xlfn.DAYS(About!$A$3,'Core Indicators'!HE133)</f>
        <v>373</v>
      </c>
      <c r="Q133" s="281">
        <f>_xlfn.DAYS(About!$A$3,'Core Indicators'!HM133)</f>
        <v>373</v>
      </c>
      <c r="R133" s="281">
        <f>_xlfn.DAYS(About!$A$3,'Core Indicators'!HU133)</f>
        <v>373</v>
      </c>
      <c r="S133" s="281">
        <f>_xlfn.DAYS(About!$A$3,'Core Indicators'!IC133)</f>
        <v>373</v>
      </c>
      <c r="T133" s="281">
        <f>_xlfn.DAYS(About!$A$3,'Core Indicators'!IK133)</f>
        <v>373</v>
      </c>
      <c r="U133" s="281">
        <f>_xlfn.DAYS(About!$A$3,'Core Indicators'!IS133)</f>
        <v>373</v>
      </c>
      <c r="V133" s="282">
        <f t="shared" si="2"/>
        <v>100.2</v>
      </c>
    </row>
    <row r="134" spans="1:22" x14ac:dyDescent="0.3">
      <c r="A134" s="280" t="str">
        <f>Lists!C:C</f>
        <v>TUR004</v>
      </c>
      <c r="B134" s="281">
        <f>_xlfn.DAYS(About!$A$3,'Core Indicators'!U134)</f>
        <v>629</v>
      </c>
      <c r="C134" s="281">
        <f>_xlfn.DAYS(About!$A$3,'Core Indicators'!AC134)</f>
        <v>629</v>
      </c>
      <c r="D134" s="281">
        <f>_xlfn.DAYS(About!$A$3,'Core Indicators'!AK134)</f>
        <v>629</v>
      </c>
      <c r="E134" s="281">
        <f>_xlfn.DAYS(About!$A$3,'Core Indicators'!AS134)</f>
        <v>629</v>
      </c>
      <c r="F134" s="281">
        <f>_xlfn.DAYS(About!$A$3,'Core Indicators'!BQ134)</f>
        <v>0</v>
      </c>
      <c r="G134" s="281">
        <f>_xlfn.DAYS(About!$A$3,'Core Indicators'!DM134)</f>
        <v>629</v>
      </c>
      <c r="H134" s="281">
        <f>_xlfn.DAYS(About!$A$3,'Core Indicators'!DU134)</f>
        <v>629</v>
      </c>
      <c r="I134" s="281">
        <f>_xlfn.DAYS(About!$A$3,'Core Indicators'!EC134)</f>
        <v>629</v>
      </c>
      <c r="J134" s="281">
        <f>_xlfn.DAYS(About!$A$3,'Core Indicators'!EK134)</f>
        <v>629</v>
      </c>
      <c r="K134" s="281">
        <f>_xlfn.DAYS(About!$A$3,'Core Indicators'!ES134)</f>
        <v>629</v>
      </c>
      <c r="L134" s="281">
        <f>_xlfn.DAYS(About!$A$3,'Core Indicators'!FI134)</f>
        <v>629</v>
      </c>
      <c r="M134" s="281">
        <f>_xlfn.DAYS(About!$A$3,'Core Indicators'!GG134)</f>
        <v>373</v>
      </c>
      <c r="N134" s="281">
        <f>_xlfn.DAYS(About!$A$3,'Core Indicators'!GO134)</f>
        <v>373</v>
      </c>
      <c r="O134" s="281">
        <f>_xlfn.DAYS(About!$A$3,'Core Indicators'!GW134)</f>
        <v>373</v>
      </c>
      <c r="P134" s="281">
        <f>_xlfn.DAYS(About!$A$3,'Core Indicators'!HE134)</f>
        <v>373</v>
      </c>
      <c r="Q134" s="281">
        <f>_xlfn.DAYS(About!$A$3,'Core Indicators'!HM134)</f>
        <v>373</v>
      </c>
      <c r="R134" s="281">
        <f>_xlfn.DAYS(About!$A$3,'Core Indicators'!HU134)</f>
        <v>373</v>
      </c>
      <c r="S134" s="281">
        <f>_xlfn.DAYS(About!$A$3,'Core Indicators'!IC134)</f>
        <v>373</v>
      </c>
      <c r="T134" s="281">
        <f>_xlfn.DAYS(About!$A$3,'Core Indicators'!IK134)</f>
        <v>373</v>
      </c>
      <c r="U134" s="281">
        <f>_xlfn.DAYS(About!$A$3,'Core Indicators'!IS134)</f>
        <v>373</v>
      </c>
      <c r="V134" s="282">
        <f t="shared" si="2"/>
        <v>540.5</v>
      </c>
    </row>
    <row r="135" spans="1:22" x14ac:dyDescent="0.3">
      <c r="A135" s="280" t="str">
        <f>Lists!C:C</f>
        <v>REG006</v>
      </c>
      <c r="B135" s="281">
        <f>_xlfn.DAYS(About!$A$3,'Core Indicators'!U135)</f>
        <v>537</v>
      </c>
      <c r="C135" s="281">
        <f>_xlfn.DAYS(About!$A$3,'Core Indicators'!AC135)</f>
        <v>537</v>
      </c>
      <c r="D135" s="281">
        <f>_xlfn.DAYS(About!$A$3,'Core Indicators'!AK135)</f>
        <v>537</v>
      </c>
      <c r="E135" s="281">
        <f>_xlfn.DAYS(About!$A$3,'Core Indicators'!AS135)</f>
        <v>537</v>
      </c>
      <c r="F135" s="281">
        <f>_xlfn.DAYS(About!$A$3,'Core Indicators'!BQ135)</f>
        <v>0</v>
      </c>
      <c r="G135" s="281">
        <f>_xlfn.DAYS(About!$A$3,'Core Indicators'!DM135)</f>
        <v>537</v>
      </c>
      <c r="H135" s="281">
        <f>_xlfn.DAYS(About!$A$3,'Core Indicators'!DU135)</f>
        <v>537</v>
      </c>
      <c r="I135" s="281">
        <f>_xlfn.DAYS(About!$A$3,'Core Indicators'!EC135)</f>
        <v>537</v>
      </c>
      <c r="J135" s="281">
        <f>_xlfn.DAYS(About!$A$3,'Core Indicators'!EK135)</f>
        <v>537</v>
      </c>
      <c r="K135" s="281">
        <f>_xlfn.DAYS(About!$A$3,'Core Indicators'!ES135)</f>
        <v>537</v>
      </c>
      <c r="L135" s="281">
        <f>_xlfn.DAYS(About!$A$3,'Core Indicators'!FI135)</f>
        <v>537</v>
      </c>
      <c r="M135" s="281">
        <f>_xlfn.DAYS(About!$A$3,'Core Indicators'!GG135)</f>
        <v>373</v>
      </c>
      <c r="N135" s="281">
        <f>_xlfn.DAYS(About!$A$3,'Core Indicators'!GO135)</f>
        <v>373</v>
      </c>
      <c r="O135" s="281">
        <f>_xlfn.DAYS(About!$A$3,'Core Indicators'!GW135)</f>
        <v>373</v>
      </c>
      <c r="P135" s="281">
        <f>_xlfn.DAYS(About!$A$3,'Core Indicators'!HE135)</f>
        <v>373</v>
      </c>
      <c r="Q135" s="281">
        <f>_xlfn.DAYS(About!$A$3,'Core Indicators'!HM135)</f>
        <v>373</v>
      </c>
      <c r="R135" s="281">
        <f>_xlfn.DAYS(About!$A$3,'Core Indicators'!HU135)</f>
        <v>373</v>
      </c>
      <c r="S135" s="281">
        <f>_xlfn.DAYS(About!$A$3,'Core Indicators'!IC135)</f>
        <v>373</v>
      </c>
      <c r="T135" s="281">
        <f>_xlfn.DAYS(About!$A$3,'Core Indicators'!IK135)</f>
        <v>373</v>
      </c>
      <c r="U135" s="281">
        <f>_xlfn.DAYS(About!$A$3,'Core Indicators'!IS135)</f>
        <v>373</v>
      </c>
      <c r="V135" s="282">
        <f t="shared" si="2"/>
        <v>466.9</v>
      </c>
    </row>
    <row r="136" spans="1:22" x14ac:dyDescent="0.3">
      <c r="A136" s="280" t="str">
        <f>Lists!C:C</f>
        <v>UGA001</v>
      </c>
      <c r="B136" s="281">
        <f>_xlfn.DAYS(About!$A$3,'Core Indicators'!U136)</f>
        <v>153</v>
      </c>
      <c r="C136" s="281">
        <f>_xlfn.DAYS(About!$A$3,'Core Indicators'!AC136)</f>
        <v>20</v>
      </c>
      <c r="D136" s="281">
        <f>_xlfn.DAYS(About!$A$3,'Core Indicators'!AK136)</f>
        <v>153</v>
      </c>
      <c r="E136" s="281">
        <f>_xlfn.DAYS(About!$A$3,'Core Indicators'!AS136)</f>
        <v>76</v>
      </c>
      <c r="F136" s="281">
        <f>_xlfn.DAYS(About!$A$3,'Core Indicators'!BQ136)</f>
        <v>0</v>
      </c>
      <c r="G136" s="281">
        <f>_xlfn.DAYS(About!$A$3,'Core Indicators'!DM136)</f>
        <v>76</v>
      </c>
      <c r="H136" s="281">
        <f>_xlfn.DAYS(About!$A$3,'Core Indicators'!DU136)</f>
        <v>76</v>
      </c>
      <c r="I136" s="281">
        <f>_xlfn.DAYS(About!$A$3,'Core Indicators'!EC136)</f>
        <v>76</v>
      </c>
      <c r="J136" s="281">
        <f>_xlfn.DAYS(About!$A$3,'Core Indicators'!EK136)</f>
        <v>76</v>
      </c>
      <c r="K136" s="281">
        <f>_xlfn.DAYS(About!$A$3,'Core Indicators'!ES136)</f>
        <v>76</v>
      </c>
      <c r="L136" s="281">
        <f>_xlfn.DAYS(About!$A$3,'Core Indicators'!FI136)</f>
        <v>101</v>
      </c>
      <c r="M136" s="281">
        <f>_xlfn.DAYS(About!$A$3,'Core Indicators'!GG136)</f>
        <v>153</v>
      </c>
      <c r="N136" s="281">
        <f>_xlfn.DAYS(About!$A$3,'Core Indicators'!GO136)</f>
        <v>153</v>
      </c>
      <c r="O136" s="281">
        <f>_xlfn.DAYS(About!$A$3,'Core Indicators'!GW136)</f>
        <v>153</v>
      </c>
      <c r="P136" s="281">
        <f>_xlfn.DAYS(About!$A$3,'Core Indicators'!HE136)</f>
        <v>153</v>
      </c>
      <c r="Q136" s="281">
        <f>_xlfn.DAYS(About!$A$3,'Core Indicators'!HM136)</f>
        <v>153</v>
      </c>
      <c r="R136" s="281">
        <f>_xlfn.DAYS(About!$A$3,'Core Indicators'!HU136)</f>
        <v>153</v>
      </c>
      <c r="S136" s="281">
        <f>_xlfn.DAYS(About!$A$3,'Core Indicators'!IC136)</f>
        <v>153</v>
      </c>
      <c r="T136" s="281">
        <f>_xlfn.DAYS(About!$A$3,'Core Indicators'!IK136)</f>
        <v>153</v>
      </c>
      <c r="U136" s="281">
        <f>_xlfn.DAYS(About!$A$3,'Core Indicators'!IS136)</f>
        <v>153</v>
      </c>
      <c r="V136" s="282">
        <f t="shared" si="2"/>
        <v>86.3</v>
      </c>
    </row>
    <row r="137" spans="1:22" x14ac:dyDescent="0.3">
      <c r="A137" s="280" t="str">
        <f>Lists!C:C</f>
        <v>UGA005</v>
      </c>
      <c r="B137" s="281">
        <f>_xlfn.DAYS(About!$A$3,'Core Indicators'!U137)</f>
        <v>342</v>
      </c>
      <c r="C137" s="281">
        <f>_xlfn.DAYS(About!$A$3,'Core Indicators'!AC137)</f>
        <v>153</v>
      </c>
      <c r="D137" s="281">
        <f>_xlfn.DAYS(About!$A$3,'Core Indicators'!AK137)</f>
        <v>76</v>
      </c>
      <c r="E137" s="281">
        <f>_xlfn.DAYS(About!$A$3,'Core Indicators'!AS137)</f>
        <v>76</v>
      </c>
      <c r="F137" s="281">
        <f>_xlfn.DAYS(About!$A$3,'Core Indicators'!BQ137)</f>
        <v>153</v>
      </c>
      <c r="G137" s="281">
        <f>_xlfn.DAYS(About!$A$3,'Core Indicators'!DM137)</f>
        <v>76</v>
      </c>
      <c r="H137" s="281">
        <f>_xlfn.DAYS(About!$A$3,'Core Indicators'!DU137)</f>
        <v>76</v>
      </c>
      <c r="I137" s="281">
        <f>_xlfn.DAYS(About!$A$3,'Core Indicators'!EC137)</f>
        <v>76</v>
      </c>
      <c r="J137" s="281">
        <f>_xlfn.DAYS(About!$A$3,'Core Indicators'!EK137)</f>
        <v>76</v>
      </c>
      <c r="K137" s="281">
        <f>_xlfn.DAYS(About!$A$3,'Core Indicators'!ES137)</f>
        <v>76</v>
      </c>
      <c r="L137" s="281">
        <f>_xlfn.DAYS(About!$A$3,'Core Indicators'!FI137)</f>
        <v>101</v>
      </c>
      <c r="M137" s="281">
        <f>_xlfn.DAYS(About!$A$3,'Core Indicators'!GG137)</f>
        <v>342</v>
      </c>
      <c r="N137" s="281">
        <f>_xlfn.DAYS(About!$A$3,'Core Indicators'!GO137)</f>
        <v>342</v>
      </c>
      <c r="O137" s="281">
        <f>_xlfn.DAYS(About!$A$3,'Core Indicators'!GW137)</f>
        <v>342</v>
      </c>
      <c r="P137" s="281">
        <f>_xlfn.DAYS(About!$A$3,'Core Indicators'!HE137)</f>
        <v>342</v>
      </c>
      <c r="Q137" s="281">
        <f>_xlfn.DAYS(About!$A$3,'Core Indicators'!HM137)</f>
        <v>342</v>
      </c>
      <c r="R137" s="281">
        <f>_xlfn.DAYS(About!$A$3,'Core Indicators'!HU137)</f>
        <v>342</v>
      </c>
      <c r="S137" s="281">
        <f>_xlfn.DAYS(About!$A$3,'Core Indicators'!IC137)</f>
        <v>342</v>
      </c>
      <c r="T137" s="281">
        <f>_xlfn.DAYS(About!$A$3,'Core Indicators'!IK137)</f>
        <v>342</v>
      </c>
      <c r="U137" s="281">
        <f>_xlfn.DAYS(About!$A$3,'Core Indicators'!IS137)</f>
        <v>342</v>
      </c>
      <c r="V137" s="282">
        <f t="shared" si="2"/>
        <v>112.8</v>
      </c>
    </row>
    <row r="138" spans="1:22" x14ac:dyDescent="0.3">
      <c r="A138" s="280" t="str">
        <f>Lists!C:C</f>
        <v>UGA006</v>
      </c>
      <c r="B138" s="281">
        <f>_xlfn.DAYS(About!$A$3,'Core Indicators'!U138)</f>
        <v>153</v>
      </c>
      <c r="C138" s="281">
        <f>_xlfn.DAYS(About!$A$3,'Core Indicators'!AC138)</f>
        <v>153</v>
      </c>
      <c r="D138" s="281">
        <f>_xlfn.DAYS(About!$A$3,'Core Indicators'!AK138)</f>
        <v>153</v>
      </c>
      <c r="E138" s="281">
        <f>_xlfn.DAYS(About!$A$3,'Core Indicators'!AS138)</f>
        <v>153</v>
      </c>
      <c r="F138" s="281">
        <f>_xlfn.DAYS(About!$A$3,'Core Indicators'!BQ138)</f>
        <v>153</v>
      </c>
      <c r="G138" s="281">
        <f>_xlfn.DAYS(About!$A$3,'Core Indicators'!DM138)</f>
        <v>153</v>
      </c>
      <c r="H138" s="281">
        <f>_xlfn.DAYS(About!$A$3,'Core Indicators'!DU138)</f>
        <v>153</v>
      </c>
      <c r="I138" s="281">
        <f>_xlfn.DAYS(About!$A$3,'Core Indicators'!EC138)</f>
        <v>153</v>
      </c>
      <c r="J138" s="281">
        <f>_xlfn.DAYS(About!$A$3,'Core Indicators'!EK138)</f>
        <v>153</v>
      </c>
      <c r="K138" s="281">
        <f>_xlfn.DAYS(About!$A$3,'Core Indicators'!ES138)</f>
        <v>153</v>
      </c>
      <c r="L138" s="281">
        <f>_xlfn.DAYS(About!$A$3,'Core Indicators'!FI138)</f>
        <v>153</v>
      </c>
      <c r="M138" s="281">
        <f>_xlfn.DAYS(About!$A$3,'Core Indicators'!GG138)</f>
        <v>153</v>
      </c>
      <c r="N138" s="281">
        <f>_xlfn.DAYS(About!$A$3,'Core Indicators'!GO138)</f>
        <v>153</v>
      </c>
      <c r="O138" s="281">
        <f>_xlfn.DAYS(About!$A$3,'Core Indicators'!GW138)</f>
        <v>153</v>
      </c>
      <c r="P138" s="281">
        <f>_xlfn.DAYS(About!$A$3,'Core Indicators'!HE138)</f>
        <v>153</v>
      </c>
      <c r="Q138" s="281">
        <f>_xlfn.DAYS(About!$A$3,'Core Indicators'!HM138)</f>
        <v>153</v>
      </c>
      <c r="R138" s="281">
        <f>_xlfn.DAYS(About!$A$3,'Core Indicators'!HU138)</f>
        <v>153</v>
      </c>
      <c r="S138" s="281">
        <f>_xlfn.DAYS(About!$A$3,'Core Indicators'!IC138)</f>
        <v>153</v>
      </c>
      <c r="T138" s="281">
        <f>_xlfn.DAYS(About!$A$3,'Core Indicators'!IK138)</f>
        <v>153</v>
      </c>
      <c r="U138" s="281">
        <f>_xlfn.DAYS(About!$A$3,'Core Indicators'!IS138)</f>
        <v>153</v>
      </c>
      <c r="V138" s="282">
        <f t="shared" si="2"/>
        <v>153</v>
      </c>
    </row>
    <row r="139" spans="1:22" x14ac:dyDescent="0.3">
      <c r="A139" s="280" t="str">
        <f>Lists!C:C</f>
        <v>UKR002</v>
      </c>
      <c r="B139" s="281">
        <f>_xlfn.DAYS(About!$A$3,'Core Indicators'!U139)</f>
        <v>629</v>
      </c>
      <c r="C139" s="281">
        <f>_xlfn.DAYS(About!$A$3,'Core Indicators'!AC139)</f>
        <v>220</v>
      </c>
      <c r="D139" s="281">
        <f>_xlfn.DAYS(About!$A$3,'Core Indicators'!AK139)</f>
        <v>220</v>
      </c>
      <c r="E139" s="281">
        <f>_xlfn.DAYS(About!$A$3,'Core Indicators'!AS139)</f>
        <v>220</v>
      </c>
      <c r="F139" s="281">
        <f>_xlfn.DAYS(About!$A$3,'Core Indicators'!BQ139)</f>
        <v>0</v>
      </c>
      <c r="G139" s="281">
        <f>_xlfn.DAYS(About!$A$3,'Core Indicators'!DM139)</f>
        <v>220</v>
      </c>
      <c r="H139" s="281">
        <f>_xlfn.DAYS(About!$A$3,'Core Indicators'!DU139)</f>
        <v>220</v>
      </c>
      <c r="I139" s="281">
        <f>_xlfn.DAYS(About!$A$3,'Core Indicators'!EC139)</f>
        <v>220</v>
      </c>
      <c r="J139" s="281">
        <f>_xlfn.DAYS(About!$A$3,'Core Indicators'!EK139)</f>
        <v>220</v>
      </c>
      <c r="K139" s="281">
        <f>_xlfn.DAYS(About!$A$3,'Core Indicators'!ES139)</f>
        <v>220</v>
      </c>
      <c r="L139" s="281">
        <f>_xlfn.DAYS(About!$A$3,'Core Indicators'!FI139)</f>
        <v>220</v>
      </c>
      <c r="M139" s="281">
        <f>_xlfn.DAYS(About!$A$3,'Core Indicators'!GG139)</f>
        <v>373</v>
      </c>
      <c r="N139" s="281">
        <f>_xlfn.DAYS(About!$A$3,'Core Indicators'!GO139)</f>
        <v>373</v>
      </c>
      <c r="O139" s="281">
        <f>_xlfn.DAYS(About!$A$3,'Core Indicators'!GW139)</f>
        <v>373</v>
      </c>
      <c r="P139" s="281">
        <f>_xlfn.DAYS(About!$A$3,'Core Indicators'!HE139)</f>
        <v>373</v>
      </c>
      <c r="Q139" s="281">
        <f>_xlfn.DAYS(About!$A$3,'Core Indicators'!HM139)</f>
        <v>373</v>
      </c>
      <c r="R139" s="281">
        <f>_xlfn.DAYS(About!$A$3,'Core Indicators'!HU139)</f>
        <v>373</v>
      </c>
      <c r="S139" s="281">
        <f>_xlfn.DAYS(About!$A$3,'Core Indicators'!IC139)</f>
        <v>373</v>
      </c>
      <c r="T139" s="281">
        <f>_xlfn.DAYS(About!$A$3,'Core Indicators'!IK139)</f>
        <v>373</v>
      </c>
      <c r="U139" s="281">
        <f>_xlfn.DAYS(About!$A$3,'Core Indicators'!IS139)</f>
        <v>373</v>
      </c>
      <c r="V139" s="282">
        <f t="shared" si="2"/>
        <v>213.3</v>
      </c>
    </row>
    <row r="140" spans="1:22" x14ac:dyDescent="0.3">
      <c r="A140" s="280" t="str">
        <f>Lists!C:C</f>
        <v>VUT002</v>
      </c>
      <c r="B140" s="281">
        <f>_xlfn.DAYS(About!$A$3,'Core Indicators'!U140)</f>
        <v>190</v>
      </c>
      <c r="C140" s="281">
        <f>_xlfn.DAYS(About!$A$3,'Core Indicators'!AC140)</f>
        <v>190</v>
      </c>
      <c r="D140" s="281">
        <f>_xlfn.DAYS(About!$A$3,'Core Indicators'!AK140)</f>
        <v>190</v>
      </c>
      <c r="E140" s="281">
        <f>_xlfn.DAYS(About!$A$3,'Core Indicators'!AS140)</f>
        <v>126</v>
      </c>
      <c r="F140" s="281">
        <f>_xlfn.DAYS(About!$A$3,'Core Indicators'!BQ140)</f>
        <v>204</v>
      </c>
      <c r="G140" s="281">
        <f>_xlfn.DAYS(About!$A$3,'Core Indicators'!DM140)</f>
        <v>190</v>
      </c>
      <c r="H140" s="281">
        <f>_xlfn.DAYS(About!$A$3,'Core Indicators'!DU140)</f>
        <v>190</v>
      </c>
      <c r="I140" s="281">
        <f>_xlfn.DAYS(About!$A$3,'Core Indicators'!EC140)</f>
        <v>190</v>
      </c>
      <c r="J140" s="281">
        <f>_xlfn.DAYS(About!$A$3,'Core Indicators'!EK140)</f>
        <v>190</v>
      </c>
      <c r="K140" s="281">
        <f>_xlfn.DAYS(About!$A$3,'Core Indicators'!ES140)</f>
        <v>190</v>
      </c>
      <c r="L140" s="281">
        <f>_xlfn.DAYS(About!$A$3,'Core Indicators'!FI140)</f>
        <v>204</v>
      </c>
      <c r="M140" s="281">
        <f>_xlfn.DAYS(About!$A$3,'Core Indicators'!GG140)</f>
        <v>204</v>
      </c>
      <c r="N140" s="281">
        <f>_xlfn.DAYS(About!$A$3,'Core Indicators'!GO140)</f>
        <v>204</v>
      </c>
      <c r="O140" s="281">
        <f>_xlfn.DAYS(About!$A$3,'Core Indicators'!GW140)</f>
        <v>204</v>
      </c>
      <c r="P140" s="281">
        <f>_xlfn.DAYS(About!$A$3,'Core Indicators'!HE140)</f>
        <v>204</v>
      </c>
      <c r="Q140" s="281">
        <f>_xlfn.DAYS(About!$A$3,'Core Indicators'!HM140)</f>
        <v>204</v>
      </c>
      <c r="R140" s="281">
        <f>_xlfn.DAYS(About!$A$3,'Core Indicators'!HU140)</f>
        <v>204</v>
      </c>
      <c r="S140" s="281">
        <f>_xlfn.DAYS(About!$A$3,'Core Indicators'!IC140)</f>
        <v>204</v>
      </c>
      <c r="T140" s="281">
        <f>_xlfn.DAYS(About!$A$3,'Core Indicators'!IK140)</f>
        <v>204</v>
      </c>
      <c r="U140" s="281">
        <f>_xlfn.DAYS(About!$A$3,'Core Indicators'!IS140)</f>
        <v>204</v>
      </c>
      <c r="V140" s="282">
        <f t="shared" si="2"/>
        <v>187.8</v>
      </c>
    </row>
    <row r="141" spans="1:22" x14ac:dyDescent="0.3">
      <c r="A141" s="280" t="str">
        <f>Lists!C:C</f>
        <v>VEN001</v>
      </c>
      <c r="B141" s="281">
        <f>_xlfn.DAYS(About!$A$3,'Core Indicators'!U141)</f>
        <v>29</v>
      </c>
      <c r="C141" s="281">
        <f>_xlfn.DAYS(About!$A$3,'Core Indicators'!AC141)</f>
        <v>0</v>
      </c>
      <c r="D141" s="281">
        <f>_xlfn.DAYS(About!$A$3,'Core Indicators'!AK141)</f>
        <v>0</v>
      </c>
      <c r="E141" s="281">
        <f>_xlfn.DAYS(About!$A$3,'Core Indicators'!AS141)</f>
        <v>0</v>
      </c>
      <c r="F141" s="281">
        <f>_xlfn.DAYS(About!$A$3,'Core Indicators'!BQ141)</f>
        <v>273</v>
      </c>
      <c r="G141" s="281">
        <f>_xlfn.DAYS(About!$A$3,'Core Indicators'!DM141)</f>
        <v>0</v>
      </c>
      <c r="H141" s="281">
        <f>_xlfn.DAYS(About!$A$3,'Core Indicators'!DU141)</f>
        <v>0</v>
      </c>
      <c r="I141" s="281">
        <f>_xlfn.DAYS(About!$A$3,'Core Indicators'!EC141)</f>
        <v>0</v>
      </c>
      <c r="J141" s="281">
        <f>_xlfn.DAYS(About!$A$3,'Core Indicators'!EK141)</f>
        <v>0</v>
      </c>
      <c r="K141" s="281">
        <f>_xlfn.DAYS(About!$A$3,'Core Indicators'!ES141)</f>
        <v>0</v>
      </c>
      <c r="L141" s="281">
        <f>_xlfn.DAYS(About!$A$3,'Core Indicators'!FI141)</f>
        <v>496</v>
      </c>
      <c r="M141" s="281">
        <f>_xlfn.DAYS(About!$A$3,'Core Indicators'!GG141)</f>
        <v>370</v>
      </c>
      <c r="N141" s="281">
        <f>_xlfn.DAYS(About!$A$3,'Core Indicators'!GO141)</f>
        <v>370</v>
      </c>
      <c r="O141" s="281">
        <f>_xlfn.DAYS(About!$A$3,'Core Indicators'!GW141)</f>
        <v>370</v>
      </c>
      <c r="P141" s="281">
        <f>_xlfn.DAYS(About!$A$3,'Core Indicators'!HE141)</f>
        <v>370</v>
      </c>
      <c r="Q141" s="281">
        <f>_xlfn.DAYS(About!$A$3,'Core Indicators'!HM141)</f>
        <v>370</v>
      </c>
      <c r="R141" s="281">
        <f>_xlfn.DAYS(About!$A$3,'Core Indicators'!HU141)</f>
        <v>370</v>
      </c>
      <c r="S141" s="281">
        <f>_xlfn.DAYS(About!$A$3,'Core Indicators'!IC141)</f>
        <v>370</v>
      </c>
      <c r="T141" s="281">
        <f>_xlfn.DAYS(About!$A$3,'Core Indicators'!IK141)</f>
        <v>370</v>
      </c>
      <c r="U141" s="281">
        <f>_xlfn.DAYS(About!$A$3,'Core Indicators'!IS141)</f>
        <v>370</v>
      </c>
      <c r="V141" s="282">
        <f t="shared" si="2"/>
        <v>113.9</v>
      </c>
    </row>
    <row r="142" spans="1:22" s="79" customFormat="1" x14ac:dyDescent="0.3">
      <c r="A142" s="280" t="str">
        <f>Lists!C:C</f>
        <v>REG002</v>
      </c>
      <c r="B142" s="281">
        <f>_xlfn.DAYS(About!$A$3,'Core Indicators'!U142)</f>
        <v>273</v>
      </c>
      <c r="C142" s="281">
        <f>_xlfn.DAYS(About!$A$3,'Core Indicators'!AC142)</f>
        <v>30</v>
      </c>
      <c r="D142" s="281">
        <f>_xlfn.DAYS(About!$A$3,'Core Indicators'!AK142)</f>
        <v>30</v>
      </c>
      <c r="E142" s="281">
        <f>_xlfn.DAYS(About!$A$3,'Core Indicators'!AS142)</f>
        <v>30</v>
      </c>
      <c r="F142" s="281">
        <f>_xlfn.DAYS(About!$A$3,'Core Indicators'!BQ142)</f>
        <v>342</v>
      </c>
      <c r="G142" s="281">
        <f>_xlfn.DAYS(About!$A$3,'Core Indicators'!DM142)</f>
        <v>30</v>
      </c>
      <c r="H142" s="281">
        <f>_xlfn.DAYS(About!$A$3,'Core Indicators'!DU142)</f>
        <v>30</v>
      </c>
      <c r="I142" s="281">
        <f>_xlfn.DAYS(About!$A$3,'Core Indicators'!EC142)</f>
        <v>30</v>
      </c>
      <c r="J142" s="281">
        <f>_xlfn.DAYS(About!$A$3,'Core Indicators'!EK142)</f>
        <v>30</v>
      </c>
      <c r="K142" s="281">
        <f>_xlfn.DAYS(About!$A$3,'Core Indicators'!ES142)</f>
        <v>30</v>
      </c>
      <c r="L142" s="281">
        <f>_xlfn.DAYS(About!$A$3,'Core Indicators'!FI142)</f>
        <v>555</v>
      </c>
      <c r="M142" s="281">
        <f>_xlfn.DAYS(About!$A$3,'Core Indicators'!GG142)</f>
        <v>370</v>
      </c>
      <c r="N142" s="281">
        <f>_xlfn.DAYS(About!$A$3,'Core Indicators'!GO142)</f>
        <v>370</v>
      </c>
      <c r="O142" s="281">
        <f>_xlfn.DAYS(About!$A$3,'Core Indicators'!GW142)</f>
        <v>370</v>
      </c>
      <c r="P142" s="281">
        <f>_xlfn.DAYS(About!$A$3,'Core Indicators'!HE142)</f>
        <v>370</v>
      </c>
      <c r="Q142" s="281">
        <f>_xlfn.DAYS(About!$A$3,'Core Indicators'!HM142)</f>
        <v>370</v>
      </c>
      <c r="R142" s="281">
        <f>_xlfn.DAYS(About!$A$3,'Core Indicators'!HU142)</f>
        <v>370</v>
      </c>
      <c r="S142" s="281">
        <f>_xlfn.DAYS(About!$A$3,'Core Indicators'!IC142)</f>
        <v>370</v>
      </c>
      <c r="T142" s="281">
        <f>_xlfn.DAYS(About!$A$3,'Core Indicators'!IK142)</f>
        <v>370</v>
      </c>
      <c r="U142" s="281">
        <f>_xlfn.DAYS(About!$A$3,'Core Indicators'!IS142)</f>
        <v>370</v>
      </c>
      <c r="V142" s="282">
        <f t="shared" ref="V142:V148" si="3">AVERAGE(D142:M142)</f>
        <v>147.69999999999999</v>
      </c>
    </row>
    <row r="143" spans="1:22" s="79" customFormat="1" x14ac:dyDescent="0.3">
      <c r="A143" s="280" t="str">
        <f>Lists!C:C</f>
        <v>VNM002</v>
      </c>
      <c r="B143" s="281">
        <f>_xlfn.DAYS(About!$A$3,'Core Indicators'!U143)</f>
        <v>0</v>
      </c>
      <c r="C143" s="281">
        <f>_xlfn.DAYS(About!$A$3,'Core Indicators'!AC143)</f>
        <v>0</v>
      </c>
      <c r="D143" s="281">
        <f>_xlfn.DAYS(About!$A$3,'Core Indicators'!AK143)</f>
        <v>0</v>
      </c>
      <c r="E143" s="281">
        <f>_xlfn.DAYS(About!$A$3,'Core Indicators'!AS143)</f>
        <v>0</v>
      </c>
      <c r="F143" s="281">
        <f>_xlfn.DAYS(About!$A$3,'Core Indicators'!BQ143)</f>
        <v>0</v>
      </c>
      <c r="G143" s="281">
        <f>_xlfn.DAYS(About!$A$3,'Core Indicators'!DM143)</f>
        <v>0</v>
      </c>
      <c r="H143" s="281">
        <f>_xlfn.DAYS(About!$A$3,'Core Indicators'!DU143)</f>
        <v>0</v>
      </c>
      <c r="I143" s="281">
        <f>_xlfn.DAYS(About!$A$3,'Core Indicators'!EC143)</f>
        <v>0</v>
      </c>
      <c r="J143" s="281">
        <f>_xlfn.DAYS(About!$A$3,'Core Indicators'!EK143)</f>
        <v>0</v>
      </c>
      <c r="K143" s="281">
        <f>_xlfn.DAYS(About!$A$3,'Core Indicators'!ES143)</f>
        <v>0</v>
      </c>
      <c r="L143" s="281">
        <f>_xlfn.DAYS(About!$A$3,'Core Indicators'!FI143)</f>
        <v>0</v>
      </c>
      <c r="M143" s="281">
        <f>_xlfn.DAYS(About!$A$3,'Core Indicators'!GG143)</f>
        <v>0</v>
      </c>
      <c r="N143" s="281">
        <f>_xlfn.DAYS(About!$A$3,'Core Indicators'!GO143)</f>
        <v>0</v>
      </c>
      <c r="O143" s="281">
        <f>_xlfn.DAYS(About!$A$3,'Core Indicators'!GW143)</f>
        <v>0</v>
      </c>
      <c r="P143" s="281">
        <f>_xlfn.DAYS(About!$A$3,'Core Indicators'!HE143)</f>
        <v>0</v>
      </c>
      <c r="Q143" s="281">
        <f>_xlfn.DAYS(About!$A$3,'Core Indicators'!HM143)</f>
        <v>0</v>
      </c>
      <c r="R143" s="281">
        <f>_xlfn.DAYS(About!$A$3,'Core Indicators'!HU143)</f>
        <v>0</v>
      </c>
      <c r="S143" s="281">
        <f>_xlfn.DAYS(About!$A$3,'Core Indicators'!IC143)</f>
        <v>0</v>
      </c>
      <c r="T143" s="281">
        <f>_xlfn.DAYS(About!$A$3,'Core Indicators'!IK143)</f>
        <v>0</v>
      </c>
      <c r="U143" s="281">
        <f>_xlfn.DAYS(About!$A$3,'Core Indicators'!IS143)</f>
        <v>0</v>
      </c>
      <c r="V143" s="282">
        <f t="shared" si="3"/>
        <v>0</v>
      </c>
    </row>
    <row r="144" spans="1:22" s="79" customFormat="1" x14ac:dyDescent="0.3">
      <c r="A144" s="280" t="str">
        <f>Lists!C:C</f>
        <v>YEM001</v>
      </c>
      <c r="B144" s="281">
        <f>_xlfn.DAYS(About!$A$3,'Core Indicators'!U144)</f>
        <v>17</v>
      </c>
      <c r="C144" s="281">
        <f>_xlfn.DAYS(About!$A$3,'Core Indicators'!AC144)</f>
        <v>17</v>
      </c>
      <c r="D144" s="281">
        <f>_xlfn.DAYS(About!$A$3,'Core Indicators'!AK144)</f>
        <v>17</v>
      </c>
      <c r="E144" s="281">
        <f>_xlfn.DAYS(About!$A$3,'Core Indicators'!AS144)</f>
        <v>17</v>
      </c>
      <c r="F144" s="281">
        <f>_xlfn.DAYS(About!$A$3,'Core Indicators'!BQ144)</f>
        <v>17</v>
      </c>
      <c r="G144" s="281">
        <f>_xlfn.DAYS(About!$A$3,'Core Indicators'!DM144)</f>
        <v>561</v>
      </c>
      <c r="H144" s="281">
        <f>_xlfn.DAYS(About!$A$3,'Core Indicators'!DU144)</f>
        <v>17</v>
      </c>
      <c r="I144" s="281">
        <f>_xlfn.DAYS(About!$A$3,'Core Indicators'!EC144)</f>
        <v>17</v>
      </c>
      <c r="J144" s="281">
        <f>_xlfn.DAYS(About!$A$3,'Core Indicators'!EK144)</f>
        <v>17</v>
      </c>
      <c r="K144" s="281">
        <f>_xlfn.DAYS(About!$A$3,'Core Indicators'!ES144)</f>
        <v>17</v>
      </c>
      <c r="L144" s="281">
        <f>_xlfn.DAYS(About!$A$3,'Core Indicators'!FI144)</f>
        <v>647</v>
      </c>
      <c r="M144" s="281">
        <f>_xlfn.DAYS(About!$A$3,'Core Indicators'!GG144)</f>
        <v>568</v>
      </c>
      <c r="N144" s="281">
        <f>_xlfn.DAYS(About!$A$3,'Core Indicators'!GO144)</f>
        <v>568</v>
      </c>
      <c r="O144" s="281">
        <f>_xlfn.DAYS(About!$A$3,'Core Indicators'!GW144)</f>
        <v>568</v>
      </c>
      <c r="P144" s="281">
        <f>_xlfn.DAYS(About!$A$3,'Core Indicators'!HE144)</f>
        <v>568</v>
      </c>
      <c r="Q144" s="281">
        <f>_xlfn.DAYS(About!$A$3,'Core Indicators'!HM144)</f>
        <v>568</v>
      </c>
      <c r="R144" s="281">
        <f>_xlfn.DAYS(About!$A$3,'Core Indicators'!HU144)</f>
        <v>568</v>
      </c>
      <c r="S144" s="281">
        <f>_xlfn.DAYS(About!$A$3,'Core Indicators'!IC144)</f>
        <v>568</v>
      </c>
      <c r="T144" s="281">
        <f>_xlfn.DAYS(About!$A$3,'Core Indicators'!IK144)</f>
        <v>568</v>
      </c>
      <c r="U144" s="281">
        <f>_xlfn.DAYS(About!$A$3,'Core Indicators'!IS144)</f>
        <v>568</v>
      </c>
      <c r="V144" s="282">
        <f t="shared" si="3"/>
        <v>189.5</v>
      </c>
    </row>
    <row r="145" spans="1:22" s="79" customFormat="1" x14ac:dyDescent="0.3">
      <c r="A145" s="280" t="str">
        <f>Lists!C:C</f>
        <v>YEM002</v>
      </c>
      <c r="B145" s="281">
        <f>_xlfn.DAYS(About!$A$3,'Core Indicators'!U145)</f>
        <v>17</v>
      </c>
      <c r="C145" s="281">
        <f>_xlfn.DAYS(About!$A$3,'Core Indicators'!AC145)</f>
        <v>17</v>
      </c>
      <c r="D145" s="281">
        <f>_xlfn.DAYS(About!$A$3,'Core Indicators'!AK145)</f>
        <v>17</v>
      </c>
      <c r="E145" s="281">
        <f>_xlfn.DAYS(About!$A$3,'Core Indicators'!AS145)</f>
        <v>17</v>
      </c>
      <c r="F145" s="281">
        <f>_xlfn.DAYS(About!$A$3,'Core Indicators'!BQ145)</f>
        <v>17</v>
      </c>
      <c r="G145" s="281">
        <f>_xlfn.DAYS(About!$A$3,'Core Indicators'!DM145)</f>
        <v>561</v>
      </c>
      <c r="H145" s="281">
        <f>_xlfn.DAYS(About!$A$3,'Core Indicators'!DU145)</f>
        <v>561</v>
      </c>
      <c r="I145" s="281">
        <f>_xlfn.DAYS(About!$A$3,'Core Indicators'!EC145)</f>
        <v>121</v>
      </c>
      <c r="J145" s="281">
        <f>_xlfn.DAYS(About!$A$3,'Core Indicators'!EK145)</f>
        <v>121</v>
      </c>
      <c r="K145" s="281">
        <f>_xlfn.DAYS(About!$A$3,'Core Indicators'!ES145)</f>
        <v>561</v>
      </c>
      <c r="L145" s="281">
        <f>_xlfn.DAYS(About!$A$3,'Core Indicators'!FI145)</f>
        <v>617</v>
      </c>
      <c r="M145" s="281">
        <f>_xlfn.DAYS(About!$A$3,'Core Indicators'!GG145)</f>
        <v>568</v>
      </c>
      <c r="N145" s="281">
        <f>_xlfn.DAYS(About!$A$3,'Core Indicators'!GO145)</f>
        <v>568</v>
      </c>
      <c r="O145" s="281">
        <f>_xlfn.DAYS(About!$A$3,'Core Indicators'!GW145)</f>
        <v>568</v>
      </c>
      <c r="P145" s="281">
        <f>_xlfn.DAYS(About!$A$3,'Core Indicators'!HE145)</f>
        <v>568</v>
      </c>
      <c r="Q145" s="281">
        <f>_xlfn.DAYS(About!$A$3,'Core Indicators'!HM145)</f>
        <v>568</v>
      </c>
      <c r="R145" s="281">
        <f>_xlfn.DAYS(About!$A$3,'Core Indicators'!HU145)</f>
        <v>568</v>
      </c>
      <c r="S145" s="281">
        <f>_xlfn.DAYS(About!$A$3,'Core Indicators'!IC145)</f>
        <v>568</v>
      </c>
      <c r="T145" s="281">
        <f>_xlfn.DAYS(About!$A$3,'Core Indicators'!IK145)</f>
        <v>568</v>
      </c>
      <c r="U145" s="281">
        <f>_xlfn.DAYS(About!$A$3,'Core Indicators'!IS145)</f>
        <v>568</v>
      </c>
      <c r="V145" s="282">
        <f t="shared" si="3"/>
        <v>316.10000000000002</v>
      </c>
    </row>
    <row r="146" spans="1:22" s="79" customFormat="1" x14ac:dyDescent="0.3">
      <c r="A146" s="280" t="str">
        <f>Lists!C:C</f>
        <v>ZMB002</v>
      </c>
      <c r="B146" s="281">
        <f>_xlfn.DAYS(About!$A$3,'Core Indicators'!U146)</f>
        <v>433</v>
      </c>
      <c r="C146" s="281">
        <f>_xlfn.DAYS(About!$A$3,'Core Indicators'!AC146)</f>
        <v>356</v>
      </c>
      <c r="D146" s="281">
        <f>_xlfn.DAYS(About!$A$3,'Core Indicators'!AK146)</f>
        <v>356</v>
      </c>
      <c r="E146" s="281">
        <f>_xlfn.DAYS(About!$A$3,'Core Indicators'!AS146)</f>
        <v>433</v>
      </c>
      <c r="F146" s="281">
        <f>_xlfn.DAYS(About!$A$3,'Core Indicators'!BQ146)</f>
        <v>6</v>
      </c>
      <c r="G146" s="281">
        <f>_xlfn.DAYS(About!$A$3,'Core Indicators'!DM146)</f>
        <v>356</v>
      </c>
      <c r="H146" s="281">
        <f>_xlfn.DAYS(About!$A$3,'Core Indicators'!DU146)</f>
        <v>356</v>
      </c>
      <c r="I146" s="281">
        <f>_xlfn.DAYS(About!$A$3,'Core Indicators'!EC146)</f>
        <v>356</v>
      </c>
      <c r="J146" s="281">
        <f>_xlfn.DAYS(About!$A$3,'Core Indicators'!EK146)</f>
        <v>356</v>
      </c>
      <c r="K146" s="281">
        <f>_xlfn.DAYS(About!$A$3,'Core Indicators'!ES146)</f>
        <v>433</v>
      </c>
      <c r="L146" s="281">
        <f>_xlfn.DAYS(About!$A$3,'Core Indicators'!FI146)</f>
        <v>631</v>
      </c>
      <c r="M146" s="281">
        <f>_xlfn.DAYS(About!$A$3,'Core Indicators'!GG146)</f>
        <v>373</v>
      </c>
      <c r="N146" s="281">
        <f>_xlfn.DAYS(About!$A$3,'Core Indicators'!GO146)</f>
        <v>373</v>
      </c>
      <c r="O146" s="281">
        <f>_xlfn.DAYS(About!$A$3,'Core Indicators'!GW146)</f>
        <v>373</v>
      </c>
      <c r="P146" s="281">
        <f>_xlfn.DAYS(About!$A$3,'Core Indicators'!HE146)</f>
        <v>373</v>
      </c>
      <c r="Q146" s="281">
        <f>_xlfn.DAYS(About!$A$3,'Core Indicators'!HM146)</f>
        <v>373</v>
      </c>
      <c r="R146" s="281">
        <f>_xlfn.DAYS(About!$A$3,'Core Indicators'!HU146)</f>
        <v>373</v>
      </c>
      <c r="S146" s="281">
        <f>_xlfn.DAYS(About!$A$3,'Core Indicators'!IC146)</f>
        <v>373</v>
      </c>
      <c r="T146" s="281">
        <f>_xlfn.DAYS(About!$A$3,'Core Indicators'!IK146)</f>
        <v>373</v>
      </c>
      <c r="U146" s="281">
        <f>_xlfn.DAYS(About!$A$3,'Core Indicators'!IS146)</f>
        <v>373</v>
      </c>
      <c r="V146" s="282">
        <f t="shared" si="3"/>
        <v>365.6</v>
      </c>
    </row>
    <row r="147" spans="1:22" s="79" customFormat="1" x14ac:dyDescent="0.3">
      <c r="A147" s="280" t="str">
        <f>Lists!C:C</f>
        <v>ZWE001</v>
      </c>
      <c r="B147" s="281">
        <f>_xlfn.DAYS(About!$A$3,'Core Indicators'!U147)</f>
        <v>30</v>
      </c>
      <c r="C147" s="281">
        <f>_xlfn.DAYS(About!$A$3,'Core Indicators'!AC147)</f>
        <v>6</v>
      </c>
      <c r="D147" s="281">
        <f>_xlfn.DAYS(About!$A$3,'Core Indicators'!AK147)</f>
        <v>6</v>
      </c>
      <c r="E147" s="281">
        <f>_xlfn.DAYS(About!$A$3,'Core Indicators'!AS147)</f>
        <v>281</v>
      </c>
      <c r="F147" s="281">
        <f>_xlfn.DAYS(About!$A$3,'Core Indicators'!BQ147)</f>
        <v>6</v>
      </c>
      <c r="G147" s="281">
        <f>_xlfn.DAYS(About!$A$3,'Core Indicators'!DM147)</f>
        <v>6</v>
      </c>
      <c r="H147" s="281">
        <f>_xlfn.DAYS(About!$A$3,'Core Indicators'!DU147)</f>
        <v>6</v>
      </c>
      <c r="I147" s="281">
        <f>_xlfn.DAYS(About!$A$3,'Core Indicators'!EC147)</f>
        <v>6</v>
      </c>
      <c r="J147" s="281">
        <f>_xlfn.DAYS(About!$A$3,'Core Indicators'!EK147)</f>
        <v>6</v>
      </c>
      <c r="K147" s="281">
        <f>_xlfn.DAYS(About!$A$3,'Core Indicators'!ES147)</f>
        <v>6</v>
      </c>
      <c r="L147" s="281">
        <f>_xlfn.DAYS(About!$A$3,'Core Indicators'!FI147)</f>
        <v>560</v>
      </c>
      <c r="M147" s="281">
        <f>_xlfn.DAYS(About!$A$3,'Core Indicators'!GG147)</f>
        <v>373</v>
      </c>
      <c r="N147" s="281">
        <f>_xlfn.DAYS(About!$A$3,'Core Indicators'!GO147)</f>
        <v>373</v>
      </c>
      <c r="O147" s="281">
        <f>_xlfn.DAYS(About!$A$3,'Core Indicators'!GW147)</f>
        <v>373</v>
      </c>
      <c r="P147" s="281">
        <f>_xlfn.DAYS(About!$A$3,'Core Indicators'!HE147)</f>
        <v>373</v>
      </c>
      <c r="Q147" s="281">
        <f>_xlfn.DAYS(About!$A$3,'Core Indicators'!HM147)</f>
        <v>373</v>
      </c>
      <c r="R147" s="281">
        <f>_xlfn.DAYS(About!$A$3,'Core Indicators'!HU147)</f>
        <v>373</v>
      </c>
      <c r="S147" s="281">
        <f>_xlfn.DAYS(About!$A$3,'Core Indicators'!IC147)</f>
        <v>373</v>
      </c>
      <c r="T147" s="281">
        <f>_xlfn.DAYS(About!$A$3,'Core Indicators'!IK147)</f>
        <v>373</v>
      </c>
      <c r="U147" s="281">
        <f>_xlfn.DAYS(About!$A$3,'Core Indicators'!IS147)</f>
        <v>373</v>
      </c>
      <c r="V147" s="282">
        <f t="shared" si="3"/>
        <v>125.6</v>
      </c>
    </row>
    <row r="148" spans="1:22" s="79" customFormat="1" x14ac:dyDescent="0.3">
      <c r="A148" s="280" t="str">
        <f>Lists!C:C</f>
        <v>ZWE003</v>
      </c>
      <c r="B148" s="281">
        <f>_xlfn.DAYS(About!$A$3,'Core Indicators'!U148)</f>
        <v>152</v>
      </c>
      <c r="C148" s="281">
        <f>_xlfn.DAYS(About!$A$3,'Core Indicators'!AC148)</f>
        <v>21</v>
      </c>
      <c r="D148" s="281">
        <f>_xlfn.DAYS(About!$A$3,'Core Indicators'!AK148)</f>
        <v>6</v>
      </c>
      <c r="E148" s="281">
        <f>_xlfn.DAYS(About!$A$3,'Core Indicators'!AS148)</f>
        <v>122</v>
      </c>
      <c r="F148" s="281">
        <f>_xlfn.DAYS(About!$A$3,'Core Indicators'!BQ148)</f>
        <v>6</v>
      </c>
      <c r="G148" s="281">
        <f>_xlfn.DAYS(About!$A$3,'Core Indicators'!DM148)</f>
        <v>6</v>
      </c>
      <c r="H148" s="281">
        <f>_xlfn.DAYS(About!$A$3,'Core Indicators'!DU148)</f>
        <v>6</v>
      </c>
      <c r="I148" s="281">
        <f>_xlfn.DAYS(About!$A$3,'Core Indicators'!EC148)</f>
        <v>6</v>
      </c>
      <c r="J148" s="281">
        <f>_xlfn.DAYS(About!$A$3,'Core Indicators'!EK148)</f>
        <v>6</v>
      </c>
      <c r="K148" s="281">
        <f>_xlfn.DAYS(About!$A$3,'Core Indicators'!ES148)</f>
        <v>6</v>
      </c>
      <c r="L148" s="281">
        <f>_xlfn.DAYS(About!$A$3,'Core Indicators'!FI148)</f>
        <v>153</v>
      </c>
      <c r="M148" s="281">
        <f>_xlfn.DAYS(About!$A$3,'Core Indicators'!GG148)</f>
        <v>152</v>
      </c>
      <c r="N148" s="281">
        <f>_xlfn.DAYS(About!$A$3,'Core Indicators'!GO148)</f>
        <v>153</v>
      </c>
      <c r="O148" s="281">
        <f>_xlfn.DAYS(About!$A$3,'Core Indicators'!GW148)</f>
        <v>152</v>
      </c>
      <c r="P148" s="281">
        <f>_xlfn.DAYS(About!$A$3,'Core Indicators'!HE148)</f>
        <v>153</v>
      </c>
      <c r="Q148" s="281">
        <f>_xlfn.DAYS(About!$A$3,'Core Indicators'!HM148)</f>
        <v>152</v>
      </c>
      <c r="R148" s="281">
        <f>_xlfn.DAYS(About!$A$3,'Core Indicators'!HU148)</f>
        <v>153</v>
      </c>
      <c r="S148" s="281">
        <f>_xlfn.DAYS(About!$A$3,'Core Indicators'!IC148)</f>
        <v>152</v>
      </c>
      <c r="T148" s="281">
        <f>_xlfn.DAYS(About!$A$3,'Core Indicators'!IK148)</f>
        <v>153</v>
      </c>
      <c r="U148" s="281">
        <f>_xlfn.DAYS(About!$A$3,'Core Indicators'!IS148)</f>
        <v>152</v>
      </c>
      <c r="V148" s="282">
        <f t="shared" si="3"/>
        <v>46.9</v>
      </c>
    </row>
    <row r="152" spans="1:22" x14ac:dyDescent="0.3">
      <c r="A152" s="79"/>
    </row>
    <row r="153" spans="1:22" x14ac:dyDescent="0.3">
      <c r="A153" s="79"/>
      <c r="U153" t="s">
        <v>369</v>
      </c>
      <c r="V153">
        <f>MIN(V3:V141)</f>
        <v>1</v>
      </c>
    </row>
    <row r="154" spans="1:22" x14ac:dyDescent="0.3">
      <c r="A154" s="79"/>
      <c r="U154" t="s">
        <v>370</v>
      </c>
      <c r="V154">
        <f>MAX(V3:V148)</f>
        <v>540.5</v>
      </c>
    </row>
    <row r="155" spans="1:22" x14ac:dyDescent="0.3">
      <c r="A155" s="79"/>
    </row>
    <row r="156" spans="1:22" x14ac:dyDescent="0.3">
      <c r="A156" s="79"/>
    </row>
    <row r="157" spans="1:22" x14ac:dyDescent="0.3">
      <c r="A157" s="79"/>
    </row>
    <row r="158" spans="1:22" x14ac:dyDescent="0.3">
      <c r="A158" s="79"/>
    </row>
    <row r="159" spans="1:22" x14ac:dyDescent="0.3">
      <c r="A159" s="79"/>
    </row>
    <row r="160" spans="1:22" x14ac:dyDescent="0.3">
      <c r="A160" s="79"/>
    </row>
    <row r="161" spans="1:1" x14ac:dyDescent="0.3">
      <c r="A161" s="79"/>
    </row>
    <row r="162" spans="1:1" x14ac:dyDescent="0.3">
      <c r="A162" s="79"/>
    </row>
    <row r="163" spans="1:1" x14ac:dyDescent="0.3">
      <c r="A163" s="79"/>
    </row>
    <row r="164" spans="1:1" x14ac:dyDescent="0.3">
      <c r="A164" s="79"/>
    </row>
    <row r="165" spans="1:1" x14ac:dyDescent="0.3">
      <c r="A165" s="79"/>
    </row>
    <row r="166" spans="1:1" x14ac:dyDescent="0.3">
      <c r="A166" s="79"/>
    </row>
    <row r="167" spans="1:1" x14ac:dyDescent="0.3">
      <c r="A167" s="79"/>
    </row>
    <row r="168" spans="1:1" x14ac:dyDescent="0.3">
      <c r="A168" s="79"/>
    </row>
    <row r="169" spans="1:1" x14ac:dyDescent="0.3">
      <c r="A169" s="79"/>
    </row>
    <row r="170" spans="1:1" x14ac:dyDescent="0.3">
      <c r="A170" s="79"/>
    </row>
    <row r="171" spans="1:1" x14ac:dyDescent="0.3">
      <c r="A171" s="79"/>
    </row>
    <row r="172" spans="1:1" x14ac:dyDescent="0.3">
      <c r="A172" s="79"/>
    </row>
    <row r="173" spans="1:1" x14ac:dyDescent="0.3">
      <c r="A173" s="79"/>
    </row>
    <row r="174" spans="1:1" x14ac:dyDescent="0.3">
      <c r="A174" s="79"/>
    </row>
    <row r="175" spans="1:1" x14ac:dyDescent="0.3">
      <c r="A175" s="79"/>
    </row>
    <row r="176" spans="1:1" x14ac:dyDescent="0.3">
      <c r="A176" s="79"/>
    </row>
    <row r="177" spans="1:1" x14ac:dyDescent="0.3">
      <c r="A177" s="79"/>
    </row>
    <row r="178" spans="1:1" x14ac:dyDescent="0.3">
      <c r="A178" s="79"/>
    </row>
    <row r="179" spans="1:1" x14ac:dyDescent="0.3">
      <c r="A179" s="79"/>
    </row>
    <row r="180" spans="1:1" x14ac:dyDescent="0.3">
      <c r="A180" s="79"/>
    </row>
    <row r="181" spans="1:1" x14ac:dyDescent="0.3">
      <c r="A181" s="79"/>
    </row>
    <row r="182" spans="1:1" x14ac:dyDescent="0.3">
      <c r="A182" s="79"/>
    </row>
    <row r="183" spans="1:1" x14ac:dyDescent="0.3">
      <c r="A183" s="79"/>
    </row>
    <row r="184" spans="1:1" x14ac:dyDescent="0.3">
      <c r="A184" s="79"/>
    </row>
    <row r="185" spans="1:1" x14ac:dyDescent="0.3">
      <c r="A185" s="79"/>
    </row>
    <row r="186" spans="1:1" x14ac:dyDescent="0.3">
      <c r="A186" s="79"/>
    </row>
    <row r="187" spans="1:1" x14ac:dyDescent="0.3">
      <c r="A187" s="79"/>
    </row>
    <row r="188" spans="1:1" x14ac:dyDescent="0.3">
      <c r="A188" s="79"/>
    </row>
    <row r="189" spans="1:1" x14ac:dyDescent="0.3">
      <c r="A189" s="79"/>
    </row>
    <row r="190" spans="1:1" x14ac:dyDescent="0.3">
      <c r="A190" s="79"/>
    </row>
    <row r="191" spans="1:1" x14ac:dyDescent="0.3">
      <c r="A191" s="79"/>
    </row>
    <row r="192" spans="1:1" x14ac:dyDescent="0.3">
      <c r="A192" s="79"/>
    </row>
    <row r="193" spans="1:1" x14ac:dyDescent="0.3">
      <c r="A193" s="79"/>
    </row>
    <row r="194" spans="1:1" x14ac:dyDescent="0.3">
      <c r="A194" s="79"/>
    </row>
    <row r="195" spans="1:1" x14ac:dyDescent="0.3">
      <c r="A195" s="79"/>
    </row>
    <row r="196" spans="1:1" x14ac:dyDescent="0.3">
      <c r="A196" s="79"/>
    </row>
    <row r="197" spans="1:1" x14ac:dyDescent="0.3">
      <c r="A197" s="79"/>
    </row>
    <row r="198" spans="1:1" x14ac:dyDescent="0.3">
      <c r="A198" s="79"/>
    </row>
    <row r="199" spans="1:1" x14ac:dyDescent="0.3">
      <c r="A199" s="79"/>
    </row>
    <row r="200" spans="1:1" x14ac:dyDescent="0.3">
      <c r="A200" s="79"/>
    </row>
    <row r="201" spans="1:1" x14ac:dyDescent="0.3">
      <c r="A201" s="79"/>
    </row>
    <row r="202" spans="1:1" x14ac:dyDescent="0.3">
      <c r="A202" s="79"/>
    </row>
    <row r="203" spans="1:1" x14ac:dyDescent="0.3">
      <c r="A203" s="79"/>
    </row>
    <row r="204" spans="1:1" x14ac:dyDescent="0.3">
      <c r="A204" s="79"/>
    </row>
    <row r="205" spans="1:1" x14ac:dyDescent="0.3">
      <c r="A205" s="79"/>
    </row>
    <row r="206" spans="1:1" x14ac:dyDescent="0.3">
      <c r="A206" s="79"/>
    </row>
    <row r="207" spans="1:1" x14ac:dyDescent="0.3">
      <c r="A207" s="79"/>
    </row>
    <row r="208" spans="1:1" x14ac:dyDescent="0.3">
      <c r="A208" s="79"/>
    </row>
    <row r="209" spans="1:1" x14ac:dyDescent="0.3">
      <c r="A209" s="79"/>
    </row>
    <row r="210" spans="1:1" x14ac:dyDescent="0.3">
      <c r="A210" s="79"/>
    </row>
    <row r="211" spans="1:1" x14ac:dyDescent="0.3">
      <c r="A211" s="79"/>
    </row>
    <row r="212" spans="1:1" x14ac:dyDescent="0.3">
      <c r="A212" s="79"/>
    </row>
    <row r="213" spans="1:1" x14ac:dyDescent="0.3">
      <c r="A213" s="79"/>
    </row>
    <row r="214" spans="1:1" x14ac:dyDescent="0.3">
      <c r="A214" s="79"/>
    </row>
    <row r="215" spans="1:1" x14ac:dyDescent="0.3">
      <c r="A215" s="79"/>
    </row>
    <row r="216" spans="1:1" x14ac:dyDescent="0.3">
      <c r="A216" s="79"/>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B334"/>
  <sheetViews>
    <sheetView zoomScale="80" zoomScaleNormal="80" workbookViewId="0">
      <pane ySplit="2" topLeftCell="A213" activePane="bottomLeft" state="frozen"/>
      <selection pane="bottomLeft" activeCell="AC294" sqref="AC294"/>
    </sheetView>
  </sheetViews>
  <sheetFormatPr defaultColWidth="8.77734375" defaultRowHeight="14.4" x14ac:dyDescent="0.3"/>
  <cols>
    <col min="1" max="1" width="23.21875" style="79" customWidth="1"/>
    <col min="2" max="2" width="41.21875" style="79" bestFit="1" customWidth="1"/>
    <col min="3" max="3" width="8.77734375" style="79"/>
    <col min="4" max="4" width="10.44140625" style="79" customWidth="1"/>
    <col min="5" max="28" width="8.5546875" style="79" customWidth="1"/>
    <col min="29" max="16384" width="8.77734375" style="79"/>
  </cols>
  <sheetData>
    <row r="1" spans="1:28" x14ac:dyDescent="0.3">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row>
    <row r="2" spans="1:28" x14ac:dyDescent="0.3">
      <c r="A2" s="285" t="s">
        <v>567</v>
      </c>
      <c r="B2" s="285" t="s">
        <v>569</v>
      </c>
      <c r="C2" s="285" t="s">
        <v>566</v>
      </c>
      <c r="D2" s="285" t="s">
        <v>3014</v>
      </c>
      <c r="E2" s="286">
        <v>43466</v>
      </c>
      <c r="F2" s="286">
        <v>43497</v>
      </c>
      <c r="G2" s="286">
        <v>43525</v>
      </c>
      <c r="H2" s="286">
        <v>43556</v>
      </c>
      <c r="I2" s="286">
        <v>43586</v>
      </c>
      <c r="J2" s="286">
        <v>43617</v>
      </c>
      <c r="K2" s="286">
        <v>43647</v>
      </c>
      <c r="L2" s="286">
        <v>43678</v>
      </c>
      <c r="M2" s="286">
        <v>43709</v>
      </c>
      <c r="N2" s="286">
        <v>43739</v>
      </c>
      <c r="O2" s="286">
        <v>43770</v>
      </c>
      <c r="P2" s="286">
        <v>43800</v>
      </c>
      <c r="Q2" s="286">
        <v>43831</v>
      </c>
      <c r="R2" s="286">
        <v>43862</v>
      </c>
      <c r="S2" s="286">
        <v>43891</v>
      </c>
      <c r="T2" s="286">
        <v>43922</v>
      </c>
      <c r="U2" s="286">
        <v>43952</v>
      </c>
      <c r="V2" s="286">
        <v>43983</v>
      </c>
      <c r="W2" s="286">
        <v>44013</v>
      </c>
      <c r="X2" s="286">
        <v>44044</v>
      </c>
      <c r="Y2" s="286">
        <v>44075</v>
      </c>
      <c r="Z2" s="286">
        <v>44105</v>
      </c>
      <c r="AA2" s="286">
        <v>44136</v>
      </c>
      <c r="AB2" s="286">
        <v>44166</v>
      </c>
    </row>
    <row r="3" spans="1:28" x14ac:dyDescent="0.3">
      <c r="A3" s="11" t="s">
        <v>1</v>
      </c>
      <c r="B3" s="11" t="s">
        <v>1154</v>
      </c>
      <c r="C3" s="11" t="s">
        <v>572</v>
      </c>
      <c r="D3" s="166" t="str">
        <f>IFERROR(IF(ROUND(AVERAGE(X3:Z3),1)=ROUND(AVERAGE(U3:W3),1),"Stable",IF(ROUND(AVERAGE(X3:Z3),1)&lt;ROUND(AVERAGE(U3:W3),1),"Decreasing",IF(ROUND(AVERAGE(X3:Z3),1)&gt;ROUND(AVERAGE(U3:W3),1),"Increasing"))),"-")</f>
        <v>Increasing</v>
      </c>
      <c r="E3" s="167" t="s">
        <v>3015</v>
      </c>
      <c r="F3" s="167">
        <v>4.4000000000000004</v>
      </c>
      <c r="G3" s="167">
        <v>4.4000000000000004</v>
      </c>
      <c r="H3" s="167">
        <v>4.5</v>
      </c>
      <c r="I3" s="167">
        <v>4.5</v>
      </c>
      <c r="J3" s="167">
        <v>4.5</v>
      </c>
      <c r="K3" s="167">
        <v>4.5</v>
      </c>
      <c r="L3" s="167">
        <v>4.5</v>
      </c>
      <c r="M3" s="167">
        <v>4.5</v>
      </c>
      <c r="N3" s="167">
        <v>4.4000000000000004</v>
      </c>
      <c r="O3" s="167">
        <v>4.4000000000000004</v>
      </c>
      <c r="P3" s="167">
        <v>4.4000000000000004</v>
      </c>
      <c r="Q3" s="167">
        <v>4.4000000000000004</v>
      </c>
      <c r="R3" s="167">
        <v>4.4000000000000004</v>
      </c>
      <c r="S3" s="167">
        <v>4.5</v>
      </c>
      <c r="T3" s="167">
        <v>4.5</v>
      </c>
      <c r="U3" s="167">
        <v>4.5</v>
      </c>
      <c r="V3" s="167">
        <v>4.5</v>
      </c>
      <c r="W3" s="167">
        <v>4.5</v>
      </c>
      <c r="X3" s="167">
        <v>4.5</v>
      </c>
      <c r="Y3" s="167">
        <v>4.5999999999999996</v>
      </c>
      <c r="Z3" s="167">
        <f>_xlfn.IFNA(VLOOKUP(C3,'INFORM Severity - hidden'!$C$5:$G$155,5,FALSE),"-")</f>
        <v>4.5999999999999996</v>
      </c>
      <c r="AA3" s="167" t="s">
        <v>3015</v>
      </c>
      <c r="AB3" s="167" t="s">
        <v>3015</v>
      </c>
    </row>
    <row r="4" spans="1:28" x14ac:dyDescent="0.3">
      <c r="A4" s="11" t="s">
        <v>1</v>
      </c>
      <c r="B4" s="11" t="s">
        <v>758</v>
      </c>
      <c r="C4" s="11" t="s">
        <v>3147</v>
      </c>
      <c r="D4" s="166" t="str">
        <f t="shared" ref="D4:D67" si="0">IFERROR(IF(ROUND(AVERAGE(X4:Z4),1)=ROUND(AVERAGE(U4:W4),1),"Stable",IF(ROUND(AVERAGE(X4:Z4),1)&lt;ROUND(AVERAGE(U4:W4),1),"Decreasing",IF(ROUND(AVERAGE(X4:Z4),1)&gt;ROUND(AVERAGE(U4:W4),1),"Increasing"))),"-")</f>
        <v>-</v>
      </c>
      <c r="E4" s="167">
        <v>4.0999999999999996</v>
      </c>
      <c r="F4" s="167">
        <v>4.2</v>
      </c>
      <c r="G4" s="167" t="s">
        <v>3015</v>
      </c>
      <c r="H4" s="167" t="s">
        <v>3015</v>
      </c>
      <c r="I4" s="167" t="s">
        <v>3015</v>
      </c>
      <c r="J4" s="167" t="s">
        <v>3015</v>
      </c>
      <c r="K4" s="167" t="s">
        <v>3015</v>
      </c>
      <c r="L4" s="167" t="s">
        <v>3015</v>
      </c>
      <c r="M4" s="167" t="s">
        <v>3015</v>
      </c>
      <c r="N4" s="167" t="s">
        <v>3015</v>
      </c>
      <c r="O4" s="167" t="s">
        <v>3015</v>
      </c>
      <c r="P4" s="167" t="s">
        <v>3015</v>
      </c>
      <c r="Q4" s="167" t="s">
        <v>3015</v>
      </c>
      <c r="R4" s="167" t="s">
        <v>3015</v>
      </c>
      <c r="S4" s="167" t="s">
        <v>3015</v>
      </c>
      <c r="T4" s="167" t="s">
        <v>3015</v>
      </c>
      <c r="U4" s="167" t="s">
        <v>3015</v>
      </c>
      <c r="V4" s="167" t="s">
        <v>3015</v>
      </c>
      <c r="W4" s="167" t="s">
        <v>3015</v>
      </c>
      <c r="X4" s="167" t="s">
        <v>3015</v>
      </c>
      <c r="Y4" s="167" t="s">
        <v>3015</v>
      </c>
      <c r="Z4" s="167" t="str">
        <f>_xlfn.IFNA(VLOOKUP(C4,'INFORM Severity - hidden'!$C$5:$G$155,5,FALSE),"-")</f>
        <v>-</v>
      </c>
      <c r="AA4" s="167" t="s">
        <v>3015</v>
      </c>
      <c r="AB4" s="167" t="s">
        <v>3015</v>
      </c>
    </row>
    <row r="5" spans="1:28" x14ac:dyDescent="0.3">
      <c r="A5" s="11" t="s">
        <v>1</v>
      </c>
      <c r="B5" s="11" t="s">
        <v>759</v>
      </c>
      <c r="C5" s="11" t="s">
        <v>3148</v>
      </c>
      <c r="D5" s="166" t="str">
        <f t="shared" si="0"/>
        <v>-</v>
      </c>
      <c r="E5" s="167">
        <v>3.9</v>
      </c>
      <c r="F5" s="167">
        <v>3.9</v>
      </c>
      <c r="G5" s="167" t="s">
        <v>3015</v>
      </c>
      <c r="H5" s="167" t="s">
        <v>3015</v>
      </c>
      <c r="I5" s="167" t="s">
        <v>3015</v>
      </c>
      <c r="J5" s="167" t="s">
        <v>3015</v>
      </c>
      <c r="K5" s="167" t="s">
        <v>3015</v>
      </c>
      <c r="L5" s="167" t="s">
        <v>3015</v>
      </c>
      <c r="M5" s="167" t="s">
        <v>3015</v>
      </c>
      <c r="N5" s="167" t="s">
        <v>3015</v>
      </c>
      <c r="O5" s="167" t="s">
        <v>3015</v>
      </c>
      <c r="P5" s="167" t="s">
        <v>3015</v>
      </c>
      <c r="Q5" s="167" t="s">
        <v>3015</v>
      </c>
      <c r="R5" s="167" t="s">
        <v>3015</v>
      </c>
      <c r="S5" s="167" t="s">
        <v>3015</v>
      </c>
      <c r="T5" s="167" t="s">
        <v>3015</v>
      </c>
      <c r="U5" s="167" t="s">
        <v>3015</v>
      </c>
      <c r="V5" s="167" t="s">
        <v>3015</v>
      </c>
      <c r="W5" s="167" t="s">
        <v>3015</v>
      </c>
      <c r="X5" s="167" t="s">
        <v>3015</v>
      </c>
      <c r="Y5" s="167" t="s">
        <v>3015</v>
      </c>
      <c r="Z5" s="167" t="str">
        <f>_xlfn.IFNA(VLOOKUP(C5,'INFORM Severity - hidden'!$C$5:$G$155,5,FALSE),"-")</f>
        <v>-</v>
      </c>
      <c r="AA5" s="167" t="s">
        <v>3015</v>
      </c>
      <c r="AB5" s="167" t="s">
        <v>3015</v>
      </c>
    </row>
    <row r="6" spans="1:28" x14ac:dyDescent="0.3">
      <c r="A6" s="11" t="s">
        <v>1</v>
      </c>
      <c r="B6" s="11" t="s">
        <v>1200</v>
      </c>
      <c r="C6" s="11" t="s">
        <v>3180</v>
      </c>
      <c r="D6" s="166" t="str">
        <f t="shared" si="0"/>
        <v>-</v>
      </c>
      <c r="E6" s="167" t="s">
        <v>3015</v>
      </c>
      <c r="F6" s="167" t="s">
        <v>3015</v>
      </c>
      <c r="G6" s="167">
        <v>2.5</v>
      </c>
      <c r="H6" s="167">
        <v>2.2000000000000002</v>
      </c>
      <c r="I6" s="167">
        <v>2.2000000000000002</v>
      </c>
      <c r="J6" s="167" t="s">
        <v>3015</v>
      </c>
      <c r="K6" s="167" t="s">
        <v>3015</v>
      </c>
      <c r="L6" s="167" t="s">
        <v>3015</v>
      </c>
      <c r="M6" s="167" t="s">
        <v>3015</v>
      </c>
      <c r="N6" s="167" t="s">
        <v>3015</v>
      </c>
      <c r="O6" s="167" t="s">
        <v>3015</v>
      </c>
      <c r="P6" s="167" t="s">
        <v>3015</v>
      </c>
      <c r="Q6" s="167" t="s">
        <v>3015</v>
      </c>
      <c r="R6" s="167" t="s">
        <v>3015</v>
      </c>
      <c r="S6" s="167" t="s">
        <v>3015</v>
      </c>
      <c r="T6" s="167" t="s">
        <v>3015</v>
      </c>
      <c r="U6" s="167" t="s">
        <v>3015</v>
      </c>
      <c r="V6" s="167" t="s">
        <v>3015</v>
      </c>
      <c r="W6" s="167" t="s">
        <v>3015</v>
      </c>
      <c r="X6" s="167" t="s">
        <v>3015</v>
      </c>
      <c r="Y6" s="167" t="s">
        <v>3015</v>
      </c>
      <c r="Z6" s="167" t="str">
        <f>_xlfn.IFNA(VLOOKUP(C6,'INFORM Severity - hidden'!$C$5:$G$155,5,FALSE),"-")</f>
        <v>-</v>
      </c>
      <c r="AA6" s="167" t="s">
        <v>3015</v>
      </c>
      <c r="AB6" s="167" t="s">
        <v>3015</v>
      </c>
    </row>
    <row r="7" spans="1:28" x14ac:dyDescent="0.3">
      <c r="A7" s="11" t="s">
        <v>7</v>
      </c>
      <c r="B7" s="11" t="s">
        <v>914</v>
      </c>
      <c r="C7" s="11" t="s">
        <v>3018</v>
      </c>
      <c r="D7" s="166" t="str">
        <f t="shared" si="0"/>
        <v>-</v>
      </c>
      <c r="E7" s="167" t="s">
        <v>3015</v>
      </c>
      <c r="F7" s="167" t="s">
        <v>3015</v>
      </c>
      <c r="G7" s="167" t="s">
        <v>3015</v>
      </c>
      <c r="H7" s="167" t="s">
        <v>3015</v>
      </c>
      <c r="I7" s="167" t="s">
        <v>3015</v>
      </c>
      <c r="J7" s="167" t="s">
        <v>3015</v>
      </c>
      <c r="K7" s="167" t="s">
        <v>3015</v>
      </c>
      <c r="L7" s="167" t="s">
        <v>3015</v>
      </c>
      <c r="M7" s="167" t="s">
        <v>3015</v>
      </c>
      <c r="N7" s="167" t="s">
        <v>3015</v>
      </c>
      <c r="O7" s="167" t="s">
        <v>3015</v>
      </c>
      <c r="P7" s="167" t="s">
        <v>3015</v>
      </c>
      <c r="Q7" s="167" t="s">
        <v>3015</v>
      </c>
      <c r="R7" s="167" t="s">
        <v>3015</v>
      </c>
      <c r="S7" s="167" t="s">
        <v>3015</v>
      </c>
      <c r="T7" s="167" t="s">
        <v>3015</v>
      </c>
      <c r="U7" s="167" t="s">
        <v>3015</v>
      </c>
      <c r="V7" s="167" t="s">
        <v>3015</v>
      </c>
      <c r="W7" s="167" t="s">
        <v>3015</v>
      </c>
      <c r="X7" s="167" t="s">
        <v>3015</v>
      </c>
      <c r="Y7" s="167" t="s">
        <v>3015</v>
      </c>
      <c r="Z7" s="167" t="str">
        <f>_xlfn.IFNA(VLOOKUP(C7,'INFORM Severity - hidden'!$C$5:$G$155,5,FALSE),"-")</f>
        <v>-</v>
      </c>
      <c r="AA7" s="167" t="s">
        <v>3015</v>
      </c>
      <c r="AB7" s="167" t="s">
        <v>3015</v>
      </c>
    </row>
    <row r="8" spans="1:28" x14ac:dyDescent="0.3">
      <c r="A8" s="11" t="s">
        <v>3</v>
      </c>
      <c r="B8" s="11" t="s">
        <v>914</v>
      </c>
      <c r="C8" s="11" t="s">
        <v>3016</v>
      </c>
      <c r="D8" s="166" t="str">
        <f t="shared" si="0"/>
        <v>-</v>
      </c>
      <c r="E8" s="167" t="s">
        <v>3015</v>
      </c>
      <c r="F8" s="167" t="s">
        <v>3015</v>
      </c>
      <c r="G8" s="167" t="s">
        <v>3015</v>
      </c>
      <c r="H8" s="167" t="s">
        <v>3015</v>
      </c>
      <c r="I8" s="167" t="s">
        <v>3015</v>
      </c>
      <c r="J8" s="167" t="s">
        <v>3015</v>
      </c>
      <c r="K8" s="167" t="s">
        <v>3015</v>
      </c>
      <c r="L8" s="167" t="s">
        <v>3015</v>
      </c>
      <c r="M8" s="167" t="s">
        <v>3015</v>
      </c>
      <c r="N8" s="167" t="s">
        <v>3015</v>
      </c>
      <c r="O8" s="167" t="s">
        <v>3015</v>
      </c>
      <c r="P8" s="167" t="s">
        <v>3015</v>
      </c>
      <c r="Q8" s="167" t="s">
        <v>3015</v>
      </c>
      <c r="R8" s="167" t="s">
        <v>3015</v>
      </c>
      <c r="S8" s="167" t="s">
        <v>3015</v>
      </c>
      <c r="T8" s="167" t="s">
        <v>3015</v>
      </c>
      <c r="U8" s="167" t="s">
        <v>3015</v>
      </c>
      <c r="V8" s="167" t="s">
        <v>3015</v>
      </c>
      <c r="W8" s="167" t="s">
        <v>3015</v>
      </c>
      <c r="X8" s="167" t="s">
        <v>3015</v>
      </c>
      <c r="Y8" s="167" t="s">
        <v>3015</v>
      </c>
      <c r="Z8" s="167" t="str">
        <f>_xlfn.IFNA(VLOOKUP(C8,'INFORM Severity - hidden'!$C$5:$G$155,5,FALSE),"-")</f>
        <v>-</v>
      </c>
      <c r="AA8" s="167" t="s">
        <v>3015</v>
      </c>
      <c r="AB8" s="167" t="s">
        <v>3015</v>
      </c>
    </row>
    <row r="9" spans="1:28" x14ac:dyDescent="0.3">
      <c r="A9" s="11" t="s">
        <v>11</v>
      </c>
      <c r="B9" s="11" t="s">
        <v>914</v>
      </c>
      <c r="C9" s="11" t="s">
        <v>3020</v>
      </c>
      <c r="D9" s="166" t="str">
        <f t="shared" si="0"/>
        <v>-</v>
      </c>
      <c r="E9" s="167" t="s">
        <v>3015</v>
      </c>
      <c r="F9" s="167" t="s">
        <v>3015</v>
      </c>
      <c r="G9" s="167" t="s">
        <v>3015</v>
      </c>
      <c r="H9" s="167" t="s">
        <v>3015</v>
      </c>
      <c r="I9" s="167" t="s">
        <v>3015</v>
      </c>
      <c r="J9" s="167" t="s">
        <v>3015</v>
      </c>
      <c r="K9" s="167" t="s">
        <v>3015</v>
      </c>
      <c r="L9" s="167" t="s">
        <v>3015</v>
      </c>
      <c r="M9" s="167" t="s">
        <v>3015</v>
      </c>
      <c r="N9" s="167" t="s">
        <v>3015</v>
      </c>
      <c r="O9" s="167" t="s">
        <v>3015</v>
      </c>
      <c r="P9" s="167" t="s">
        <v>3015</v>
      </c>
      <c r="Q9" s="167" t="s">
        <v>3015</v>
      </c>
      <c r="R9" s="167" t="s">
        <v>3015</v>
      </c>
      <c r="S9" s="167" t="s">
        <v>3015</v>
      </c>
      <c r="T9" s="167" t="s">
        <v>3015</v>
      </c>
      <c r="U9" s="167" t="s">
        <v>3015</v>
      </c>
      <c r="V9" s="167" t="s">
        <v>3015</v>
      </c>
      <c r="W9" s="167" t="s">
        <v>3015</v>
      </c>
      <c r="X9" s="167" t="s">
        <v>3015</v>
      </c>
      <c r="Y9" s="167" t="s">
        <v>3015</v>
      </c>
      <c r="Z9" s="167" t="str">
        <f>_xlfn.IFNA(VLOOKUP(C9,'INFORM Severity - hidden'!$C$5:$G$155,5,FALSE),"-")</f>
        <v>-</v>
      </c>
      <c r="AA9" s="167" t="s">
        <v>3015</v>
      </c>
      <c r="AB9" s="167" t="s">
        <v>3015</v>
      </c>
    </row>
    <row r="10" spans="1:28" x14ac:dyDescent="0.3">
      <c r="A10" s="11" t="s">
        <v>11</v>
      </c>
      <c r="B10" s="11" t="s">
        <v>774</v>
      </c>
      <c r="C10" s="11" t="s">
        <v>3149</v>
      </c>
      <c r="D10" s="166" t="str">
        <f t="shared" si="0"/>
        <v>-</v>
      </c>
      <c r="E10" s="167" t="s">
        <v>3015</v>
      </c>
      <c r="F10" s="167">
        <v>0.9</v>
      </c>
      <c r="G10" s="167">
        <v>0.9</v>
      </c>
      <c r="H10" s="167" t="s">
        <v>3015</v>
      </c>
      <c r="I10" s="167" t="s">
        <v>3015</v>
      </c>
      <c r="J10" s="167" t="s">
        <v>3015</v>
      </c>
      <c r="K10" s="167" t="s">
        <v>3015</v>
      </c>
      <c r="L10" s="167" t="s">
        <v>3015</v>
      </c>
      <c r="M10" s="167" t="s">
        <v>3015</v>
      </c>
      <c r="N10" s="167" t="s">
        <v>3015</v>
      </c>
      <c r="O10" s="167" t="s">
        <v>3015</v>
      </c>
      <c r="P10" s="167" t="s">
        <v>3015</v>
      </c>
      <c r="Q10" s="167" t="s">
        <v>3015</v>
      </c>
      <c r="R10" s="167" t="s">
        <v>3015</v>
      </c>
      <c r="S10" s="167" t="s">
        <v>3015</v>
      </c>
      <c r="T10" s="167" t="s">
        <v>3015</v>
      </c>
      <c r="U10" s="167" t="s">
        <v>3015</v>
      </c>
      <c r="V10" s="167" t="s">
        <v>3015</v>
      </c>
      <c r="W10" s="167" t="s">
        <v>3015</v>
      </c>
      <c r="X10" s="167" t="s">
        <v>3015</v>
      </c>
      <c r="Y10" s="167" t="s">
        <v>3015</v>
      </c>
      <c r="Z10" s="167" t="str">
        <f>_xlfn.IFNA(VLOOKUP(C10,'INFORM Severity - hidden'!$C$5:$G$155,5,FALSE),"-")</f>
        <v>-</v>
      </c>
      <c r="AA10" s="167" t="s">
        <v>3015</v>
      </c>
      <c r="AB10" s="167" t="s">
        <v>3015</v>
      </c>
    </row>
    <row r="11" spans="1:28" x14ac:dyDescent="0.3">
      <c r="A11" s="11" t="s">
        <v>13</v>
      </c>
      <c r="B11" s="11" t="s">
        <v>914</v>
      </c>
      <c r="C11" s="11" t="s">
        <v>3021</v>
      </c>
      <c r="D11" s="166" t="str">
        <f t="shared" si="0"/>
        <v>-</v>
      </c>
      <c r="E11" s="167" t="s">
        <v>3015</v>
      </c>
      <c r="F11" s="167" t="s">
        <v>3015</v>
      </c>
      <c r="G11" s="167" t="s">
        <v>3015</v>
      </c>
      <c r="H11" s="167" t="s">
        <v>3015</v>
      </c>
      <c r="I11" s="167" t="s">
        <v>3015</v>
      </c>
      <c r="J11" s="167" t="s">
        <v>3015</v>
      </c>
      <c r="K11" s="167" t="s">
        <v>3015</v>
      </c>
      <c r="L11" s="167" t="s">
        <v>3015</v>
      </c>
      <c r="M11" s="167" t="s">
        <v>3015</v>
      </c>
      <c r="N11" s="167" t="s">
        <v>3015</v>
      </c>
      <c r="O11" s="167" t="s">
        <v>3015</v>
      </c>
      <c r="P11" s="167" t="s">
        <v>3015</v>
      </c>
      <c r="Q11" s="167" t="s">
        <v>3015</v>
      </c>
      <c r="R11" s="167" t="s">
        <v>3015</v>
      </c>
      <c r="S11" s="167" t="s">
        <v>3015</v>
      </c>
      <c r="T11" s="167" t="s">
        <v>3015</v>
      </c>
      <c r="U11" s="167" t="s">
        <v>3015</v>
      </c>
      <c r="V11" s="167" t="s">
        <v>3015</v>
      </c>
      <c r="W11" s="167" t="s">
        <v>3015</v>
      </c>
      <c r="X11" s="167" t="s">
        <v>3015</v>
      </c>
      <c r="Y11" s="167" t="s">
        <v>3015</v>
      </c>
      <c r="Z11" s="167" t="str">
        <f>_xlfn.IFNA(VLOOKUP(C11,'INFORM Severity - hidden'!$C$5:$G$155,5,FALSE),"-")</f>
        <v>-</v>
      </c>
      <c r="AA11" s="167" t="s">
        <v>3015</v>
      </c>
      <c r="AB11" s="167" t="s">
        <v>3015</v>
      </c>
    </row>
    <row r="12" spans="1:28" x14ac:dyDescent="0.3">
      <c r="A12" s="11" t="s">
        <v>13</v>
      </c>
      <c r="B12" s="11" t="s">
        <v>4009</v>
      </c>
      <c r="C12" s="11" t="s">
        <v>4010</v>
      </c>
      <c r="D12" s="166" t="str">
        <f t="shared" si="0"/>
        <v>-</v>
      </c>
      <c r="E12" s="167" t="s">
        <v>3015</v>
      </c>
      <c r="F12" s="167" t="s">
        <v>3015</v>
      </c>
      <c r="G12" s="167" t="s">
        <v>3015</v>
      </c>
      <c r="H12" s="167" t="s">
        <v>3015</v>
      </c>
      <c r="I12" s="167" t="s">
        <v>3015</v>
      </c>
      <c r="J12" s="167" t="s">
        <v>3015</v>
      </c>
      <c r="K12" s="167" t="s">
        <v>3015</v>
      </c>
      <c r="L12" s="167" t="s">
        <v>3015</v>
      </c>
      <c r="M12" s="167" t="s">
        <v>3015</v>
      </c>
      <c r="N12" s="167" t="s">
        <v>3015</v>
      </c>
      <c r="O12" s="167" t="s">
        <v>3015</v>
      </c>
      <c r="P12" s="167" t="s">
        <v>3015</v>
      </c>
      <c r="Q12" s="167" t="s">
        <v>3015</v>
      </c>
      <c r="R12" s="167" t="s">
        <v>3015</v>
      </c>
      <c r="S12" s="167" t="s">
        <v>3015</v>
      </c>
      <c r="T12" s="167" t="s">
        <v>3015</v>
      </c>
      <c r="U12" s="167" t="s">
        <v>3015</v>
      </c>
      <c r="V12" s="167" t="s">
        <v>3015</v>
      </c>
      <c r="W12" s="167" t="s">
        <v>3015</v>
      </c>
      <c r="X12" s="167" t="s">
        <v>3015</v>
      </c>
      <c r="Y12" s="167" t="s">
        <v>3015</v>
      </c>
      <c r="Z12" s="167" t="str">
        <f>_xlfn.IFNA(VLOOKUP(C12,'INFORM Severity - hidden'!$C$5:$G$155,5,FALSE),"-")</f>
        <v>x</v>
      </c>
      <c r="AA12" s="167" t="s">
        <v>3015</v>
      </c>
      <c r="AB12" s="167" t="s">
        <v>3015</v>
      </c>
    </row>
    <row r="13" spans="1:28" x14ac:dyDescent="0.3">
      <c r="A13" s="11" t="s">
        <v>9</v>
      </c>
      <c r="B13" s="11" t="s">
        <v>914</v>
      </c>
      <c r="C13" s="11" t="s">
        <v>3019</v>
      </c>
      <c r="D13" s="166" t="str">
        <f t="shared" si="0"/>
        <v>-</v>
      </c>
      <c r="E13" s="167" t="s">
        <v>3015</v>
      </c>
      <c r="F13" s="167" t="s">
        <v>3015</v>
      </c>
      <c r="G13" s="167" t="s">
        <v>3015</v>
      </c>
      <c r="H13" s="167" t="s">
        <v>3015</v>
      </c>
      <c r="I13" s="167" t="s">
        <v>3015</v>
      </c>
      <c r="J13" s="167" t="s">
        <v>3015</v>
      </c>
      <c r="K13" s="167" t="s">
        <v>3015</v>
      </c>
      <c r="L13" s="167" t="s">
        <v>3015</v>
      </c>
      <c r="M13" s="167" t="s">
        <v>3015</v>
      </c>
      <c r="N13" s="167" t="s">
        <v>3015</v>
      </c>
      <c r="O13" s="167" t="s">
        <v>3015</v>
      </c>
      <c r="P13" s="167" t="s">
        <v>3015</v>
      </c>
      <c r="Q13" s="167" t="s">
        <v>3015</v>
      </c>
      <c r="R13" s="167" t="s">
        <v>3015</v>
      </c>
      <c r="S13" s="167" t="s">
        <v>3015</v>
      </c>
      <c r="T13" s="167" t="s">
        <v>3015</v>
      </c>
      <c r="U13" s="167" t="s">
        <v>3015</v>
      </c>
      <c r="V13" s="167" t="s">
        <v>3015</v>
      </c>
      <c r="W13" s="167" t="s">
        <v>3015</v>
      </c>
      <c r="X13" s="167" t="s">
        <v>3015</v>
      </c>
      <c r="Y13" s="167" t="s">
        <v>3015</v>
      </c>
      <c r="Z13" s="167" t="str">
        <f>_xlfn.IFNA(VLOOKUP(C13,'INFORM Severity - hidden'!$C$5:$G$155,5,FALSE),"-")</f>
        <v>-</v>
      </c>
      <c r="AA13" s="167" t="s">
        <v>3015</v>
      </c>
      <c r="AB13" s="167" t="s">
        <v>3015</v>
      </c>
    </row>
    <row r="14" spans="1:28" x14ac:dyDescent="0.3">
      <c r="A14" s="11" t="s">
        <v>19</v>
      </c>
      <c r="B14" s="11" t="s">
        <v>914</v>
      </c>
      <c r="C14" s="11" t="s">
        <v>3022</v>
      </c>
      <c r="D14" s="166" t="str">
        <f t="shared" si="0"/>
        <v>-</v>
      </c>
      <c r="E14" s="167" t="s">
        <v>3015</v>
      </c>
      <c r="F14" s="167" t="s">
        <v>3015</v>
      </c>
      <c r="G14" s="167" t="s">
        <v>3015</v>
      </c>
      <c r="H14" s="167" t="s">
        <v>3015</v>
      </c>
      <c r="I14" s="167" t="s">
        <v>3015</v>
      </c>
      <c r="J14" s="167" t="s">
        <v>3015</v>
      </c>
      <c r="K14" s="167" t="s">
        <v>3015</v>
      </c>
      <c r="L14" s="167" t="s">
        <v>3015</v>
      </c>
      <c r="M14" s="167" t="s">
        <v>3015</v>
      </c>
      <c r="N14" s="167" t="s">
        <v>3015</v>
      </c>
      <c r="O14" s="167" t="s">
        <v>3015</v>
      </c>
      <c r="P14" s="167" t="s">
        <v>3015</v>
      </c>
      <c r="Q14" s="167" t="s">
        <v>3015</v>
      </c>
      <c r="R14" s="167" t="s">
        <v>3015</v>
      </c>
      <c r="S14" s="167" t="s">
        <v>3015</v>
      </c>
      <c r="T14" s="167" t="s">
        <v>3015</v>
      </c>
      <c r="U14" s="167" t="s">
        <v>3015</v>
      </c>
      <c r="V14" s="167" t="s">
        <v>3015</v>
      </c>
      <c r="W14" s="167" t="s">
        <v>3015</v>
      </c>
      <c r="X14" s="167" t="s">
        <v>3015</v>
      </c>
      <c r="Y14" s="167" t="s">
        <v>3015</v>
      </c>
      <c r="Z14" s="167" t="str">
        <f>_xlfn.IFNA(VLOOKUP(C14,'INFORM Severity - hidden'!$C$5:$G$155,5,FALSE),"-")</f>
        <v>-</v>
      </c>
      <c r="AA14" s="167" t="s">
        <v>3015</v>
      </c>
      <c r="AB14" s="167" t="s">
        <v>3015</v>
      </c>
    </row>
    <row r="15" spans="1:28" x14ac:dyDescent="0.3">
      <c r="A15" s="11" t="s">
        <v>19</v>
      </c>
      <c r="B15" s="11" t="s">
        <v>4013</v>
      </c>
      <c r="C15" s="11" t="s">
        <v>4014</v>
      </c>
      <c r="D15" s="166" t="str">
        <f t="shared" si="0"/>
        <v>-</v>
      </c>
      <c r="E15" s="167" t="s">
        <v>3015</v>
      </c>
      <c r="F15" s="167" t="s">
        <v>3015</v>
      </c>
      <c r="G15" s="167" t="s">
        <v>3015</v>
      </c>
      <c r="H15" s="167" t="s">
        <v>3015</v>
      </c>
      <c r="I15" s="167" t="s">
        <v>3015</v>
      </c>
      <c r="J15" s="167" t="s">
        <v>3015</v>
      </c>
      <c r="K15" s="167" t="s">
        <v>3015</v>
      </c>
      <c r="L15" s="167" t="s">
        <v>3015</v>
      </c>
      <c r="M15" s="167" t="s">
        <v>3015</v>
      </c>
      <c r="N15" s="167" t="s">
        <v>3015</v>
      </c>
      <c r="O15" s="167" t="s">
        <v>3015</v>
      </c>
      <c r="P15" s="167" t="s">
        <v>3015</v>
      </c>
      <c r="Q15" s="167" t="s">
        <v>3015</v>
      </c>
      <c r="R15" s="167" t="s">
        <v>3015</v>
      </c>
      <c r="S15" s="167" t="s">
        <v>3015</v>
      </c>
      <c r="T15" s="167" t="s">
        <v>3015</v>
      </c>
      <c r="U15" s="167" t="s">
        <v>3015</v>
      </c>
      <c r="V15" s="167" t="s">
        <v>3015</v>
      </c>
      <c r="W15" s="167" t="s">
        <v>3015</v>
      </c>
      <c r="X15" s="167" t="s">
        <v>3015</v>
      </c>
      <c r="Y15" s="167" t="s">
        <v>3015</v>
      </c>
      <c r="Z15" s="167" t="str">
        <f>_xlfn.IFNA(VLOOKUP(C15,'INFORM Severity - hidden'!$C$5:$G$155,5,FALSE),"-")</f>
        <v>x</v>
      </c>
      <c r="AA15" s="167" t="s">
        <v>3015</v>
      </c>
      <c r="AB15" s="167" t="s">
        <v>3015</v>
      </c>
    </row>
    <row r="16" spans="1:28" x14ac:dyDescent="0.3">
      <c r="A16" s="11" t="s">
        <v>51</v>
      </c>
      <c r="B16" s="11" t="s">
        <v>1320</v>
      </c>
      <c r="C16" s="11" t="s">
        <v>2914</v>
      </c>
      <c r="D16" s="166" t="str">
        <f t="shared" si="0"/>
        <v>Stable</v>
      </c>
      <c r="E16" s="167" t="s">
        <v>3015</v>
      </c>
      <c r="F16" s="167">
        <v>3.5</v>
      </c>
      <c r="G16" s="167">
        <v>3.5</v>
      </c>
      <c r="H16" s="167">
        <v>3.8</v>
      </c>
      <c r="I16" s="167">
        <v>3.8</v>
      </c>
      <c r="J16" s="167">
        <v>3.8</v>
      </c>
      <c r="K16" s="167">
        <v>3.8</v>
      </c>
      <c r="L16" s="167">
        <v>3.8</v>
      </c>
      <c r="M16" s="167">
        <v>3.8</v>
      </c>
      <c r="N16" s="167">
        <v>3.8</v>
      </c>
      <c r="O16" s="167">
        <v>3.8</v>
      </c>
      <c r="P16" s="167">
        <v>3.8</v>
      </c>
      <c r="Q16" s="167">
        <v>3.7</v>
      </c>
      <c r="R16" s="167">
        <v>3.7</v>
      </c>
      <c r="S16" s="167">
        <v>3.3</v>
      </c>
      <c r="T16" s="167">
        <v>3.3</v>
      </c>
      <c r="U16" s="167">
        <v>3.3</v>
      </c>
      <c r="V16" s="167">
        <v>3.3</v>
      </c>
      <c r="W16" s="167">
        <v>3.3</v>
      </c>
      <c r="X16" s="167">
        <v>3.3</v>
      </c>
      <c r="Y16" s="167">
        <v>3.3</v>
      </c>
      <c r="Z16" s="167">
        <f>_xlfn.IFNA(VLOOKUP(C16,'INFORM Severity - hidden'!$C$5:$G$155,5,FALSE),"-")</f>
        <v>3.4</v>
      </c>
      <c r="AA16" s="167" t="s">
        <v>3015</v>
      </c>
      <c r="AB16" s="167" t="s">
        <v>3015</v>
      </c>
    </row>
    <row r="17" spans="1:28" x14ac:dyDescent="0.3">
      <c r="A17" s="11" t="s">
        <v>51</v>
      </c>
      <c r="B17" s="11" t="s">
        <v>782</v>
      </c>
      <c r="C17" s="11" t="s">
        <v>3151</v>
      </c>
      <c r="D17" s="166" t="str">
        <f t="shared" si="0"/>
        <v>-</v>
      </c>
      <c r="E17" s="167" t="s">
        <v>3015</v>
      </c>
      <c r="F17" s="167">
        <v>3.5</v>
      </c>
      <c r="G17" s="167">
        <v>3.5</v>
      </c>
      <c r="H17" s="167">
        <v>3.8</v>
      </c>
      <c r="I17" s="167" t="s">
        <v>3015</v>
      </c>
      <c r="J17" s="167" t="s">
        <v>3015</v>
      </c>
      <c r="K17" s="167" t="s">
        <v>3015</v>
      </c>
      <c r="L17" s="167" t="s">
        <v>3015</v>
      </c>
      <c r="M17" s="167" t="s">
        <v>3015</v>
      </c>
      <c r="N17" s="167" t="s">
        <v>3015</v>
      </c>
      <c r="O17" s="167" t="s">
        <v>3015</v>
      </c>
      <c r="P17" s="167" t="s">
        <v>3015</v>
      </c>
      <c r="Q17" s="167" t="s">
        <v>3015</v>
      </c>
      <c r="R17" s="167" t="s">
        <v>3015</v>
      </c>
      <c r="S17" s="167" t="s">
        <v>3015</v>
      </c>
      <c r="T17" s="167" t="s">
        <v>3015</v>
      </c>
      <c r="U17" s="167" t="s">
        <v>3015</v>
      </c>
      <c r="V17" s="167" t="s">
        <v>3015</v>
      </c>
      <c r="W17" s="167" t="s">
        <v>3015</v>
      </c>
      <c r="X17" s="167" t="s">
        <v>3015</v>
      </c>
      <c r="Y17" s="167" t="s">
        <v>3015</v>
      </c>
      <c r="Z17" s="167" t="str">
        <f>_xlfn.IFNA(VLOOKUP(C17,'INFORM Severity - hidden'!$C$5:$G$155,5,FALSE),"-")</f>
        <v>-</v>
      </c>
      <c r="AA17" s="167" t="s">
        <v>3015</v>
      </c>
      <c r="AB17" s="167" t="s">
        <v>3015</v>
      </c>
    </row>
    <row r="18" spans="1:28" x14ac:dyDescent="0.3">
      <c r="A18" s="11" t="s">
        <v>51</v>
      </c>
      <c r="B18" s="11" t="s">
        <v>1078</v>
      </c>
      <c r="C18" s="11" t="s">
        <v>3152</v>
      </c>
      <c r="D18" s="166" t="str">
        <f t="shared" si="0"/>
        <v>-</v>
      </c>
      <c r="E18" s="167" t="s">
        <v>3015</v>
      </c>
      <c r="F18" s="167">
        <v>1.7</v>
      </c>
      <c r="G18" s="167">
        <v>1.7</v>
      </c>
      <c r="H18" s="167">
        <v>1.9</v>
      </c>
      <c r="I18" s="167" t="s">
        <v>3015</v>
      </c>
      <c r="J18" s="167" t="s">
        <v>3015</v>
      </c>
      <c r="K18" s="167" t="s">
        <v>3015</v>
      </c>
      <c r="L18" s="167" t="s">
        <v>3015</v>
      </c>
      <c r="M18" s="167" t="s">
        <v>3015</v>
      </c>
      <c r="N18" s="167" t="s">
        <v>3015</v>
      </c>
      <c r="O18" s="167" t="s">
        <v>3015</v>
      </c>
      <c r="P18" s="167" t="s">
        <v>3015</v>
      </c>
      <c r="Q18" s="167" t="s">
        <v>3015</v>
      </c>
      <c r="R18" s="167" t="s">
        <v>3015</v>
      </c>
      <c r="S18" s="167" t="s">
        <v>3015</v>
      </c>
      <c r="T18" s="167" t="s">
        <v>3015</v>
      </c>
      <c r="U18" s="167" t="s">
        <v>3015</v>
      </c>
      <c r="V18" s="167" t="s">
        <v>3015</v>
      </c>
      <c r="W18" s="167" t="s">
        <v>3015</v>
      </c>
      <c r="X18" s="167" t="s">
        <v>3015</v>
      </c>
      <c r="Y18" s="167" t="s">
        <v>3015</v>
      </c>
      <c r="Z18" s="167" t="str">
        <f>_xlfn.IFNA(VLOOKUP(C18,'INFORM Severity - hidden'!$C$5:$G$155,5,FALSE),"-")</f>
        <v>-</v>
      </c>
      <c r="AA18" s="167" t="s">
        <v>3015</v>
      </c>
      <c r="AB18" s="167" t="s">
        <v>3015</v>
      </c>
    </row>
    <row r="19" spans="1:28" x14ac:dyDescent="0.3">
      <c r="A19" s="11" t="s">
        <v>35</v>
      </c>
      <c r="B19" s="11" t="s">
        <v>914</v>
      </c>
      <c r="C19" s="11" t="s">
        <v>3028</v>
      </c>
      <c r="D19" s="166" t="str">
        <f t="shared" si="0"/>
        <v>-</v>
      </c>
      <c r="E19" s="167" t="s">
        <v>3015</v>
      </c>
      <c r="F19" s="167" t="s">
        <v>3015</v>
      </c>
      <c r="G19" s="167" t="s">
        <v>3015</v>
      </c>
      <c r="H19" s="167" t="s">
        <v>3015</v>
      </c>
      <c r="I19" s="167" t="s">
        <v>3015</v>
      </c>
      <c r="J19" s="167" t="s">
        <v>3015</v>
      </c>
      <c r="K19" s="167" t="s">
        <v>3015</v>
      </c>
      <c r="L19" s="167" t="s">
        <v>3015</v>
      </c>
      <c r="M19" s="167" t="s">
        <v>3015</v>
      </c>
      <c r="N19" s="167" t="s">
        <v>3015</v>
      </c>
      <c r="O19" s="167" t="s">
        <v>3015</v>
      </c>
      <c r="P19" s="167" t="s">
        <v>3015</v>
      </c>
      <c r="Q19" s="167" t="s">
        <v>3015</v>
      </c>
      <c r="R19" s="167" t="s">
        <v>3015</v>
      </c>
      <c r="S19" s="167" t="s">
        <v>3015</v>
      </c>
      <c r="T19" s="167" t="s">
        <v>3015</v>
      </c>
      <c r="U19" s="167" t="s">
        <v>3015</v>
      </c>
      <c r="V19" s="167" t="s">
        <v>3015</v>
      </c>
      <c r="W19" s="167" t="s">
        <v>3015</v>
      </c>
      <c r="X19" s="167" t="s">
        <v>3015</v>
      </c>
      <c r="Y19" s="167" t="s">
        <v>3015</v>
      </c>
      <c r="Z19" s="167" t="str">
        <f>_xlfn.IFNA(VLOOKUP(C19,'INFORM Severity - hidden'!$C$5:$G$155,5,FALSE),"-")</f>
        <v>-</v>
      </c>
      <c r="AA19" s="167" t="s">
        <v>3015</v>
      </c>
      <c r="AB19" s="167" t="s">
        <v>3015</v>
      </c>
    </row>
    <row r="20" spans="1:28" x14ac:dyDescent="0.3">
      <c r="A20" s="11" t="s">
        <v>49</v>
      </c>
      <c r="B20" s="11" t="s">
        <v>914</v>
      </c>
      <c r="C20" s="11" t="s">
        <v>3037</v>
      </c>
      <c r="D20" s="166" t="str">
        <f t="shared" si="0"/>
        <v>-</v>
      </c>
      <c r="E20" s="167" t="s">
        <v>3015</v>
      </c>
      <c r="F20" s="167" t="s">
        <v>3015</v>
      </c>
      <c r="G20" s="167" t="s">
        <v>3015</v>
      </c>
      <c r="H20" s="167" t="s">
        <v>3015</v>
      </c>
      <c r="I20" s="167" t="s">
        <v>3015</v>
      </c>
      <c r="J20" s="167" t="s">
        <v>3015</v>
      </c>
      <c r="K20" s="167" t="s">
        <v>3015</v>
      </c>
      <c r="L20" s="167" t="s">
        <v>3015</v>
      </c>
      <c r="M20" s="167" t="s">
        <v>3015</v>
      </c>
      <c r="N20" s="167" t="s">
        <v>3015</v>
      </c>
      <c r="O20" s="167" t="s">
        <v>3015</v>
      </c>
      <c r="P20" s="167" t="s">
        <v>3015</v>
      </c>
      <c r="Q20" s="167" t="s">
        <v>3015</v>
      </c>
      <c r="R20" s="167" t="s">
        <v>3015</v>
      </c>
      <c r="S20" s="167" t="s">
        <v>3015</v>
      </c>
      <c r="T20" s="167" t="s">
        <v>3015</v>
      </c>
      <c r="U20" s="167" t="s">
        <v>3015</v>
      </c>
      <c r="V20" s="167" t="s">
        <v>3015</v>
      </c>
      <c r="W20" s="167" t="s">
        <v>3015</v>
      </c>
      <c r="X20" s="167" t="s">
        <v>3015</v>
      </c>
      <c r="Y20" s="167" t="s">
        <v>3015</v>
      </c>
      <c r="Z20" s="167" t="str">
        <f>_xlfn.IFNA(VLOOKUP(C20,'INFORM Severity - hidden'!$C$5:$G$155,5,FALSE),"-")</f>
        <v>-</v>
      </c>
      <c r="AA20" s="167" t="s">
        <v>3015</v>
      </c>
      <c r="AB20" s="167" t="s">
        <v>3015</v>
      </c>
    </row>
    <row r="21" spans="1:28" x14ac:dyDescent="0.3">
      <c r="A21" s="11" t="s">
        <v>49</v>
      </c>
      <c r="B21" s="11" t="s">
        <v>801</v>
      </c>
      <c r="C21" s="11" t="s">
        <v>805</v>
      </c>
      <c r="D21" s="166" t="str">
        <f t="shared" si="0"/>
        <v>Increasing</v>
      </c>
      <c r="E21" s="167" t="s">
        <v>3015</v>
      </c>
      <c r="F21" s="167">
        <v>3</v>
      </c>
      <c r="G21" s="167">
        <v>3.1</v>
      </c>
      <c r="H21" s="167">
        <v>3.2</v>
      </c>
      <c r="I21" s="167">
        <v>3.2</v>
      </c>
      <c r="J21" s="167">
        <v>3.1</v>
      </c>
      <c r="K21" s="167">
        <v>3.2</v>
      </c>
      <c r="L21" s="167">
        <v>3.2</v>
      </c>
      <c r="M21" s="167">
        <v>3.2</v>
      </c>
      <c r="N21" s="167">
        <v>3.2</v>
      </c>
      <c r="O21" s="167">
        <v>3.2</v>
      </c>
      <c r="P21" s="167">
        <v>3.2</v>
      </c>
      <c r="Q21" s="167">
        <v>3.4</v>
      </c>
      <c r="R21" s="167">
        <v>3.4</v>
      </c>
      <c r="S21" s="167">
        <v>3.4</v>
      </c>
      <c r="T21" s="167">
        <v>3.4</v>
      </c>
      <c r="U21" s="167">
        <v>3.4</v>
      </c>
      <c r="V21" s="167">
        <v>3.9</v>
      </c>
      <c r="W21" s="167">
        <v>3.9</v>
      </c>
      <c r="X21" s="167">
        <v>3.9</v>
      </c>
      <c r="Y21" s="167">
        <v>3.9</v>
      </c>
      <c r="Z21" s="167">
        <f>_xlfn.IFNA(VLOOKUP(C21,'INFORM Severity - hidden'!$C$5:$G$155,5,FALSE),"-")</f>
        <v>3.8</v>
      </c>
      <c r="AA21" s="167" t="s">
        <v>3015</v>
      </c>
      <c r="AB21" s="167" t="s">
        <v>3015</v>
      </c>
    </row>
    <row r="22" spans="1:28" x14ac:dyDescent="0.3">
      <c r="A22" s="11" t="s">
        <v>49</v>
      </c>
      <c r="B22" s="11" t="s">
        <v>3260</v>
      </c>
      <c r="C22" s="11" t="s">
        <v>3261</v>
      </c>
      <c r="D22" s="166" t="str">
        <f t="shared" si="0"/>
        <v>-</v>
      </c>
      <c r="E22" s="167" t="s">
        <v>3015</v>
      </c>
      <c r="F22" s="167" t="s">
        <v>3015</v>
      </c>
      <c r="G22" s="167" t="s">
        <v>3015</v>
      </c>
      <c r="H22" s="167" t="s">
        <v>3015</v>
      </c>
      <c r="I22" s="167" t="s">
        <v>3015</v>
      </c>
      <c r="J22" s="167" t="s">
        <v>3015</v>
      </c>
      <c r="K22" s="167" t="s">
        <v>3015</v>
      </c>
      <c r="L22" s="167" t="s">
        <v>3015</v>
      </c>
      <c r="M22" s="167" t="s">
        <v>3015</v>
      </c>
      <c r="N22" s="167" t="s">
        <v>3015</v>
      </c>
      <c r="O22" s="167" t="s">
        <v>3015</v>
      </c>
      <c r="P22" s="167" t="s">
        <v>3015</v>
      </c>
      <c r="Q22" s="167" t="s">
        <v>3015</v>
      </c>
      <c r="R22" s="167" t="s">
        <v>3015</v>
      </c>
      <c r="S22" s="167" t="s">
        <v>3015</v>
      </c>
      <c r="T22" s="167" t="s">
        <v>3015</v>
      </c>
      <c r="U22" s="167" t="s">
        <v>3015</v>
      </c>
      <c r="V22" s="167" t="s">
        <v>3015</v>
      </c>
      <c r="W22" s="167" t="s">
        <v>3015</v>
      </c>
      <c r="X22" s="167" t="s">
        <v>3015</v>
      </c>
      <c r="Y22" s="167">
        <v>2.4</v>
      </c>
      <c r="Z22" s="167">
        <f>_xlfn.IFNA(VLOOKUP(C22,'INFORM Severity - hidden'!$C$5:$G$155,5,FALSE),"-")</f>
        <v>2.2999999999999998</v>
      </c>
      <c r="AA22" s="167" t="s">
        <v>3015</v>
      </c>
      <c r="AB22" s="167" t="s">
        <v>3015</v>
      </c>
    </row>
    <row r="23" spans="1:28" x14ac:dyDescent="0.3">
      <c r="A23" s="11" t="s">
        <v>49</v>
      </c>
      <c r="B23" s="11" t="s">
        <v>3819</v>
      </c>
      <c r="C23" s="11" t="s">
        <v>3821</v>
      </c>
      <c r="D23" s="166" t="str">
        <f t="shared" si="0"/>
        <v>-</v>
      </c>
      <c r="E23" s="167" t="s">
        <v>3015</v>
      </c>
      <c r="F23" s="167" t="s">
        <v>3015</v>
      </c>
      <c r="G23" s="167" t="s">
        <v>3015</v>
      </c>
      <c r="H23" s="167" t="s">
        <v>3015</v>
      </c>
      <c r="I23" s="167" t="s">
        <v>3015</v>
      </c>
      <c r="J23" s="167" t="s">
        <v>3015</v>
      </c>
      <c r="K23" s="167" t="s">
        <v>3015</v>
      </c>
      <c r="L23" s="167" t="s">
        <v>3015</v>
      </c>
      <c r="M23" s="167" t="s">
        <v>3015</v>
      </c>
      <c r="N23" s="167" t="s">
        <v>3015</v>
      </c>
      <c r="O23" s="167" t="s">
        <v>3015</v>
      </c>
      <c r="P23" s="167" t="s">
        <v>3015</v>
      </c>
      <c r="Q23" s="167" t="s">
        <v>3015</v>
      </c>
      <c r="R23" s="167" t="s">
        <v>3015</v>
      </c>
      <c r="S23" s="167" t="s">
        <v>3015</v>
      </c>
      <c r="T23" s="167" t="s">
        <v>3015</v>
      </c>
      <c r="U23" s="167" t="s">
        <v>3015</v>
      </c>
      <c r="V23" s="167" t="s">
        <v>3015</v>
      </c>
      <c r="W23" s="167" t="s">
        <v>3015</v>
      </c>
      <c r="X23" s="167" t="s">
        <v>3015</v>
      </c>
      <c r="Y23" s="167" t="s">
        <v>3015</v>
      </c>
      <c r="Z23" s="167">
        <f>_xlfn.IFNA(VLOOKUP(C23,'INFORM Severity - hidden'!$C$5:$G$155,5,FALSE),"-")</f>
        <v>3.8</v>
      </c>
      <c r="AA23" s="167" t="s">
        <v>3015</v>
      </c>
      <c r="AB23" s="167" t="s">
        <v>3015</v>
      </c>
    </row>
    <row r="24" spans="1:28" x14ac:dyDescent="0.3">
      <c r="A24" s="11" t="s">
        <v>25</v>
      </c>
      <c r="B24" s="11" t="s">
        <v>2411</v>
      </c>
      <c r="C24" s="11" t="s">
        <v>2412</v>
      </c>
      <c r="D24" s="166" t="str">
        <f t="shared" si="0"/>
        <v>Decreasing</v>
      </c>
      <c r="E24" s="167" t="s">
        <v>3015</v>
      </c>
      <c r="F24" s="167" t="s">
        <v>3015</v>
      </c>
      <c r="G24" s="167" t="s">
        <v>3015</v>
      </c>
      <c r="H24" s="167" t="s">
        <v>3015</v>
      </c>
      <c r="I24" s="167" t="s">
        <v>3015</v>
      </c>
      <c r="J24" s="167" t="s">
        <v>3015</v>
      </c>
      <c r="K24" s="167" t="s">
        <v>3015</v>
      </c>
      <c r="L24" s="167" t="s">
        <v>3015</v>
      </c>
      <c r="M24" s="167" t="s">
        <v>3015</v>
      </c>
      <c r="N24" s="167" t="s">
        <v>3015</v>
      </c>
      <c r="O24" s="167" t="s">
        <v>3015</v>
      </c>
      <c r="P24" s="167" t="s">
        <v>3015</v>
      </c>
      <c r="Q24" s="167" t="s">
        <v>3015</v>
      </c>
      <c r="R24" s="167" t="s">
        <v>3015</v>
      </c>
      <c r="S24" s="167" t="s">
        <v>3015</v>
      </c>
      <c r="T24" s="167" t="s">
        <v>3015</v>
      </c>
      <c r="U24" s="167">
        <v>2.9</v>
      </c>
      <c r="V24" s="167">
        <v>3.2</v>
      </c>
      <c r="W24" s="167">
        <v>3.2</v>
      </c>
      <c r="X24" s="167">
        <v>3.2</v>
      </c>
      <c r="Y24" s="167">
        <v>2.9</v>
      </c>
      <c r="Z24" s="167">
        <f>_xlfn.IFNA(VLOOKUP(C24,'INFORM Severity - hidden'!$C$5:$G$155,5,FALSE),"-")</f>
        <v>2.9</v>
      </c>
      <c r="AA24" s="167" t="s">
        <v>3015</v>
      </c>
      <c r="AB24" s="167" t="s">
        <v>3015</v>
      </c>
    </row>
    <row r="25" spans="1:28" x14ac:dyDescent="0.3">
      <c r="A25" s="11" t="s">
        <v>25</v>
      </c>
      <c r="B25" s="11" t="s">
        <v>652</v>
      </c>
      <c r="C25" s="11" t="s">
        <v>663</v>
      </c>
      <c r="D25" s="166" t="str">
        <f t="shared" si="0"/>
        <v>Stable</v>
      </c>
      <c r="E25" s="167" t="s">
        <v>3015</v>
      </c>
      <c r="F25" s="167">
        <v>3.3</v>
      </c>
      <c r="G25" s="167">
        <v>3.3</v>
      </c>
      <c r="H25" s="167">
        <v>3.1</v>
      </c>
      <c r="I25" s="167">
        <v>3.1</v>
      </c>
      <c r="J25" s="167">
        <v>3.1</v>
      </c>
      <c r="K25" s="167">
        <v>3.1</v>
      </c>
      <c r="L25" s="167">
        <v>3.1</v>
      </c>
      <c r="M25" s="167">
        <v>3.1</v>
      </c>
      <c r="N25" s="167">
        <v>3.2</v>
      </c>
      <c r="O25" s="167">
        <v>3.2</v>
      </c>
      <c r="P25" s="167">
        <v>3.2</v>
      </c>
      <c r="Q25" s="167">
        <v>3.2</v>
      </c>
      <c r="R25" s="167">
        <v>3.2</v>
      </c>
      <c r="S25" s="167">
        <v>3.1</v>
      </c>
      <c r="T25" s="167">
        <v>3.1</v>
      </c>
      <c r="U25" s="167">
        <v>3.2</v>
      </c>
      <c r="V25" s="167">
        <v>3.2</v>
      </c>
      <c r="W25" s="167">
        <v>3.2</v>
      </c>
      <c r="X25" s="167">
        <v>3.2</v>
      </c>
      <c r="Y25" s="167">
        <v>3.2</v>
      </c>
      <c r="Z25" s="167">
        <f>_xlfn.IFNA(VLOOKUP(C25,'INFORM Severity - hidden'!$C$5:$G$155,5,FALSE),"-")</f>
        <v>3.2</v>
      </c>
      <c r="AA25" s="167" t="s">
        <v>3015</v>
      </c>
      <c r="AB25" s="167" t="s">
        <v>3015</v>
      </c>
    </row>
    <row r="26" spans="1:28" x14ac:dyDescent="0.3">
      <c r="A26" s="11" t="s">
        <v>25</v>
      </c>
      <c r="B26" s="11" t="s">
        <v>1510</v>
      </c>
      <c r="C26" s="11" t="s">
        <v>3198</v>
      </c>
      <c r="D26" s="166" t="str">
        <f t="shared" si="0"/>
        <v>-</v>
      </c>
      <c r="E26" s="167" t="s">
        <v>3015</v>
      </c>
      <c r="F26" s="167" t="s">
        <v>3015</v>
      </c>
      <c r="G26" s="167" t="s">
        <v>3015</v>
      </c>
      <c r="H26" s="167" t="s">
        <v>3015</v>
      </c>
      <c r="I26" s="167" t="s">
        <v>3015</v>
      </c>
      <c r="J26" s="167" t="s">
        <v>3015</v>
      </c>
      <c r="K26" s="167" t="s">
        <v>3015</v>
      </c>
      <c r="L26" s="167">
        <v>2.7</v>
      </c>
      <c r="M26" s="167" t="s">
        <v>3015</v>
      </c>
      <c r="N26" s="167" t="s">
        <v>3015</v>
      </c>
      <c r="O26" s="167" t="s">
        <v>3015</v>
      </c>
      <c r="P26" s="167" t="s">
        <v>3015</v>
      </c>
      <c r="Q26" s="167" t="s">
        <v>3015</v>
      </c>
      <c r="R26" s="167" t="s">
        <v>3015</v>
      </c>
      <c r="S26" s="167" t="s">
        <v>3015</v>
      </c>
      <c r="T26" s="167" t="s">
        <v>3015</v>
      </c>
      <c r="U26" s="167" t="s">
        <v>3015</v>
      </c>
      <c r="V26" s="167" t="s">
        <v>3015</v>
      </c>
      <c r="W26" s="167" t="s">
        <v>3015</v>
      </c>
      <c r="X26" s="167" t="s">
        <v>3015</v>
      </c>
      <c r="Y26" s="167">
        <v>2.1</v>
      </c>
      <c r="Z26" s="167">
        <f>_xlfn.IFNA(VLOOKUP(C26,'INFORM Severity - hidden'!$C$5:$G$155,5,FALSE),"-")</f>
        <v>2.1</v>
      </c>
      <c r="AA26" s="167" t="s">
        <v>3015</v>
      </c>
      <c r="AB26" s="167" t="s">
        <v>3015</v>
      </c>
    </row>
    <row r="27" spans="1:28" x14ac:dyDescent="0.3">
      <c r="A27" s="11" t="s">
        <v>25</v>
      </c>
      <c r="B27" s="11" t="s">
        <v>1511</v>
      </c>
      <c r="C27" s="11" t="s">
        <v>3199</v>
      </c>
      <c r="D27" s="166" t="str">
        <f t="shared" si="0"/>
        <v>-</v>
      </c>
      <c r="E27" s="167" t="s">
        <v>3015</v>
      </c>
      <c r="F27" s="167" t="s">
        <v>3015</v>
      </c>
      <c r="G27" s="167" t="s">
        <v>3015</v>
      </c>
      <c r="H27" s="167" t="s">
        <v>3015</v>
      </c>
      <c r="I27" s="167" t="s">
        <v>3015</v>
      </c>
      <c r="J27" s="167" t="s">
        <v>3015</v>
      </c>
      <c r="K27" s="167" t="s">
        <v>3015</v>
      </c>
      <c r="L27" s="167">
        <v>3.1</v>
      </c>
      <c r="M27" s="167" t="s">
        <v>3015</v>
      </c>
      <c r="N27" s="167" t="s">
        <v>3015</v>
      </c>
      <c r="O27" s="167" t="s">
        <v>3015</v>
      </c>
      <c r="P27" s="167" t="s">
        <v>3015</v>
      </c>
      <c r="Q27" s="167" t="s">
        <v>3015</v>
      </c>
      <c r="R27" s="167" t="s">
        <v>3015</v>
      </c>
      <c r="S27" s="167" t="s">
        <v>3015</v>
      </c>
      <c r="T27" s="167" t="s">
        <v>3015</v>
      </c>
      <c r="U27" s="167" t="s">
        <v>3015</v>
      </c>
      <c r="V27" s="167" t="s">
        <v>3015</v>
      </c>
      <c r="W27" s="167" t="s">
        <v>3015</v>
      </c>
      <c r="X27" s="167" t="s">
        <v>3015</v>
      </c>
      <c r="Y27" s="167" t="s">
        <v>3015</v>
      </c>
      <c r="Z27" s="167" t="str">
        <f>_xlfn.IFNA(VLOOKUP(C27,'INFORM Severity - hidden'!$C$5:$G$155,5,FALSE),"-")</f>
        <v>-</v>
      </c>
      <c r="AA27" s="167" t="s">
        <v>3015</v>
      </c>
      <c r="AB27" s="167" t="s">
        <v>3015</v>
      </c>
    </row>
    <row r="28" spans="1:28" x14ac:dyDescent="0.3">
      <c r="A28" s="11" t="s">
        <v>25</v>
      </c>
      <c r="B28" s="11" t="s">
        <v>1743</v>
      </c>
      <c r="C28" s="11" t="s">
        <v>3204</v>
      </c>
      <c r="D28" s="166" t="str">
        <f t="shared" si="0"/>
        <v>-</v>
      </c>
      <c r="E28" s="167" t="s">
        <v>3015</v>
      </c>
      <c r="F28" s="167" t="s">
        <v>3015</v>
      </c>
      <c r="G28" s="167" t="s">
        <v>3015</v>
      </c>
      <c r="H28" s="167" t="s">
        <v>3015</v>
      </c>
      <c r="I28" s="167" t="s">
        <v>3015</v>
      </c>
      <c r="J28" s="167" t="s">
        <v>3015</v>
      </c>
      <c r="K28" s="167" t="s">
        <v>3015</v>
      </c>
      <c r="L28" s="167" t="s">
        <v>3015</v>
      </c>
      <c r="M28" s="167" t="s">
        <v>3015</v>
      </c>
      <c r="N28" s="167" t="s">
        <v>3015</v>
      </c>
      <c r="O28" s="167" t="s">
        <v>393</v>
      </c>
      <c r="P28" s="167" t="s">
        <v>393</v>
      </c>
      <c r="Q28" s="167" t="s">
        <v>3015</v>
      </c>
      <c r="R28" s="167" t="s">
        <v>3015</v>
      </c>
      <c r="S28" s="167" t="s">
        <v>3015</v>
      </c>
      <c r="T28" s="167" t="s">
        <v>3015</v>
      </c>
      <c r="U28" s="167" t="s">
        <v>3015</v>
      </c>
      <c r="V28" s="167" t="s">
        <v>3015</v>
      </c>
      <c r="W28" s="167" t="s">
        <v>3015</v>
      </c>
      <c r="X28" s="167" t="s">
        <v>3015</v>
      </c>
      <c r="Y28" s="167" t="s">
        <v>3015</v>
      </c>
      <c r="Z28" s="167" t="str">
        <f>_xlfn.IFNA(VLOOKUP(C28,'INFORM Severity - hidden'!$C$5:$G$155,5,FALSE),"-")</f>
        <v>-</v>
      </c>
      <c r="AA28" s="167" t="s">
        <v>3015</v>
      </c>
      <c r="AB28" s="167" t="s">
        <v>3015</v>
      </c>
    </row>
    <row r="29" spans="1:28" x14ac:dyDescent="0.3">
      <c r="A29" s="11" t="s">
        <v>25</v>
      </c>
      <c r="B29" s="11" t="s">
        <v>2413</v>
      </c>
      <c r="C29" s="11" t="s">
        <v>2929</v>
      </c>
      <c r="D29" s="166" t="str">
        <f t="shared" si="0"/>
        <v>Stable</v>
      </c>
      <c r="E29" s="167" t="s">
        <v>3015</v>
      </c>
      <c r="F29" s="167" t="s">
        <v>3015</v>
      </c>
      <c r="G29" s="167" t="s">
        <v>3015</v>
      </c>
      <c r="H29" s="167" t="s">
        <v>3015</v>
      </c>
      <c r="I29" s="167" t="s">
        <v>3015</v>
      </c>
      <c r="J29" s="167" t="s">
        <v>3015</v>
      </c>
      <c r="K29" s="167" t="s">
        <v>3015</v>
      </c>
      <c r="L29" s="167" t="s">
        <v>3015</v>
      </c>
      <c r="M29" s="167" t="s">
        <v>3015</v>
      </c>
      <c r="N29" s="167" t="s">
        <v>3015</v>
      </c>
      <c r="O29" s="167" t="s">
        <v>3015</v>
      </c>
      <c r="P29" s="167" t="s">
        <v>3015</v>
      </c>
      <c r="Q29" s="167" t="s">
        <v>3015</v>
      </c>
      <c r="R29" s="167" t="s">
        <v>3015</v>
      </c>
      <c r="S29" s="167" t="s">
        <v>3015</v>
      </c>
      <c r="T29" s="167" t="s">
        <v>3015</v>
      </c>
      <c r="U29" s="167">
        <v>2.4</v>
      </c>
      <c r="V29" s="167">
        <v>2.5</v>
      </c>
      <c r="W29" s="167">
        <v>2.5</v>
      </c>
      <c r="X29" s="167">
        <v>2.5</v>
      </c>
      <c r="Y29" s="167">
        <v>2.5</v>
      </c>
      <c r="Z29" s="167">
        <f>_xlfn.IFNA(VLOOKUP(C29,'INFORM Severity - hidden'!$C$5:$G$155,5,FALSE),"-")</f>
        <v>2.5</v>
      </c>
      <c r="AA29" s="167" t="s">
        <v>3015</v>
      </c>
      <c r="AB29" s="167" t="s">
        <v>3015</v>
      </c>
    </row>
    <row r="30" spans="1:28" x14ac:dyDescent="0.3">
      <c r="A30" s="11" t="s">
        <v>25</v>
      </c>
      <c r="B30" s="11" t="s">
        <v>1510</v>
      </c>
      <c r="C30" s="11" t="s">
        <v>3219</v>
      </c>
      <c r="D30" s="166" t="str">
        <f t="shared" si="0"/>
        <v>-</v>
      </c>
      <c r="E30" s="167" t="s">
        <v>3015</v>
      </c>
      <c r="F30" s="167" t="s">
        <v>3015</v>
      </c>
      <c r="G30" s="167" t="s">
        <v>3015</v>
      </c>
      <c r="H30" s="167" t="s">
        <v>3015</v>
      </c>
      <c r="I30" s="167" t="s">
        <v>3015</v>
      </c>
      <c r="J30" s="167" t="s">
        <v>3015</v>
      </c>
      <c r="K30" s="167" t="s">
        <v>3015</v>
      </c>
      <c r="L30" s="167" t="s">
        <v>3015</v>
      </c>
      <c r="M30" s="167" t="s">
        <v>3015</v>
      </c>
      <c r="N30" s="167" t="s">
        <v>3015</v>
      </c>
      <c r="O30" s="167" t="s">
        <v>3015</v>
      </c>
      <c r="P30" s="167" t="s">
        <v>3015</v>
      </c>
      <c r="Q30" s="167" t="s">
        <v>3015</v>
      </c>
      <c r="R30" s="167" t="s">
        <v>3015</v>
      </c>
      <c r="S30" s="167" t="s">
        <v>3015</v>
      </c>
      <c r="T30" s="167" t="s">
        <v>3015</v>
      </c>
      <c r="U30" s="167" t="s">
        <v>3015</v>
      </c>
      <c r="V30" s="167" t="s">
        <v>3015</v>
      </c>
      <c r="W30" s="167" t="s">
        <v>3015</v>
      </c>
      <c r="X30" s="167" t="s">
        <v>3015</v>
      </c>
      <c r="Y30" s="167" t="s">
        <v>3015</v>
      </c>
      <c r="Z30" s="167" t="str">
        <f>_xlfn.IFNA(VLOOKUP(C30,'INFORM Severity - hidden'!$C$5:$G$155,5,FALSE),"-")</f>
        <v>-</v>
      </c>
      <c r="AA30" s="167" t="s">
        <v>3015</v>
      </c>
      <c r="AB30" s="167" t="s">
        <v>3015</v>
      </c>
    </row>
    <row r="31" spans="1:28" x14ac:dyDescent="0.3">
      <c r="A31" s="11" t="s">
        <v>47</v>
      </c>
      <c r="B31" s="11" t="s">
        <v>914</v>
      </c>
      <c r="C31" s="11" t="s">
        <v>3036</v>
      </c>
      <c r="D31" s="166" t="str">
        <f t="shared" si="0"/>
        <v>-</v>
      </c>
      <c r="E31" s="167" t="s">
        <v>3015</v>
      </c>
      <c r="F31" s="167" t="s">
        <v>3015</v>
      </c>
      <c r="G31" s="167" t="s">
        <v>3015</v>
      </c>
      <c r="H31" s="167" t="s">
        <v>3015</v>
      </c>
      <c r="I31" s="167" t="s">
        <v>3015</v>
      </c>
      <c r="J31" s="167" t="s">
        <v>3015</v>
      </c>
      <c r="K31" s="167" t="s">
        <v>3015</v>
      </c>
      <c r="L31" s="167" t="s">
        <v>3015</v>
      </c>
      <c r="M31" s="167" t="s">
        <v>3015</v>
      </c>
      <c r="N31" s="167" t="s">
        <v>3015</v>
      </c>
      <c r="O31" s="167" t="s">
        <v>3015</v>
      </c>
      <c r="P31" s="167" t="s">
        <v>3015</v>
      </c>
      <c r="Q31" s="167" t="s">
        <v>3015</v>
      </c>
      <c r="R31" s="167" t="s">
        <v>3015</v>
      </c>
      <c r="S31" s="167" t="s">
        <v>3015</v>
      </c>
      <c r="T31" s="167" t="s">
        <v>3015</v>
      </c>
      <c r="U31" s="167" t="s">
        <v>3015</v>
      </c>
      <c r="V31" s="167" t="s">
        <v>3015</v>
      </c>
      <c r="W31" s="167" t="s">
        <v>3015</v>
      </c>
      <c r="X31" s="167" t="s">
        <v>3015</v>
      </c>
      <c r="Y31" s="167" t="s">
        <v>3015</v>
      </c>
      <c r="Z31" s="167" t="str">
        <f>_xlfn.IFNA(VLOOKUP(C31,'INFORM Severity - hidden'!$C$5:$G$155,5,FALSE),"-")</f>
        <v>-</v>
      </c>
      <c r="AA31" s="167" t="s">
        <v>3015</v>
      </c>
      <c r="AB31" s="167" t="s">
        <v>3015</v>
      </c>
    </row>
    <row r="32" spans="1:28" x14ac:dyDescent="0.3">
      <c r="A32" s="11" t="s">
        <v>23</v>
      </c>
      <c r="B32" s="11" t="s">
        <v>914</v>
      </c>
      <c r="C32" s="11" t="s">
        <v>3024</v>
      </c>
      <c r="D32" s="166" t="str">
        <f t="shared" si="0"/>
        <v>-</v>
      </c>
      <c r="E32" s="167" t="s">
        <v>3015</v>
      </c>
      <c r="F32" s="167" t="s">
        <v>3015</v>
      </c>
      <c r="G32" s="167" t="s">
        <v>3015</v>
      </c>
      <c r="H32" s="167" t="s">
        <v>3015</v>
      </c>
      <c r="I32" s="167" t="s">
        <v>3015</v>
      </c>
      <c r="J32" s="167" t="s">
        <v>3015</v>
      </c>
      <c r="K32" s="167" t="s">
        <v>3015</v>
      </c>
      <c r="L32" s="167" t="s">
        <v>3015</v>
      </c>
      <c r="M32" s="167" t="s">
        <v>3015</v>
      </c>
      <c r="N32" s="167" t="s">
        <v>3015</v>
      </c>
      <c r="O32" s="167" t="s">
        <v>3015</v>
      </c>
      <c r="P32" s="167" t="s">
        <v>3015</v>
      </c>
      <c r="Q32" s="167" t="s">
        <v>3015</v>
      </c>
      <c r="R32" s="167" t="s">
        <v>3015</v>
      </c>
      <c r="S32" s="167" t="s">
        <v>3015</v>
      </c>
      <c r="T32" s="167" t="s">
        <v>3015</v>
      </c>
      <c r="U32" s="167" t="s">
        <v>3015</v>
      </c>
      <c r="V32" s="167" t="s">
        <v>3015</v>
      </c>
      <c r="W32" s="167" t="s">
        <v>3015</v>
      </c>
      <c r="X32" s="167" t="s">
        <v>3015</v>
      </c>
      <c r="Y32" s="167" t="s">
        <v>3015</v>
      </c>
      <c r="Z32" s="167" t="str">
        <f>_xlfn.IFNA(VLOOKUP(C32,'INFORM Severity - hidden'!$C$5:$G$155,5,FALSE),"-")</f>
        <v>-</v>
      </c>
      <c r="AA32" s="167" t="s">
        <v>3015</v>
      </c>
      <c r="AB32" s="167" t="s">
        <v>3015</v>
      </c>
    </row>
    <row r="33" spans="1:28" x14ac:dyDescent="0.3">
      <c r="A33" s="11" t="s">
        <v>21</v>
      </c>
      <c r="B33" s="11" t="s">
        <v>914</v>
      </c>
      <c r="C33" s="11" t="s">
        <v>3023</v>
      </c>
      <c r="D33" s="166" t="str">
        <f t="shared" si="0"/>
        <v>-</v>
      </c>
      <c r="E33" s="167" t="s">
        <v>3015</v>
      </c>
      <c r="F33" s="167" t="s">
        <v>3015</v>
      </c>
      <c r="G33" s="167" t="s">
        <v>3015</v>
      </c>
      <c r="H33" s="167" t="s">
        <v>3015</v>
      </c>
      <c r="I33" s="167" t="s">
        <v>3015</v>
      </c>
      <c r="J33" s="167" t="s">
        <v>3015</v>
      </c>
      <c r="K33" s="167" t="s">
        <v>3015</v>
      </c>
      <c r="L33" s="167" t="s">
        <v>3015</v>
      </c>
      <c r="M33" s="167">
        <v>1.7</v>
      </c>
      <c r="N33" s="167" t="s">
        <v>3015</v>
      </c>
      <c r="O33" s="167" t="s">
        <v>3015</v>
      </c>
      <c r="P33" s="167" t="s">
        <v>3015</v>
      </c>
      <c r="Q33" s="167" t="s">
        <v>3015</v>
      </c>
      <c r="R33" s="167" t="s">
        <v>3015</v>
      </c>
      <c r="S33" s="167" t="s">
        <v>3015</v>
      </c>
      <c r="T33" s="167" t="s">
        <v>3015</v>
      </c>
      <c r="U33" s="167" t="s">
        <v>3015</v>
      </c>
      <c r="V33" s="167" t="s">
        <v>3015</v>
      </c>
      <c r="W33" s="167" t="s">
        <v>3015</v>
      </c>
      <c r="X33" s="167" t="s">
        <v>3015</v>
      </c>
      <c r="Y33" s="167" t="s">
        <v>3015</v>
      </c>
      <c r="Z33" s="167" t="str">
        <f>_xlfn.IFNA(VLOOKUP(C33,'INFORM Severity - hidden'!$C$5:$G$155,5,FALSE),"-")</f>
        <v>-</v>
      </c>
      <c r="AA33" s="167" t="s">
        <v>3015</v>
      </c>
      <c r="AB33" s="167" t="s">
        <v>3015</v>
      </c>
    </row>
    <row r="34" spans="1:28" x14ac:dyDescent="0.3">
      <c r="A34" s="11" t="s">
        <v>21</v>
      </c>
      <c r="B34" s="11" t="s">
        <v>1550</v>
      </c>
      <c r="C34" s="11" t="s">
        <v>3200</v>
      </c>
      <c r="D34" s="166" t="str">
        <f t="shared" si="0"/>
        <v>-</v>
      </c>
      <c r="E34" s="167" t="s">
        <v>3015</v>
      </c>
      <c r="F34" s="167" t="s">
        <v>3015</v>
      </c>
      <c r="G34" s="167" t="s">
        <v>3015</v>
      </c>
      <c r="H34" s="167" t="s">
        <v>3015</v>
      </c>
      <c r="I34" s="167" t="s">
        <v>3015</v>
      </c>
      <c r="J34" s="167" t="s">
        <v>3015</v>
      </c>
      <c r="K34" s="167" t="s">
        <v>3015</v>
      </c>
      <c r="L34" s="167" t="s">
        <v>3015</v>
      </c>
      <c r="M34" s="167" t="s">
        <v>3015</v>
      </c>
      <c r="N34" s="167">
        <v>1.7</v>
      </c>
      <c r="O34" s="167">
        <v>1.7</v>
      </c>
      <c r="P34" s="167">
        <v>1.7</v>
      </c>
      <c r="Q34" s="167">
        <v>1.7</v>
      </c>
      <c r="R34" s="167">
        <v>1.7</v>
      </c>
      <c r="S34" s="167">
        <v>1.7</v>
      </c>
      <c r="T34" s="167" t="s">
        <v>3015</v>
      </c>
      <c r="U34" s="167" t="s">
        <v>3015</v>
      </c>
      <c r="V34" s="167" t="s">
        <v>3015</v>
      </c>
      <c r="W34" s="167" t="s">
        <v>3015</v>
      </c>
      <c r="X34" s="167" t="s">
        <v>3015</v>
      </c>
      <c r="Y34" s="167" t="s">
        <v>3015</v>
      </c>
      <c r="Z34" s="167" t="str">
        <f>_xlfn.IFNA(VLOOKUP(C34,'INFORM Severity - hidden'!$C$5:$G$155,5,FALSE),"-")</f>
        <v>-</v>
      </c>
      <c r="AA34" s="167" t="s">
        <v>3015</v>
      </c>
      <c r="AB34" s="167" t="s">
        <v>3015</v>
      </c>
    </row>
    <row r="35" spans="1:28" x14ac:dyDescent="0.3">
      <c r="A35" s="11" t="s">
        <v>40</v>
      </c>
      <c r="B35" s="11" t="s">
        <v>914</v>
      </c>
      <c r="C35" s="11" t="s">
        <v>3031</v>
      </c>
      <c r="D35" s="166" t="str">
        <f t="shared" si="0"/>
        <v>-</v>
      </c>
      <c r="E35" s="167" t="s">
        <v>3015</v>
      </c>
      <c r="F35" s="167" t="s">
        <v>3015</v>
      </c>
      <c r="G35" s="167" t="s">
        <v>3015</v>
      </c>
      <c r="H35" s="167" t="s">
        <v>3015</v>
      </c>
      <c r="I35" s="167" t="s">
        <v>3015</v>
      </c>
      <c r="J35" s="167" t="s">
        <v>3015</v>
      </c>
      <c r="K35" s="167" t="s">
        <v>3015</v>
      </c>
      <c r="L35" s="167" t="s">
        <v>3015</v>
      </c>
      <c r="M35" s="167" t="s">
        <v>3015</v>
      </c>
      <c r="N35" s="167" t="s">
        <v>3015</v>
      </c>
      <c r="O35" s="167" t="s">
        <v>3015</v>
      </c>
      <c r="P35" s="167" t="s">
        <v>3015</v>
      </c>
      <c r="Q35" s="167" t="s">
        <v>3015</v>
      </c>
      <c r="R35" s="167" t="s">
        <v>3015</v>
      </c>
      <c r="S35" s="167" t="s">
        <v>3015</v>
      </c>
      <c r="T35" s="167" t="s">
        <v>3015</v>
      </c>
      <c r="U35" s="167" t="s">
        <v>3015</v>
      </c>
      <c r="V35" s="167" t="s">
        <v>3015</v>
      </c>
      <c r="W35" s="167" t="s">
        <v>3015</v>
      </c>
      <c r="X35" s="167" t="s">
        <v>3015</v>
      </c>
      <c r="Y35" s="167" t="s">
        <v>3015</v>
      </c>
      <c r="Z35" s="167" t="str">
        <f>_xlfn.IFNA(VLOOKUP(C35,'INFORM Severity - hidden'!$C$5:$G$155,5,FALSE),"-")</f>
        <v>-</v>
      </c>
      <c r="AA35" s="167" t="s">
        <v>3015</v>
      </c>
      <c r="AB35" s="167" t="s">
        <v>3015</v>
      </c>
    </row>
    <row r="36" spans="1:28" x14ac:dyDescent="0.3">
      <c r="A36" s="11" t="s">
        <v>40</v>
      </c>
      <c r="B36" s="11" t="s">
        <v>798</v>
      </c>
      <c r="C36" s="11" t="s">
        <v>3150</v>
      </c>
      <c r="D36" s="166" t="str">
        <f t="shared" si="0"/>
        <v>-</v>
      </c>
      <c r="E36" s="167" t="s">
        <v>3015</v>
      </c>
      <c r="F36" s="167" t="s">
        <v>3015</v>
      </c>
      <c r="G36" s="167" t="s">
        <v>3015</v>
      </c>
      <c r="H36" s="167" t="s">
        <v>3015</v>
      </c>
      <c r="I36" s="167" t="s">
        <v>3015</v>
      </c>
      <c r="J36" s="167" t="s">
        <v>3015</v>
      </c>
      <c r="K36" s="167" t="s">
        <v>3015</v>
      </c>
      <c r="L36" s="167" t="s">
        <v>3015</v>
      </c>
      <c r="M36" s="167" t="s">
        <v>3015</v>
      </c>
      <c r="N36" s="167" t="s">
        <v>3015</v>
      </c>
      <c r="O36" s="167" t="s">
        <v>3015</v>
      </c>
      <c r="P36" s="167" t="s">
        <v>3015</v>
      </c>
      <c r="Q36" s="167" t="s">
        <v>3015</v>
      </c>
      <c r="R36" s="167" t="s">
        <v>3015</v>
      </c>
      <c r="S36" s="167" t="s">
        <v>3015</v>
      </c>
      <c r="T36" s="167" t="s">
        <v>3015</v>
      </c>
      <c r="U36" s="167" t="s">
        <v>3015</v>
      </c>
      <c r="V36" s="167" t="s">
        <v>3015</v>
      </c>
      <c r="W36" s="167" t="s">
        <v>3015</v>
      </c>
      <c r="X36" s="167" t="s">
        <v>3015</v>
      </c>
      <c r="Y36" s="167" t="s">
        <v>3015</v>
      </c>
      <c r="Z36" s="167" t="str">
        <f>_xlfn.IFNA(VLOOKUP(C36,'INFORM Severity - hidden'!$C$5:$G$155,5,FALSE),"-")</f>
        <v>-</v>
      </c>
      <c r="AA36" s="167" t="s">
        <v>3015</v>
      </c>
      <c r="AB36" s="167" t="s">
        <v>3015</v>
      </c>
    </row>
    <row r="37" spans="1:28" x14ac:dyDescent="0.3">
      <c r="A37" s="11" t="s">
        <v>29</v>
      </c>
      <c r="B37" s="11" t="s">
        <v>914</v>
      </c>
      <c r="C37" s="11" t="s">
        <v>3026</v>
      </c>
      <c r="D37" s="166" t="str">
        <f t="shared" si="0"/>
        <v>-</v>
      </c>
      <c r="E37" s="167" t="s">
        <v>3015</v>
      </c>
      <c r="F37" s="167" t="s">
        <v>3015</v>
      </c>
      <c r="G37" s="167" t="s">
        <v>3015</v>
      </c>
      <c r="H37" s="167" t="s">
        <v>3015</v>
      </c>
      <c r="I37" s="167" t="s">
        <v>3015</v>
      </c>
      <c r="J37" s="167" t="s">
        <v>3015</v>
      </c>
      <c r="K37" s="167" t="s">
        <v>3015</v>
      </c>
      <c r="L37" s="167" t="s">
        <v>3015</v>
      </c>
      <c r="M37" s="167" t="s">
        <v>3015</v>
      </c>
      <c r="N37" s="167" t="s">
        <v>3015</v>
      </c>
      <c r="O37" s="167" t="s">
        <v>3015</v>
      </c>
      <c r="P37" s="167" t="s">
        <v>3015</v>
      </c>
      <c r="Q37" s="167" t="s">
        <v>3015</v>
      </c>
      <c r="R37" s="167" t="s">
        <v>3015</v>
      </c>
      <c r="S37" s="167" t="s">
        <v>3015</v>
      </c>
      <c r="T37" s="167" t="s">
        <v>3015</v>
      </c>
      <c r="U37" s="167" t="s">
        <v>3015</v>
      </c>
      <c r="V37" s="167" t="s">
        <v>3015</v>
      </c>
      <c r="W37" s="167" t="s">
        <v>3015</v>
      </c>
      <c r="X37" s="167" t="s">
        <v>3015</v>
      </c>
      <c r="Y37" s="167" t="s">
        <v>3015</v>
      </c>
      <c r="Z37" s="167" t="str">
        <f>_xlfn.IFNA(VLOOKUP(C37,'INFORM Severity - hidden'!$C$5:$G$155,5,FALSE),"-")</f>
        <v>-</v>
      </c>
      <c r="AA37" s="167" t="s">
        <v>3015</v>
      </c>
      <c r="AB37" s="167" t="s">
        <v>3015</v>
      </c>
    </row>
    <row r="38" spans="1:28" x14ac:dyDescent="0.3">
      <c r="A38" s="11" t="s">
        <v>33</v>
      </c>
      <c r="B38" s="11" t="s">
        <v>914</v>
      </c>
      <c r="C38" s="11" t="s">
        <v>3027</v>
      </c>
      <c r="D38" s="166" t="str">
        <f t="shared" si="0"/>
        <v>-</v>
      </c>
      <c r="E38" s="167" t="s">
        <v>3015</v>
      </c>
      <c r="F38" s="167" t="s">
        <v>3015</v>
      </c>
      <c r="G38" s="167" t="s">
        <v>3015</v>
      </c>
      <c r="H38" s="167" t="s">
        <v>3015</v>
      </c>
      <c r="I38" s="167" t="s">
        <v>3015</v>
      </c>
      <c r="J38" s="167" t="s">
        <v>3015</v>
      </c>
      <c r="K38" s="167" t="s">
        <v>3015</v>
      </c>
      <c r="L38" s="167" t="s">
        <v>3015</v>
      </c>
      <c r="M38" s="167" t="s">
        <v>3015</v>
      </c>
      <c r="N38" s="167" t="s">
        <v>3015</v>
      </c>
      <c r="O38" s="167" t="s">
        <v>3015</v>
      </c>
      <c r="P38" s="167" t="s">
        <v>3015</v>
      </c>
      <c r="Q38" s="167" t="s">
        <v>3015</v>
      </c>
      <c r="R38" s="167" t="s">
        <v>3015</v>
      </c>
      <c r="S38" s="167" t="s">
        <v>3015</v>
      </c>
      <c r="T38" s="167" t="s">
        <v>3015</v>
      </c>
      <c r="U38" s="167" t="s">
        <v>3015</v>
      </c>
      <c r="V38" s="167" t="s">
        <v>3015</v>
      </c>
      <c r="W38" s="167" t="s">
        <v>3015</v>
      </c>
      <c r="X38" s="167" t="s">
        <v>3015</v>
      </c>
      <c r="Y38" s="167" t="s">
        <v>3015</v>
      </c>
      <c r="Z38" s="167" t="str">
        <f>_xlfn.IFNA(VLOOKUP(C38,'INFORM Severity - hidden'!$C$5:$G$155,5,FALSE),"-")</f>
        <v>-</v>
      </c>
      <c r="AA38" s="167" t="s">
        <v>3015</v>
      </c>
      <c r="AB38" s="167" t="s">
        <v>3015</v>
      </c>
    </row>
    <row r="39" spans="1:28" x14ac:dyDescent="0.3">
      <c r="A39" s="11" t="s">
        <v>381</v>
      </c>
      <c r="B39" s="11" t="s">
        <v>914</v>
      </c>
      <c r="C39" s="11" t="s">
        <v>3030</v>
      </c>
      <c r="D39" s="166" t="str">
        <f t="shared" si="0"/>
        <v>-</v>
      </c>
      <c r="E39" s="167" t="s">
        <v>3015</v>
      </c>
      <c r="F39" s="167" t="s">
        <v>3015</v>
      </c>
      <c r="G39" s="167" t="s">
        <v>3015</v>
      </c>
      <c r="H39" s="167" t="s">
        <v>3015</v>
      </c>
      <c r="I39" s="167" t="s">
        <v>3015</v>
      </c>
      <c r="J39" s="167" t="s">
        <v>3015</v>
      </c>
      <c r="K39" s="167" t="s">
        <v>3015</v>
      </c>
      <c r="L39" s="167" t="s">
        <v>3015</v>
      </c>
      <c r="M39" s="167" t="s">
        <v>3015</v>
      </c>
      <c r="N39" s="167" t="s">
        <v>3015</v>
      </c>
      <c r="O39" s="167" t="s">
        <v>3015</v>
      </c>
      <c r="P39" s="167" t="s">
        <v>3015</v>
      </c>
      <c r="Q39" s="167" t="s">
        <v>3015</v>
      </c>
      <c r="R39" s="167" t="s">
        <v>3015</v>
      </c>
      <c r="S39" s="167" t="s">
        <v>3015</v>
      </c>
      <c r="T39" s="167" t="s">
        <v>3015</v>
      </c>
      <c r="U39" s="167" t="s">
        <v>3015</v>
      </c>
      <c r="V39" s="167" t="s">
        <v>3015</v>
      </c>
      <c r="W39" s="167" t="s">
        <v>3015</v>
      </c>
      <c r="X39" s="167" t="s">
        <v>3015</v>
      </c>
      <c r="Y39" s="167" t="s">
        <v>3015</v>
      </c>
      <c r="Z39" s="167" t="str">
        <f>_xlfn.IFNA(VLOOKUP(C39,'INFORM Severity - hidden'!$C$5:$G$155,5,FALSE),"-")</f>
        <v>-</v>
      </c>
      <c r="AA39" s="167" t="s">
        <v>3015</v>
      </c>
      <c r="AB39" s="167" t="s">
        <v>3015</v>
      </c>
    </row>
    <row r="40" spans="1:28" x14ac:dyDescent="0.3">
      <c r="A40" s="11" t="s">
        <v>44</v>
      </c>
      <c r="B40" s="11" t="s">
        <v>914</v>
      </c>
      <c r="C40" s="11" t="s">
        <v>3033</v>
      </c>
      <c r="D40" s="166" t="str">
        <f t="shared" si="0"/>
        <v>-</v>
      </c>
      <c r="E40" s="167" t="s">
        <v>3015</v>
      </c>
      <c r="F40" s="167" t="s">
        <v>3015</v>
      </c>
      <c r="G40" s="167" t="s">
        <v>3015</v>
      </c>
      <c r="H40" s="167" t="s">
        <v>3015</v>
      </c>
      <c r="I40" s="167" t="s">
        <v>3015</v>
      </c>
      <c r="J40" s="167" t="s">
        <v>3015</v>
      </c>
      <c r="K40" s="167" t="s">
        <v>3015</v>
      </c>
      <c r="L40" s="167" t="s">
        <v>3015</v>
      </c>
      <c r="M40" s="167" t="s">
        <v>3015</v>
      </c>
      <c r="N40" s="167" t="s">
        <v>3015</v>
      </c>
      <c r="O40" s="167" t="s">
        <v>3015</v>
      </c>
      <c r="P40" s="167" t="s">
        <v>3015</v>
      </c>
      <c r="Q40" s="167" t="s">
        <v>3015</v>
      </c>
      <c r="R40" s="167" t="s">
        <v>3015</v>
      </c>
      <c r="S40" s="167" t="s">
        <v>3015</v>
      </c>
      <c r="T40" s="167" t="s">
        <v>3015</v>
      </c>
      <c r="U40" s="167" t="s">
        <v>3015</v>
      </c>
      <c r="V40" s="167" t="s">
        <v>3015</v>
      </c>
      <c r="W40" s="167" t="s">
        <v>3015</v>
      </c>
      <c r="X40" s="167" t="s">
        <v>3015</v>
      </c>
      <c r="Y40" s="167" t="s">
        <v>3015</v>
      </c>
      <c r="Z40" s="167" t="str">
        <f>_xlfn.IFNA(VLOOKUP(C40,'INFORM Severity - hidden'!$C$5:$G$155,5,FALSE),"-")</f>
        <v>-</v>
      </c>
      <c r="AA40" s="167" t="s">
        <v>3015</v>
      </c>
      <c r="AB40" s="167" t="s">
        <v>3015</v>
      </c>
    </row>
    <row r="41" spans="1:28" x14ac:dyDescent="0.3">
      <c r="A41" s="11" t="s">
        <v>44</v>
      </c>
      <c r="B41" s="11" t="s">
        <v>772</v>
      </c>
      <c r="C41" s="11" t="s">
        <v>669</v>
      </c>
      <c r="D41" s="166" t="str">
        <f t="shared" si="0"/>
        <v>Increasing</v>
      </c>
      <c r="E41" s="167" t="s">
        <v>3015</v>
      </c>
      <c r="F41" s="167">
        <v>1.7</v>
      </c>
      <c r="G41" s="167">
        <v>1.7</v>
      </c>
      <c r="H41" s="167">
        <v>2.4</v>
      </c>
      <c r="I41" s="167">
        <v>2.4</v>
      </c>
      <c r="J41" s="167">
        <v>2.4</v>
      </c>
      <c r="K41" s="167">
        <v>2.4</v>
      </c>
      <c r="L41" s="167">
        <v>2.4</v>
      </c>
      <c r="M41" s="167">
        <v>2.4</v>
      </c>
      <c r="N41" s="167">
        <v>2.2999999999999998</v>
      </c>
      <c r="O41" s="167">
        <v>2.2000000000000002</v>
      </c>
      <c r="P41" s="167">
        <v>2.2000000000000002</v>
      </c>
      <c r="Q41" s="167">
        <v>2.2000000000000002</v>
      </c>
      <c r="R41" s="167">
        <v>2.2000000000000002</v>
      </c>
      <c r="S41" s="167">
        <v>2.2000000000000002</v>
      </c>
      <c r="T41" s="167">
        <v>2.2000000000000002</v>
      </c>
      <c r="U41" s="167">
        <v>2.2000000000000002</v>
      </c>
      <c r="V41" s="167">
        <v>2.2000000000000002</v>
      </c>
      <c r="W41" s="167">
        <v>2.2000000000000002</v>
      </c>
      <c r="X41" s="167">
        <v>2.2000000000000002</v>
      </c>
      <c r="Y41" s="167">
        <v>2.2999999999999998</v>
      </c>
      <c r="Z41" s="167">
        <f>_xlfn.IFNA(VLOOKUP(C41,'INFORM Severity - hidden'!$C$5:$G$155,5,FALSE),"-")</f>
        <v>2.2999999999999998</v>
      </c>
      <c r="AA41" s="167" t="s">
        <v>3015</v>
      </c>
      <c r="AB41" s="167" t="s">
        <v>3015</v>
      </c>
    </row>
    <row r="42" spans="1:28" x14ac:dyDescent="0.3">
      <c r="A42" s="11" t="s">
        <v>27</v>
      </c>
      <c r="B42" s="11" t="s">
        <v>914</v>
      </c>
      <c r="C42" s="11" t="s">
        <v>3025</v>
      </c>
      <c r="D42" s="166" t="str">
        <f t="shared" si="0"/>
        <v>-</v>
      </c>
      <c r="E42" s="167" t="s">
        <v>3015</v>
      </c>
      <c r="F42" s="167" t="s">
        <v>3015</v>
      </c>
      <c r="G42" s="167" t="s">
        <v>3015</v>
      </c>
      <c r="H42" s="167" t="s">
        <v>3015</v>
      </c>
      <c r="I42" s="167" t="s">
        <v>3015</v>
      </c>
      <c r="J42" s="167" t="s">
        <v>3015</v>
      </c>
      <c r="K42" s="167" t="s">
        <v>3015</v>
      </c>
      <c r="L42" s="167" t="s">
        <v>3015</v>
      </c>
      <c r="M42" s="167" t="s">
        <v>3015</v>
      </c>
      <c r="N42" s="167" t="s">
        <v>3015</v>
      </c>
      <c r="O42" s="167" t="s">
        <v>3015</v>
      </c>
      <c r="P42" s="167" t="s">
        <v>3015</v>
      </c>
      <c r="Q42" s="167" t="s">
        <v>3015</v>
      </c>
      <c r="R42" s="167" t="s">
        <v>3015</v>
      </c>
      <c r="S42" s="167" t="s">
        <v>3015</v>
      </c>
      <c r="T42" s="167" t="s">
        <v>3015</v>
      </c>
      <c r="U42" s="167" t="s">
        <v>3015</v>
      </c>
      <c r="V42" s="167" t="s">
        <v>3015</v>
      </c>
      <c r="W42" s="167" t="s">
        <v>3015</v>
      </c>
      <c r="X42" s="167" t="s">
        <v>3015</v>
      </c>
      <c r="Y42" s="167" t="s">
        <v>3015</v>
      </c>
      <c r="Z42" s="167" t="str">
        <f>_xlfn.IFNA(VLOOKUP(C42,'INFORM Severity - hidden'!$C$5:$G$155,5,FALSE),"-")</f>
        <v>-</v>
      </c>
      <c r="AA42" s="167" t="s">
        <v>3015</v>
      </c>
      <c r="AB42" s="167" t="s">
        <v>3015</v>
      </c>
    </row>
    <row r="43" spans="1:28" x14ac:dyDescent="0.3">
      <c r="A43" s="11" t="s">
        <v>3034</v>
      </c>
      <c r="B43" s="11" t="s">
        <v>914</v>
      </c>
      <c r="C43" s="11" t="s">
        <v>3035</v>
      </c>
      <c r="D43" s="166" t="str">
        <f t="shared" si="0"/>
        <v>-</v>
      </c>
      <c r="E43" s="167" t="s">
        <v>3015</v>
      </c>
      <c r="F43" s="167" t="s">
        <v>3015</v>
      </c>
      <c r="G43" s="167" t="s">
        <v>3015</v>
      </c>
      <c r="H43" s="167" t="s">
        <v>3015</v>
      </c>
      <c r="I43" s="167" t="s">
        <v>3015</v>
      </c>
      <c r="J43" s="167" t="s">
        <v>3015</v>
      </c>
      <c r="K43" s="167" t="s">
        <v>3015</v>
      </c>
      <c r="L43" s="167" t="s">
        <v>3015</v>
      </c>
      <c r="M43" s="167" t="s">
        <v>3015</v>
      </c>
      <c r="N43" s="167" t="s">
        <v>3015</v>
      </c>
      <c r="O43" s="167" t="s">
        <v>3015</v>
      </c>
      <c r="P43" s="167" t="s">
        <v>3015</v>
      </c>
      <c r="Q43" s="167" t="s">
        <v>3015</v>
      </c>
      <c r="R43" s="167" t="s">
        <v>3015</v>
      </c>
      <c r="S43" s="167" t="s">
        <v>3015</v>
      </c>
      <c r="T43" s="167" t="s">
        <v>3015</v>
      </c>
      <c r="U43" s="167" t="s">
        <v>3015</v>
      </c>
      <c r="V43" s="167" t="s">
        <v>3015</v>
      </c>
      <c r="W43" s="167" t="s">
        <v>3015</v>
      </c>
      <c r="X43" s="167" t="s">
        <v>3015</v>
      </c>
      <c r="Y43" s="167" t="s">
        <v>3015</v>
      </c>
      <c r="Z43" s="167" t="str">
        <f>_xlfn.IFNA(VLOOKUP(C43,'INFORM Severity - hidden'!$C$5:$G$155,5,FALSE),"-")</f>
        <v>-</v>
      </c>
      <c r="AA43" s="167" t="s">
        <v>3015</v>
      </c>
      <c r="AB43" s="167" t="s">
        <v>3015</v>
      </c>
    </row>
    <row r="44" spans="1:28" x14ac:dyDescent="0.3">
      <c r="A44" s="11" t="s">
        <v>37</v>
      </c>
      <c r="B44" s="11" t="s">
        <v>914</v>
      </c>
      <c r="C44" s="11" t="s">
        <v>3029</v>
      </c>
      <c r="D44" s="166" t="str">
        <f t="shared" si="0"/>
        <v>-</v>
      </c>
      <c r="E44" s="167" t="s">
        <v>3015</v>
      </c>
      <c r="F44" s="167" t="s">
        <v>3015</v>
      </c>
      <c r="G44" s="167" t="s">
        <v>3015</v>
      </c>
      <c r="H44" s="167" t="s">
        <v>3015</v>
      </c>
      <c r="I44" s="167" t="s">
        <v>3015</v>
      </c>
      <c r="J44" s="167" t="s">
        <v>3015</v>
      </c>
      <c r="K44" s="167" t="s">
        <v>3015</v>
      </c>
      <c r="L44" s="167" t="s">
        <v>3015</v>
      </c>
      <c r="M44" s="167" t="s">
        <v>3015</v>
      </c>
      <c r="N44" s="167" t="s">
        <v>3015</v>
      </c>
      <c r="O44" s="167" t="s">
        <v>3015</v>
      </c>
      <c r="P44" s="167" t="s">
        <v>3015</v>
      </c>
      <c r="Q44" s="167" t="s">
        <v>3015</v>
      </c>
      <c r="R44" s="167" t="s">
        <v>3015</v>
      </c>
      <c r="S44" s="167" t="s">
        <v>3015</v>
      </c>
      <c r="T44" s="167" t="s">
        <v>3015</v>
      </c>
      <c r="U44" s="167" t="s">
        <v>3015</v>
      </c>
      <c r="V44" s="167" t="s">
        <v>3015</v>
      </c>
      <c r="W44" s="167" t="s">
        <v>3015</v>
      </c>
      <c r="X44" s="167" t="s">
        <v>3015</v>
      </c>
      <c r="Y44" s="167" t="s">
        <v>3015</v>
      </c>
      <c r="Z44" s="167" t="str">
        <f>_xlfn.IFNA(VLOOKUP(C44,'INFORM Severity - hidden'!$C$5:$G$155,5,FALSE),"-")</f>
        <v>-</v>
      </c>
      <c r="AA44" s="167" t="s">
        <v>3015</v>
      </c>
      <c r="AB44" s="167" t="s">
        <v>3015</v>
      </c>
    </row>
    <row r="45" spans="1:28" x14ac:dyDescent="0.3">
      <c r="A45" s="11" t="s">
        <v>42</v>
      </c>
      <c r="B45" s="11" t="s">
        <v>914</v>
      </c>
      <c r="C45" s="11" t="s">
        <v>3032</v>
      </c>
      <c r="D45" s="166" t="str">
        <f t="shared" si="0"/>
        <v>-</v>
      </c>
      <c r="E45" s="167" t="s">
        <v>3015</v>
      </c>
      <c r="F45" s="167" t="s">
        <v>3015</v>
      </c>
      <c r="G45" s="167" t="s">
        <v>3015</v>
      </c>
      <c r="H45" s="167" t="s">
        <v>3015</v>
      </c>
      <c r="I45" s="167" t="s">
        <v>3015</v>
      </c>
      <c r="J45" s="167" t="s">
        <v>3015</v>
      </c>
      <c r="K45" s="167" t="s">
        <v>3015</v>
      </c>
      <c r="L45" s="167" t="s">
        <v>3015</v>
      </c>
      <c r="M45" s="167" t="s">
        <v>3015</v>
      </c>
      <c r="N45" s="167" t="s">
        <v>3015</v>
      </c>
      <c r="O45" s="167" t="s">
        <v>3015</v>
      </c>
      <c r="P45" s="167" t="s">
        <v>3015</v>
      </c>
      <c r="Q45" s="167" t="s">
        <v>3015</v>
      </c>
      <c r="R45" s="167" t="s">
        <v>3015</v>
      </c>
      <c r="S45" s="167" t="s">
        <v>3015</v>
      </c>
      <c r="T45" s="167" t="s">
        <v>3015</v>
      </c>
      <c r="U45" s="167" t="s">
        <v>3015</v>
      </c>
      <c r="V45" s="167" t="s">
        <v>3015</v>
      </c>
      <c r="W45" s="167" t="s">
        <v>3015</v>
      </c>
      <c r="X45" s="167" t="s">
        <v>3015</v>
      </c>
      <c r="Y45" s="167" t="s">
        <v>3015</v>
      </c>
      <c r="Z45" s="167" t="str">
        <f>_xlfn.IFNA(VLOOKUP(C45,'INFORM Severity - hidden'!$C$5:$G$155,5,FALSE),"-")</f>
        <v>-</v>
      </c>
      <c r="AA45" s="167" t="s">
        <v>3015</v>
      </c>
      <c r="AB45" s="167" t="s">
        <v>3015</v>
      </c>
    </row>
    <row r="46" spans="1:28" x14ac:dyDescent="0.3">
      <c r="A46" s="11" t="s">
        <v>573</v>
      </c>
      <c r="B46" s="11" t="s">
        <v>1079</v>
      </c>
      <c r="C46" s="11" t="s">
        <v>2915</v>
      </c>
      <c r="D46" s="166" t="str">
        <f t="shared" si="0"/>
        <v>Stable</v>
      </c>
      <c r="E46" s="167" t="s">
        <v>3015</v>
      </c>
      <c r="F46" s="167">
        <v>4</v>
      </c>
      <c r="G46" s="167">
        <v>4</v>
      </c>
      <c r="H46" s="167">
        <v>4</v>
      </c>
      <c r="I46" s="167">
        <v>4</v>
      </c>
      <c r="J46" s="167">
        <v>4</v>
      </c>
      <c r="K46" s="167">
        <v>4</v>
      </c>
      <c r="L46" s="167">
        <v>4</v>
      </c>
      <c r="M46" s="167">
        <v>4</v>
      </c>
      <c r="N46" s="167">
        <v>4</v>
      </c>
      <c r="O46" s="167">
        <v>3.9</v>
      </c>
      <c r="P46" s="167">
        <v>3.9</v>
      </c>
      <c r="Q46" s="167">
        <v>3.9</v>
      </c>
      <c r="R46" s="167">
        <v>3.9</v>
      </c>
      <c r="S46" s="167">
        <v>4</v>
      </c>
      <c r="T46" s="167">
        <v>4</v>
      </c>
      <c r="U46" s="167">
        <v>4</v>
      </c>
      <c r="V46" s="167">
        <v>4</v>
      </c>
      <c r="W46" s="167">
        <v>4</v>
      </c>
      <c r="X46" s="167">
        <v>4</v>
      </c>
      <c r="Y46" s="167">
        <v>4</v>
      </c>
      <c r="Z46" s="167">
        <f>_xlfn.IFNA(VLOOKUP(C46,'INFORM Severity - hidden'!$C$5:$G$155,5,FALSE),"-")</f>
        <v>4</v>
      </c>
      <c r="AA46" s="167" t="s">
        <v>3015</v>
      </c>
      <c r="AB46" s="167" t="s">
        <v>3015</v>
      </c>
    </row>
    <row r="47" spans="1:28" x14ac:dyDescent="0.3">
      <c r="A47" s="11" t="s">
        <v>573</v>
      </c>
      <c r="B47" s="11" t="s">
        <v>1813</v>
      </c>
      <c r="C47" s="11" t="s">
        <v>3210</v>
      </c>
      <c r="D47" s="166" t="str">
        <f t="shared" si="0"/>
        <v>-</v>
      </c>
      <c r="E47" s="167" t="s">
        <v>3015</v>
      </c>
      <c r="F47" s="167" t="s">
        <v>3015</v>
      </c>
      <c r="G47" s="167" t="s">
        <v>3015</v>
      </c>
      <c r="H47" s="167" t="s">
        <v>3015</v>
      </c>
      <c r="I47" s="167" t="s">
        <v>3015</v>
      </c>
      <c r="J47" s="167" t="s">
        <v>3015</v>
      </c>
      <c r="K47" s="167" t="s">
        <v>3015</v>
      </c>
      <c r="L47" s="167" t="s">
        <v>3015</v>
      </c>
      <c r="M47" s="167" t="s">
        <v>3015</v>
      </c>
      <c r="N47" s="167" t="s">
        <v>3015</v>
      </c>
      <c r="O47" s="167" t="s">
        <v>3015</v>
      </c>
      <c r="P47" s="167">
        <v>2.2999999999999998</v>
      </c>
      <c r="Q47" s="167">
        <v>2.2999999999999998</v>
      </c>
      <c r="R47" s="167">
        <v>2.2999999999999998</v>
      </c>
      <c r="S47" s="167">
        <v>2.2999999999999998</v>
      </c>
      <c r="T47" s="167">
        <v>2.2999999999999998</v>
      </c>
      <c r="U47" s="167">
        <v>2.2999999999999998</v>
      </c>
      <c r="V47" s="167" t="s">
        <v>3015</v>
      </c>
      <c r="W47" s="167" t="s">
        <v>3015</v>
      </c>
      <c r="X47" s="167" t="s">
        <v>3015</v>
      </c>
      <c r="Y47" s="167" t="s">
        <v>3015</v>
      </c>
      <c r="Z47" s="167" t="str">
        <f>_xlfn.IFNA(VLOOKUP(C47,'INFORM Severity - hidden'!$C$5:$G$155,5,FALSE),"-")</f>
        <v>-</v>
      </c>
      <c r="AA47" s="167" t="s">
        <v>3015</v>
      </c>
      <c r="AB47" s="167" t="s">
        <v>3015</v>
      </c>
    </row>
    <row r="48" spans="1:28" x14ac:dyDescent="0.3">
      <c r="A48" s="11" t="s">
        <v>64</v>
      </c>
      <c r="B48" s="11" t="s">
        <v>914</v>
      </c>
      <c r="C48" s="11" t="s">
        <v>3041</v>
      </c>
      <c r="D48" s="166" t="str">
        <f t="shared" si="0"/>
        <v>-</v>
      </c>
      <c r="E48" s="167" t="s">
        <v>3015</v>
      </c>
      <c r="F48" s="167" t="s">
        <v>3015</v>
      </c>
      <c r="G48" s="167" t="s">
        <v>3015</v>
      </c>
      <c r="H48" s="167" t="s">
        <v>3015</v>
      </c>
      <c r="I48" s="167" t="s">
        <v>3015</v>
      </c>
      <c r="J48" s="167" t="s">
        <v>3015</v>
      </c>
      <c r="K48" s="167" t="s">
        <v>3015</v>
      </c>
      <c r="L48" s="167" t="s">
        <v>3015</v>
      </c>
      <c r="M48" s="167" t="s">
        <v>3015</v>
      </c>
      <c r="N48" s="167" t="s">
        <v>3015</v>
      </c>
      <c r="O48" s="167" t="s">
        <v>3015</v>
      </c>
      <c r="P48" s="167" t="s">
        <v>3015</v>
      </c>
      <c r="Q48" s="167" t="s">
        <v>3015</v>
      </c>
      <c r="R48" s="167" t="s">
        <v>3015</v>
      </c>
      <c r="S48" s="167" t="s">
        <v>3015</v>
      </c>
      <c r="T48" s="167" t="s">
        <v>3015</v>
      </c>
      <c r="U48" s="167" t="s">
        <v>3015</v>
      </c>
      <c r="V48" s="167" t="s">
        <v>3015</v>
      </c>
      <c r="W48" s="167" t="s">
        <v>3015</v>
      </c>
      <c r="X48" s="167" t="s">
        <v>3015</v>
      </c>
      <c r="Y48" s="167" t="s">
        <v>3015</v>
      </c>
      <c r="Z48" s="167" t="str">
        <f>_xlfn.IFNA(VLOOKUP(C48,'INFORM Severity - hidden'!$C$5:$G$155,5,FALSE),"-")</f>
        <v>-</v>
      </c>
      <c r="AA48" s="167" t="s">
        <v>3015</v>
      </c>
      <c r="AB48" s="167" t="s">
        <v>3015</v>
      </c>
    </row>
    <row r="49" spans="1:28" x14ac:dyDescent="0.3">
      <c r="A49" s="11" t="s">
        <v>363</v>
      </c>
      <c r="B49" s="11" t="s">
        <v>914</v>
      </c>
      <c r="C49" s="11" t="s">
        <v>3042</v>
      </c>
      <c r="D49" s="166" t="str">
        <f t="shared" si="0"/>
        <v>-</v>
      </c>
      <c r="E49" s="167" t="s">
        <v>3015</v>
      </c>
      <c r="F49" s="167" t="s">
        <v>3015</v>
      </c>
      <c r="G49" s="167" t="s">
        <v>3015</v>
      </c>
      <c r="H49" s="167" t="s">
        <v>3015</v>
      </c>
      <c r="I49" s="167" t="s">
        <v>3015</v>
      </c>
      <c r="J49" s="167" t="s">
        <v>3015</v>
      </c>
      <c r="K49" s="167" t="s">
        <v>3015</v>
      </c>
      <c r="L49" s="167" t="s">
        <v>3015</v>
      </c>
      <c r="M49" s="167" t="s">
        <v>3015</v>
      </c>
      <c r="N49" s="167" t="s">
        <v>3015</v>
      </c>
      <c r="O49" s="167" t="s">
        <v>3015</v>
      </c>
      <c r="P49" s="167" t="s">
        <v>3015</v>
      </c>
      <c r="Q49" s="167" t="s">
        <v>3015</v>
      </c>
      <c r="R49" s="167" t="s">
        <v>3015</v>
      </c>
      <c r="S49" s="167" t="s">
        <v>3015</v>
      </c>
      <c r="T49" s="167" t="s">
        <v>3015</v>
      </c>
      <c r="U49" s="167" t="s">
        <v>3015</v>
      </c>
      <c r="V49" s="167" t="s">
        <v>3015</v>
      </c>
      <c r="W49" s="167" t="s">
        <v>3015</v>
      </c>
      <c r="X49" s="167" t="s">
        <v>3015</v>
      </c>
      <c r="Y49" s="167" t="s">
        <v>3015</v>
      </c>
      <c r="Z49" s="167" t="str">
        <f>_xlfn.IFNA(VLOOKUP(C49,'INFORM Severity - hidden'!$C$5:$G$155,5,FALSE),"-")</f>
        <v>-</v>
      </c>
      <c r="AA49" s="167" t="s">
        <v>3015</v>
      </c>
      <c r="AB49" s="167" t="s">
        <v>3015</v>
      </c>
    </row>
    <row r="50" spans="1:28" x14ac:dyDescent="0.3">
      <c r="A50" s="11" t="s">
        <v>363</v>
      </c>
      <c r="B50" s="11" t="s">
        <v>2686</v>
      </c>
      <c r="C50" s="11" t="s">
        <v>2687</v>
      </c>
      <c r="D50" s="166" t="str">
        <f t="shared" si="0"/>
        <v>Increasing</v>
      </c>
      <c r="E50" s="167" t="s">
        <v>3015</v>
      </c>
      <c r="F50" s="167" t="s">
        <v>3015</v>
      </c>
      <c r="G50" s="167" t="s">
        <v>3015</v>
      </c>
      <c r="H50" s="167" t="s">
        <v>3015</v>
      </c>
      <c r="I50" s="167" t="s">
        <v>3015</v>
      </c>
      <c r="J50" s="167" t="s">
        <v>3015</v>
      </c>
      <c r="K50" s="167" t="s">
        <v>3015</v>
      </c>
      <c r="L50" s="167" t="s">
        <v>3015</v>
      </c>
      <c r="M50" s="167" t="s">
        <v>3015</v>
      </c>
      <c r="N50" s="167" t="s">
        <v>3015</v>
      </c>
      <c r="O50" s="167" t="s">
        <v>3015</v>
      </c>
      <c r="P50" s="167" t="s">
        <v>3015</v>
      </c>
      <c r="Q50" s="167" t="s">
        <v>3015</v>
      </c>
      <c r="R50" s="167" t="s">
        <v>3015</v>
      </c>
      <c r="S50" s="167" t="s">
        <v>3015</v>
      </c>
      <c r="T50" s="167" t="s">
        <v>3015</v>
      </c>
      <c r="U50" s="167" t="s">
        <v>3015</v>
      </c>
      <c r="V50" s="167">
        <v>2.2999999999999998</v>
      </c>
      <c r="W50" s="167">
        <v>2.9</v>
      </c>
      <c r="X50" s="167">
        <v>2.9</v>
      </c>
      <c r="Y50" s="167">
        <v>3</v>
      </c>
      <c r="Z50" s="167" t="str">
        <f>_xlfn.IFNA(VLOOKUP(C50,'INFORM Severity - hidden'!$C$5:$G$155,5,FALSE),"-")</f>
        <v>-</v>
      </c>
      <c r="AA50" s="167" t="s">
        <v>3015</v>
      </c>
      <c r="AB50" s="167" t="s">
        <v>3015</v>
      </c>
    </row>
    <row r="51" spans="1:28" x14ac:dyDescent="0.3">
      <c r="A51" s="11" t="s">
        <v>358</v>
      </c>
      <c r="B51" s="11" t="s">
        <v>914</v>
      </c>
      <c r="C51" s="11" t="s">
        <v>3048</v>
      </c>
      <c r="D51" s="166" t="str">
        <f t="shared" si="0"/>
        <v>-</v>
      </c>
      <c r="E51" s="167" t="s">
        <v>3015</v>
      </c>
      <c r="F51" s="167" t="s">
        <v>3015</v>
      </c>
      <c r="G51" s="167" t="s">
        <v>3015</v>
      </c>
      <c r="H51" s="167" t="s">
        <v>3015</v>
      </c>
      <c r="I51" s="167" t="s">
        <v>3015</v>
      </c>
      <c r="J51" s="167" t="s">
        <v>3015</v>
      </c>
      <c r="K51" s="167" t="s">
        <v>3015</v>
      </c>
      <c r="L51" s="167" t="s">
        <v>3015</v>
      </c>
      <c r="M51" s="167" t="s">
        <v>3015</v>
      </c>
      <c r="N51" s="167" t="s">
        <v>3015</v>
      </c>
      <c r="O51" s="167" t="s">
        <v>3015</v>
      </c>
      <c r="P51" s="167" t="s">
        <v>3015</v>
      </c>
      <c r="Q51" s="167" t="s">
        <v>3015</v>
      </c>
      <c r="R51" s="167" t="s">
        <v>3015</v>
      </c>
      <c r="S51" s="167" t="s">
        <v>3015</v>
      </c>
      <c r="T51" s="167" t="s">
        <v>3015</v>
      </c>
      <c r="U51" s="167" t="s">
        <v>3015</v>
      </c>
      <c r="V51" s="167" t="s">
        <v>3015</v>
      </c>
      <c r="W51" s="167" t="s">
        <v>3015</v>
      </c>
      <c r="X51" s="167" t="s">
        <v>3015</v>
      </c>
      <c r="Y51" s="167" t="s">
        <v>3015</v>
      </c>
      <c r="Z51" s="167" t="str">
        <f>_xlfn.IFNA(VLOOKUP(C51,'INFORM Severity - hidden'!$C$5:$G$155,5,FALSE),"-")</f>
        <v>-</v>
      </c>
      <c r="AA51" s="167" t="s">
        <v>3015</v>
      </c>
      <c r="AB51" s="167" t="s">
        <v>3015</v>
      </c>
    </row>
    <row r="52" spans="1:28" x14ac:dyDescent="0.3">
      <c r="A52" s="11" t="s">
        <v>55</v>
      </c>
      <c r="B52" s="11" t="s">
        <v>1156</v>
      </c>
      <c r="C52" s="11" t="s">
        <v>576</v>
      </c>
      <c r="D52" s="166" t="str">
        <f t="shared" si="0"/>
        <v>Increasing</v>
      </c>
      <c r="E52" s="167" t="s">
        <v>3015</v>
      </c>
      <c r="F52" s="167">
        <v>4</v>
      </c>
      <c r="G52" s="167">
        <v>4</v>
      </c>
      <c r="H52" s="167">
        <v>4.0999999999999996</v>
      </c>
      <c r="I52" s="167">
        <v>4.0999999999999996</v>
      </c>
      <c r="J52" s="167">
        <v>4</v>
      </c>
      <c r="K52" s="167">
        <v>4.0999999999999996</v>
      </c>
      <c r="L52" s="167">
        <v>3.9</v>
      </c>
      <c r="M52" s="167">
        <v>4</v>
      </c>
      <c r="N52" s="167">
        <v>4</v>
      </c>
      <c r="O52" s="167">
        <v>4</v>
      </c>
      <c r="P52" s="167">
        <v>4</v>
      </c>
      <c r="Q52" s="167">
        <v>4</v>
      </c>
      <c r="R52" s="167">
        <v>3.7</v>
      </c>
      <c r="S52" s="167">
        <v>3.6</v>
      </c>
      <c r="T52" s="167">
        <v>3.6</v>
      </c>
      <c r="U52" s="167">
        <v>3.6</v>
      </c>
      <c r="V52" s="167">
        <v>3.6</v>
      </c>
      <c r="W52" s="167">
        <v>3.6</v>
      </c>
      <c r="X52" s="167">
        <v>3.7</v>
      </c>
      <c r="Y52" s="167">
        <v>3.7</v>
      </c>
      <c r="Z52" s="167">
        <f>_xlfn.IFNA(VLOOKUP(C52,'INFORM Severity - hidden'!$C$5:$G$155,5,FALSE),"-")</f>
        <v>3.7</v>
      </c>
      <c r="AA52" s="167" t="s">
        <v>3015</v>
      </c>
      <c r="AB52" s="167" t="s">
        <v>3015</v>
      </c>
    </row>
    <row r="53" spans="1:28" x14ac:dyDescent="0.3">
      <c r="A53" s="11" t="s">
        <v>55</v>
      </c>
      <c r="B53" s="11" t="s">
        <v>775</v>
      </c>
      <c r="C53" s="11" t="s">
        <v>670</v>
      </c>
      <c r="D53" s="166" t="str">
        <f t="shared" si="0"/>
        <v>Decreasing</v>
      </c>
      <c r="E53" s="167" t="s">
        <v>3015</v>
      </c>
      <c r="F53" s="167">
        <v>3.6</v>
      </c>
      <c r="G53" s="167">
        <v>3.6</v>
      </c>
      <c r="H53" s="167">
        <v>3.8</v>
      </c>
      <c r="I53" s="167">
        <v>3.8</v>
      </c>
      <c r="J53" s="167">
        <v>3.8</v>
      </c>
      <c r="K53" s="167">
        <v>3.8</v>
      </c>
      <c r="L53" s="167">
        <v>3.8</v>
      </c>
      <c r="M53" s="167">
        <v>3.8</v>
      </c>
      <c r="N53" s="167">
        <v>3.7</v>
      </c>
      <c r="O53" s="167">
        <v>3.6</v>
      </c>
      <c r="P53" s="167">
        <v>3.6</v>
      </c>
      <c r="Q53" s="167">
        <v>3.6</v>
      </c>
      <c r="R53" s="167">
        <v>3</v>
      </c>
      <c r="S53" s="167">
        <v>3.6</v>
      </c>
      <c r="T53" s="167">
        <v>3.6</v>
      </c>
      <c r="U53" s="167">
        <v>3.6</v>
      </c>
      <c r="V53" s="167">
        <v>3.6</v>
      </c>
      <c r="W53" s="167">
        <v>3.6</v>
      </c>
      <c r="X53" s="167">
        <v>3.2</v>
      </c>
      <c r="Y53" s="167">
        <v>3.2</v>
      </c>
      <c r="Z53" s="167">
        <f>_xlfn.IFNA(VLOOKUP(C53,'INFORM Severity - hidden'!$C$5:$G$155,5,FALSE),"-")</f>
        <v>3.2</v>
      </c>
      <c r="AA53" s="167" t="s">
        <v>3015</v>
      </c>
      <c r="AB53" s="167" t="s">
        <v>3015</v>
      </c>
    </row>
    <row r="54" spans="1:28" x14ac:dyDescent="0.3">
      <c r="A54" s="11" t="s">
        <v>55</v>
      </c>
      <c r="B54" s="11" t="s">
        <v>776</v>
      </c>
      <c r="C54" s="11" t="s">
        <v>671</v>
      </c>
      <c r="D54" s="166" t="str">
        <f t="shared" si="0"/>
        <v>Increasing</v>
      </c>
      <c r="E54" s="167" t="s">
        <v>3015</v>
      </c>
      <c r="F54" s="167">
        <v>3.2</v>
      </c>
      <c r="G54" s="167">
        <v>3.2</v>
      </c>
      <c r="H54" s="167">
        <v>3.5</v>
      </c>
      <c r="I54" s="167">
        <v>3.5</v>
      </c>
      <c r="J54" s="167">
        <v>3.5</v>
      </c>
      <c r="K54" s="167">
        <v>3.5</v>
      </c>
      <c r="L54" s="167">
        <v>3.6</v>
      </c>
      <c r="M54" s="167">
        <v>3.6</v>
      </c>
      <c r="N54" s="167">
        <v>3.6</v>
      </c>
      <c r="O54" s="167">
        <v>3.6</v>
      </c>
      <c r="P54" s="167">
        <v>3.6</v>
      </c>
      <c r="Q54" s="167">
        <v>3.6</v>
      </c>
      <c r="R54" s="167">
        <v>3.3</v>
      </c>
      <c r="S54" s="167">
        <v>3</v>
      </c>
      <c r="T54" s="167">
        <v>3</v>
      </c>
      <c r="U54" s="167">
        <v>3</v>
      </c>
      <c r="V54" s="167">
        <v>3</v>
      </c>
      <c r="W54" s="167">
        <v>3</v>
      </c>
      <c r="X54" s="167">
        <v>3.3</v>
      </c>
      <c r="Y54" s="167">
        <v>3.3</v>
      </c>
      <c r="Z54" s="167">
        <f>_xlfn.IFNA(VLOOKUP(C54,'INFORM Severity - hidden'!$C$5:$G$155,5,FALSE),"-")</f>
        <v>3.3</v>
      </c>
      <c r="AA54" s="167" t="s">
        <v>3015</v>
      </c>
      <c r="AB54" s="167" t="s">
        <v>3015</v>
      </c>
    </row>
    <row r="55" spans="1:28" x14ac:dyDescent="0.3">
      <c r="A55" s="11" t="s">
        <v>55</v>
      </c>
      <c r="B55" s="11" t="s">
        <v>777</v>
      </c>
      <c r="C55" s="11" t="s">
        <v>672</v>
      </c>
      <c r="D55" s="166" t="str">
        <f t="shared" si="0"/>
        <v>Stable</v>
      </c>
      <c r="E55" s="167" t="s">
        <v>3015</v>
      </c>
      <c r="F55" s="167">
        <v>3.3</v>
      </c>
      <c r="G55" s="167">
        <v>3.3</v>
      </c>
      <c r="H55" s="167">
        <v>3.1</v>
      </c>
      <c r="I55" s="167">
        <v>3.1</v>
      </c>
      <c r="J55" s="167">
        <v>3.1</v>
      </c>
      <c r="K55" s="167">
        <v>3.1</v>
      </c>
      <c r="L55" s="167">
        <v>2.7</v>
      </c>
      <c r="M55" s="167">
        <v>2.8</v>
      </c>
      <c r="N55" s="167">
        <v>2.6</v>
      </c>
      <c r="O55" s="167">
        <v>2.6</v>
      </c>
      <c r="P55" s="167">
        <v>2.6</v>
      </c>
      <c r="Q55" s="167">
        <v>2.6</v>
      </c>
      <c r="R55" s="167">
        <v>1.6</v>
      </c>
      <c r="S55" s="167">
        <v>2.6</v>
      </c>
      <c r="T55" s="167">
        <v>2.6</v>
      </c>
      <c r="U55" s="167">
        <v>2.6</v>
      </c>
      <c r="V55" s="167">
        <v>2.6</v>
      </c>
      <c r="W55" s="167">
        <v>2.6</v>
      </c>
      <c r="X55" s="167">
        <v>2.7</v>
      </c>
      <c r="Y55" s="167">
        <v>2.6</v>
      </c>
      <c r="Z55" s="167">
        <f>_xlfn.IFNA(VLOOKUP(C55,'INFORM Severity - hidden'!$C$5:$G$155,5,FALSE),"-")</f>
        <v>2.6</v>
      </c>
      <c r="AA55" s="167" t="s">
        <v>3015</v>
      </c>
      <c r="AB55" s="167" t="s">
        <v>3015</v>
      </c>
    </row>
    <row r="56" spans="1:28" x14ac:dyDescent="0.3">
      <c r="A56" s="11" t="s">
        <v>575</v>
      </c>
      <c r="B56" s="11" t="s">
        <v>1082</v>
      </c>
      <c r="C56" s="11" t="s">
        <v>579</v>
      </c>
      <c r="D56" s="166" t="str">
        <f t="shared" si="0"/>
        <v>Increasing</v>
      </c>
      <c r="E56" s="167" t="s">
        <v>3015</v>
      </c>
      <c r="F56" s="167">
        <v>4.4000000000000004</v>
      </c>
      <c r="G56" s="167">
        <v>4.4000000000000004</v>
      </c>
      <c r="H56" s="167">
        <v>4.4000000000000004</v>
      </c>
      <c r="I56" s="167">
        <v>4.2</v>
      </c>
      <c r="J56" s="167">
        <v>4.2</v>
      </c>
      <c r="K56" s="167">
        <v>4.2</v>
      </c>
      <c r="L56" s="167">
        <v>4.2</v>
      </c>
      <c r="M56" s="167">
        <v>4.2</v>
      </c>
      <c r="N56" s="167">
        <v>4.2</v>
      </c>
      <c r="O56" s="167">
        <v>4.2</v>
      </c>
      <c r="P56" s="167">
        <v>4.2</v>
      </c>
      <c r="Q56" s="167">
        <v>4</v>
      </c>
      <c r="R56" s="167">
        <v>4</v>
      </c>
      <c r="S56" s="167">
        <v>4.2</v>
      </c>
      <c r="T56" s="167">
        <v>4.2</v>
      </c>
      <c r="U56" s="167">
        <v>4.2</v>
      </c>
      <c r="V56" s="167">
        <v>4.2</v>
      </c>
      <c r="W56" s="167">
        <v>4.2</v>
      </c>
      <c r="X56" s="167">
        <v>4.2</v>
      </c>
      <c r="Y56" s="167">
        <v>4.5</v>
      </c>
      <c r="Z56" s="167">
        <f>_xlfn.IFNA(VLOOKUP(C56,'INFORM Severity - hidden'!$C$5:$G$155,5,FALSE),"-")</f>
        <v>4.5</v>
      </c>
      <c r="AA56" s="167" t="s">
        <v>3015</v>
      </c>
      <c r="AB56" s="167" t="s">
        <v>3015</v>
      </c>
    </row>
    <row r="57" spans="1:28" x14ac:dyDescent="0.3">
      <c r="A57" s="11" t="s">
        <v>575</v>
      </c>
      <c r="B57" s="11" t="s">
        <v>1818</v>
      </c>
      <c r="C57" s="11" t="s">
        <v>3206</v>
      </c>
      <c r="D57" s="166" t="str">
        <f t="shared" si="0"/>
        <v>-</v>
      </c>
      <c r="E57" s="167" t="s">
        <v>3015</v>
      </c>
      <c r="F57" s="167" t="s">
        <v>3015</v>
      </c>
      <c r="G57" s="167" t="s">
        <v>3015</v>
      </c>
      <c r="H57" s="167" t="s">
        <v>3015</v>
      </c>
      <c r="I57" s="167" t="s">
        <v>3015</v>
      </c>
      <c r="J57" s="167" t="s">
        <v>3015</v>
      </c>
      <c r="K57" s="167" t="s">
        <v>3015</v>
      </c>
      <c r="L57" s="167" t="s">
        <v>3015</v>
      </c>
      <c r="M57" s="167" t="s">
        <v>3015</v>
      </c>
      <c r="N57" s="167" t="s">
        <v>3015</v>
      </c>
      <c r="O57" s="167" t="s">
        <v>3015</v>
      </c>
      <c r="P57" s="167">
        <v>2.7</v>
      </c>
      <c r="Q57" s="167">
        <v>2.5</v>
      </c>
      <c r="R57" s="167">
        <v>2.5</v>
      </c>
      <c r="S57" s="167">
        <v>2.7</v>
      </c>
      <c r="T57" s="167">
        <v>2.7</v>
      </c>
      <c r="U57" s="167">
        <v>2.7</v>
      </c>
      <c r="V57" s="167" t="s">
        <v>3015</v>
      </c>
      <c r="W57" s="167" t="s">
        <v>3015</v>
      </c>
      <c r="X57" s="167" t="s">
        <v>3015</v>
      </c>
      <c r="Y57" s="167" t="s">
        <v>3015</v>
      </c>
      <c r="Z57" s="167" t="str">
        <f>_xlfn.IFNA(VLOOKUP(C57,'INFORM Severity - hidden'!$C$5:$G$155,5,FALSE),"-")</f>
        <v>-</v>
      </c>
      <c r="AA57" s="167" t="s">
        <v>3015</v>
      </c>
      <c r="AB57" s="167" t="s">
        <v>3015</v>
      </c>
    </row>
    <row r="58" spans="1:28" x14ac:dyDescent="0.3">
      <c r="A58" s="11" t="s">
        <v>575</v>
      </c>
      <c r="B58" s="11" t="s">
        <v>2585</v>
      </c>
      <c r="C58" s="11" t="s">
        <v>2587</v>
      </c>
      <c r="D58" s="166" t="str">
        <f t="shared" si="0"/>
        <v>Stable</v>
      </c>
      <c r="E58" s="167" t="s">
        <v>3015</v>
      </c>
      <c r="F58" s="167" t="s">
        <v>3015</v>
      </c>
      <c r="G58" s="167" t="s">
        <v>3015</v>
      </c>
      <c r="H58" s="167" t="s">
        <v>3015</v>
      </c>
      <c r="I58" s="167" t="s">
        <v>3015</v>
      </c>
      <c r="J58" s="167" t="s">
        <v>3015</v>
      </c>
      <c r="K58" s="167" t="s">
        <v>3015</v>
      </c>
      <c r="L58" s="167" t="s">
        <v>3015</v>
      </c>
      <c r="M58" s="167" t="s">
        <v>3015</v>
      </c>
      <c r="N58" s="167" t="s">
        <v>3015</v>
      </c>
      <c r="O58" s="167" t="s">
        <v>3015</v>
      </c>
      <c r="P58" s="167" t="s">
        <v>3015</v>
      </c>
      <c r="Q58" s="167" t="s">
        <v>3015</v>
      </c>
      <c r="R58" s="167" t="s">
        <v>3015</v>
      </c>
      <c r="S58" s="167" t="s">
        <v>3015</v>
      </c>
      <c r="T58" s="167" t="s">
        <v>3015</v>
      </c>
      <c r="U58" s="167" t="s">
        <v>3015</v>
      </c>
      <c r="V58" s="167">
        <v>2.6</v>
      </c>
      <c r="W58" s="167">
        <v>2.6</v>
      </c>
      <c r="X58" s="167">
        <v>2.6</v>
      </c>
      <c r="Y58" s="167">
        <v>2.6</v>
      </c>
      <c r="Z58" s="167">
        <f>_xlfn.IFNA(VLOOKUP(C58,'INFORM Severity - hidden'!$C$5:$G$155,5,FALSE),"-")</f>
        <v>2.6</v>
      </c>
      <c r="AA58" s="167" t="s">
        <v>3015</v>
      </c>
      <c r="AB58" s="167" t="s">
        <v>3015</v>
      </c>
    </row>
    <row r="59" spans="1:28" x14ac:dyDescent="0.3">
      <c r="A59" s="11" t="s">
        <v>361</v>
      </c>
      <c r="B59" s="11" t="s">
        <v>1814</v>
      </c>
      <c r="C59" s="11" t="s">
        <v>3044</v>
      </c>
      <c r="D59" s="166" t="str">
        <f t="shared" si="0"/>
        <v>-</v>
      </c>
      <c r="E59" s="167" t="s">
        <v>3015</v>
      </c>
      <c r="F59" s="167" t="s">
        <v>3015</v>
      </c>
      <c r="G59" s="167" t="s">
        <v>3015</v>
      </c>
      <c r="H59" s="167" t="s">
        <v>3015</v>
      </c>
      <c r="I59" s="167" t="s">
        <v>3015</v>
      </c>
      <c r="J59" s="167" t="s">
        <v>3015</v>
      </c>
      <c r="K59" s="167" t="s">
        <v>3015</v>
      </c>
      <c r="L59" s="167" t="s">
        <v>3015</v>
      </c>
      <c r="M59" s="167" t="s">
        <v>3015</v>
      </c>
      <c r="N59" s="167" t="s">
        <v>3015</v>
      </c>
      <c r="O59" s="167" t="s">
        <v>3015</v>
      </c>
      <c r="P59" s="167" t="s">
        <v>393</v>
      </c>
      <c r="Q59" s="167" t="s">
        <v>393</v>
      </c>
      <c r="R59" s="167" t="s">
        <v>393</v>
      </c>
      <c r="S59" s="167" t="s">
        <v>393</v>
      </c>
      <c r="T59" s="167" t="s">
        <v>393</v>
      </c>
      <c r="U59" s="167" t="s">
        <v>393</v>
      </c>
      <c r="V59" s="167" t="s">
        <v>3015</v>
      </c>
      <c r="W59" s="167" t="s">
        <v>3015</v>
      </c>
      <c r="X59" s="167" t="s">
        <v>3015</v>
      </c>
      <c r="Y59" s="167" t="s">
        <v>3015</v>
      </c>
      <c r="Z59" s="167" t="str">
        <f>_xlfn.IFNA(VLOOKUP(C59,'INFORM Severity - hidden'!$C$5:$G$155,5,FALSE),"-")</f>
        <v>-</v>
      </c>
      <c r="AA59" s="167" t="s">
        <v>3015</v>
      </c>
      <c r="AB59" s="167" t="s">
        <v>3015</v>
      </c>
    </row>
    <row r="60" spans="1:28" x14ac:dyDescent="0.3">
      <c r="A60" s="11" t="s">
        <v>361</v>
      </c>
      <c r="B60" s="11" t="s">
        <v>863</v>
      </c>
      <c r="C60" s="11" t="s">
        <v>2921</v>
      </c>
      <c r="D60" s="166" t="str">
        <f t="shared" si="0"/>
        <v>Increasing</v>
      </c>
      <c r="E60" s="167" t="s">
        <v>3015</v>
      </c>
      <c r="F60" s="167">
        <v>2.5</v>
      </c>
      <c r="G60" s="167">
        <v>2.5</v>
      </c>
      <c r="H60" s="167">
        <v>2.4</v>
      </c>
      <c r="I60" s="167">
        <v>2.4</v>
      </c>
      <c r="J60" s="167">
        <v>2.4</v>
      </c>
      <c r="K60" s="167">
        <v>2.4</v>
      </c>
      <c r="L60" s="167">
        <v>2.4</v>
      </c>
      <c r="M60" s="167">
        <v>2.4</v>
      </c>
      <c r="N60" s="167" t="s">
        <v>393</v>
      </c>
      <c r="O60" s="167">
        <v>1.7</v>
      </c>
      <c r="P60" s="167">
        <v>1.8</v>
      </c>
      <c r="Q60" s="167">
        <v>1.8</v>
      </c>
      <c r="R60" s="167">
        <v>1.8</v>
      </c>
      <c r="S60" s="167">
        <v>1.8</v>
      </c>
      <c r="T60" s="167">
        <v>1.8</v>
      </c>
      <c r="U60" s="167">
        <v>1.8</v>
      </c>
      <c r="V60" s="167">
        <v>1.8</v>
      </c>
      <c r="W60" s="167">
        <v>1.7</v>
      </c>
      <c r="X60" s="167">
        <v>1.7</v>
      </c>
      <c r="Y60" s="167">
        <v>2.2999999999999998</v>
      </c>
      <c r="Z60" s="167" t="str">
        <f>_xlfn.IFNA(VLOOKUP(C60,'INFORM Severity - hidden'!$C$5:$G$155,5,FALSE),"-")</f>
        <v>-</v>
      </c>
      <c r="AA60" s="167" t="s">
        <v>3015</v>
      </c>
      <c r="AB60" s="167" t="s">
        <v>3015</v>
      </c>
    </row>
    <row r="61" spans="1:28" x14ac:dyDescent="0.3">
      <c r="A61" s="11" t="s">
        <v>361</v>
      </c>
      <c r="B61" s="11" t="s">
        <v>1815</v>
      </c>
      <c r="C61" s="11" t="s">
        <v>3209</v>
      </c>
      <c r="D61" s="166" t="str">
        <f t="shared" si="0"/>
        <v>-</v>
      </c>
      <c r="E61" s="167" t="s">
        <v>3015</v>
      </c>
      <c r="F61" s="167" t="s">
        <v>3015</v>
      </c>
      <c r="G61" s="167" t="s">
        <v>3015</v>
      </c>
      <c r="H61" s="167" t="s">
        <v>3015</v>
      </c>
      <c r="I61" s="167" t="s">
        <v>3015</v>
      </c>
      <c r="J61" s="167" t="s">
        <v>3015</v>
      </c>
      <c r="K61" s="167" t="s">
        <v>3015</v>
      </c>
      <c r="L61" s="167" t="s">
        <v>3015</v>
      </c>
      <c r="M61" s="167" t="s">
        <v>3015</v>
      </c>
      <c r="N61" s="167" t="s">
        <v>3015</v>
      </c>
      <c r="O61" s="167" t="s">
        <v>3015</v>
      </c>
      <c r="P61" s="167" t="s">
        <v>393</v>
      </c>
      <c r="Q61" s="167" t="s">
        <v>393</v>
      </c>
      <c r="R61" s="167" t="s">
        <v>393</v>
      </c>
      <c r="S61" s="167" t="s">
        <v>393</v>
      </c>
      <c r="T61" s="167" t="s">
        <v>393</v>
      </c>
      <c r="U61" s="167" t="s">
        <v>393</v>
      </c>
      <c r="V61" s="167" t="s">
        <v>3015</v>
      </c>
      <c r="W61" s="167" t="s">
        <v>3015</v>
      </c>
      <c r="X61" s="167" t="s">
        <v>3015</v>
      </c>
      <c r="Y61" s="167" t="s">
        <v>3015</v>
      </c>
      <c r="Z61" s="167" t="str">
        <f>_xlfn.IFNA(VLOOKUP(C61,'INFORM Severity - hidden'!$C$5:$G$155,5,FALSE),"-")</f>
        <v>-</v>
      </c>
      <c r="AA61" s="167" t="s">
        <v>3015</v>
      </c>
      <c r="AB61" s="167" t="s">
        <v>3015</v>
      </c>
    </row>
    <row r="62" spans="1:28" x14ac:dyDescent="0.3">
      <c r="A62" s="11" t="s">
        <v>361</v>
      </c>
      <c r="B62" s="11" t="s">
        <v>1815</v>
      </c>
      <c r="C62" s="11" t="s">
        <v>3822</v>
      </c>
      <c r="D62" s="166" t="str">
        <f t="shared" si="0"/>
        <v>-</v>
      </c>
      <c r="E62" s="167" t="s">
        <v>3015</v>
      </c>
      <c r="F62" s="167" t="s">
        <v>3015</v>
      </c>
      <c r="G62" s="167" t="s">
        <v>3015</v>
      </c>
      <c r="H62" s="167" t="s">
        <v>3015</v>
      </c>
      <c r="I62" s="167" t="s">
        <v>3015</v>
      </c>
      <c r="J62" s="167" t="s">
        <v>3015</v>
      </c>
      <c r="K62" s="167" t="s">
        <v>3015</v>
      </c>
      <c r="L62" s="167" t="s">
        <v>3015</v>
      </c>
      <c r="M62" s="167" t="s">
        <v>3015</v>
      </c>
      <c r="N62" s="167" t="s">
        <v>3015</v>
      </c>
      <c r="O62" s="167" t="s">
        <v>3015</v>
      </c>
      <c r="P62" s="167" t="s">
        <v>3015</v>
      </c>
      <c r="Q62" s="167" t="s">
        <v>3015</v>
      </c>
      <c r="R62" s="167" t="s">
        <v>3015</v>
      </c>
      <c r="S62" s="167" t="s">
        <v>3015</v>
      </c>
      <c r="T62" s="167" t="s">
        <v>3015</v>
      </c>
      <c r="U62" s="167" t="s">
        <v>3015</v>
      </c>
      <c r="V62" s="167" t="s">
        <v>3015</v>
      </c>
      <c r="W62" s="167" t="s">
        <v>3015</v>
      </c>
      <c r="X62" s="167" t="s">
        <v>3015</v>
      </c>
      <c r="Y62" s="167" t="s">
        <v>3015</v>
      </c>
      <c r="Z62" s="167">
        <f>_xlfn.IFNA(VLOOKUP(C62,'INFORM Severity - hidden'!$C$5:$G$155,5,FALSE),"-")</f>
        <v>2</v>
      </c>
      <c r="AA62" s="167" t="s">
        <v>3015</v>
      </c>
      <c r="AB62" s="167" t="s">
        <v>3015</v>
      </c>
    </row>
    <row r="63" spans="1:28" x14ac:dyDescent="0.3">
      <c r="A63" s="11" t="s">
        <v>3045</v>
      </c>
      <c r="B63" s="11" t="s">
        <v>914</v>
      </c>
      <c r="C63" s="11" t="s">
        <v>3046</v>
      </c>
      <c r="D63" s="166" t="str">
        <f t="shared" si="0"/>
        <v>-</v>
      </c>
      <c r="E63" s="167" t="s">
        <v>3015</v>
      </c>
      <c r="F63" s="167" t="s">
        <v>3015</v>
      </c>
      <c r="G63" s="167" t="s">
        <v>3015</v>
      </c>
      <c r="H63" s="167" t="s">
        <v>3015</v>
      </c>
      <c r="I63" s="167" t="s">
        <v>3015</v>
      </c>
      <c r="J63" s="167" t="s">
        <v>3015</v>
      </c>
      <c r="K63" s="167" t="s">
        <v>3015</v>
      </c>
      <c r="L63" s="167" t="s">
        <v>3015</v>
      </c>
      <c r="M63" s="167" t="s">
        <v>3015</v>
      </c>
      <c r="N63" s="167" t="s">
        <v>3015</v>
      </c>
      <c r="O63" s="167" t="s">
        <v>3015</v>
      </c>
      <c r="P63" s="167" t="s">
        <v>3015</v>
      </c>
      <c r="Q63" s="167" t="s">
        <v>3015</v>
      </c>
      <c r="R63" s="167" t="s">
        <v>3015</v>
      </c>
      <c r="S63" s="167" t="s">
        <v>3015</v>
      </c>
      <c r="T63" s="167" t="s">
        <v>3015</v>
      </c>
      <c r="U63" s="167" t="s">
        <v>3015</v>
      </c>
      <c r="V63" s="167" t="s">
        <v>3015</v>
      </c>
      <c r="W63" s="167" t="s">
        <v>3015</v>
      </c>
      <c r="X63" s="167" t="s">
        <v>3015</v>
      </c>
      <c r="Y63" s="167" t="s">
        <v>3015</v>
      </c>
      <c r="Z63" s="167" t="str">
        <f>_xlfn.IFNA(VLOOKUP(C63,'INFORM Severity - hidden'!$C$5:$G$155,5,FALSE),"-")</f>
        <v>-</v>
      </c>
      <c r="AA63" s="167" t="s">
        <v>3015</v>
      </c>
      <c r="AB63" s="167" t="s">
        <v>3015</v>
      </c>
    </row>
    <row r="64" spans="1:28" x14ac:dyDescent="0.3">
      <c r="A64" s="11" t="s">
        <v>67</v>
      </c>
      <c r="B64" s="11" t="s">
        <v>1080</v>
      </c>
      <c r="C64" s="11" t="s">
        <v>578</v>
      </c>
      <c r="D64" s="166" t="str">
        <f t="shared" si="0"/>
        <v>Stable</v>
      </c>
      <c r="E64" s="167" t="s">
        <v>3015</v>
      </c>
      <c r="F64" s="167">
        <v>3.9</v>
      </c>
      <c r="G64" s="167">
        <v>3.9</v>
      </c>
      <c r="H64" s="167">
        <v>4</v>
      </c>
      <c r="I64" s="167">
        <v>4</v>
      </c>
      <c r="J64" s="167">
        <v>4</v>
      </c>
      <c r="K64" s="167">
        <v>4</v>
      </c>
      <c r="L64" s="167">
        <v>4</v>
      </c>
      <c r="M64" s="167">
        <v>4</v>
      </c>
      <c r="N64" s="167">
        <v>4</v>
      </c>
      <c r="O64" s="167">
        <v>4</v>
      </c>
      <c r="P64" s="167">
        <v>4</v>
      </c>
      <c r="Q64" s="167">
        <v>4</v>
      </c>
      <c r="R64" s="167">
        <v>4</v>
      </c>
      <c r="S64" s="167">
        <v>4</v>
      </c>
      <c r="T64" s="167">
        <v>4.2</v>
      </c>
      <c r="U64" s="167">
        <v>4.2</v>
      </c>
      <c r="V64" s="167">
        <v>4.2</v>
      </c>
      <c r="W64" s="167">
        <v>4.2</v>
      </c>
      <c r="X64" s="167">
        <v>4.2</v>
      </c>
      <c r="Y64" s="167">
        <v>4.2</v>
      </c>
      <c r="Z64" s="167">
        <f>_xlfn.IFNA(VLOOKUP(C64,'INFORM Severity - hidden'!$C$5:$G$155,5,FALSE),"-")</f>
        <v>4.2</v>
      </c>
      <c r="AA64" s="167" t="s">
        <v>3015</v>
      </c>
      <c r="AB64" s="167" t="s">
        <v>3015</v>
      </c>
    </row>
    <row r="65" spans="1:28" x14ac:dyDescent="0.3">
      <c r="A65" s="11" t="s">
        <v>67</v>
      </c>
      <c r="B65" s="11" t="s">
        <v>770</v>
      </c>
      <c r="C65" s="11" t="s">
        <v>667</v>
      </c>
      <c r="D65" s="166" t="str">
        <f t="shared" si="0"/>
        <v>Stable</v>
      </c>
      <c r="E65" s="167" t="s">
        <v>3015</v>
      </c>
      <c r="F65" s="167">
        <v>3.5</v>
      </c>
      <c r="G65" s="167">
        <v>3.5</v>
      </c>
      <c r="H65" s="167">
        <v>3.3</v>
      </c>
      <c r="I65" s="167">
        <v>3.3</v>
      </c>
      <c r="J65" s="167">
        <v>3.3</v>
      </c>
      <c r="K65" s="167">
        <v>3.3</v>
      </c>
      <c r="L65" s="167">
        <v>3.3</v>
      </c>
      <c r="M65" s="167">
        <v>3.3</v>
      </c>
      <c r="N65" s="167">
        <v>3.3</v>
      </c>
      <c r="O65" s="167">
        <v>3.3</v>
      </c>
      <c r="P65" s="167">
        <v>3.3</v>
      </c>
      <c r="Q65" s="167">
        <v>3.4</v>
      </c>
      <c r="R65" s="167">
        <v>3.4</v>
      </c>
      <c r="S65" s="167">
        <v>3.4</v>
      </c>
      <c r="T65" s="167">
        <v>3.4</v>
      </c>
      <c r="U65" s="167">
        <v>3.4</v>
      </c>
      <c r="V65" s="167">
        <v>3.4</v>
      </c>
      <c r="W65" s="167">
        <v>3.4</v>
      </c>
      <c r="X65" s="167">
        <v>3.4</v>
      </c>
      <c r="Y65" s="167">
        <v>3.4</v>
      </c>
      <c r="Z65" s="167">
        <f>_xlfn.IFNA(VLOOKUP(C65,'INFORM Severity - hidden'!$C$5:$G$155,5,FALSE),"-")</f>
        <v>3.4</v>
      </c>
      <c r="AA65" s="167" t="s">
        <v>3015</v>
      </c>
      <c r="AB65" s="167" t="s">
        <v>3015</v>
      </c>
    </row>
    <row r="66" spans="1:28" x14ac:dyDescent="0.3">
      <c r="A66" s="11" t="s">
        <v>69</v>
      </c>
      <c r="B66" s="11" t="s">
        <v>914</v>
      </c>
      <c r="C66" s="11" t="s">
        <v>3043</v>
      </c>
      <c r="D66" s="166" t="str">
        <f t="shared" si="0"/>
        <v>-</v>
      </c>
      <c r="E66" s="167" t="s">
        <v>3015</v>
      </c>
      <c r="F66" s="167" t="s">
        <v>3015</v>
      </c>
      <c r="G66" s="167" t="s">
        <v>3015</v>
      </c>
      <c r="H66" s="167" t="s">
        <v>3015</v>
      </c>
      <c r="I66" s="167" t="s">
        <v>3015</v>
      </c>
      <c r="J66" s="167" t="s">
        <v>3015</v>
      </c>
      <c r="K66" s="167" t="s">
        <v>3015</v>
      </c>
      <c r="L66" s="167" t="s">
        <v>3015</v>
      </c>
      <c r="M66" s="167" t="s">
        <v>3015</v>
      </c>
      <c r="N66" s="167" t="s">
        <v>3015</v>
      </c>
      <c r="O66" s="167" t="s">
        <v>3015</v>
      </c>
      <c r="P66" s="167" t="s">
        <v>3015</v>
      </c>
      <c r="Q66" s="167" t="s">
        <v>3015</v>
      </c>
      <c r="R66" s="167" t="s">
        <v>3015</v>
      </c>
      <c r="S66" s="167" t="s">
        <v>3015</v>
      </c>
      <c r="T66" s="167" t="s">
        <v>3015</v>
      </c>
      <c r="U66" s="167" t="s">
        <v>3015</v>
      </c>
      <c r="V66" s="167" t="s">
        <v>3015</v>
      </c>
      <c r="W66" s="167" t="s">
        <v>3015</v>
      </c>
      <c r="X66" s="167" t="s">
        <v>3015</v>
      </c>
      <c r="Y66" s="167" t="s">
        <v>3015</v>
      </c>
      <c r="Z66" s="167" t="str">
        <f>_xlfn.IFNA(VLOOKUP(C66,'INFORM Severity - hidden'!$C$5:$G$155,5,FALSE),"-")</f>
        <v>-</v>
      </c>
      <c r="AA66" s="167" t="s">
        <v>3015</v>
      </c>
      <c r="AB66" s="167" t="s">
        <v>3015</v>
      </c>
    </row>
    <row r="67" spans="1:28" x14ac:dyDescent="0.3">
      <c r="A67" s="11" t="s">
        <v>69</v>
      </c>
      <c r="B67" s="11" t="s">
        <v>1294</v>
      </c>
      <c r="C67" s="11" t="s">
        <v>3193</v>
      </c>
      <c r="D67" s="166" t="str">
        <f t="shared" si="0"/>
        <v>-</v>
      </c>
      <c r="E67" s="167" t="s">
        <v>3015</v>
      </c>
      <c r="F67" s="167" t="s">
        <v>3015</v>
      </c>
      <c r="G67" s="167" t="s">
        <v>3015</v>
      </c>
      <c r="H67" s="167">
        <v>2</v>
      </c>
      <c r="I67" s="167">
        <v>2</v>
      </c>
      <c r="J67" s="167">
        <v>2</v>
      </c>
      <c r="K67" s="167" t="s">
        <v>3015</v>
      </c>
      <c r="L67" s="167" t="s">
        <v>3015</v>
      </c>
      <c r="M67" s="167" t="s">
        <v>3015</v>
      </c>
      <c r="N67" s="167" t="s">
        <v>3015</v>
      </c>
      <c r="O67" s="167" t="s">
        <v>3015</v>
      </c>
      <c r="P67" s="167" t="s">
        <v>3015</v>
      </c>
      <c r="Q67" s="167" t="s">
        <v>3015</v>
      </c>
      <c r="R67" s="167" t="s">
        <v>3015</v>
      </c>
      <c r="S67" s="167" t="s">
        <v>3015</v>
      </c>
      <c r="T67" s="167" t="s">
        <v>3015</v>
      </c>
      <c r="U67" s="167" t="s">
        <v>3015</v>
      </c>
      <c r="V67" s="167" t="s">
        <v>3015</v>
      </c>
      <c r="W67" s="167" t="s">
        <v>3015</v>
      </c>
      <c r="X67" s="167" t="s">
        <v>3015</v>
      </c>
      <c r="Y67" s="167" t="s">
        <v>3015</v>
      </c>
      <c r="Z67" s="167" t="str">
        <f>_xlfn.IFNA(VLOOKUP(C67,'INFORM Severity - hidden'!$C$5:$G$155,5,FALSE),"-")</f>
        <v>-</v>
      </c>
      <c r="AA67" s="167" t="s">
        <v>3015</v>
      </c>
      <c r="AB67" s="167" t="s">
        <v>3015</v>
      </c>
    </row>
    <row r="68" spans="1:28" x14ac:dyDescent="0.3">
      <c r="A68" s="11" t="s">
        <v>3039</v>
      </c>
      <c r="B68" s="11" t="s">
        <v>914</v>
      </c>
      <c r="C68" s="11" t="s">
        <v>3040</v>
      </c>
      <c r="D68" s="166" t="str">
        <f t="shared" ref="D68:D131" si="1">IFERROR(IF(ROUND(AVERAGE(X68:Z68),1)=ROUND(AVERAGE(U68:W68),1),"Stable",IF(ROUND(AVERAGE(X68:Z68),1)&lt;ROUND(AVERAGE(U68:W68),1),"Decreasing",IF(ROUND(AVERAGE(X68:Z68),1)&gt;ROUND(AVERAGE(U68:W68),1),"Increasing"))),"-")</f>
        <v>-</v>
      </c>
      <c r="E68" s="167" t="s">
        <v>3015</v>
      </c>
      <c r="F68" s="167" t="s">
        <v>3015</v>
      </c>
      <c r="G68" s="167" t="s">
        <v>3015</v>
      </c>
      <c r="H68" s="167" t="s">
        <v>3015</v>
      </c>
      <c r="I68" s="167" t="s">
        <v>3015</v>
      </c>
      <c r="J68" s="167" t="s">
        <v>3015</v>
      </c>
      <c r="K68" s="167" t="s">
        <v>3015</v>
      </c>
      <c r="L68" s="167" t="s">
        <v>3015</v>
      </c>
      <c r="M68" s="167" t="s">
        <v>3015</v>
      </c>
      <c r="N68" s="167" t="s">
        <v>3015</v>
      </c>
      <c r="O68" s="167" t="s">
        <v>3015</v>
      </c>
      <c r="P68" s="167" t="s">
        <v>3015</v>
      </c>
      <c r="Q68" s="167" t="s">
        <v>3015</v>
      </c>
      <c r="R68" s="167" t="s">
        <v>3015</v>
      </c>
      <c r="S68" s="167" t="s">
        <v>3015</v>
      </c>
      <c r="T68" s="167" t="s">
        <v>3015</v>
      </c>
      <c r="U68" s="167" t="s">
        <v>3015</v>
      </c>
      <c r="V68" s="167" t="s">
        <v>3015</v>
      </c>
      <c r="W68" s="167" t="s">
        <v>3015</v>
      </c>
      <c r="X68" s="167" t="s">
        <v>3015</v>
      </c>
      <c r="Y68" s="167" t="s">
        <v>3015</v>
      </c>
      <c r="Z68" s="167" t="str">
        <f>_xlfn.IFNA(VLOOKUP(C68,'INFORM Severity - hidden'!$C$5:$G$155,5,FALSE),"-")</f>
        <v>-</v>
      </c>
      <c r="AA68" s="167" t="s">
        <v>3015</v>
      </c>
      <c r="AB68" s="167" t="s">
        <v>3015</v>
      </c>
    </row>
    <row r="69" spans="1:28" x14ac:dyDescent="0.3">
      <c r="A69" s="11" t="s">
        <v>73</v>
      </c>
      <c r="B69" s="11" t="s">
        <v>914</v>
      </c>
      <c r="C69" s="11" t="s">
        <v>3047</v>
      </c>
      <c r="D69" s="166" t="str">
        <f t="shared" si="1"/>
        <v>-</v>
      </c>
      <c r="E69" s="167" t="s">
        <v>3015</v>
      </c>
      <c r="F69" s="167" t="s">
        <v>3015</v>
      </c>
      <c r="G69" s="167" t="s">
        <v>3015</v>
      </c>
      <c r="H69" s="167" t="s">
        <v>3015</v>
      </c>
      <c r="I69" s="167" t="s">
        <v>3015</v>
      </c>
      <c r="J69" s="167" t="s">
        <v>3015</v>
      </c>
      <c r="K69" s="167" t="s">
        <v>3015</v>
      </c>
      <c r="L69" s="167" t="s">
        <v>3015</v>
      </c>
      <c r="M69" s="167" t="s">
        <v>3015</v>
      </c>
      <c r="N69" s="167" t="s">
        <v>3015</v>
      </c>
      <c r="O69" s="167" t="s">
        <v>3015</v>
      </c>
      <c r="P69" s="167" t="s">
        <v>3015</v>
      </c>
      <c r="Q69" s="167" t="s">
        <v>3015</v>
      </c>
      <c r="R69" s="167" t="s">
        <v>3015</v>
      </c>
      <c r="S69" s="167" t="s">
        <v>3015</v>
      </c>
      <c r="T69" s="167" t="s">
        <v>3015</v>
      </c>
      <c r="U69" s="167" t="s">
        <v>3015</v>
      </c>
      <c r="V69" s="167" t="s">
        <v>3015</v>
      </c>
      <c r="W69" s="167" t="s">
        <v>3015</v>
      </c>
      <c r="X69" s="167" t="s">
        <v>3015</v>
      </c>
      <c r="Y69" s="167" t="s">
        <v>3015</v>
      </c>
      <c r="Z69" s="167" t="str">
        <f>_xlfn.IFNA(VLOOKUP(C69,'INFORM Severity - hidden'!$C$5:$G$155,5,FALSE),"-")</f>
        <v>-</v>
      </c>
      <c r="AA69" s="167" t="s">
        <v>3015</v>
      </c>
      <c r="AB69" s="167" t="s">
        <v>3015</v>
      </c>
    </row>
    <row r="70" spans="1:28" x14ac:dyDescent="0.3">
      <c r="A70" s="11" t="s">
        <v>73</v>
      </c>
      <c r="B70" s="11" t="s">
        <v>1188</v>
      </c>
      <c r="C70" s="11" t="s">
        <v>1189</v>
      </c>
      <c r="D70" s="166" t="str">
        <f t="shared" si="1"/>
        <v>Increasing</v>
      </c>
      <c r="E70" s="167" t="s">
        <v>3015</v>
      </c>
      <c r="F70" s="167" t="s">
        <v>3015</v>
      </c>
      <c r="G70" s="167" t="s">
        <v>3015</v>
      </c>
      <c r="H70" s="167">
        <v>0.8</v>
      </c>
      <c r="I70" s="167">
        <v>0.8</v>
      </c>
      <c r="J70" s="167">
        <v>0.8</v>
      </c>
      <c r="K70" s="167">
        <v>0.8</v>
      </c>
      <c r="L70" s="167">
        <v>0.8</v>
      </c>
      <c r="M70" s="167">
        <v>0.8</v>
      </c>
      <c r="N70" s="167">
        <v>0.8</v>
      </c>
      <c r="O70" s="167">
        <v>1.3</v>
      </c>
      <c r="P70" s="167">
        <v>1.3</v>
      </c>
      <c r="Q70" s="167">
        <v>1.2</v>
      </c>
      <c r="R70" s="167">
        <v>1.2</v>
      </c>
      <c r="S70" s="167">
        <v>1</v>
      </c>
      <c r="T70" s="167">
        <v>1</v>
      </c>
      <c r="U70" s="167">
        <v>1</v>
      </c>
      <c r="V70" s="167">
        <v>1</v>
      </c>
      <c r="W70" s="167">
        <v>1</v>
      </c>
      <c r="X70" s="167">
        <v>1</v>
      </c>
      <c r="Y70" s="167">
        <v>1.1000000000000001</v>
      </c>
      <c r="Z70" s="167">
        <f>_xlfn.IFNA(VLOOKUP(C70,'INFORM Severity - hidden'!$C$5:$G$155,5,FALSE),"-")</f>
        <v>1.1000000000000001</v>
      </c>
      <c r="AA70" s="167" t="s">
        <v>3015</v>
      </c>
      <c r="AB70" s="167" t="s">
        <v>3015</v>
      </c>
    </row>
    <row r="71" spans="1:28" x14ac:dyDescent="0.3">
      <c r="A71" s="11" t="s">
        <v>78</v>
      </c>
      <c r="B71" s="11" t="s">
        <v>914</v>
      </c>
      <c r="C71" s="11" t="s">
        <v>3049</v>
      </c>
      <c r="D71" s="166" t="str">
        <f t="shared" si="1"/>
        <v>-</v>
      </c>
      <c r="E71" s="167" t="s">
        <v>3015</v>
      </c>
      <c r="F71" s="167" t="s">
        <v>3015</v>
      </c>
      <c r="G71" s="167" t="s">
        <v>3015</v>
      </c>
      <c r="H71" s="167" t="s">
        <v>3015</v>
      </c>
      <c r="I71" s="167" t="s">
        <v>3015</v>
      </c>
      <c r="J71" s="167" t="s">
        <v>3015</v>
      </c>
      <c r="K71" s="167" t="s">
        <v>3015</v>
      </c>
      <c r="L71" s="167" t="s">
        <v>3015</v>
      </c>
      <c r="M71" s="167" t="s">
        <v>3015</v>
      </c>
      <c r="N71" s="167" t="s">
        <v>3015</v>
      </c>
      <c r="O71" s="167" t="s">
        <v>3015</v>
      </c>
      <c r="P71" s="167" t="s">
        <v>3015</v>
      </c>
      <c r="Q71" s="167" t="s">
        <v>3015</v>
      </c>
      <c r="R71" s="167" t="s">
        <v>3015</v>
      </c>
      <c r="S71" s="167" t="s">
        <v>3015</v>
      </c>
      <c r="T71" s="167" t="s">
        <v>3015</v>
      </c>
      <c r="U71" s="167" t="s">
        <v>3015</v>
      </c>
      <c r="V71" s="167" t="s">
        <v>3015</v>
      </c>
      <c r="W71" s="167" t="s">
        <v>3015</v>
      </c>
      <c r="X71" s="167" t="s">
        <v>3015</v>
      </c>
      <c r="Y71" s="167" t="s">
        <v>3015</v>
      </c>
      <c r="Z71" s="167" t="str">
        <f>_xlfn.IFNA(VLOOKUP(C71,'INFORM Severity - hidden'!$C$5:$G$155,5,FALSE),"-")</f>
        <v>-</v>
      </c>
      <c r="AA71" s="167" t="s">
        <v>3015</v>
      </c>
      <c r="AB71" s="167" t="s">
        <v>3015</v>
      </c>
    </row>
    <row r="72" spans="1:28" x14ac:dyDescent="0.3">
      <c r="A72" s="11" t="s">
        <v>80</v>
      </c>
      <c r="B72" s="11" t="s">
        <v>914</v>
      </c>
      <c r="C72" s="11" t="s">
        <v>3050</v>
      </c>
      <c r="D72" s="166" t="str">
        <f t="shared" si="1"/>
        <v>-</v>
      </c>
      <c r="E72" s="167" t="s">
        <v>3015</v>
      </c>
      <c r="F72" s="167" t="s">
        <v>3015</v>
      </c>
      <c r="G72" s="167" t="s">
        <v>3015</v>
      </c>
      <c r="H72" s="167" t="s">
        <v>3015</v>
      </c>
      <c r="I72" s="167" t="s">
        <v>3015</v>
      </c>
      <c r="J72" s="167" t="s">
        <v>3015</v>
      </c>
      <c r="K72" s="167" t="s">
        <v>3015</v>
      </c>
      <c r="L72" s="167" t="s">
        <v>3015</v>
      </c>
      <c r="M72" s="167" t="s">
        <v>3015</v>
      </c>
      <c r="N72" s="167" t="s">
        <v>3015</v>
      </c>
      <c r="O72" s="167" t="s">
        <v>3015</v>
      </c>
      <c r="P72" s="167" t="s">
        <v>3015</v>
      </c>
      <c r="Q72" s="167" t="s">
        <v>3015</v>
      </c>
      <c r="R72" s="167" t="s">
        <v>3015</v>
      </c>
      <c r="S72" s="167" t="s">
        <v>3015</v>
      </c>
      <c r="T72" s="167" t="s">
        <v>3015</v>
      </c>
      <c r="U72" s="167" t="s">
        <v>3015</v>
      </c>
      <c r="V72" s="167" t="s">
        <v>3015</v>
      </c>
      <c r="W72" s="167" t="s">
        <v>3015</v>
      </c>
      <c r="X72" s="167" t="s">
        <v>3015</v>
      </c>
      <c r="Y72" s="167" t="s">
        <v>3015</v>
      </c>
      <c r="Z72" s="167" t="str">
        <f>_xlfn.IFNA(VLOOKUP(C72,'INFORM Severity - hidden'!$C$5:$G$155,5,FALSE),"-")</f>
        <v>-</v>
      </c>
      <c r="AA72" s="167" t="s">
        <v>3015</v>
      </c>
      <c r="AB72" s="167" t="s">
        <v>3015</v>
      </c>
    </row>
    <row r="73" spans="1:28" x14ac:dyDescent="0.3">
      <c r="A73" s="11" t="s">
        <v>86</v>
      </c>
      <c r="B73" s="11" t="s">
        <v>1161</v>
      </c>
      <c r="C73" s="11" t="s">
        <v>1816</v>
      </c>
      <c r="D73" s="166" t="str">
        <f t="shared" si="1"/>
        <v>Stable</v>
      </c>
      <c r="E73" s="167" t="s">
        <v>3015</v>
      </c>
      <c r="F73" s="167">
        <v>2.6</v>
      </c>
      <c r="G73" s="167">
        <v>2.9</v>
      </c>
      <c r="H73" s="167">
        <v>2.9</v>
      </c>
      <c r="I73" s="167" t="s">
        <v>3015</v>
      </c>
      <c r="J73" s="167" t="s">
        <v>3015</v>
      </c>
      <c r="K73" s="167" t="s">
        <v>3015</v>
      </c>
      <c r="L73" s="167" t="s">
        <v>3015</v>
      </c>
      <c r="M73" s="167" t="s">
        <v>3015</v>
      </c>
      <c r="N73" s="167" t="s">
        <v>3015</v>
      </c>
      <c r="O73" s="167" t="s">
        <v>3015</v>
      </c>
      <c r="P73" s="167">
        <v>2.9</v>
      </c>
      <c r="Q73" s="167">
        <v>2.9</v>
      </c>
      <c r="R73" s="167">
        <v>2.9</v>
      </c>
      <c r="S73" s="167">
        <v>2.9</v>
      </c>
      <c r="T73" s="167">
        <v>2.9</v>
      </c>
      <c r="U73" s="167">
        <v>2.9</v>
      </c>
      <c r="V73" s="167">
        <v>2.9</v>
      </c>
      <c r="W73" s="167">
        <v>2.9</v>
      </c>
      <c r="X73" s="167">
        <v>2.9</v>
      </c>
      <c r="Y73" s="167">
        <v>2.9</v>
      </c>
      <c r="Z73" s="167">
        <f>_xlfn.IFNA(VLOOKUP(C73,'INFORM Severity - hidden'!$C$5:$G$155,5,FALSE),"-")</f>
        <v>2.9</v>
      </c>
      <c r="AA73" s="167" t="s">
        <v>3015</v>
      </c>
      <c r="AB73" s="167" t="s">
        <v>3015</v>
      </c>
    </row>
    <row r="74" spans="1:28" x14ac:dyDescent="0.3">
      <c r="A74" s="11" t="s">
        <v>86</v>
      </c>
      <c r="B74" s="11" t="s">
        <v>1162</v>
      </c>
      <c r="C74" s="11" t="s">
        <v>806</v>
      </c>
      <c r="D74" s="166" t="str">
        <f t="shared" si="1"/>
        <v>Increasing</v>
      </c>
      <c r="E74" s="167" t="s">
        <v>3015</v>
      </c>
      <c r="F74" s="167">
        <v>1.5</v>
      </c>
      <c r="G74" s="167">
        <v>1.5</v>
      </c>
      <c r="H74" s="167">
        <v>1.7</v>
      </c>
      <c r="I74" s="167">
        <v>1.7</v>
      </c>
      <c r="J74" s="167">
        <v>1.7</v>
      </c>
      <c r="K74" s="167">
        <v>1.7</v>
      </c>
      <c r="L74" s="167">
        <v>1.4</v>
      </c>
      <c r="M74" s="167">
        <v>1.4</v>
      </c>
      <c r="N74" s="167">
        <v>1.4</v>
      </c>
      <c r="O74" s="167">
        <v>1.4</v>
      </c>
      <c r="P74" s="167">
        <v>1.4</v>
      </c>
      <c r="Q74" s="167">
        <v>1.4</v>
      </c>
      <c r="R74" s="167">
        <v>1.4</v>
      </c>
      <c r="S74" s="167">
        <v>1.4</v>
      </c>
      <c r="T74" s="167">
        <v>1.4</v>
      </c>
      <c r="U74" s="167">
        <v>1.4</v>
      </c>
      <c r="V74" s="167">
        <v>1.4</v>
      </c>
      <c r="W74" s="167">
        <v>1.4</v>
      </c>
      <c r="X74" s="167">
        <v>1.4</v>
      </c>
      <c r="Y74" s="167">
        <v>1.5</v>
      </c>
      <c r="Z74" s="167">
        <f>_xlfn.IFNA(VLOOKUP(C74,'INFORM Severity - hidden'!$C$5:$G$155,5,FALSE),"-")</f>
        <v>1.5</v>
      </c>
      <c r="AA74" s="167" t="s">
        <v>3015</v>
      </c>
      <c r="AB74" s="167" t="s">
        <v>3015</v>
      </c>
    </row>
    <row r="75" spans="1:28" x14ac:dyDescent="0.3">
      <c r="A75" s="11" t="s">
        <v>86</v>
      </c>
      <c r="B75" s="11" t="s">
        <v>802</v>
      </c>
      <c r="C75" s="11" t="s">
        <v>2922</v>
      </c>
      <c r="D75" s="166" t="str">
        <f t="shared" si="1"/>
        <v>Increasing</v>
      </c>
      <c r="E75" s="167" t="s">
        <v>3015</v>
      </c>
      <c r="F75" s="167">
        <v>2.6</v>
      </c>
      <c r="G75" s="167">
        <v>2.8</v>
      </c>
      <c r="H75" s="167">
        <v>2.8</v>
      </c>
      <c r="I75" s="167">
        <v>2.9</v>
      </c>
      <c r="J75" s="167">
        <v>2.8</v>
      </c>
      <c r="K75" s="167">
        <v>2.8</v>
      </c>
      <c r="L75" s="167">
        <v>2.7</v>
      </c>
      <c r="M75" s="167">
        <v>2.7</v>
      </c>
      <c r="N75" s="167">
        <v>2.8</v>
      </c>
      <c r="O75" s="167">
        <v>2.8</v>
      </c>
      <c r="P75" s="167">
        <v>2.8</v>
      </c>
      <c r="Q75" s="167">
        <v>2.8</v>
      </c>
      <c r="R75" s="167">
        <v>2.8</v>
      </c>
      <c r="S75" s="167">
        <v>2.8</v>
      </c>
      <c r="T75" s="167">
        <v>2.8</v>
      </c>
      <c r="U75" s="167">
        <v>2.8</v>
      </c>
      <c r="V75" s="167">
        <v>2.8</v>
      </c>
      <c r="W75" s="167">
        <v>2.8</v>
      </c>
      <c r="X75" s="167">
        <v>2.8</v>
      </c>
      <c r="Y75" s="167">
        <v>2.9</v>
      </c>
      <c r="Z75" s="167">
        <f>_xlfn.IFNA(VLOOKUP(C75,'INFORM Severity - hidden'!$C$5:$G$155,5,FALSE),"-")</f>
        <v>2.9</v>
      </c>
      <c r="AA75" s="167" t="s">
        <v>3015</v>
      </c>
      <c r="AB75" s="167" t="s">
        <v>3015</v>
      </c>
    </row>
    <row r="76" spans="1:28" x14ac:dyDescent="0.3">
      <c r="A76" s="11" t="s">
        <v>86</v>
      </c>
      <c r="B76" s="11" t="s">
        <v>1817</v>
      </c>
      <c r="C76" s="11" t="s">
        <v>3211</v>
      </c>
      <c r="D76" s="166" t="str">
        <f t="shared" si="1"/>
        <v>-</v>
      </c>
      <c r="E76" s="167" t="s">
        <v>3015</v>
      </c>
      <c r="F76" s="167" t="s">
        <v>3015</v>
      </c>
      <c r="G76" s="167" t="s">
        <v>3015</v>
      </c>
      <c r="H76" s="167" t="s">
        <v>3015</v>
      </c>
      <c r="I76" s="167" t="s">
        <v>3015</v>
      </c>
      <c r="J76" s="167" t="s">
        <v>3015</v>
      </c>
      <c r="K76" s="167" t="s">
        <v>3015</v>
      </c>
      <c r="L76" s="167" t="s">
        <v>3015</v>
      </c>
      <c r="M76" s="167" t="s">
        <v>3015</v>
      </c>
      <c r="N76" s="167" t="s">
        <v>3015</v>
      </c>
      <c r="O76" s="167" t="s">
        <v>3015</v>
      </c>
      <c r="P76" s="167">
        <v>2.2999999999999998</v>
      </c>
      <c r="Q76" s="167">
        <v>2.2999999999999998</v>
      </c>
      <c r="R76" s="167">
        <v>2.2999999999999998</v>
      </c>
      <c r="S76" s="167">
        <v>2.2999999999999998</v>
      </c>
      <c r="T76" s="167">
        <v>2.2999999999999998</v>
      </c>
      <c r="U76" s="167">
        <v>2.2999999999999998</v>
      </c>
      <c r="V76" s="167">
        <v>2.2999999999999998</v>
      </c>
      <c r="W76" s="167">
        <v>2.2999999999999998</v>
      </c>
      <c r="X76" s="167" t="s">
        <v>3015</v>
      </c>
      <c r="Y76" s="167" t="s">
        <v>3015</v>
      </c>
      <c r="Z76" s="167" t="str">
        <f>_xlfn.IFNA(VLOOKUP(C76,'INFORM Severity - hidden'!$C$5:$G$155,5,FALSE),"-")</f>
        <v>-</v>
      </c>
      <c r="AA76" s="167" t="s">
        <v>3015</v>
      </c>
      <c r="AB76" s="167" t="s">
        <v>3015</v>
      </c>
    </row>
    <row r="77" spans="1:28" x14ac:dyDescent="0.3">
      <c r="A77" s="11" t="s">
        <v>88</v>
      </c>
      <c r="B77" s="11" t="s">
        <v>914</v>
      </c>
      <c r="C77" s="11" t="s">
        <v>3051</v>
      </c>
      <c r="D77" s="166" t="str">
        <f t="shared" si="1"/>
        <v>-</v>
      </c>
      <c r="E77" s="167" t="s">
        <v>3015</v>
      </c>
      <c r="F77" s="167" t="s">
        <v>3015</v>
      </c>
      <c r="G77" s="167" t="s">
        <v>3015</v>
      </c>
      <c r="H77" s="167" t="s">
        <v>3015</v>
      </c>
      <c r="I77" s="167" t="s">
        <v>3015</v>
      </c>
      <c r="J77" s="167" t="s">
        <v>3015</v>
      </c>
      <c r="K77" s="167" t="s">
        <v>3015</v>
      </c>
      <c r="L77" s="167" t="s">
        <v>3015</v>
      </c>
      <c r="M77" s="167" t="s">
        <v>3015</v>
      </c>
      <c r="N77" s="167" t="s">
        <v>3015</v>
      </c>
      <c r="O77" s="167" t="s">
        <v>3015</v>
      </c>
      <c r="P77" s="167" t="s">
        <v>3015</v>
      </c>
      <c r="Q77" s="167" t="s">
        <v>3015</v>
      </c>
      <c r="R77" s="167" t="s">
        <v>3015</v>
      </c>
      <c r="S77" s="167" t="s">
        <v>3015</v>
      </c>
      <c r="T77" s="167" t="s">
        <v>3015</v>
      </c>
      <c r="U77" s="167" t="s">
        <v>3015</v>
      </c>
      <c r="V77" s="167" t="s">
        <v>3015</v>
      </c>
      <c r="W77" s="167" t="s">
        <v>3015</v>
      </c>
      <c r="X77" s="167" t="s">
        <v>3015</v>
      </c>
      <c r="Y77" s="167" t="s">
        <v>3015</v>
      </c>
      <c r="Z77" s="167" t="str">
        <f>_xlfn.IFNA(VLOOKUP(C77,'INFORM Severity - hidden'!$C$5:$G$155,5,FALSE),"-")</f>
        <v>-</v>
      </c>
      <c r="AA77" s="167" t="s">
        <v>3015</v>
      </c>
      <c r="AB77" s="167" t="s">
        <v>3015</v>
      </c>
    </row>
    <row r="78" spans="1:28" x14ac:dyDescent="0.3">
      <c r="A78" s="11" t="s">
        <v>90</v>
      </c>
      <c r="B78" s="11" t="s">
        <v>914</v>
      </c>
      <c r="C78" s="11" t="s">
        <v>3052</v>
      </c>
      <c r="D78" s="166" t="str">
        <f t="shared" si="1"/>
        <v>-</v>
      </c>
      <c r="E78" s="167" t="s">
        <v>3015</v>
      </c>
      <c r="F78" s="167" t="s">
        <v>3015</v>
      </c>
      <c r="G78" s="167" t="s">
        <v>3015</v>
      </c>
      <c r="H78" s="167" t="s">
        <v>3015</v>
      </c>
      <c r="I78" s="167" t="s">
        <v>3015</v>
      </c>
      <c r="J78" s="167" t="s">
        <v>3015</v>
      </c>
      <c r="K78" s="167" t="s">
        <v>3015</v>
      </c>
      <c r="L78" s="167" t="s">
        <v>3015</v>
      </c>
      <c r="M78" s="167" t="s">
        <v>3015</v>
      </c>
      <c r="N78" s="167" t="s">
        <v>3015</v>
      </c>
      <c r="O78" s="167" t="s">
        <v>3015</v>
      </c>
      <c r="P78" s="167" t="s">
        <v>3015</v>
      </c>
      <c r="Q78" s="167" t="s">
        <v>3015</v>
      </c>
      <c r="R78" s="167" t="s">
        <v>3015</v>
      </c>
      <c r="S78" s="167" t="s">
        <v>3015</v>
      </c>
      <c r="T78" s="167" t="s">
        <v>3015</v>
      </c>
      <c r="U78" s="167" t="s">
        <v>3015</v>
      </c>
      <c r="V78" s="167" t="s">
        <v>3015</v>
      </c>
      <c r="W78" s="167" t="s">
        <v>3015</v>
      </c>
      <c r="X78" s="167" t="s">
        <v>3015</v>
      </c>
      <c r="Y78" s="167" t="s">
        <v>3015</v>
      </c>
      <c r="Z78" s="167" t="str">
        <f>_xlfn.IFNA(VLOOKUP(C78,'INFORM Severity - hidden'!$C$5:$G$155,5,FALSE),"-")</f>
        <v>-</v>
      </c>
      <c r="AA78" s="167" t="s">
        <v>3015</v>
      </c>
      <c r="AB78" s="167" t="s">
        <v>3015</v>
      </c>
    </row>
    <row r="79" spans="1:28" x14ac:dyDescent="0.3">
      <c r="A79" s="11" t="s">
        <v>5</v>
      </c>
      <c r="B79" s="11" t="s">
        <v>1155</v>
      </c>
      <c r="C79" s="11" t="s">
        <v>3017</v>
      </c>
      <c r="D79" s="166" t="str">
        <f t="shared" si="1"/>
        <v>-</v>
      </c>
      <c r="E79" s="167" t="s">
        <v>3015</v>
      </c>
      <c r="F79" s="167">
        <v>2.4</v>
      </c>
      <c r="G79" s="167">
        <v>2.4</v>
      </c>
      <c r="H79" s="167">
        <v>1.9</v>
      </c>
      <c r="I79" s="167" t="s">
        <v>3015</v>
      </c>
      <c r="J79" s="167" t="s">
        <v>3015</v>
      </c>
      <c r="K79" s="167" t="s">
        <v>3015</v>
      </c>
      <c r="L79" s="167" t="s">
        <v>3015</v>
      </c>
      <c r="M79" s="167" t="s">
        <v>3015</v>
      </c>
      <c r="N79" s="167" t="s">
        <v>3015</v>
      </c>
      <c r="O79" s="167" t="s">
        <v>3015</v>
      </c>
      <c r="P79" s="167" t="s">
        <v>3015</v>
      </c>
      <c r="Q79" s="167" t="s">
        <v>3015</v>
      </c>
      <c r="R79" s="167" t="s">
        <v>3015</v>
      </c>
      <c r="S79" s="167" t="s">
        <v>3015</v>
      </c>
      <c r="T79" s="167" t="s">
        <v>3015</v>
      </c>
      <c r="U79" s="167" t="s">
        <v>3015</v>
      </c>
      <c r="V79" s="167" t="s">
        <v>3015</v>
      </c>
      <c r="W79" s="167" t="s">
        <v>3015</v>
      </c>
      <c r="X79" s="167" t="s">
        <v>3015</v>
      </c>
      <c r="Y79" s="167" t="s">
        <v>3015</v>
      </c>
      <c r="Z79" s="167" t="str">
        <f>_xlfn.IFNA(VLOOKUP(C79,'INFORM Severity - hidden'!$C$5:$G$155,5,FALSE),"-")</f>
        <v>-</v>
      </c>
      <c r="AA79" s="167" t="s">
        <v>3015</v>
      </c>
      <c r="AB79" s="167" t="s">
        <v>3015</v>
      </c>
    </row>
    <row r="80" spans="1:28" x14ac:dyDescent="0.3">
      <c r="A80" s="11" t="s">
        <v>5</v>
      </c>
      <c r="B80" s="11" t="s">
        <v>793</v>
      </c>
      <c r="C80" s="11" t="s">
        <v>685</v>
      </c>
      <c r="D80" s="166" t="str">
        <f t="shared" si="1"/>
        <v>-</v>
      </c>
      <c r="E80" s="167" t="s">
        <v>3015</v>
      </c>
      <c r="F80" s="167" t="s">
        <v>393</v>
      </c>
      <c r="G80" s="167" t="s">
        <v>393</v>
      </c>
      <c r="H80" s="167" t="s">
        <v>393</v>
      </c>
      <c r="I80" s="167" t="s">
        <v>393</v>
      </c>
      <c r="J80" s="167" t="s">
        <v>393</v>
      </c>
      <c r="K80" s="167" t="s">
        <v>393</v>
      </c>
      <c r="L80" s="167" t="s">
        <v>393</v>
      </c>
      <c r="M80" s="167" t="s">
        <v>393</v>
      </c>
      <c r="N80" s="167" t="s">
        <v>393</v>
      </c>
      <c r="O80" s="167" t="s">
        <v>393</v>
      </c>
      <c r="P80" s="167" t="s">
        <v>393</v>
      </c>
      <c r="Q80" s="167" t="s">
        <v>393</v>
      </c>
      <c r="R80" s="167" t="s">
        <v>393</v>
      </c>
      <c r="S80" s="167" t="s">
        <v>393</v>
      </c>
      <c r="T80" s="167" t="s">
        <v>393</v>
      </c>
      <c r="U80" s="167" t="s">
        <v>393</v>
      </c>
      <c r="V80" s="167" t="s">
        <v>393</v>
      </c>
      <c r="W80" s="167" t="s">
        <v>393</v>
      </c>
      <c r="X80" s="167" t="s">
        <v>393</v>
      </c>
      <c r="Y80" s="167" t="s">
        <v>393</v>
      </c>
      <c r="Z80" s="167" t="str">
        <f>_xlfn.IFNA(VLOOKUP(C80,'INFORM Severity - hidden'!$C$5:$G$155,5,FALSE),"-")</f>
        <v>x</v>
      </c>
      <c r="AA80" s="167" t="s">
        <v>3015</v>
      </c>
      <c r="AB80" s="167" t="s">
        <v>3015</v>
      </c>
    </row>
    <row r="81" spans="1:28" x14ac:dyDescent="0.3">
      <c r="A81" s="11" t="s">
        <v>5</v>
      </c>
      <c r="B81" s="11" t="s">
        <v>862</v>
      </c>
      <c r="C81" s="11" t="s">
        <v>864</v>
      </c>
      <c r="D81" s="166" t="str">
        <f t="shared" si="1"/>
        <v>Stable</v>
      </c>
      <c r="E81" s="167" t="s">
        <v>3015</v>
      </c>
      <c r="F81" s="167">
        <v>2.2000000000000002</v>
      </c>
      <c r="G81" s="167">
        <v>2.2000000000000002</v>
      </c>
      <c r="H81" s="167">
        <v>1.6</v>
      </c>
      <c r="I81" s="167">
        <v>1.6</v>
      </c>
      <c r="J81" s="167">
        <v>1.6</v>
      </c>
      <c r="K81" s="167">
        <v>1.6</v>
      </c>
      <c r="L81" s="167">
        <v>1.6</v>
      </c>
      <c r="M81" s="167">
        <v>1.6</v>
      </c>
      <c r="N81" s="167">
        <v>1.6</v>
      </c>
      <c r="O81" s="167">
        <v>2.2000000000000002</v>
      </c>
      <c r="P81" s="167">
        <v>2.2000000000000002</v>
      </c>
      <c r="Q81" s="167">
        <v>2.2000000000000002</v>
      </c>
      <c r="R81" s="167">
        <v>2.2000000000000002</v>
      </c>
      <c r="S81" s="167">
        <v>2.2000000000000002</v>
      </c>
      <c r="T81" s="167">
        <v>2.2000000000000002</v>
      </c>
      <c r="U81" s="167">
        <v>2.2000000000000002</v>
      </c>
      <c r="V81" s="167">
        <v>2.2000000000000002</v>
      </c>
      <c r="W81" s="167">
        <v>2.2000000000000002</v>
      </c>
      <c r="X81" s="167">
        <v>2.2000000000000002</v>
      </c>
      <c r="Y81" s="167">
        <v>2.2000000000000002</v>
      </c>
      <c r="Z81" s="167">
        <f>_xlfn.IFNA(VLOOKUP(C81,'INFORM Severity - hidden'!$C$5:$G$155,5,FALSE),"-")</f>
        <v>2.2000000000000002</v>
      </c>
      <c r="AA81" s="167" t="s">
        <v>3015</v>
      </c>
      <c r="AB81" s="167" t="s">
        <v>3015</v>
      </c>
    </row>
    <row r="82" spans="1:28" x14ac:dyDescent="0.3">
      <c r="A82" s="11" t="s">
        <v>5</v>
      </c>
      <c r="B82" s="11" t="s">
        <v>1155</v>
      </c>
      <c r="C82" s="11" t="s">
        <v>2586</v>
      </c>
      <c r="D82" s="166" t="str">
        <f t="shared" si="1"/>
        <v>-</v>
      </c>
      <c r="E82" s="167" t="s">
        <v>3015</v>
      </c>
      <c r="F82" s="167" t="s">
        <v>3015</v>
      </c>
      <c r="G82" s="167" t="s">
        <v>3015</v>
      </c>
      <c r="H82" s="167" t="s">
        <v>3015</v>
      </c>
      <c r="I82" s="167" t="s">
        <v>3015</v>
      </c>
      <c r="J82" s="167" t="s">
        <v>3015</v>
      </c>
      <c r="K82" s="167" t="s">
        <v>3015</v>
      </c>
      <c r="L82" s="167" t="s">
        <v>3015</v>
      </c>
      <c r="M82" s="167" t="s">
        <v>3015</v>
      </c>
      <c r="N82" s="167" t="s">
        <v>3015</v>
      </c>
      <c r="O82" s="167" t="s">
        <v>3015</v>
      </c>
      <c r="P82" s="167" t="s">
        <v>3015</v>
      </c>
      <c r="Q82" s="167" t="s">
        <v>3015</v>
      </c>
      <c r="R82" s="167" t="s">
        <v>3015</v>
      </c>
      <c r="S82" s="167" t="s">
        <v>3015</v>
      </c>
      <c r="T82" s="167" t="s">
        <v>3015</v>
      </c>
      <c r="U82" s="167" t="s">
        <v>3015</v>
      </c>
      <c r="V82" s="167" t="s">
        <v>393</v>
      </c>
      <c r="W82" s="167" t="s">
        <v>393</v>
      </c>
      <c r="X82" s="167" t="s">
        <v>393</v>
      </c>
      <c r="Y82" s="167" t="s">
        <v>393</v>
      </c>
      <c r="Z82" s="167" t="str">
        <f>_xlfn.IFNA(VLOOKUP(C82,'INFORM Severity - hidden'!$C$5:$G$155,5,FALSE),"-")</f>
        <v>x</v>
      </c>
      <c r="AA82" s="167" t="s">
        <v>3015</v>
      </c>
      <c r="AB82" s="167" t="s">
        <v>3015</v>
      </c>
    </row>
    <row r="83" spans="1:28" x14ac:dyDescent="0.3">
      <c r="A83" s="11" t="s">
        <v>93</v>
      </c>
      <c r="B83" s="11" t="s">
        <v>914</v>
      </c>
      <c r="C83" s="11" t="s">
        <v>3053</v>
      </c>
      <c r="D83" s="166" t="str">
        <f t="shared" si="1"/>
        <v>-</v>
      </c>
      <c r="E83" s="167" t="s">
        <v>3015</v>
      </c>
      <c r="F83" s="167" t="s">
        <v>3015</v>
      </c>
      <c r="G83" s="167" t="s">
        <v>3015</v>
      </c>
      <c r="H83" s="167" t="s">
        <v>3015</v>
      </c>
      <c r="I83" s="167" t="s">
        <v>3015</v>
      </c>
      <c r="J83" s="167" t="s">
        <v>3015</v>
      </c>
      <c r="K83" s="167" t="s">
        <v>3015</v>
      </c>
      <c r="L83" s="167" t="s">
        <v>3015</v>
      </c>
      <c r="M83" s="167" t="s">
        <v>3015</v>
      </c>
      <c r="N83" s="167" t="s">
        <v>3015</v>
      </c>
      <c r="O83" s="167" t="s">
        <v>3015</v>
      </c>
      <c r="P83" s="167" t="s">
        <v>3015</v>
      </c>
      <c r="Q83" s="167" t="s">
        <v>3015</v>
      </c>
      <c r="R83" s="167" t="s">
        <v>3015</v>
      </c>
      <c r="S83" s="167" t="s">
        <v>3015</v>
      </c>
      <c r="T83" s="167" t="s">
        <v>3015</v>
      </c>
      <c r="U83" s="167" t="s">
        <v>3015</v>
      </c>
      <c r="V83" s="167" t="s">
        <v>3015</v>
      </c>
      <c r="W83" s="167" t="s">
        <v>3015</v>
      </c>
      <c r="X83" s="167" t="s">
        <v>3015</v>
      </c>
      <c r="Y83" s="167" t="s">
        <v>3015</v>
      </c>
      <c r="Z83" s="167" t="str">
        <f>_xlfn.IFNA(VLOOKUP(C83,'INFORM Severity - hidden'!$C$5:$G$155,5,FALSE),"-")</f>
        <v>-</v>
      </c>
      <c r="AA83" s="167" t="s">
        <v>3015</v>
      </c>
      <c r="AB83" s="167" t="s">
        <v>3015</v>
      </c>
    </row>
    <row r="84" spans="1:28" x14ac:dyDescent="0.3">
      <c r="A84" s="11" t="s">
        <v>93</v>
      </c>
      <c r="B84" s="11" t="s">
        <v>769</v>
      </c>
      <c r="C84" s="11" t="s">
        <v>666</v>
      </c>
      <c r="D84" s="166" t="str">
        <f t="shared" si="1"/>
        <v>Stable</v>
      </c>
      <c r="E84" s="167" t="s">
        <v>3015</v>
      </c>
      <c r="F84" s="167">
        <v>2.1</v>
      </c>
      <c r="G84" s="167">
        <v>2.1</v>
      </c>
      <c r="H84" s="167">
        <v>2.2999999999999998</v>
      </c>
      <c r="I84" s="167">
        <v>2.2999999999999998</v>
      </c>
      <c r="J84" s="167">
        <v>2.4</v>
      </c>
      <c r="K84" s="167">
        <v>2.2999999999999998</v>
      </c>
      <c r="L84" s="167">
        <v>2.2999999999999998</v>
      </c>
      <c r="M84" s="167">
        <v>2.2999999999999998</v>
      </c>
      <c r="N84" s="167">
        <v>2.2999999999999998</v>
      </c>
      <c r="O84" s="167">
        <v>2.2999999999999998</v>
      </c>
      <c r="P84" s="167">
        <v>2.2999999999999998</v>
      </c>
      <c r="Q84" s="167">
        <v>2.4</v>
      </c>
      <c r="R84" s="167">
        <v>2.4</v>
      </c>
      <c r="S84" s="167">
        <v>2.5</v>
      </c>
      <c r="T84" s="167">
        <v>2.4</v>
      </c>
      <c r="U84" s="167">
        <v>2.4</v>
      </c>
      <c r="V84" s="167">
        <v>2.4</v>
      </c>
      <c r="W84" s="167">
        <v>2.4</v>
      </c>
      <c r="X84" s="167">
        <v>2.4</v>
      </c>
      <c r="Y84" s="167">
        <v>2.4</v>
      </c>
      <c r="Z84" s="167">
        <f>_xlfn.IFNA(VLOOKUP(C84,'INFORM Severity - hidden'!$C$5:$G$155,5,FALSE),"-")</f>
        <v>2.4</v>
      </c>
      <c r="AA84" s="167" t="s">
        <v>3015</v>
      </c>
      <c r="AB84" s="167" t="s">
        <v>3015</v>
      </c>
    </row>
    <row r="85" spans="1:28" x14ac:dyDescent="0.3">
      <c r="A85" s="11" t="s">
        <v>95</v>
      </c>
      <c r="B85" s="11" t="s">
        <v>914</v>
      </c>
      <c r="C85" s="11" t="s">
        <v>3054</v>
      </c>
      <c r="D85" s="166" t="str">
        <f t="shared" si="1"/>
        <v>-</v>
      </c>
      <c r="E85" s="167" t="s">
        <v>3015</v>
      </c>
      <c r="F85" s="167" t="s">
        <v>3015</v>
      </c>
      <c r="G85" s="167" t="s">
        <v>3015</v>
      </c>
      <c r="H85" s="167" t="s">
        <v>3015</v>
      </c>
      <c r="I85" s="167" t="s">
        <v>3015</v>
      </c>
      <c r="J85" s="167" t="s">
        <v>3015</v>
      </c>
      <c r="K85" s="167" t="s">
        <v>3015</v>
      </c>
      <c r="L85" s="167" t="s">
        <v>3015</v>
      </c>
      <c r="M85" s="167" t="s">
        <v>3015</v>
      </c>
      <c r="N85" s="167" t="s">
        <v>3015</v>
      </c>
      <c r="O85" s="167" t="s">
        <v>3015</v>
      </c>
      <c r="P85" s="167" t="s">
        <v>3015</v>
      </c>
      <c r="Q85" s="167" t="s">
        <v>3015</v>
      </c>
      <c r="R85" s="167" t="s">
        <v>3015</v>
      </c>
      <c r="S85" s="167" t="s">
        <v>3015</v>
      </c>
      <c r="T85" s="167" t="s">
        <v>3015</v>
      </c>
      <c r="U85" s="167" t="s">
        <v>3015</v>
      </c>
      <c r="V85" s="167" t="s">
        <v>3015</v>
      </c>
      <c r="W85" s="167" t="s">
        <v>3015</v>
      </c>
      <c r="X85" s="167" t="s">
        <v>3015</v>
      </c>
      <c r="Y85" s="167" t="s">
        <v>3015</v>
      </c>
      <c r="Z85" s="167" t="str">
        <f>_xlfn.IFNA(VLOOKUP(C85,'INFORM Severity - hidden'!$C$5:$G$155,5,FALSE),"-")</f>
        <v>-</v>
      </c>
      <c r="AA85" s="167" t="s">
        <v>3015</v>
      </c>
      <c r="AB85" s="167" t="s">
        <v>3015</v>
      </c>
    </row>
    <row r="86" spans="1:28" x14ac:dyDescent="0.3">
      <c r="A86" s="11" t="s">
        <v>95</v>
      </c>
      <c r="B86" s="11" t="s">
        <v>799</v>
      </c>
      <c r="C86" s="11" t="s">
        <v>689</v>
      </c>
      <c r="D86" s="166" t="str">
        <f t="shared" si="1"/>
        <v>Stable</v>
      </c>
      <c r="E86" s="167" t="s">
        <v>3015</v>
      </c>
      <c r="F86" s="167" t="s">
        <v>3015</v>
      </c>
      <c r="G86" s="167" t="s">
        <v>3015</v>
      </c>
      <c r="H86" s="167">
        <v>1.7</v>
      </c>
      <c r="I86" s="167">
        <v>1.7</v>
      </c>
      <c r="J86" s="167">
        <v>1.7</v>
      </c>
      <c r="K86" s="167">
        <v>1.7</v>
      </c>
      <c r="L86" s="167">
        <v>1.7</v>
      </c>
      <c r="M86" s="167">
        <v>1.7</v>
      </c>
      <c r="N86" s="167">
        <v>1.7</v>
      </c>
      <c r="O86" s="167">
        <v>1.7</v>
      </c>
      <c r="P86" s="167">
        <v>1.7</v>
      </c>
      <c r="Q86" s="167">
        <v>1.7</v>
      </c>
      <c r="R86" s="167">
        <v>1.7</v>
      </c>
      <c r="S86" s="167">
        <v>1.7</v>
      </c>
      <c r="T86" s="167">
        <v>2.1</v>
      </c>
      <c r="U86" s="167">
        <v>2.1</v>
      </c>
      <c r="V86" s="167">
        <v>2.2000000000000002</v>
      </c>
      <c r="W86" s="167">
        <v>2.2000000000000002</v>
      </c>
      <c r="X86" s="167">
        <v>2.2000000000000002</v>
      </c>
      <c r="Y86" s="167">
        <v>2.2000000000000002</v>
      </c>
      <c r="Z86" s="167">
        <f>_xlfn.IFNA(VLOOKUP(C86,'INFORM Severity - hidden'!$C$5:$G$155,5,FALSE),"-")</f>
        <v>2.2000000000000002</v>
      </c>
      <c r="AA86" s="167" t="s">
        <v>3015</v>
      </c>
      <c r="AB86" s="167" t="s">
        <v>3015</v>
      </c>
    </row>
    <row r="87" spans="1:28" x14ac:dyDescent="0.3">
      <c r="A87" s="11" t="s">
        <v>101</v>
      </c>
      <c r="B87" s="11" t="s">
        <v>1084</v>
      </c>
      <c r="C87" s="11" t="s">
        <v>2916</v>
      </c>
      <c r="D87" s="166" t="str">
        <f t="shared" si="1"/>
        <v>Stable</v>
      </c>
      <c r="E87" s="167" t="s">
        <v>3015</v>
      </c>
      <c r="F87" s="167" t="s">
        <v>3015</v>
      </c>
      <c r="G87" s="167" t="s">
        <v>3015</v>
      </c>
      <c r="H87" s="167">
        <v>3.8</v>
      </c>
      <c r="I87" s="167">
        <v>3.8</v>
      </c>
      <c r="J87" s="167">
        <v>3.8</v>
      </c>
      <c r="K87" s="167">
        <v>3.8</v>
      </c>
      <c r="L87" s="167">
        <v>3.8</v>
      </c>
      <c r="M87" s="167">
        <v>3.8</v>
      </c>
      <c r="N87" s="167">
        <v>3.8</v>
      </c>
      <c r="O87" s="167">
        <v>3.8</v>
      </c>
      <c r="P87" s="167">
        <v>3.8</v>
      </c>
      <c r="Q87" s="167">
        <v>3.8</v>
      </c>
      <c r="R87" s="167">
        <v>3.8</v>
      </c>
      <c r="S87" s="167">
        <v>3.8</v>
      </c>
      <c r="T87" s="167">
        <v>3.8</v>
      </c>
      <c r="U87" s="167">
        <v>3.8</v>
      </c>
      <c r="V87" s="167">
        <v>3.8</v>
      </c>
      <c r="W87" s="167">
        <v>3.8</v>
      </c>
      <c r="X87" s="167">
        <v>3.8</v>
      </c>
      <c r="Y87" s="167">
        <v>3.8</v>
      </c>
      <c r="Z87" s="167">
        <f>_xlfn.IFNA(VLOOKUP(C87,'INFORM Severity - hidden'!$C$5:$G$155,5,FALSE),"-")</f>
        <v>3.7</v>
      </c>
      <c r="AA87" s="167" t="s">
        <v>3015</v>
      </c>
      <c r="AB87" s="167" t="s">
        <v>3015</v>
      </c>
    </row>
    <row r="88" spans="1:28" x14ac:dyDescent="0.3">
      <c r="A88" s="11" t="s">
        <v>101</v>
      </c>
      <c r="B88" s="11" t="s">
        <v>1293</v>
      </c>
      <c r="C88" s="11" t="s">
        <v>3191</v>
      </c>
      <c r="D88" s="166" t="str">
        <f t="shared" si="1"/>
        <v>-</v>
      </c>
      <c r="E88" s="167" t="s">
        <v>3015</v>
      </c>
      <c r="F88" s="167" t="s">
        <v>3015</v>
      </c>
      <c r="G88" s="167" t="s">
        <v>3015</v>
      </c>
      <c r="H88" s="167" t="s">
        <v>3015</v>
      </c>
      <c r="I88" s="167" t="s">
        <v>3015</v>
      </c>
      <c r="J88" s="167" t="s">
        <v>3015</v>
      </c>
      <c r="K88" s="167" t="s">
        <v>3015</v>
      </c>
      <c r="L88" s="167" t="s">
        <v>3015</v>
      </c>
      <c r="M88" s="167" t="s">
        <v>3015</v>
      </c>
      <c r="N88" s="167" t="s">
        <v>3015</v>
      </c>
      <c r="O88" s="167" t="s">
        <v>3015</v>
      </c>
      <c r="P88" s="167" t="s">
        <v>3015</v>
      </c>
      <c r="Q88" s="167" t="s">
        <v>3015</v>
      </c>
      <c r="R88" s="167" t="s">
        <v>3015</v>
      </c>
      <c r="S88" s="167" t="s">
        <v>3015</v>
      </c>
      <c r="T88" s="167" t="s">
        <v>3015</v>
      </c>
      <c r="U88" s="167" t="s">
        <v>3015</v>
      </c>
      <c r="V88" s="167" t="s">
        <v>3015</v>
      </c>
      <c r="W88" s="167" t="s">
        <v>3015</v>
      </c>
      <c r="X88" s="167" t="s">
        <v>3015</v>
      </c>
      <c r="Y88" s="167" t="s">
        <v>3015</v>
      </c>
      <c r="Z88" s="167" t="str">
        <f>_xlfn.IFNA(VLOOKUP(C88,'INFORM Severity - hidden'!$C$5:$G$155,5,FALSE),"-")</f>
        <v>-</v>
      </c>
      <c r="AA88" s="167" t="s">
        <v>3015</v>
      </c>
      <c r="AB88" s="167" t="s">
        <v>3015</v>
      </c>
    </row>
    <row r="89" spans="1:28" x14ac:dyDescent="0.3">
      <c r="A89" s="11" t="s">
        <v>3144</v>
      </c>
      <c r="B89" s="11" t="s">
        <v>914</v>
      </c>
      <c r="C89" s="11" t="s">
        <v>3145</v>
      </c>
      <c r="D89" s="166" t="str">
        <f t="shared" si="1"/>
        <v>-</v>
      </c>
      <c r="E89" s="167" t="s">
        <v>3015</v>
      </c>
      <c r="F89" s="167" t="s">
        <v>3015</v>
      </c>
      <c r="G89" s="167" t="s">
        <v>3015</v>
      </c>
      <c r="H89" s="167" t="s">
        <v>3015</v>
      </c>
      <c r="I89" s="167" t="s">
        <v>3015</v>
      </c>
      <c r="J89" s="167" t="s">
        <v>3015</v>
      </c>
      <c r="K89" s="167" t="s">
        <v>3015</v>
      </c>
      <c r="L89" s="167" t="s">
        <v>3015</v>
      </c>
      <c r="M89" s="167" t="s">
        <v>3015</v>
      </c>
      <c r="N89" s="167" t="s">
        <v>3015</v>
      </c>
      <c r="O89" s="167" t="s">
        <v>3015</v>
      </c>
      <c r="P89" s="167" t="s">
        <v>3015</v>
      </c>
      <c r="Q89" s="167" t="s">
        <v>3015</v>
      </c>
      <c r="R89" s="167" t="s">
        <v>3015</v>
      </c>
      <c r="S89" s="167" t="s">
        <v>3015</v>
      </c>
      <c r="T89" s="167" t="s">
        <v>3015</v>
      </c>
      <c r="U89" s="167" t="s">
        <v>3015</v>
      </c>
      <c r="V89" s="167" t="s">
        <v>3015</v>
      </c>
      <c r="W89" s="167" t="s">
        <v>3015</v>
      </c>
      <c r="X89" s="167" t="s">
        <v>3015</v>
      </c>
      <c r="Y89" s="167" t="s">
        <v>3015</v>
      </c>
      <c r="Z89" s="167" t="str">
        <f>_xlfn.IFNA(VLOOKUP(C89,'INFORM Severity - hidden'!$C$5:$G$155,5,FALSE),"-")</f>
        <v>-</v>
      </c>
      <c r="AA89" s="167" t="s">
        <v>3015</v>
      </c>
      <c r="AB89" s="167" t="s">
        <v>3015</v>
      </c>
    </row>
    <row r="90" spans="1:28" x14ac:dyDescent="0.3">
      <c r="A90" s="11" t="s">
        <v>301</v>
      </c>
      <c r="B90" s="11" t="s">
        <v>914</v>
      </c>
      <c r="C90" s="11" t="s">
        <v>3118</v>
      </c>
      <c r="D90" s="166" t="str">
        <f t="shared" si="1"/>
        <v>-</v>
      </c>
      <c r="E90" s="167" t="s">
        <v>3015</v>
      </c>
      <c r="F90" s="167" t="s">
        <v>3015</v>
      </c>
      <c r="G90" s="167" t="s">
        <v>3015</v>
      </c>
      <c r="H90" s="167" t="s">
        <v>3015</v>
      </c>
      <c r="I90" s="167" t="s">
        <v>3015</v>
      </c>
      <c r="J90" s="167" t="s">
        <v>3015</v>
      </c>
      <c r="K90" s="167" t="s">
        <v>3015</v>
      </c>
      <c r="L90" s="167" t="s">
        <v>3015</v>
      </c>
      <c r="M90" s="167" t="s">
        <v>3015</v>
      </c>
      <c r="N90" s="167" t="s">
        <v>3015</v>
      </c>
      <c r="O90" s="167" t="s">
        <v>3015</v>
      </c>
      <c r="P90" s="167" t="s">
        <v>3015</v>
      </c>
      <c r="Q90" s="167" t="s">
        <v>3015</v>
      </c>
      <c r="R90" s="167" t="s">
        <v>3015</v>
      </c>
      <c r="S90" s="167" t="s">
        <v>3015</v>
      </c>
      <c r="T90" s="167" t="s">
        <v>3015</v>
      </c>
      <c r="U90" s="167" t="s">
        <v>3015</v>
      </c>
      <c r="V90" s="167" t="s">
        <v>3015</v>
      </c>
      <c r="W90" s="167" t="s">
        <v>3015</v>
      </c>
      <c r="X90" s="167" t="s">
        <v>3015</v>
      </c>
      <c r="Y90" s="167" t="s">
        <v>3015</v>
      </c>
      <c r="Z90" s="167" t="str">
        <f>_xlfn.IFNA(VLOOKUP(C90,'INFORM Severity - hidden'!$C$5:$G$155,5,FALSE),"-")</f>
        <v>-</v>
      </c>
      <c r="AA90" s="167" t="s">
        <v>3015</v>
      </c>
      <c r="AB90" s="167" t="s">
        <v>3015</v>
      </c>
    </row>
    <row r="91" spans="1:28" x14ac:dyDescent="0.3">
      <c r="A91" s="11" t="s">
        <v>301</v>
      </c>
      <c r="B91" s="11" t="s">
        <v>3170</v>
      </c>
      <c r="C91" s="11" t="s">
        <v>3171</v>
      </c>
      <c r="D91" s="166" t="str">
        <f t="shared" si="1"/>
        <v>-</v>
      </c>
      <c r="E91" s="167" t="s">
        <v>3015</v>
      </c>
      <c r="F91" s="167">
        <v>1.2</v>
      </c>
      <c r="G91" s="167">
        <v>1.2</v>
      </c>
      <c r="H91" s="167" t="s">
        <v>3015</v>
      </c>
      <c r="I91" s="167" t="s">
        <v>3015</v>
      </c>
      <c r="J91" s="167" t="s">
        <v>3015</v>
      </c>
      <c r="K91" s="167" t="s">
        <v>3015</v>
      </c>
      <c r="L91" s="167" t="s">
        <v>3015</v>
      </c>
      <c r="M91" s="167" t="s">
        <v>3015</v>
      </c>
      <c r="N91" s="167" t="s">
        <v>3015</v>
      </c>
      <c r="O91" s="167" t="s">
        <v>3015</v>
      </c>
      <c r="P91" s="167" t="s">
        <v>3015</v>
      </c>
      <c r="Q91" s="167" t="s">
        <v>3015</v>
      </c>
      <c r="R91" s="167" t="s">
        <v>3015</v>
      </c>
      <c r="S91" s="167" t="s">
        <v>3015</v>
      </c>
      <c r="T91" s="167" t="s">
        <v>3015</v>
      </c>
      <c r="U91" s="167" t="s">
        <v>3015</v>
      </c>
      <c r="V91" s="167" t="s">
        <v>3015</v>
      </c>
      <c r="W91" s="167" t="s">
        <v>3015</v>
      </c>
      <c r="X91" s="167" t="s">
        <v>3015</v>
      </c>
      <c r="Y91" s="167" t="s">
        <v>3015</v>
      </c>
      <c r="Z91" s="167" t="str">
        <f>_xlfn.IFNA(VLOOKUP(C91,'INFORM Severity - hidden'!$C$5:$G$155,5,FALSE),"-")</f>
        <v>-</v>
      </c>
      <c r="AA91" s="167" t="s">
        <v>3015</v>
      </c>
      <c r="AB91" s="167" t="s">
        <v>3015</v>
      </c>
    </row>
    <row r="92" spans="1:28" x14ac:dyDescent="0.3">
      <c r="A92" s="11" t="s">
        <v>105</v>
      </c>
      <c r="B92" s="11" t="s">
        <v>1085</v>
      </c>
      <c r="C92" s="11" t="s">
        <v>582</v>
      </c>
      <c r="D92" s="166" t="str">
        <f t="shared" si="1"/>
        <v>Stable</v>
      </c>
      <c r="E92" s="167" t="s">
        <v>3015</v>
      </c>
      <c r="F92" s="167" t="s">
        <v>3015</v>
      </c>
      <c r="G92" s="167">
        <v>3.8</v>
      </c>
      <c r="H92" s="167">
        <v>3.8</v>
      </c>
      <c r="I92" s="167">
        <v>3.8</v>
      </c>
      <c r="J92" s="167">
        <v>3.8</v>
      </c>
      <c r="K92" s="167">
        <v>3.8</v>
      </c>
      <c r="L92" s="167">
        <v>3.8</v>
      </c>
      <c r="M92" s="167">
        <v>3.8</v>
      </c>
      <c r="N92" s="167">
        <v>3.8</v>
      </c>
      <c r="O92" s="167">
        <v>3.8</v>
      </c>
      <c r="P92" s="167">
        <v>3.8</v>
      </c>
      <c r="Q92" s="167">
        <v>3.8</v>
      </c>
      <c r="R92" s="167">
        <v>3.8</v>
      </c>
      <c r="S92" s="167">
        <v>3.8</v>
      </c>
      <c r="T92" s="167">
        <v>4</v>
      </c>
      <c r="U92" s="167">
        <v>4</v>
      </c>
      <c r="V92" s="167">
        <v>4</v>
      </c>
      <c r="W92" s="167">
        <v>4</v>
      </c>
      <c r="X92" s="167">
        <v>4</v>
      </c>
      <c r="Y92" s="167">
        <v>4</v>
      </c>
      <c r="Z92" s="167">
        <f>_xlfn.IFNA(VLOOKUP(C92,'INFORM Severity - hidden'!$C$5:$G$155,5,FALSE),"-")</f>
        <v>4</v>
      </c>
      <c r="AA92" s="167" t="s">
        <v>3015</v>
      </c>
      <c r="AB92" s="167" t="s">
        <v>3015</v>
      </c>
    </row>
    <row r="93" spans="1:28" x14ac:dyDescent="0.3">
      <c r="A93" s="11" t="s">
        <v>105</v>
      </c>
      <c r="B93" s="11" t="s">
        <v>2512</v>
      </c>
      <c r="C93" s="11" t="s">
        <v>2513</v>
      </c>
      <c r="D93" s="166" t="str">
        <f t="shared" si="1"/>
        <v>Stable</v>
      </c>
      <c r="E93" s="167" t="s">
        <v>3015</v>
      </c>
      <c r="F93" s="167" t="s">
        <v>3015</v>
      </c>
      <c r="G93" s="167" t="s">
        <v>3015</v>
      </c>
      <c r="H93" s="167" t="s">
        <v>3015</v>
      </c>
      <c r="I93" s="167" t="s">
        <v>3015</v>
      </c>
      <c r="J93" s="167" t="s">
        <v>3015</v>
      </c>
      <c r="K93" s="167" t="s">
        <v>3015</v>
      </c>
      <c r="L93" s="167" t="s">
        <v>3015</v>
      </c>
      <c r="M93" s="167" t="s">
        <v>3015</v>
      </c>
      <c r="N93" s="167" t="s">
        <v>3015</v>
      </c>
      <c r="O93" s="167" t="s">
        <v>3015</v>
      </c>
      <c r="P93" s="167" t="s">
        <v>3015</v>
      </c>
      <c r="Q93" s="167" t="s">
        <v>3015</v>
      </c>
      <c r="R93" s="167" t="s">
        <v>3015</v>
      </c>
      <c r="S93" s="167" t="s">
        <v>3015</v>
      </c>
      <c r="T93" s="167" t="s">
        <v>3015</v>
      </c>
      <c r="U93" s="167" t="s">
        <v>3015</v>
      </c>
      <c r="V93" s="167">
        <v>2.4</v>
      </c>
      <c r="W93" s="167">
        <v>2.4</v>
      </c>
      <c r="X93" s="167">
        <v>2.4</v>
      </c>
      <c r="Y93" s="167">
        <v>2.4</v>
      </c>
      <c r="Z93" s="167">
        <f>_xlfn.IFNA(VLOOKUP(C93,'INFORM Severity - hidden'!$C$5:$G$155,5,FALSE),"-")</f>
        <v>2.4</v>
      </c>
      <c r="AA93" s="167" t="s">
        <v>3015</v>
      </c>
      <c r="AB93" s="167" t="s">
        <v>3015</v>
      </c>
    </row>
    <row r="94" spans="1:28" x14ac:dyDescent="0.3">
      <c r="A94" s="11" t="s">
        <v>105</v>
      </c>
      <c r="B94" s="11" t="s">
        <v>2643</v>
      </c>
      <c r="C94" s="11" t="s">
        <v>2644</v>
      </c>
      <c r="D94" s="166" t="str">
        <f t="shared" si="1"/>
        <v>Stable</v>
      </c>
      <c r="E94" s="167" t="s">
        <v>3015</v>
      </c>
      <c r="F94" s="167" t="s">
        <v>3015</v>
      </c>
      <c r="G94" s="167" t="s">
        <v>3015</v>
      </c>
      <c r="H94" s="167" t="s">
        <v>3015</v>
      </c>
      <c r="I94" s="167" t="s">
        <v>3015</v>
      </c>
      <c r="J94" s="167" t="s">
        <v>3015</v>
      </c>
      <c r="K94" s="167" t="s">
        <v>3015</v>
      </c>
      <c r="L94" s="167" t="s">
        <v>3015</v>
      </c>
      <c r="M94" s="167" t="s">
        <v>3015</v>
      </c>
      <c r="N94" s="167" t="s">
        <v>3015</v>
      </c>
      <c r="O94" s="167" t="s">
        <v>3015</v>
      </c>
      <c r="P94" s="167" t="s">
        <v>3015</v>
      </c>
      <c r="Q94" s="167" t="s">
        <v>3015</v>
      </c>
      <c r="R94" s="167" t="s">
        <v>3015</v>
      </c>
      <c r="S94" s="167" t="s">
        <v>3015</v>
      </c>
      <c r="T94" s="167" t="s">
        <v>3015</v>
      </c>
      <c r="U94" s="167" t="s">
        <v>3015</v>
      </c>
      <c r="V94" s="167">
        <v>2.8</v>
      </c>
      <c r="W94" s="167">
        <v>2.8</v>
      </c>
      <c r="X94" s="167">
        <v>2.8</v>
      </c>
      <c r="Y94" s="167">
        <v>2.8</v>
      </c>
      <c r="Z94" s="167">
        <f>_xlfn.IFNA(VLOOKUP(C94,'INFORM Severity - hidden'!$C$5:$G$155,5,FALSE),"-")</f>
        <v>2.8</v>
      </c>
      <c r="AA94" s="167" t="s">
        <v>3015</v>
      </c>
      <c r="AB94" s="167" t="s">
        <v>3015</v>
      </c>
    </row>
    <row r="95" spans="1:28" x14ac:dyDescent="0.3">
      <c r="A95" s="11" t="s">
        <v>107</v>
      </c>
      <c r="B95" s="11" t="s">
        <v>914</v>
      </c>
      <c r="C95" s="11" t="s">
        <v>3056</v>
      </c>
      <c r="D95" s="166" t="str">
        <f t="shared" si="1"/>
        <v>-</v>
      </c>
      <c r="E95" s="167" t="s">
        <v>3015</v>
      </c>
      <c r="F95" s="167" t="s">
        <v>3015</v>
      </c>
      <c r="G95" s="167" t="s">
        <v>3015</v>
      </c>
      <c r="H95" s="167" t="s">
        <v>3015</v>
      </c>
      <c r="I95" s="167" t="s">
        <v>3015</v>
      </c>
      <c r="J95" s="167" t="s">
        <v>3015</v>
      </c>
      <c r="K95" s="167" t="s">
        <v>3015</v>
      </c>
      <c r="L95" s="167" t="s">
        <v>3015</v>
      </c>
      <c r="M95" s="167" t="s">
        <v>3015</v>
      </c>
      <c r="N95" s="167" t="s">
        <v>3015</v>
      </c>
      <c r="O95" s="167" t="s">
        <v>3015</v>
      </c>
      <c r="P95" s="167" t="s">
        <v>3015</v>
      </c>
      <c r="Q95" s="167" t="s">
        <v>3015</v>
      </c>
      <c r="R95" s="167" t="s">
        <v>3015</v>
      </c>
      <c r="S95" s="167" t="s">
        <v>3015</v>
      </c>
      <c r="T95" s="167" t="s">
        <v>3015</v>
      </c>
      <c r="U95" s="167" t="s">
        <v>3015</v>
      </c>
      <c r="V95" s="167" t="s">
        <v>3015</v>
      </c>
      <c r="W95" s="167" t="s">
        <v>3015</v>
      </c>
      <c r="X95" s="167" t="s">
        <v>3015</v>
      </c>
      <c r="Y95" s="167" t="s">
        <v>3015</v>
      </c>
      <c r="Z95" s="167" t="str">
        <f>_xlfn.IFNA(VLOOKUP(C95,'INFORM Severity - hidden'!$C$5:$G$155,5,FALSE),"-")</f>
        <v>-</v>
      </c>
      <c r="AA95" s="167" t="s">
        <v>3015</v>
      </c>
      <c r="AB95" s="167" t="s">
        <v>3015</v>
      </c>
    </row>
    <row r="96" spans="1:28" x14ac:dyDescent="0.3">
      <c r="A96" s="11" t="s">
        <v>377</v>
      </c>
      <c r="B96" s="11" t="s">
        <v>914</v>
      </c>
      <c r="C96" s="11" t="s">
        <v>3090</v>
      </c>
      <c r="D96" s="166" t="str">
        <f t="shared" si="1"/>
        <v>-</v>
      </c>
      <c r="E96" s="167" t="s">
        <v>3015</v>
      </c>
      <c r="F96" s="167" t="s">
        <v>3015</v>
      </c>
      <c r="G96" s="167" t="s">
        <v>3015</v>
      </c>
      <c r="H96" s="167" t="s">
        <v>3015</v>
      </c>
      <c r="I96" s="167" t="s">
        <v>3015</v>
      </c>
      <c r="J96" s="167" t="s">
        <v>3015</v>
      </c>
      <c r="K96" s="167" t="s">
        <v>3015</v>
      </c>
      <c r="L96" s="167" t="s">
        <v>3015</v>
      </c>
      <c r="M96" s="167" t="s">
        <v>3015</v>
      </c>
      <c r="N96" s="167" t="s">
        <v>3015</v>
      </c>
      <c r="O96" s="167" t="s">
        <v>3015</v>
      </c>
      <c r="P96" s="167" t="s">
        <v>3015</v>
      </c>
      <c r="Q96" s="167" t="s">
        <v>3015</v>
      </c>
      <c r="R96" s="167" t="s">
        <v>3015</v>
      </c>
      <c r="S96" s="167" t="s">
        <v>3015</v>
      </c>
      <c r="T96" s="167" t="s">
        <v>3015</v>
      </c>
      <c r="U96" s="167" t="s">
        <v>3015</v>
      </c>
      <c r="V96" s="167" t="s">
        <v>3015</v>
      </c>
      <c r="W96" s="167" t="s">
        <v>3015</v>
      </c>
      <c r="X96" s="167" t="s">
        <v>3015</v>
      </c>
      <c r="Y96" s="167" t="s">
        <v>3015</v>
      </c>
      <c r="Z96" s="167" t="str">
        <f>_xlfn.IFNA(VLOOKUP(C96,'INFORM Severity - hidden'!$C$5:$G$155,5,FALSE),"-")</f>
        <v>-</v>
      </c>
      <c r="AA96" s="167" t="s">
        <v>3015</v>
      </c>
      <c r="AB96" s="167" t="s">
        <v>3015</v>
      </c>
    </row>
    <row r="97" spans="1:28" x14ac:dyDescent="0.3">
      <c r="A97" s="11" t="s">
        <v>113</v>
      </c>
      <c r="B97" s="11" t="s">
        <v>914</v>
      </c>
      <c r="C97" s="11" t="s">
        <v>3059</v>
      </c>
      <c r="D97" s="166" t="str">
        <f t="shared" si="1"/>
        <v>-</v>
      </c>
      <c r="E97" s="167" t="s">
        <v>3015</v>
      </c>
      <c r="F97" s="167" t="s">
        <v>3015</v>
      </c>
      <c r="G97" s="167" t="s">
        <v>3015</v>
      </c>
      <c r="H97" s="167" t="s">
        <v>3015</v>
      </c>
      <c r="I97" s="167" t="s">
        <v>3015</v>
      </c>
      <c r="J97" s="167" t="s">
        <v>3015</v>
      </c>
      <c r="K97" s="167" t="s">
        <v>3015</v>
      </c>
      <c r="L97" s="167" t="s">
        <v>3015</v>
      </c>
      <c r="M97" s="167" t="s">
        <v>3015</v>
      </c>
      <c r="N97" s="167" t="s">
        <v>3015</v>
      </c>
      <c r="O97" s="167" t="s">
        <v>3015</v>
      </c>
      <c r="P97" s="167" t="s">
        <v>3015</v>
      </c>
      <c r="Q97" s="167" t="s">
        <v>3015</v>
      </c>
      <c r="R97" s="167" t="s">
        <v>3015</v>
      </c>
      <c r="S97" s="167" t="s">
        <v>3015</v>
      </c>
      <c r="T97" s="167" t="s">
        <v>3015</v>
      </c>
      <c r="U97" s="167" t="s">
        <v>3015</v>
      </c>
      <c r="V97" s="167" t="s">
        <v>3015</v>
      </c>
      <c r="W97" s="167" t="s">
        <v>3015</v>
      </c>
      <c r="X97" s="167" t="s">
        <v>3015</v>
      </c>
      <c r="Y97" s="167" t="s">
        <v>3015</v>
      </c>
      <c r="Z97" s="167" t="str">
        <f>_xlfn.IFNA(VLOOKUP(C97,'INFORM Severity - hidden'!$C$5:$G$155,5,FALSE),"-")</f>
        <v>-</v>
      </c>
      <c r="AA97" s="167" t="s">
        <v>3015</v>
      </c>
      <c r="AB97" s="167" t="s">
        <v>3015</v>
      </c>
    </row>
    <row r="98" spans="1:28" x14ac:dyDescent="0.3">
      <c r="A98" s="11" t="s">
        <v>117</v>
      </c>
      <c r="B98" s="11" t="s">
        <v>914</v>
      </c>
      <c r="C98" s="11" t="s">
        <v>3061</v>
      </c>
      <c r="D98" s="166" t="str">
        <f t="shared" si="1"/>
        <v>-</v>
      </c>
      <c r="E98" s="167" t="s">
        <v>3015</v>
      </c>
      <c r="F98" s="167" t="s">
        <v>3015</v>
      </c>
      <c r="G98" s="167" t="s">
        <v>3015</v>
      </c>
      <c r="H98" s="167" t="s">
        <v>3015</v>
      </c>
      <c r="I98" s="167" t="s">
        <v>3015</v>
      </c>
      <c r="J98" s="167" t="s">
        <v>3015</v>
      </c>
      <c r="K98" s="167" t="s">
        <v>3015</v>
      </c>
      <c r="L98" s="167" t="s">
        <v>3015</v>
      </c>
      <c r="M98" s="167" t="s">
        <v>3015</v>
      </c>
      <c r="N98" s="167" t="s">
        <v>3015</v>
      </c>
      <c r="O98" s="167" t="s">
        <v>3015</v>
      </c>
      <c r="P98" s="167" t="s">
        <v>3015</v>
      </c>
      <c r="Q98" s="167" t="s">
        <v>3015</v>
      </c>
      <c r="R98" s="167" t="s">
        <v>3015</v>
      </c>
      <c r="S98" s="167" t="s">
        <v>3015</v>
      </c>
      <c r="T98" s="167" t="s">
        <v>3015</v>
      </c>
      <c r="U98" s="167" t="s">
        <v>3015</v>
      </c>
      <c r="V98" s="167" t="s">
        <v>3015</v>
      </c>
      <c r="W98" s="167" t="s">
        <v>3015</v>
      </c>
      <c r="X98" s="167" t="s">
        <v>3015</v>
      </c>
      <c r="Y98" s="167" t="s">
        <v>3015</v>
      </c>
      <c r="Z98" s="167" t="str">
        <f>_xlfn.IFNA(VLOOKUP(C98,'INFORM Severity - hidden'!$C$5:$G$155,5,FALSE),"-")</f>
        <v>-</v>
      </c>
      <c r="AA98" s="167" t="s">
        <v>3015</v>
      </c>
      <c r="AB98" s="167" t="s">
        <v>3015</v>
      </c>
    </row>
    <row r="99" spans="1:28" x14ac:dyDescent="0.3">
      <c r="A99" s="11" t="s">
        <v>121</v>
      </c>
      <c r="B99" s="11" t="s">
        <v>914</v>
      </c>
      <c r="C99" s="11" t="s">
        <v>3062</v>
      </c>
      <c r="D99" s="166" t="str">
        <f t="shared" si="1"/>
        <v>-</v>
      </c>
      <c r="E99" s="167" t="s">
        <v>3015</v>
      </c>
      <c r="F99" s="167" t="s">
        <v>3015</v>
      </c>
      <c r="G99" s="167" t="s">
        <v>3015</v>
      </c>
      <c r="H99" s="167" t="s">
        <v>3015</v>
      </c>
      <c r="I99" s="167" t="s">
        <v>3015</v>
      </c>
      <c r="J99" s="167" t="s">
        <v>3015</v>
      </c>
      <c r="K99" s="167" t="s">
        <v>3015</v>
      </c>
      <c r="L99" s="167" t="s">
        <v>3015</v>
      </c>
      <c r="M99" s="167" t="s">
        <v>3015</v>
      </c>
      <c r="N99" s="167" t="s">
        <v>3015</v>
      </c>
      <c r="O99" s="167" t="s">
        <v>3015</v>
      </c>
      <c r="P99" s="167" t="s">
        <v>3015</v>
      </c>
      <c r="Q99" s="167" t="s">
        <v>3015</v>
      </c>
      <c r="R99" s="167" t="s">
        <v>3015</v>
      </c>
      <c r="S99" s="167" t="s">
        <v>3015</v>
      </c>
      <c r="T99" s="167" t="s">
        <v>3015</v>
      </c>
      <c r="U99" s="167" t="s">
        <v>3015</v>
      </c>
      <c r="V99" s="167" t="s">
        <v>3015</v>
      </c>
      <c r="W99" s="167" t="s">
        <v>3015</v>
      </c>
      <c r="X99" s="167" t="s">
        <v>3015</v>
      </c>
      <c r="Y99" s="167" t="s">
        <v>3015</v>
      </c>
      <c r="Z99" s="167" t="str">
        <f>_xlfn.IFNA(VLOOKUP(C99,'INFORM Severity - hidden'!$C$5:$G$155,5,FALSE),"-")</f>
        <v>-</v>
      </c>
      <c r="AA99" s="167" t="s">
        <v>3015</v>
      </c>
      <c r="AB99" s="167" t="s">
        <v>3015</v>
      </c>
    </row>
    <row r="100" spans="1:28" x14ac:dyDescent="0.3">
      <c r="A100" s="11" t="s">
        <v>129</v>
      </c>
      <c r="B100" s="11" t="s">
        <v>914</v>
      </c>
      <c r="C100" s="11" t="s">
        <v>3065</v>
      </c>
      <c r="D100" s="166" t="str">
        <f t="shared" si="1"/>
        <v>-</v>
      </c>
      <c r="E100" s="167" t="s">
        <v>3015</v>
      </c>
      <c r="F100" s="167" t="s">
        <v>3015</v>
      </c>
      <c r="G100" s="167" t="s">
        <v>3015</v>
      </c>
      <c r="H100" s="167" t="s">
        <v>3015</v>
      </c>
      <c r="I100" s="167" t="s">
        <v>3015</v>
      </c>
      <c r="J100" s="167" t="s">
        <v>3015</v>
      </c>
      <c r="K100" s="167" t="s">
        <v>3015</v>
      </c>
      <c r="L100" s="167" t="s">
        <v>3015</v>
      </c>
      <c r="M100" s="167" t="s">
        <v>3015</v>
      </c>
      <c r="N100" s="167" t="s">
        <v>3015</v>
      </c>
      <c r="O100" s="167" t="s">
        <v>3015</v>
      </c>
      <c r="P100" s="167" t="s">
        <v>3015</v>
      </c>
      <c r="Q100" s="167" t="s">
        <v>3015</v>
      </c>
      <c r="R100" s="167" t="s">
        <v>3015</v>
      </c>
      <c r="S100" s="167" t="s">
        <v>3015</v>
      </c>
      <c r="T100" s="167" t="s">
        <v>3015</v>
      </c>
      <c r="U100" s="167" t="s">
        <v>3015</v>
      </c>
      <c r="V100" s="167" t="s">
        <v>3015</v>
      </c>
      <c r="W100" s="167" t="s">
        <v>3015</v>
      </c>
      <c r="X100" s="167" t="s">
        <v>3015</v>
      </c>
      <c r="Y100" s="167" t="s">
        <v>3015</v>
      </c>
      <c r="Z100" s="167" t="str">
        <f>_xlfn.IFNA(VLOOKUP(C100,'INFORM Severity - hidden'!$C$5:$G$155,5,FALSE),"-")</f>
        <v>-</v>
      </c>
      <c r="AA100" s="167" t="s">
        <v>3015</v>
      </c>
      <c r="AB100" s="167" t="s">
        <v>3015</v>
      </c>
    </row>
    <row r="101" spans="1:28" x14ac:dyDescent="0.3">
      <c r="A101" s="11" t="s">
        <v>115</v>
      </c>
      <c r="B101" s="11" t="s">
        <v>914</v>
      </c>
      <c r="C101" s="11" t="s">
        <v>3060</v>
      </c>
      <c r="D101" s="166" t="str">
        <f t="shared" si="1"/>
        <v>-</v>
      </c>
      <c r="E101" s="167" t="s">
        <v>3015</v>
      </c>
      <c r="F101" s="167" t="s">
        <v>3015</v>
      </c>
      <c r="G101" s="167" t="s">
        <v>3015</v>
      </c>
      <c r="H101" s="167" t="s">
        <v>3015</v>
      </c>
      <c r="I101" s="167" t="s">
        <v>3015</v>
      </c>
      <c r="J101" s="167" t="s">
        <v>3015</v>
      </c>
      <c r="K101" s="167" t="s">
        <v>3015</v>
      </c>
      <c r="L101" s="167" t="s">
        <v>3015</v>
      </c>
      <c r="M101" s="167" t="s">
        <v>3015</v>
      </c>
      <c r="N101" s="167" t="s">
        <v>3015</v>
      </c>
      <c r="O101" s="167" t="s">
        <v>3015</v>
      </c>
      <c r="P101" s="167" t="s">
        <v>3015</v>
      </c>
      <c r="Q101" s="167" t="s">
        <v>3015</v>
      </c>
      <c r="R101" s="167" t="s">
        <v>3015</v>
      </c>
      <c r="S101" s="167" t="s">
        <v>3015</v>
      </c>
      <c r="T101" s="167" t="s">
        <v>3015</v>
      </c>
      <c r="U101" s="167" t="s">
        <v>3015</v>
      </c>
      <c r="V101" s="167" t="s">
        <v>3015</v>
      </c>
      <c r="W101" s="167" t="s">
        <v>3015</v>
      </c>
      <c r="X101" s="167" t="s">
        <v>3015</v>
      </c>
      <c r="Y101" s="167" t="s">
        <v>3015</v>
      </c>
      <c r="Z101" s="167" t="str">
        <f>_xlfn.IFNA(VLOOKUP(C101,'INFORM Severity - hidden'!$C$5:$G$155,5,FALSE),"-")</f>
        <v>-</v>
      </c>
      <c r="AA101" s="167" t="s">
        <v>3015</v>
      </c>
      <c r="AB101" s="167" t="s">
        <v>3015</v>
      </c>
    </row>
    <row r="102" spans="1:28" x14ac:dyDescent="0.3">
      <c r="A102" s="11" t="s">
        <v>359</v>
      </c>
      <c r="B102" s="11" t="s">
        <v>914</v>
      </c>
      <c r="C102" s="11" t="s">
        <v>3066</v>
      </c>
      <c r="D102" s="166" t="str">
        <f t="shared" si="1"/>
        <v>-</v>
      </c>
      <c r="E102" s="167" t="s">
        <v>3015</v>
      </c>
      <c r="F102" s="167" t="s">
        <v>3015</v>
      </c>
      <c r="G102" s="167" t="s">
        <v>3015</v>
      </c>
      <c r="H102" s="167" t="s">
        <v>3015</v>
      </c>
      <c r="I102" s="167" t="s">
        <v>3015</v>
      </c>
      <c r="J102" s="167" t="s">
        <v>3015</v>
      </c>
      <c r="K102" s="167" t="s">
        <v>3015</v>
      </c>
      <c r="L102" s="167" t="s">
        <v>3015</v>
      </c>
      <c r="M102" s="167" t="s">
        <v>3015</v>
      </c>
      <c r="N102" s="167" t="s">
        <v>3015</v>
      </c>
      <c r="O102" s="167" t="s">
        <v>3015</v>
      </c>
      <c r="P102" s="167" t="s">
        <v>3015</v>
      </c>
      <c r="Q102" s="167" t="s">
        <v>3015</v>
      </c>
      <c r="R102" s="167" t="s">
        <v>3015</v>
      </c>
      <c r="S102" s="167" t="s">
        <v>3015</v>
      </c>
      <c r="T102" s="167" t="s">
        <v>3015</v>
      </c>
      <c r="U102" s="167" t="s">
        <v>3015</v>
      </c>
      <c r="V102" s="167" t="s">
        <v>3015</v>
      </c>
      <c r="W102" s="167" t="s">
        <v>3015</v>
      </c>
      <c r="X102" s="167" t="s">
        <v>3015</v>
      </c>
      <c r="Y102" s="167" t="s">
        <v>3015</v>
      </c>
      <c r="Z102" s="167" t="str">
        <f>_xlfn.IFNA(VLOOKUP(C102,'INFORM Severity - hidden'!$C$5:$G$155,5,FALSE),"-")</f>
        <v>-</v>
      </c>
      <c r="AA102" s="167" t="s">
        <v>3015</v>
      </c>
      <c r="AB102" s="167" t="s">
        <v>3015</v>
      </c>
    </row>
    <row r="103" spans="1:28" x14ac:dyDescent="0.3">
      <c r="A103" s="11" t="s">
        <v>99</v>
      </c>
      <c r="B103" s="11" t="s">
        <v>914</v>
      </c>
      <c r="C103" s="11" t="s">
        <v>3055</v>
      </c>
      <c r="D103" s="166" t="str">
        <f t="shared" si="1"/>
        <v>-</v>
      </c>
      <c r="E103" s="167" t="s">
        <v>3015</v>
      </c>
      <c r="F103" s="167" t="s">
        <v>3015</v>
      </c>
      <c r="G103" s="167" t="s">
        <v>3015</v>
      </c>
      <c r="H103" s="167" t="s">
        <v>3015</v>
      </c>
      <c r="I103" s="167" t="s">
        <v>3015</v>
      </c>
      <c r="J103" s="167" t="s">
        <v>3015</v>
      </c>
      <c r="K103" s="167" t="s">
        <v>3015</v>
      </c>
      <c r="L103" s="167" t="s">
        <v>3015</v>
      </c>
      <c r="M103" s="167" t="s">
        <v>3015</v>
      </c>
      <c r="N103" s="167" t="s">
        <v>3015</v>
      </c>
      <c r="O103" s="167" t="s">
        <v>3015</v>
      </c>
      <c r="P103" s="167" t="s">
        <v>3015</v>
      </c>
      <c r="Q103" s="167" t="s">
        <v>3015</v>
      </c>
      <c r="R103" s="167" t="s">
        <v>3015</v>
      </c>
      <c r="S103" s="167" t="s">
        <v>3015</v>
      </c>
      <c r="T103" s="167" t="s">
        <v>3015</v>
      </c>
      <c r="U103" s="167" t="s">
        <v>3015</v>
      </c>
      <c r="V103" s="167" t="s">
        <v>3015</v>
      </c>
      <c r="W103" s="167" t="s">
        <v>3015</v>
      </c>
      <c r="X103" s="167" t="s">
        <v>3015</v>
      </c>
      <c r="Y103" s="167" t="s">
        <v>3015</v>
      </c>
      <c r="Z103" s="167" t="str">
        <f>_xlfn.IFNA(VLOOKUP(C103,'INFORM Severity - hidden'!$C$5:$G$155,5,FALSE),"-")</f>
        <v>-</v>
      </c>
      <c r="AA103" s="167" t="s">
        <v>3015</v>
      </c>
      <c r="AB103" s="167" t="s">
        <v>3015</v>
      </c>
    </row>
    <row r="104" spans="1:28" x14ac:dyDescent="0.3">
      <c r="A104" s="11" t="s">
        <v>123</v>
      </c>
      <c r="B104" s="11" t="s">
        <v>914</v>
      </c>
      <c r="C104" s="11" t="s">
        <v>3063</v>
      </c>
      <c r="D104" s="166" t="str">
        <f t="shared" si="1"/>
        <v>-</v>
      </c>
      <c r="E104" s="167" t="s">
        <v>3015</v>
      </c>
      <c r="F104" s="167" t="s">
        <v>3015</v>
      </c>
      <c r="G104" s="167" t="s">
        <v>3015</v>
      </c>
      <c r="H104" s="167" t="s">
        <v>3015</v>
      </c>
      <c r="I104" s="167" t="s">
        <v>3015</v>
      </c>
      <c r="J104" s="167" t="s">
        <v>3015</v>
      </c>
      <c r="K104" s="167" t="s">
        <v>3015</v>
      </c>
      <c r="L104" s="167" t="s">
        <v>3015</v>
      </c>
      <c r="M104" s="167" t="s">
        <v>3015</v>
      </c>
      <c r="N104" s="167" t="s">
        <v>3015</v>
      </c>
      <c r="O104" s="167" t="s">
        <v>3015</v>
      </c>
      <c r="P104" s="167" t="s">
        <v>3015</v>
      </c>
      <c r="Q104" s="167" t="s">
        <v>3015</v>
      </c>
      <c r="R104" s="167" t="s">
        <v>3015</v>
      </c>
      <c r="S104" s="167" t="s">
        <v>3015</v>
      </c>
      <c r="T104" s="167" t="s">
        <v>3015</v>
      </c>
      <c r="U104" s="167" t="s">
        <v>3015</v>
      </c>
      <c r="V104" s="167" t="s">
        <v>3015</v>
      </c>
      <c r="W104" s="167" t="s">
        <v>3015</v>
      </c>
      <c r="X104" s="167" t="s">
        <v>3015</v>
      </c>
      <c r="Y104" s="167" t="s">
        <v>3015</v>
      </c>
      <c r="Z104" s="167" t="str">
        <f>_xlfn.IFNA(VLOOKUP(C104,'INFORM Severity - hidden'!$C$5:$G$155,5,FALSE),"-")</f>
        <v>-</v>
      </c>
      <c r="AA104" s="167" t="s">
        <v>3015</v>
      </c>
      <c r="AB104" s="167" t="s">
        <v>3015</v>
      </c>
    </row>
    <row r="105" spans="1:28" x14ac:dyDescent="0.3">
      <c r="A105" s="11" t="s">
        <v>123</v>
      </c>
      <c r="B105" s="11" t="s">
        <v>796</v>
      </c>
      <c r="C105" s="11" t="s">
        <v>688</v>
      </c>
      <c r="D105" s="166" t="str">
        <f t="shared" si="1"/>
        <v>Decreasing</v>
      </c>
      <c r="E105" s="167" t="s">
        <v>3015</v>
      </c>
      <c r="F105" s="167">
        <v>1</v>
      </c>
      <c r="G105" s="167">
        <v>1</v>
      </c>
      <c r="H105" s="167">
        <v>1.7</v>
      </c>
      <c r="I105" s="167">
        <v>1.5</v>
      </c>
      <c r="J105" s="167">
        <v>1.5</v>
      </c>
      <c r="K105" s="167">
        <v>1.8</v>
      </c>
      <c r="L105" s="167">
        <v>1.8</v>
      </c>
      <c r="M105" s="167">
        <v>1.8</v>
      </c>
      <c r="N105" s="167">
        <v>1.9</v>
      </c>
      <c r="O105" s="167">
        <v>1.9</v>
      </c>
      <c r="P105" s="167">
        <v>1.9</v>
      </c>
      <c r="Q105" s="167">
        <v>1.9</v>
      </c>
      <c r="R105" s="167">
        <v>2</v>
      </c>
      <c r="S105" s="167">
        <v>2</v>
      </c>
      <c r="T105" s="167">
        <v>1.9</v>
      </c>
      <c r="U105" s="167">
        <v>2.1</v>
      </c>
      <c r="V105" s="167">
        <v>2.1</v>
      </c>
      <c r="W105" s="167">
        <v>2.1</v>
      </c>
      <c r="X105" s="167">
        <v>1.8</v>
      </c>
      <c r="Y105" s="167">
        <v>1.8</v>
      </c>
      <c r="Z105" s="167">
        <f>_xlfn.IFNA(VLOOKUP(C105,'INFORM Severity - hidden'!$C$5:$G$155,5,FALSE),"-")</f>
        <v>1.8</v>
      </c>
      <c r="AA105" s="167" t="s">
        <v>3015</v>
      </c>
      <c r="AB105" s="167" t="s">
        <v>3015</v>
      </c>
    </row>
    <row r="106" spans="1:28" x14ac:dyDescent="0.3">
      <c r="A106" s="11" t="s">
        <v>125</v>
      </c>
      <c r="B106" s="11" t="s">
        <v>914</v>
      </c>
      <c r="C106" s="11" t="s">
        <v>3064</v>
      </c>
      <c r="D106" s="166" t="str">
        <f t="shared" si="1"/>
        <v>-</v>
      </c>
      <c r="E106" s="167" t="s">
        <v>3015</v>
      </c>
      <c r="F106" s="167" t="s">
        <v>3015</v>
      </c>
      <c r="G106" s="167" t="s">
        <v>3015</v>
      </c>
      <c r="H106" s="167" t="s">
        <v>3015</v>
      </c>
      <c r="I106" s="167" t="s">
        <v>3015</v>
      </c>
      <c r="J106" s="167" t="s">
        <v>3015</v>
      </c>
      <c r="K106" s="167" t="s">
        <v>3015</v>
      </c>
      <c r="L106" s="167" t="s">
        <v>3015</v>
      </c>
      <c r="M106" s="167" t="s">
        <v>3015</v>
      </c>
      <c r="N106" s="167" t="s">
        <v>3015</v>
      </c>
      <c r="O106" s="167" t="s">
        <v>3015</v>
      </c>
      <c r="P106" s="167" t="s">
        <v>3015</v>
      </c>
      <c r="Q106" s="167" t="s">
        <v>3015</v>
      </c>
      <c r="R106" s="167" t="s">
        <v>3015</v>
      </c>
      <c r="S106" s="167" t="s">
        <v>3015</v>
      </c>
      <c r="T106" s="167" t="s">
        <v>3015</v>
      </c>
      <c r="U106" s="167" t="s">
        <v>3015</v>
      </c>
      <c r="V106" s="167" t="s">
        <v>3015</v>
      </c>
      <c r="W106" s="167" t="s">
        <v>3015</v>
      </c>
      <c r="X106" s="167" t="s">
        <v>3015</v>
      </c>
      <c r="Y106" s="167" t="s">
        <v>3015</v>
      </c>
      <c r="Z106" s="167" t="str">
        <f>_xlfn.IFNA(VLOOKUP(C106,'INFORM Severity - hidden'!$C$5:$G$155,5,FALSE),"-")</f>
        <v>-</v>
      </c>
      <c r="AA106" s="167" t="s">
        <v>3015</v>
      </c>
      <c r="AB106" s="167" t="s">
        <v>3015</v>
      </c>
    </row>
    <row r="107" spans="1:28" x14ac:dyDescent="0.3">
      <c r="A107" s="11" t="s">
        <v>127</v>
      </c>
      <c r="B107" s="11" t="s">
        <v>1086</v>
      </c>
      <c r="C107" s="11" t="s">
        <v>1745</v>
      </c>
      <c r="D107" s="166" t="str">
        <f t="shared" si="1"/>
        <v>Stable</v>
      </c>
      <c r="E107" s="167" t="s">
        <v>3015</v>
      </c>
      <c r="F107" s="167">
        <v>3.4</v>
      </c>
      <c r="G107" s="167">
        <v>3.4</v>
      </c>
      <c r="H107" s="167">
        <v>4</v>
      </c>
      <c r="I107" s="167">
        <v>3.7</v>
      </c>
      <c r="J107" s="167">
        <v>3.5</v>
      </c>
      <c r="K107" s="167">
        <v>3.5</v>
      </c>
      <c r="L107" s="167">
        <v>3.5</v>
      </c>
      <c r="M107" s="167">
        <v>3.5</v>
      </c>
      <c r="N107" s="167">
        <v>3.5</v>
      </c>
      <c r="O107" s="167">
        <v>3.5</v>
      </c>
      <c r="P107" s="167">
        <v>3.5</v>
      </c>
      <c r="Q107" s="167">
        <v>3.3</v>
      </c>
      <c r="R107" s="167">
        <v>3.3</v>
      </c>
      <c r="S107" s="167">
        <v>3.3</v>
      </c>
      <c r="T107" s="167">
        <v>3.4</v>
      </c>
      <c r="U107" s="167">
        <v>3.4</v>
      </c>
      <c r="V107" s="167">
        <v>3.4</v>
      </c>
      <c r="W107" s="167">
        <v>3.4</v>
      </c>
      <c r="X107" s="167">
        <v>3.4</v>
      </c>
      <c r="Y107" s="167">
        <v>3.4</v>
      </c>
      <c r="Z107" s="167">
        <f>_xlfn.IFNA(VLOOKUP(C107,'INFORM Severity - hidden'!$C$5:$G$155,5,FALSE),"-")</f>
        <v>3.4</v>
      </c>
      <c r="AA107" s="167" t="s">
        <v>3015</v>
      </c>
      <c r="AB107" s="167" t="s">
        <v>3015</v>
      </c>
    </row>
    <row r="108" spans="1:28" x14ac:dyDescent="0.3">
      <c r="A108" s="11" t="s">
        <v>127</v>
      </c>
      <c r="B108" s="11" t="s">
        <v>3195</v>
      </c>
      <c r="C108" s="11" t="s">
        <v>3196</v>
      </c>
      <c r="D108" s="166" t="str">
        <f t="shared" si="1"/>
        <v>-</v>
      </c>
      <c r="E108" s="167" t="s">
        <v>3015</v>
      </c>
      <c r="F108" s="167" t="s">
        <v>3015</v>
      </c>
      <c r="G108" s="167" t="s">
        <v>3015</v>
      </c>
      <c r="H108" s="167" t="s">
        <v>3015</v>
      </c>
      <c r="I108" s="167" t="s">
        <v>3015</v>
      </c>
      <c r="J108" s="167" t="s">
        <v>3015</v>
      </c>
      <c r="K108" s="167" t="s">
        <v>3015</v>
      </c>
      <c r="L108" s="167" t="s">
        <v>3015</v>
      </c>
      <c r="M108" s="167" t="s">
        <v>3015</v>
      </c>
      <c r="N108" s="167" t="s">
        <v>3015</v>
      </c>
      <c r="O108" s="167" t="s">
        <v>3015</v>
      </c>
      <c r="P108" s="167" t="s">
        <v>3015</v>
      </c>
      <c r="Q108" s="167" t="s">
        <v>3015</v>
      </c>
      <c r="R108" s="167" t="s">
        <v>3015</v>
      </c>
      <c r="S108" s="167" t="s">
        <v>3015</v>
      </c>
      <c r="T108" s="167" t="s">
        <v>3015</v>
      </c>
      <c r="U108" s="167" t="s">
        <v>3015</v>
      </c>
      <c r="V108" s="167" t="s">
        <v>3015</v>
      </c>
      <c r="W108" s="167" t="s">
        <v>3015</v>
      </c>
      <c r="X108" s="167" t="s">
        <v>3015</v>
      </c>
      <c r="Y108" s="167" t="s">
        <v>3015</v>
      </c>
      <c r="Z108" s="167" t="str">
        <f>_xlfn.IFNA(VLOOKUP(C108,'INFORM Severity - hidden'!$C$5:$G$155,5,FALSE),"-")</f>
        <v>-</v>
      </c>
      <c r="AA108" s="167" t="s">
        <v>3015</v>
      </c>
      <c r="AB108" s="167" t="s">
        <v>3015</v>
      </c>
    </row>
    <row r="109" spans="1:28" x14ac:dyDescent="0.3">
      <c r="A109" s="11" t="s">
        <v>132</v>
      </c>
      <c r="B109" s="11" t="s">
        <v>914</v>
      </c>
      <c r="C109" s="11" t="s">
        <v>3067</v>
      </c>
      <c r="D109" s="166" t="str">
        <f t="shared" si="1"/>
        <v>-</v>
      </c>
      <c r="E109" s="167" t="s">
        <v>3015</v>
      </c>
      <c r="F109" s="167" t="s">
        <v>3015</v>
      </c>
      <c r="G109" s="167" t="s">
        <v>3015</v>
      </c>
      <c r="H109" s="167" t="s">
        <v>3015</v>
      </c>
      <c r="I109" s="167" t="s">
        <v>3015</v>
      </c>
      <c r="J109" s="167" t="s">
        <v>3015</v>
      </c>
      <c r="K109" s="167" t="s">
        <v>3015</v>
      </c>
      <c r="L109" s="167" t="s">
        <v>3015</v>
      </c>
      <c r="M109" s="167" t="s">
        <v>3015</v>
      </c>
      <c r="N109" s="167" t="s">
        <v>3015</v>
      </c>
      <c r="O109" s="167" t="s">
        <v>3015</v>
      </c>
      <c r="P109" s="167" t="s">
        <v>3015</v>
      </c>
      <c r="Q109" s="167" t="s">
        <v>3015</v>
      </c>
      <c r="R109" s="167" t="s">
        <v>3015</v>
      </c>
      <c r="S109" s="167" t="s">
        <v>3015</v>
      </c>
      <c r="T109" s="167" t="s">
        <v>3015</v>
      </c>
      <c r="U109" s="167" t="s">
        <v>3015</v>
      </c>
      <c r="V109" s="167" t="s">
        <v>3015</v>
      </c>
      <c r="W109" s="167" t="s">
        <v>3015</v>
      </c>
      <c r="X109" s="167" t="s">
        <v>3015</v>
      </c>
      <c r="Y109" s="167" t="s">
        <v>3015</v>
      </c>
      <c r="Z109" s="167" t="str">
        <f>_xlfn.IFNA(VLOOKUP(C109,'INFORM Severity - hidden'!$C$5:$G$155,5,FALSE),"-")</f>
        <v>-</v>
      </c>
      <c r="AA109" s="167" t="s">
        <v>3015</v>
      </c>
      <c r="AB109" s="167" t="s">
        <v>3015</v>
      </c>
    </row>
    <row r="110" spans="1:28" x14ac:dyDescent="0.3">
      <c r="A110" s="11" t="s">
        <v>136</v>
      </c>
      <c r="B110" s="11" t="s">
        <v>1088</v>
      </c>
      <c r="C110" s="11" t="s">
        <v>584</v>
      </c>
      <c r="D110" s="166" t="str">
        <f t="shared" si="1"/>
        <v>Decreasing</v>
      </c>
      <c r="E110" s="167" t="s">
        <v>3015</v>
      </c>
      <c r="F110" s="167">
        <v>2.8</v>
      </c>
      <c r="G110" s="167">
        <v>2.8</v>
      </c>
      <c r="H110" s="167">
        <v>2.8</v>
      </c>
      <c r="I110" s="167">
        <v>2.8</v>
      </c>
      <c r="J110" s="167">
        <v>2.8</v>
      </c>
      <c r="K110" s="167">
        <v>2.8</v>
      </c>
      <c r="L110" s="167">
        <v>2.8</v>
      </c>
      <c r="M110" s="167">
        <v>2.8</v>
      </c>
      <c r="N110" s="167">
        <v>2.8</v>
      </c>
      <c r="O110" s="167">
        <v>2.8</v>
      </c>
      <c r="P110" s="167">
        <v>3.2</v>
      </c>
      <c r="Q110" s="167">
        <v>3.2</v>
      </c>
      <c r="R110" s="167">
        <v>3.2</v>
      </c>
      <c r="S110" s="167">
        <v>3.2</v>
      </c>
      <c r="T110" s="167">
        <v>3.3</v>
      </c>
      <c r="U110" s="167">
        <v>3.3</v>
      </c>
      <c r="V110" s="167">
        <v>3.3</v>
      </c>
      <c r="W110" s="167">
        <v>3.3</v>
      </c>
      <c r="X110" s="167">
        <v>3.3</v>
      </c>
      <c r="Y110" s="167">
        <v>3.2</v>
      </c>
      <c r="Z110" s="167">
        <f>_xlfn.IFNA(VLOOKUP(C110,'INFORM Severity - hidden'!$C$5:$G$155,5,FALSE),"-")</f>
        <v>3.2</v>
      </c>
      <c r="AA110" s="167" t="s">
        <v>3015</v>
      </c>
      <c r="AB110" s="167" t="s">
        <v>3015</v>
      </c>
    </row>
    <row r="111" spans="1:28" x14ac:dyDescent="0.3">
      <c r="A111" s="11" t="s">
        <v>134</v>
      </c>
      <c r="B111" s="11" t="s">
        <v>1087</v>
      </c>
      <c r="C111" s="11" t="s">
        <v>583</v>
      </c>
      <c r="D111" s="166" t="str">
        <f t="shared" si="1"/>
        <v>Stable</v>
      </c>
      <c r="E111" s="167">
        <v>3.4</v>
      </c>
      <c r="F111" s="167">
        <v>2.9</v>
      </c>
      <c r="G111" s="167">
        <v>2.9</v>
      </c>
      <c r="H111" s="167">
        <v>3.2</v>
      </c>
      <c r="I111" s="167">
        <v>3.2</v>
      </c>
      <c r="J111" s="167">
        <v>3.3</v>
      </c>
      <c r="K111" s="167">
        <v>3.3</v>
      </c>
      <c r="L111" s="167">
        <v>3.3</v>
      </c>
      <c r="M111" s="167">
        <v>3.3</v>
      </c>
      <c r="N111" s="167">
        <v>3.3</v>
      </c>
      <c r="O111" s="167">
        <v>3.4</v>
      </c>
      <c r="P111" s="167">
        <v>3.4</v>
      </c>
      <c r="Q111" s="167">
        <v>3.4</v>
      </c>
      <c r="R111" s="167">
        <v>3.4</v>
      </c>
      <c r="S111" s="167">
        <v>3.5</v>
      </c>
      <c r="T111" s="167">
        <v>3.5</v>
      </c>
      <c r="U111" s="167">
        <v>3.5</v>
      </c>
      <c r="V111" s="167">
        <v>3.5</v>
      </c>
      <c r="W111" s="167">
        <v>3.5</v>
      </c>
      <c r="X111" s="167">
        <v>3.5</v>
      </c>
      <c r="Y111" s="167">
        <v>3.5</v>
      </c>
      <c r="Z111" s="167">
        <f>_xlfn.IFNA(VLOOKUP(C111,'INFORM Severity - hidden'!$C$5:$G$155,5,FALSE),"-")</f>
        <v>3.5</v>
      </c>
      <c r="AA111" s="167" t="s">
        <v>3015</v>
      </c>
      <c r="AB111" s="167" t="s">
        <v>3015</v>
      </c>
    </row>
    <row r="112" spans="1:28" x14ac:dyDescent="0.3">
      <c r="A112" s="11" t="s">
        <v>138</v>
      </c>
      <c r="B112" s="11" t="s">
        <v>914</v>
      </c>
      <c r="C112" s="11" t="s">
        <v>3068</v>
      </c>
      <c r="D112" s="166" t="str">
        <f t="shared" si="1"/>
        <v>-</v>
      </c>
      <c r="E112" s="167" t="s">
        <v>3015</v>
      </c>
      <c r="F112" s="167" t="s">
        <v>3015</v>
      </c>
      <c r="G112" s="167" t="s">
        <v>3015</v>
      </c>
      <c r="H112" s="167" t="s">
        <v>3015</v>
      </c>
      <c r="I112" s="167" t="s">
        <v>3015</v>
      </c>
      <c r="J112" s="167" t="s">
        <v>3015</v>
      </c>
      <c r="K112" s="167" t="s">
        <v>3015</v>
      </c>
      <c r="L112" s="167" t="s">
        <v>3015</v>
      </c>
      <c r="M112" s="167" t="s">
        <v>3015</v>
      </c>
      <c r="N112" s="167" t="s">
        <v>3015</v>
      </c>
      <c r="O112" s="167" t="s">
        <v>3015</v>
      </c>
      <c r="P112" s="167" t="s">
        <v>3015</v>
      </c>
      <c r="Q112" s="167" t="s">
        <v>3015</v>
      </c>
      <c r="R112" s="167" t="s">
        <v>3015</v>
      </c>
      <c r="S112" s="167" t="s">
        <v>3015</v>
      </c>
      <c r="T112" s="167" t="s">
        <v>3015</v>
      </c>
      <c r="U112" s="167" t="s">
        <v>3015</v>
      </c>
      <c r="V112" s="167" t="s">
        <v>3015</v>
      </c>
      <c r="W112" s="167" t="s">
        <v>3015</v>
      </c>
      <c r="X112" s="167" t="s">
        <v>3015</v>
      </c>
      <c r="Y112" s="167" t="s">
        <v>3015</v>
      </c>
      <c r="Z112" s="167" t="str">
        <f>_xlfn.IFNA(VLOOKUP(C112,'INFORM Severity - hidden'!$C$5:$G$155,5,FALSE),"-")</f>
        <v>-</v>
      </c>
      <c r="AA112" s="167" t="s">
        <v>3015</v>
      </c>
      <c r="AB112" s="167" t="s">
        <v>3015</v>
      </c>
    </row>
    <row r="113" spans="1:28" x14ac:dyDescent="0.3">
      <c r="A113" s="11" t="s">
        <v>144</v>
      </c>
      <c r="B113" s="11" t="s">
        <v>1451</v>
      </c>
      <c r="C113" s="11" t="s">
        <v>585</v>
      </c>
      <c r="D113" s="166" t="str">
        <f t="shared" si="1"/>
        <v>-</v>
      </c>
      <c r="E113" s="167" t="s">
        <v>3015</v>
      </c>
      <c r="F113" s="167" t="s">
        <v>3015</v>
      </c>
      <c r="G113" s="167" t="s">
        <v>3015</v>
      </c>
      <c r="H113" s="167" t="s">
        <v>3015</v>
      </c>
      <c r="I113" s="167" t="s">
        <v>3015</v>
      </c>
      <c r="J113" s="167">
        <v>2.8</v>
      </c>
      <c r="K113" s="167">
        <v>2.1</v>
      </c>
      <c r="L113" s="167">
        <v>2.1</v>
      </c>
      <c r="M113" s="167">
        <v>2.1</v>
      </c>
      <c r="N113" s="167">
        <v>2.1</v>
      </c>
      <c r="O113" s="167">
        <v>2.1</v>
      </c>
      <c r="P113" s="167">
        <v>2.1</v>
      </c>
      <c r="Q113" s="167">
        <v>1.9</v>
      </c>
      <c r="R113" s="167">
        <v>1.9</v>
      </c>
      <c r="S113" s="167">
        <v>2.2000000000000002</v>
      </c>
      <c r="T113" s="167">
        <v>2.2000000000000002</v>
      </c>
      <c r="U113" s="167" t="s">
        <v>3015</v>
      </c>
      <c r="V113" s="167" t="s">
        <v>3015</v>
      </c>
      <c r="W113" s="167" t="s">
        <v>3015</v>
      </c>
      <c r="X113" s="167" t="s">
        <v>3015</v>
      </c>
      <c r="Y113" s="167" t="s">
        <v>3015</v>
      </c>
      <c r="Z113" s="167" t="str">
        <f>_xlfn.IFNA(VLOOKUP(C113,'INFORM Severity - hidden'!$C$5:$G$155,5,FALSE),"-")</f>
        <v>-</v>
      </c>
      <c r="AA113" s="167" t="s">
        <v>3015</v>
      </c>
      <c r="AB113" s="167" t="s">
        <v>3015</v>
      </c>
    </row>
    <row r="114" spans="1:28" x14ac:dyDescent="0.3">
      <c r="A114" s="11" t="s">
        <v>144</v>
      </c>
      <c r="B114" s="11" t="s">
        <v>1452</v>
      </c>
      <c r="C114" s="11" t="s">
        <v>1453</v>
      </c>
      <c r="D114" s="166" t="str">
        <f t="shared" si="1"/>
        <v>-</v>
      </c>
      <c r="E114" s="167" t="s">
        <v>3015</v>
      </c>
      <c r="F114" s="167" t="s">
        <v>3015</v>
      </c>
      <c r="G114" s="167" t="s">
        <v>3015</v>
      </c>
      <c r="H114" s="167" t="s">
        <v>3015</v>
      </c>
      <c r="I114" s="167" t="s">
        <v>3015</v>
      </c>
      <c r="J114" s="167" t="s">
        <v>3015</v>
      </c>
      <c r="K114" s="167">
        <v>2.2000000000000002</v>
      </c>
      <c r="L114" s="167">
        <v>2.2000000000000002</v>
      </c>
      <c r="M114" s="167">
        <v>2.2000000000000002</v>
      </c>
      <c r="N114" s="167">
        <v>2.2000000000000002</v>
      </c>
      <c r="O114" s="167">
        <v>2.2000000000000002</v>
      </c>
      <c r="P114" s="167">
        <v>2.2000000000000002</v>
      </c>
      <c r="Q114" s="167" t="s">
        <v>393</v>
      </c>
      <c r="R114" s="167" t="s">
        <v>393</v>
      </c>
      <c r="S114" s="167" t="s">
        <v>393</v>
      </c>
      <c r="T114" s="167" t="s">
        <v>393</v>
      </c>
      <c r="U114" s="167" t="s">
        <v>393</v>
      </c>
      <c r="V114" s="167" t="s">
        <v>393</v>
      </c>
      <c r="W114" s="167" t="s">
        <v>393</v>
      </c>
      <c r="X114" s="167" t="s">
        <v>393</v>
      </c>
      <c r="Y114" s="167" t="s">
        <v>393</v>
      </c>
      <c r="Z114" s="167" t="str">
        <f>_xlfn.IFNA(VLOOKUP(C114,'INFORM Severity - hidden'!$C$5:$G$155,5,FALSE),"-")</f>
        <v>x</v>
      </c>
      <c r="AA114" s="167" t="s">
        <v>3015</v>
      </c>
      <c r="AB114" s="167" t="s">
        <v>3015</v>
      </c>
    </row>
    <row r="115" spans="1:28" x14ac:dyDescent="0.3">
      <c r="A115" s="11" t="s">
        <v>144</v>
      </c>
      <c r="B115" s="11" t="s">
        <v>1481</v>
      </c>
      <c r="C115" s="11" t="s">
        <v>3194</v>
      </c>
      <c r="D115" s="166" t="str">
        <f t="shared" si="1"/>
        <v>-</v>
      </c>
      <c r="E115" s="167" t="s">
        <v>3015</v>
      </c>
      <c r="F115" s="167" t="s">
        <v>3015</v>
      </c>
      <c r="G115" s="167" t="s">
        <v>3015</v>
      </c>
      <c r="H115" s="167" t="s">
        <v>3015</v>
      </c>
      <c r="I115" s="167" t="s">
        <v>3015</v>
      </c>
      <c r="J115" s="167" t="s">
        <v>3015</v>
      </c>
      <c r="K115" s="167">
        <v>1.2</v>
      </c>
      <c r="L115" s="167">
        <v>1.2</v>
      </c>
      <c r="M115" s="167">
        <v>1.4</v>
      </c>
      <c r="N115" s="167">
        <v>1.3</v>
      </c>
      <c r="O115" s="167">
        <v>1.3</v>
      </c>
      <c r="P115" s="167">
        <v>1.3</v>
      </c>
      <c r="Q115" s="167" t="s">
        <v>3015</v>
      </c>
      <c r="R115" s="167" t="s">
        <v>3015</v>
      </c>
      <c r="S115" s="167" t="s">
        <v>3015</v>
      </c>
      <c r="T115" s="167" t="s">
        <v>3015</v>
      </c>
      <c r="U115" s="167" t="s">
        <v>3015</v>
      </c>
      <c r="V115" s="167" t="s">
        <v>3015</v>
      </c>
      <c r="W115" s="167" t="s">
        <v>3015</v>
      </c>
      <c r="X115" s="167" t="s">
        <v>3015</v>
      </c>
      <c r="Y115" s="167" t="s">
        <v>3015</v>
      </c>
      <c r="Z115" s="167" t="str">
        <f>_xlfn.IFNA(VLOOKUP(C115,'INFORM Severity - hidden'!$C$5:$G$155,5,FALSE),"-")</f>
        <v>-</v>
      </c>
      <c r="AA115" s="167" t="s">
        <v>3015</v>
      </c>
      <c r="AB115" s="167" t="s">
        <v>3015</v>
      </c>
    </row>
    <row r="116" spans="1:28" x14ac:dyDescent="0.3">
      <c r="A116" s="11" t="s">
        <v>144</v>
      </c>
      <c r="B116" s="11" t="s">
        <v>3202</v>
      </c>
      <c r="C116" s="11" t="s">
        <v>3203</v>
      </c>
      <c r="D116" s="166" t="str">
        <f t="shared" si="1"/>
        <v>-</v>
      </c>
      <c r="E116" s="167" t="s">
        <v>3015</v>
      </c>
      <c r="F116" s="167" t="s">
        <v>3015</v>
      </c>
      <c r="G116" s="167" t="s">
        <v>3015</v>
      </c>
      <c r="H116" s="167" t="s">
        <v>3015</v>
      </c>
      <c r="I116" s="167" t="s">
        <v>3015</v>
      </c>
      <c r="J116" s="167" t="s">
        <v>3015</v>
      </c>
      <c r="K116" s="167" t="s">
        <v>3015</v>
      </c>
      <c r="L116" s="167" t="s">
        <v>3015</v>
      </c>
      <c r="M116" s="167" t="s">
        <v>3015</v>
      </c>
      <c r="N116" s="167" t="s">
        <v>3015</v>
      </c>
      <c r="O116" s="167" t="s">
        <v>3015</v>
      </c>
      <c r="P116" s="167" t="s">
        <v>3015</v>
      </c>
      <c r="Q116" s="167" t="s">
        <v>3015</v>
      </c>
      <c r="R116" s="167" t="s">
        <v>3015</v>
      </c>
      <c r="S116" s="167" t="s">
        <v>3015</v>
      </c>
      <c r="T116" s="167" t="s">
        <v>3015</v>
      </c>
      <c r="U116" s="167" t="s">
        <v>3015</v>
      </c>
      <c r="V116" s="167" t="s">
        <v>3015</v>
      </c>
      <c r="W116" s="167" t="s">
        <v>3015</v>
      </c>
      <c r="X116" s="167" t="s">
        <v>3015</v>
      </c>
      <c r="Y116" s="167" t="s">
        <v>3015</v>
      </c>
      <c r="Z116" s="167" t="str">
        <f>_xlfn.IFNA(VLOOKUP(C116,'INFORM Severity - hidden'!$C$5:$G$155,5,FALSE),"-")</f>
        <v>-</v>
      </c>
      <c r="AA116" s="167" t="s">
        <v>3015</v>
      </c>
      <c r="AB116" s="167" t="s">
        <v>3015</v>
      </c>
    </row>
    <row r="117" spans="1:28" x14ac:dyDescent="0.3">
      <c r="A117" s="11" t="s">
        <v>144</v>
      </c>
      <c r="B117" s="11" t="s">
        <v>1925</v>
      </c>
      <c r="C117" s="11" t="s">
        <v>1926</v>
      </c>
      <c r="D117" s="166" t="str">
        <f t="shared" si="1"/>
        <v>-</v>
      </c>
      <c r="E117" s="167" t="s">
        <v>3015</v>
      </c>
      <c r="F117" s="167" t="s">
        <v>3015</v>
      </c>
      <c r="G117" s="167" t="s">
        <v>3015</v>
      </c>
      <c r="H117" s="167" t="s">
        <v>3015</v>
      </c>
      <c r="I117" s="167" t="s">
        <v>3015</v>
      </c>
      <c r="J117" s="167" t="s">
        <v>3015</v>
      </c>
      <c r="K117" s="167" t="s">
        <v>3015</v>
      </c>
      <c r="L117" s="167" t="s">
        <v>3015</v>
      </c>
      <c r="M117" s="167" t="s">
        <v>3015</v>
      </c>
      <c r="N117" s="167" t="s">
        <v>3015</v>
      </c>
      <c r="O117" s="167" t="s">
        <v>3015</v>
      </c>
      <c r="P117" s="167" t="s">
        <v>3015</v>
      </c>
      <c r="Q117" s="167">
        <v>1.4</v>
      </c>
      <c r="R117" s="167">
        <v>1.4</v>
      </c>
      <c r="S117" s="167">
        <v>1.7</v>
      </c>
      <c r="T117" s="167">
        <v>1.7</v>
      </c>
      <c r="U117" s="167" t="s">
        <v>3015</v>
      </c>
      <c r="V117" s="167" t="s">
        <v>3015</v>
      </c>
      <c r="W117" s="167" t="s">
        <v>3015</v>
      </c>
      <c r="X117" s="167" t="s">
        <v>3015</v>
      </c>
      <c r="Y117" s="167" t="s">
        <v>3015</v>
      </c>
      <c r="Z117" s="167" t="str">
        <f>_xlfn.IFNA(VLOOKUP(C117,'INFORM Severity - hidden'!$C$5:$G$155,5,FALSE),"-")</f>
        <v>-</v>
      </c>
      <c r="AA117" s="167" t="s">
        <v>3015</v>
      </c>
      <c r="AB117" s="167" t="s">
        <v>3015</v>
      </c>
    </row>
    <row r="118" spans="1:28" x14ac:dyDescent="0.3">
      <c r="A118" s="11" t="s">
        <v>142</v>
      </c>
      <c r="B118" s="11" t="s">
        <v>2415</v>
      </c>
      <c r="C118" s="11" t="s">
        <v>2416</v>
      </c>
      <c r="D118" s="166" t="str">
        <f t="shared" si="1"/>
        <v>Increasing</v>
      </c>
      <c r="E118" s="167" t="s">
        <v>3015</v>
      </c>
      <c r="F118" s="167" t="s">
        <v>3015</v>
      </c>
      <c r="G118" s="167" t="s">
        <v>3015</v>
      </c>
      <c r="H118" s="167" t="s">
        <v>3015</v>
      </c>
      <c r="I118" s="167" t="s">
        <v>3015</v>
      </c>
      <c r="J118" s="167" t="s">
        <v>3015</v>
      </c>
      <c r="K118" s="167" t="s">
        <v>3015</v>
      </c>
      <c r="L118" s="167" t="s">
        <v>3015</v>
      </c>
      <c r="M118" s="167" t="s">
        <v>3015</v>
      </c>
      <c r="N118" s="167" t="s">
        <v>3015</v>
      </c>
      <c r="O118" s="167" t="s">
        <v>3015</v>
      </c>
      <c r="P118" s="167" t="s">
        <v>3015</v>
      </c>
      <c r="Q118" s="167" t="s">
        <v>3015</v>
      </c>
      <c r="R118" s="167" t="s">
        <v>3015</v>
      </c>
      <c r="S118" s="167" t="s">
        <v>3015</v>
      </c>
      <c r="T118" s="167" t="s">
        <v>3015</v>
      </c>
      <c r="U118" s="167">
        <v>2.4</v>
      </c>
      <c r="V118" s="167">
        <v>2.4</v>
      </c>
      <c r="W118" s="167">
        <v>3</v>
      </c>
      <c r="X118" s="167">
        <v>2.9</v>
      </c>
      <c r="Y118" s="167">
        <v>2.5</v>
      </c>
      <c r="Z118" s="167">
        <f>_xlfn.IFNA(VLOOKUP(C118,'INFORM Severity - hidden'!$C$5:$G$155,5,FALSE),"-")</f>
        <v>2.6</v>
      </c>
      <c r="AA118" s="167" t="s">
        <v>3015</v>
      </c>
      <c r="AB118" s="167" t="s">
        <v>3015</v>
      </c>
    </row>
    <row r="119" spans="1:28" x14ac:dyDescent="0.3">
      <c r="A119" s="11" t="s">
        <v>142</v>
      </c>
      <c r="B119" s="11" t="s">
        <v>1201</v>
      </c>
      <c r="C119" s="11" t="s">
        <v>1203</v>
      </c>
      <c r="D119" s="166" t="str">
        <f t="shared" si="1"/>
        <v>-</v>
      </c>
      <c r="E119" s="167" t="s">
        <v>3015</v>
      </c>
      <c r="F119" s="167" t="s">
        <v>3015</v>
      </c>
      <c r="G119" s="167" t="s">
        <v>393</v>
      </c>
      <c r="H119" s="167" t="s">
        <v>393</v>
      </c>
      <c r="I119" s="167" t="s">
        <v>393</v>
      </c>
      <c r="J119" s="167" t="s">
        <v>393</v>
      </c>
      <c r="K119" s="167" t="s">
        <v>393</v>
      </c>
      <c r="L119" s="167" t="s">
        <v>393</v>
      </c>
      <c r="M119" s="167" t="s">
        <v>393</v>
      </c>
      <c r="N119" s="167" t="s">
        <v>393</v>
      </c>
      <c r="O119" s="167" t="s">
        <v>393</v>
      </c>
      <c r="P119" s="167" t="s">
        <v>393</v>
      </c>
      <c r="Q119" s="167" t="s">
        <v>393</v>
      </c>
      <c r="R119" s="167" t="s">
        <v>393</v>
      </c>
      <c r="S119" s="167" t="s">
        <v>393</v>
      </c>
      <c r="T119" s="167" t="s">
        <v>393</v>
      </c>
      <c r="U119" s="167" t="s">
        <v>393</v>
      </c>
      <c r="V119" s="167" t="s">
        <v>393</v>
      </c>
      <c r="W119" s="167" t="s">
        <v>393</v>
      </c>
      <c r="X119" s="167" t="s">
        <v>393</v>
      </c>
      <c r="Y119" s="167" t="s">
        <v>393</v>
      </c>
      <c r="Z119" s="167" t="str">
        <f>_xlfn.IFNA(VLOOKUP(C119,'INFORM Severity - hidden'!$C$5:$G$155,5,FALSE),"-")</f>
        <v>x</v>
      </c>
      <c r="AA119" s="167" t="s">
        <v>3015</v>
      </c>
      <c r="AB119" s="167" t="s">
        <v>3015</v>
      </c>
    </row>
    <row r="120" spans="1:28" x14ac:dyDescent="0.3">
      <c r="A120" s="11" t="s">
        <v>142</v>
      </c>
      <c r="B120" s="11" t="s">
        <v>2417</v>
      </c>
      <c r="C120" s="11" t="s">
        <v>2418</v>
      </c>
      <c r="D120" s="166" t="str">
        <f t="shared" si="1"/>
        <v>Stable</v>
      </c>
      <c r="E120" s="167" t="s">
        <v>3015</v>
      </c>
      <c r="F120" s="167" t="s">
        <v>3015</v>
      </c>
      <c r="G120" s="167" t="s">
        <v>3015</v>
      </c>
      <c r="H120" s="167" t="s">
        <v>3015</v>
      </c>
      <c r="I120" s="167" t="s">
        <v>3015</v>
      </c>
      <c r="J120" s="167" t="s">
        <v>3015</v>
      </c>
      <c r="K120" s="167" t="s">
        <v>3015</v>
      </c>
      <c r="L120" s="167" t="s">
        <v>3015</v>
      </c>
      <c r="M120" s="167" t="s">
        <v>3015</v>
      </c>
      <c r="N120" s="167" t="s">
        <v>3015</v>
      </c>
      <c r="O120" s="167" t="s">
        <v>3015</v>
      </c>
      <c r="P120" s="167" t="s">
        <v>3015</v>
      </c>
      <c r="Q120" s="167" t="s">
        <v>3015</v>
      </c>
      <c r="R120" s="167" t="s">
        <v>3015</v>
      </c>
      <c r="S120" s="167" t="s">
        <v>3015</v>
      </c>
      <c r="T120" s="167" t="s">
        <v>3015</v>
      </c>
      <c r="U120" s="167">
        <v>2.4</v>
      </c>
      <c r="V120" s="167">
        <v>2.4</v>
      </c>
      <c r="W120" s="167">
        <v>2.2000000000000002</v>
      </c>
      <c r="X120" s="167">
        <v>2.2000000000000002</v>
      </c>
      <c r="Y120" s="167">
        <v>2.2999999999999998</v>
      </c>
      <c r="Z120" s="167">
        <f>_xlfn.IFNA(VLOOKUP(C120,'INFORM Severity - hidden'!$C$5:$G$155,5,FALSE),"-")</f>
        <v>2.2999999999999998</v>
      </c>
      <c r="AA120" s="167" t="s">
        <v>3015</v>
      </c>
      <c r="AB120" s="167" t="s">
        <v>3015</v>
      </c>
    </row>
    <row r="121" spans="1:28" x14ac:dyDescent="0.3">
      <c r="A121" s="11" t="s">
        <v>142</v>
      </c>
      <c r="B121" s="11" t="s">
        <v>2746</v>
      </c>
      <c r="C121" s="11" t="s">
        <v>2747</v>
      </c>
      <c r="D121" s="166" t="str">
        <f t="shared" si="1"/>
        <v>Decreasing</v>
      </c>
      <c r="E121" s="167" t="s">
        <v>3015</v>
      </c>
      <c r="F121" s="167" t="s">
        <v>3015</v>
      </c>
      <c r="G121" s="167" t="s">
        <v>3015</v>
      </c>
      <c r="H121" s="167" t="s">
        <v>3015</v>
      </c>
      <c r="I121" s="167" t="s">
        <v>3015</v>
      </c>
      <c r="J121" s="167" t="s">
        <v>3015</v>
      </c>
      <c r="K121" s="167" t="s">
        <v>3015</v>
      </c>
      <c r="L121" s="167" t="s">
        <v>3015</v>
      </c>
      <c r="M121" s="167" t="s">
        <v>3015</v>
      </c>
      <c r="N121" s="167" t="s">
        <v>3015</v>
      </c>
      <c r="O121" s="167" t="s">
        <v>3015</v>
      </c>
      <c r="P121" s="167" t="s">
        <v>3015</v>
      </c>
      <c r="Q121" s="167" t="s">
        <v>3015</v>
      </c>
      <c r="R121" s="167" t="s">
        <v>3015</v>
      </c>
      <c r="S121" s="167" t="s">
        <v>3015</v>
      </c>
      <c r="T121" s="167" t="s">
        <v>3015</v>
      </c>
      <c r="U121" s="167" t="s">
        <v>3015</v>
      </c>
      <c r="V121" s="167" t="s">
        <v>3015</v>
      </c>
      <c r="W121" s="167">
        <v>2.9</v>
      </c>
      <c r="X121" s="167">
        <v>2.7</v>
      </c>
      <c r="Y121" s="167" t="s">
        <v>3015</v>
      </c>
      <c r="Z121" s="167" t="str">
        <f>_xlfn.IFNA(VLOOKUP(C121,'INFORM Severity - hidden'!$C$5:$G$155,5,FALSE),"-")</f>
        <v>-</v>
      </c>
      <c r="AA121" s="167" t="s">
        <v>3015</v>
      </c>
      <c r="AB121" s="167" t="s">
        <v>3015</v>
      </c>
    </row>
    <row r="122" spans="1:28" x14ac:dyDescent="0.3">
      <c r="A122" s="11" t="s">
        <v>142</v>
      </c>
      <c r="B122" s="11" t="s">
        <v>2804</v>
      </c>
      <c r="C122" s="11" t="s">
        <v>3218</v>
      </c>
      <c r="D122" s="166" t="str">
        <f t="shared" si="1"/>
        <v>-</v>
      </c>
      <c r="E122" s="167" t="s">
        <v>3015</v>
      </c>
      <c r="F122" s="167" t="s">
        <v>3015</v>
      </c>
      <c r="G122" s="167" t="s">
        <v>3015</v>
      </c>
      <c r="H122" s="167" t="s">
        <v>3015</v>
      </c>
      <c r="I122" s="167" t="s">
        <v>3015</v>
      </c>
      <c r="J122" s="167" t="s">
        <v>3015</v>
      </c>
      <c r="K122" s="167" t="s">
        <v>3015</v>
      </c>
      <c r="L122" s="167" t="s">
        <v>3015</v>
      </c>
      <c r="M122" s="167" t="s">
        <v>3015</v>
      </c>
      <c r="N122" s="167" t="s">
        <v>3015</v>
      </c>
      <c r="O122" s="167" t="s">
        <v>3015</v>
      </c>
      <c r="P122" s="167" t="s">
        <v>3015</v>
      </c>
      <c r="Q122" s="167" t="s">
        <v>3015</v>
      </c>
      <c r="R122" s="167" t="s">
        <v>3015</v>
      </c>
      <c r="S122" s="167" t="s">
        <v>3015</v>
      </c>
      <c r="T122" s="167" t="s">
        <v>3015</v>
      </c>
      <c r="U122" s="167" t="s">
        <v>3015</v>
      </c>
      <c r="V122" s="167" t="s">
        <v>3015</v>
      </c>
      <c r="W122" s="167" t="s">
        <v>3015</v>
      </c>
      <c r="X122" s="167" t="s">
        <v>3015</v>
      </c>
      <c r="Y122" s="167">
        <v>2.6</v>
      </c>
      <c r="Z122" s="167">
        <f>_xlfn.IFNA(VLOOKUP(C122,'INFORM Severity - hidden'!$C$5:$G$155,5,FALSE),"-")</f>
        <v>2.6</v>
      </c>
      <c r="AA122" s="167" t="s">
        <v>3015</v>
      </c>
      <c r="AB122" s="167" t="s">
        <v>3015</v>
      </c>
    </row>
    <row r="123" spans="1:28" x14ac:dyDescent="0.3">
      <c r="A123" s="11" t="s">
        <v>385</v>
      </c>
      <c r="B123" s="11" t="s">
        <v>914</v>
      </c>
      <c r="C123" s="11" t="s">
        <v>3069</v>
      </c>
      <c r="D123" s="166" t="str">
        <f t="shared" si="1"/>
        <v>-</v>
      </c>
      <c r="E123" s="167" t="s">
        <v>3015</v>
      </c>
      <c r="F123" s="167" t="s">
        <v>3015</v>
      </c>
      <c r="G123" s="167" t="s">
        <v>3015</v>
      </c>
      <c r="H123" s="167" t="s">
        <v>3015</v>
      </c>
      <c r="I123" s="167" t="s">
        <v>3015</v>
      </c>
      <c r="J123" s="167" t="s">
        <v>3015</v>
      </c>
      <c r="K123" s="167" t="s">
        <v>3015</v>
      </c>
      <c r="L123" s="167" t="s">
        <v>3015</v>
      </c>
      <c r="M123" s="167" t="s">
        <v>3015</v>
      </c>
      <c r="N123" s="167" t="s">
        <v>3015</v>
      </c>
      <c r="O123" s="167" t="s">
        <v>3015</v>
      </c>
      <c r="P123" s="167" t="s">
        <v>3015</v>
      </c>
      <c r="Q123" s="167" t="s">
        <v>3015</v>
      </c>
      <c r="R123" s="167" t="s">
        <v>3015</v>
      </c>
      <c r="S123" s="167" t="s">
        <v>3015</v>
      </c>
      <c r="T123" s="167" t="s">
        <v>3015</v>
      </c>
      <c r="U123" s="167" t="s">
        <v>3015</v>
      </c>
      <c r="V123" s="167" t="s">
        <v>3015</v>
      </c>
      <c r="W123" s="167" t="s">
        <v>3015</v>
      </c>
      <c r="X123" s="167" t="s">
        <v>3015</v>
      </c>
      <c r="Y123" s="167" t="s">
        <v>3015</v>
      </c>
      <c r="Z123" s="167" t="str">
        <f>_xlfn.IFNA(VLOOKUP(C123,'INFORM Severity - hidden'!$C$5:$G$155,5,FALSE),"-")</f>
        <v>-</v>
      </c>
      <c r="AA123" s="167" t="s">
        <v>3015</v>
      </c>
      <c r="AB123" s="167" t="s">
        <v>3015</v>
      </c>
    </row>
    <row r="124" spans="1:28" x14ac:dyDescent="0.3">
      <c r="A124" s="11" t="s">
        <v>385</v>
      </c>
      <c r="B124" s="11" t="s">
        <v>1267</v>
      </c>
      <c r="C124" s="11" t="s">
        <v>3190</v>
      </c>
      <c r="D124" s="166" t="str">
        <f t="shared" si="1"/>
        <v>-</v>
      </c>
      <c r="E124" s="167" t="s">
        <v>3015</v>
      </c>
      <c r="F124" s="167" t="s">
        <v>3015</v>
      </c>
      <c r="G124" s="167" t="s">
        <v>3015</v>
      </c>
      <c r="H124" s="167">
        <v>3.2</v>
      </c>
      <c r="I124" s="167">
        <v>3.1</v>
      </c>
      <c r="J124" s="167">
        <v>3.1</v>
      </c>
      <c r="K124" s="167">
        <v>3.1</v>
      </c>
      <c r="L124" s="167" t="s">
        <v>3015</v>
      </c>
      <c r="M124" s="167" t="s">
        <v>3015</v>
      </c>
      <c r="N124" s="167" t="s">
        <v>3015</v>
      </c>
      <c r="O124" s="167" t="s">
        <v>3015</v>
      </c>
      <c r="P124" s="167" t="s">
        <v>3015</v>
      </c>
      <c r="Q124" s="167" t="s">
        <v>3015</v>
      </c>
      <c r="R124" s="167" t="s">
        <v>3015</v>
      </c>
      <c r="S124" s="167" t="s">
        <v>3015</v>
      </c>
      <c r="T124" s="167" t="s">
        <v>3015</v>
      </c>
      <c r="U124" s="167" t="s">
        <v>3015</v>
      </c>
      <c r="V124" s="167" t="s">
        <v>3015</v>
      </c>
      <c r="W124" s="167" t="s">
        <v>3015</v>
      </c>
      <c r="X124" s="167" t="s">
        <v>3015</v>
      </c>
      <c r="Y124" s="167" t="s">
        <v>3015</v>
      </c>
      <c r="Z124" s="167" t="str">
        <f>_xlfn.IFNA(VLOOKUP(C124,'INFORM Severity - hidden'!$C$5:$G$155,5,FALSE),"-")</f>
        <v>-</v>
      </c>
      <c r="AA124" s="167" t="s">
        <v>3015</v>
      </c>
      <c r="AB124" s="167" t="s">
        <v>3015</v>
      </c>
    </row>
    <row r="125" spans="1:28" x14ac:dyDescent="0.3">
      <c r="A125" s="11" t="s">
        <v>385</v>
      </c>
      <c r="B125" s="11" t="s">
        <v>1953</v>
      </c>
      <c r="C125" s="11" t="s">
        <v>3213</v>
      </c>
      <c r="D125" s="166" t="str">
        <f t="shared" si="1"/>
        <v>-</v>
      </c>
      <c r="E125" s="167" t="s">
        <v>3015</v>
      </c>
      <c r="F125" s="167" t="s">
        <v>3015</v>
      </c>
      <c r="G125" s="167" t="s">
        <v>3015</v>
      </c>
      <c r="H125" s="167" t="s">
        <v>3015</v>
      </c>
      <c r="I125" s="167" t="s">
        <v>3015</v>
      </c>
      <c r="J125" s="167" t="s">
        <v>3015</v>
      </c>
      <c r="K125" s="167" t="s">
        <v>3015</v>
      </c>
      <c r="L125" s="167" t="s">
        <v>3015</v>
      </c>
      <c r="M125" s="167" t="s">
        <v>3015</v>
      </c>
      <c r="N125" s="167" t="s">
        <v>3015</v>
      </c>
      <c r="O125" s="167" t="s">
        <v>3015</v>
      </c>
      <c r="P125" s="167" t="s">
        <v>3015</v>
      </c>
      <c r="Q125" s="167">
        <v>1.8</v>
      </c>
      <c r="R125" s="167">
        <v>1.8</v>
      </c>
      <c r="S125" s="167" t="s">
        <v>3015</v>
      </c>
      <c r="T125" s="167" t="s">
        <v>3015</v>
      </c>
      <c r="U125" s="167" t="s">
        <v>3015</v>
      </c>
      <c r="V125" s="167" t="s">
        <v>3015</v>
      </c>
      <c r="W125" s="167" t="s">
        <v>3015</v>
      </c>
      <c r="X125" s="167" t="s">
        <v>3015</v>
      </c>
      <c r="Y125" s="167" t="s">
        <v>3015</v>
      </c>
      <c r="Z125" s="167" t="str">
        <f>_xlfn.IFNA(VLOOKUP(C125,'INFORM Severity - hidden'!$C$5:$G$155,5,FALSE),"-")</f>
        <v>-</v>
      </c>
      <c r="AA125" s="167" t="s">
        <v>3015</v>
      </c>
      <c r="AB125" s="167" t="s">
        <v>3015</v>
      </c>
    </row>
    <row r="126" spans="1:28" x14ac:dyDescent="0.3">
      <c r="A126" s="11" t="s">
        <v>385</v>
      </c>
      <c r="B126" s="11" t="s">
        <v>2262</v>
      </c>
      <c r="C126" s="11" t="s">
        <v>2588</v>
      </c>
      <c r="D126" s="166" t="str">
        <f t="shared" si="1"/>
        <v>Stable</v>
      </c>
      <c r="E126" s="167" t="s">
        <v>3015</v>
      </c>
      <c r="F126" s="167" t="s">
        <v>3015</v>
      </c>
      <c r="G126" s="167" t="s">
        <v>3015</v>
      </c>
      <c r="H126" s="167" t="s">
        <v>3015</v>
      </c>
      <c r="I126" s="167" t="s">
        <v>3015</v>
      </c>
      <c r="J126" s="167" t="s">
        <v>3015</v>
      </c>
      <c r="K126" s="167" t="s">
        <v>3015</v>
      </c>
      <c r="L126" s="167" t="s">
        <v>3015</v>
      </c>
      <c r="M126" s="167" t="s">
        <v>3015</v>
      </c>
      <c r="N126" s="167" t="s">
        <v>3015</v>
      </c>
      <c r="O126" s="167" t="s">
        <v>3015</v>
      </c>
      <c r="P126" s="167" t="s">
        <v>3015</v>
      </c>
      <c r="Q126" s="167" t="s">
        <v>3015</v>
      </c>
      <c r="R126" s="167" t="s">
        <v>3015</v>
      </c>
      <c r="S126" s="167">
        <v>3.4</v>
      </c>
      <c r="T126" s="167">
        <v>3.4</v>
      </c>
      <c r="U126" s="167">
        <v>3.4</v>
      </c>
      <c r="V126" s="167">
        <v>3.4</v>
      </c>
      <c r="W126" s="167">
        <v>3.4</v>
      </c>
      <c r="X126" s="167">
        <v>3.4</v>
      </c>
      <c r="Y126" s="167">
        <v>3.4</v>
      </c>
      <c r="Z126" s="167">
        <f>_xlfn.IFNA(VLOOKUP(C126,'INFORM Severity - hidden'!$C$5:$G$155,5,FALSE),"-")</f>
        <v>3.4</v>
      </c>
      <c r="AA126" s="167" t="s">
        <v>3015</v>
      </c>
      <c r="AB126" s="167" t="s">
        <v>3015</v>
      </c>
    </row>
    <row r="127" spans="1:28" x14ac:dyDescent="0.3">
      <c r="A127" s="11" t="s">
        <v>147</v>
      </c>
      <c r="B127" s="11" t="s">
        <v>1163</v>
      </c>
      <c r="C127" s="11" t="s">
        <v>586</v>
      </c>
      <c r="D127" s="166" t="str">
        <f t="shared" si="1"/>
        <v>Stable</v>
      </c>
      <c r="E127" s="167" t="s">
        <v>3015</v>
      </c>
      <c r="F127" s="167">
        <v>4.3</v>
      </c>
      <c r="G127" s="167">
        <v>4.3</v>
      </c>
      <c r="H127" s="167">
        <v>4.2</v>
      </c>
      <c r="I127" s="167">
        <v>4.2</v>
      </c>
      <c r="J127" s="167">
        <v>4.3</v>
      </c>
      <c r="K127" s="167">
        <v>4.3</v>
      </c>
      <c r="L127" s="167">
        <v>4.3</v>
      </c>
      <c r="M127" s="167">
        <v>4.3</v>
      </c>
      <c r="N127" s="167">
        <v>4.2</v>
      </c>
      <c r="O127" s="167">
        <v>4.3</v>
      </c>
      <c r="P127" s="167">
        <v>4.2</v>
      </c>
      <c r="Q127" s="167">
        <v>4.2</v>
      </c>
      <c r="R127" s="167">
        <v>4.2</v>
      </c>
      <c r="S127" s="167">
        <v>4.2</v>
      </c>
      <c r="T127" s="167">
        <v>3.9</v>
      </c>
      <c r="U127" s="167">
        <v>3.9</v>
      </c>
      <c r="V127" s="167">
        <v>3.9</v>
      </c>
      <c r="W127" s="167">
        <v>3.9</v>
      </c>
      <c r="X127" s="167">
        <v>3.9</v>
      </c>
      <c r="Y127" s="167">
        <v>3.9</v>
      </c>
      <c r="Z127" s="167">
        <f>_xlfn.IFNA(VLOOKUP(C127,'INFORM Severity - hidden'!$C$5:$G$155,5,FALSE),"-")</f>
        <v>3.9</v>
      </c>
      <c r="AA127" s="167" t="s">
        <v>3015</v>
      </c>
      <c r="AB127" s="167" t="s">
        <v>3015</v>
      </c>
    </row>
    <row r="128" spans="1:28" x14ac:dyDescent="0.3">
      <c r="A128" s="11" t="s">
        <v>147</v>
      </c>
      <c r="B128" s="11" t="s">
        <v>766</v>
      </c>
      <c r="C128" s="11" t="s">
        <v>659</v>
      </c>
      <c r="D128" s="166" t="str">
        <f t="shared" si="1"/>
        <v>Stable</v>
      </c>
      <c r="E128" s="167" t="s">
        <v>3015</v>
      </c>
      <c r="F128" s="167">
        <v>4.4000000000000004</v>
      </c>
      <c r="G128" s="167">
        <v>4.3</v>
      </c>
      <c r="H128" s="167">
        <v>4.2</v>
      </c>
      <c r="I128" s="167">
        <v>4.2</v>
      </c>
      <c r="J128" s="167">
        <v>4.3</v>
      </c>
      <c r="K128" s="167">
        <v>4.3</v>
      </c>
      <c r="L128" s="167">
        <v>4.3</v>
      </c>
      <c r="M128" s="167">
        <v>4.3</v>
      </c>
      <c r="N128" s="167">
        <v>4.2</v>
      </c>
      <c r="O128" s="167">
        <v>4.3</v>
      </c>
      <c r="P128" s="167">
        <v>4.0999999999999996</v>
      </c>
      <c r="Q128" s="167">
        <v>4.0999999999999996</v>
      </c>
      <c r="R128" s="167">
        <v>4.0999999999999996</v>
      </c>
      <c r="S128" s="167">
        <v>4</v>
      </c>
      <c r="T128" s="167">
        <v>4</v>
      </c>
      <c r="U128" s="167">
        <v>4</v>
      </c>
      <c r="V128" s="167">
        <v>4</v>
      </c>
      <c r="W128" s="167">
        <v>4</v>
      </c>
      <c r="X128" s="167">
        <v>4</v>
      </c>
      <c r="Y128" s="167">
        <v>4</v>
      </c>
      <c r="Z128" s="167">
        <f>_xlfn.IFNA(VLOOKUP(C128,'INFORM Severity - hidden'!$C$5:$G$155,5,FALSE),"-")</f>
        <v>4</v>
      </c>
      <c r="AA128" s="167" t="s">
        <v>3015</v>
      </c>
      <c r="AB128" s="167" t="s">
        <v>3015</v>
      </c>
    </row>
    <row r="129" spans="1:28" x14ac:dyDescent="0.3">
      <c r="A129" s="11" t="s">
        <v>147</v>
      </c>
      <c r="B129" s="11" t="s">
        <v>1089</v>
      </c>
      <c r="C129" s="11" t="s">
        <v>660</v>
      </c>
      <c r="D129" s="166" t="str">
        <f t="shared" si="1"/>
        <v>Decreasing</v>
      </c>
      <c r="E129" s="167" t="s">
        <v>3015</v>
      </c>
      <c r="F129" s="167">
        <v>3</v>
      </c>
      <c r="G129" s="167">
        <v>2.8</v>
      </c>
      <c r="H129" s="167">
        <v>3.2</v>
      </c>
      <c r="I129" s="167">
        <v>3.1</v>
      </c>
      <c r="J129" s="167">
        <v>3.2</v>
      </c>
      <c r="K129" s="167">
        <v>3.2</v>
      </c>
      <c r="L129" s="167">
        <v>3.2</v>
      </c>
      <c r="M129" s="167">
        <v>3.2</v>
      </c>
      <c r="N129" s="167">
        <v>3</v>
      </c>
      <c r="O129" s="167">
        <v>2.9</v>
      </c>
      <c r="P129" s="167">
        <v>2.9</v>
      </c>
      <c r="Q129" s="167">
        <v>2.9</v>
      </c>
      <c r="R129" s="167">
        <v>2.9</v>
      </c>
      <c r="S129" s="167">
        <v>2.9</v>
      </c>
      <c r="T129" s="167">
        <v>2.9</v>
      </c>
      <c r="U129" s="167">
        <v>2.9</v>
      </c>
      <c r="V129" s="167">
        <v>2.9</v>
      </c>
      <c r="W129" s="167">
        <v>2.9</v>
      </c>
      <c r="X129" s="167">
        <v>2.9</v>
      </c>
      <c r="Y129" s="167">
        <v>2.8</v>
      </c>
      <c r="Z129" s="167">
        <f>_xlfn.IFNA(VLOOKUP(C129,'INFORM Severity - hidden'!$C$5:$G$155,5,FALSE),"-")</f>
        <v>2.8</v>
      </c>
      <c r="AA129" s="167" t="s">
        <v>3015</v>
      </c>
      <c r="AB129" s="167" t="s">
        <v>3015</v>
      </c>
    </row>
    <row r="130" spans="1:28" x14ac:dyDescent="0.3">
      <c r="A130" s="11" t="s">
        <v>153</v>
      </c>
      <c r="B130" s="11" t="s">
        <v>914</v>
      </c>
      <c r="C130" s="11" t="s">
        <v>3070</v>
      </c>
      <c r="D130" s="166" t="str">
        <f t="shared" si="1"/>
        <v>-</v>
      </c>
      <c r="E130" s="167" t="s">
        <v>3015</v>
      </c>
      <c r="F130" s="167" t="s">
        <v>3015</v>
      </c>
      <c r="G130" s="167" t="s">
        <v>3015</v>
      </c>
      <c r="H130" s="167" t="s">
        <v>3015</v>
      </c>
      <c r="I130" s="167" t="s">
        <v>3015</v>
      </c>
      <c r="J130" s="167" t="s">
        <v>3015</v>
      </c>
      <c r="K130" s="167" t="s">
        <v>3015</v>
      </c>
      <c r="L130" s="167" t="s">
        <v>3015</v>
      </c>
      <c r="M130" s="167" t="s">
        <v>3015</v>
      </c>
      <c r="N130" s="167" t="s">
        <v>3015</v>
      </c>
      <c r="O130" s="167" t="s">
        <v>3015</v>
      </c>
      <c r="P130" s="167" t="s">
        <v>3015</v>
      </c>
      <c r="Q130" s="167" t="s">
        <v>3015</v>
      </c>
      <c r="R130" s="167" t="s">
        <v>3015</v>
      </c>
      <c r="S130" s="167" t="s">
        <v>3015</v>
      </c>
      <c r="T130" s="167" t="s">
        <v>3015</v>
      </c>
      <c r="U130" s="167" t="s">
        <v>3015</v>
      </c>
      <c r="V130" s="167" t="s">
        <v>3015</v>
      </c>
      <c r="W130" s="167" t="s">
        <v>3015</v>
      </c>
      <c r="X130" s="167" t="s">
        <v>3015</v>
      </c>
      <c r="Y130" s="167" t="s">
        <v>3015</v>
      </c>
      <c r="Z130" s="167" t="str">
        <f>_xlfn.IFNA(VLOOKUP(C130,'INFORM Severity - hidden'!$C$5:$G$155,5,FALSE),"-")</f>
        <v>-</v>
      </c>
      <c r="AA130" s="167" t="s">
        <v>3015</v>
      </c>
      <c r="AB130" s="167" t="s">
        <v>3015</v>
      </c>
    </row>
    <row r="131" spans="1:28" x14ac:dyDescent="0.3">
      <c r="A131" s="11" t="s">
        <v>153</v>
      </c>
      <c r="B131" s="11" t="s">
        <v>797</v>
      </c>
      <c r="C131" s="11" t="s">
        <v>3154</v>
      </c>
      <c r="D131" s="166" t="str">
        <f t="shared" si="1"/>
        <v>-</v>
      </c>
      <c r="E131" s="167" t="s">
        <v>3015</v>
      </c>
      <c r="F131" s="167">
        <v>1.3</v>
      </c>
      <c r="G131" s="167">
        <v>1.3</v>
      </c>
      <c r="H131" s="167" t="s">
        <v>3015</v>
      </c>
      <c r="I131" s="167" t="s">
        <v>3015</v>
      </c>
      <c r="J131" s="167" t="s">
        <v>3015</v>
      </c>
      <c r="K131" s="167" t="s">
        <v>3015</v>
      </c>
      <c r="L131" s="167" t="s">
        <v>3015</v>
      </c>
      <c r="M131" s="167" t="s">
        <v>3015</v>
      </c>
      <c r="N131" s="167" t="s">
        <v>3015</v>
      </c>
      <c r="O131" s="167" t="s">
        <v>3015</v>
      </c>
      <c r="P131" s="167" t="s">
        <v>3015</v>
      </c>
      <c r="Q131" s="167" t="s">
        <v>3015</v>
      </c>
      <c r="R131" s="167" t="s">
        <v>3015</v>
      </c>
      <c r="S131" s="167" t="s">
        <v>3015</v>
      </c>
      <c r="T131" s="167" t="s">
        <v>3015</v>
      </c>
      <c r="U131" s="167" t="s">
        <v>3015</v>
      </c>
      <c r="V131" s="167" t="s">
        <v>3015</v>
      </c>
      <c r="W131" s="167" t="s">
        <v>3015</v>
      </c>
      <c r="X131" s="167" t="s">
        <v>3015</v>
      </c>
      <c r="Y131" s="167" t="s">
        <v>3015</v>
      </c>
      <c r="Z131" s="167" t="str">
        <f>_xlfn.IFNA(VLOOKUP(C131,'INFORM Severity - hidden'!$C$5:$G$155,5,FALSE),"-")</f>
        <v>-</v>
      </c>
      <c r="AA131" s="167" t="s">
        <v>3015</v>
      </c>
      <c r="AB131" s="167" t="s">
        <v>3015</v>
      </c>
    </row>
    <row r="132" spans="1:28" x14ac:dyDescent="0.3">
      <c r="A132" s="11" t="s">
        <v>155</v>
      </c>
      <c r="B132" s="11" t="s">
        <v>914</v>
      </c>
      <c r="C132" s="11" t="s">
        <v>3071</v>
      </c>
      <c r="D132" s="166" t="str">
        <f t="shared" ref="D132:D195" si="2">IFERROR(IF(ROUND(AVERAGE(X132:Z132),1)=ROUND(AVERAGE(U132:W132),1),"Stable",IF(ROUND(AVERAGE(X132:Z132),1)&lt;ROUND(AVERAGE(U132:W132),1),"Decreasing",IF(ROUND(AVERAGE(X132:Z132),1)&gt;ROUND(AVERAGE(U132:W132),1),"Increasing"))),"-")</f>
        <v>-</v>
      </c>
      <c r="E132" s="167" t="s">
        <v>3015</v>
      </c>
      <c r="F132" s="167" t="s">
        <v>3015</v>
      </c>
      <c r="G132" s="167" t="s">
        <v>3015</v>
      </c>
      <c r="H132" s="167" t="s">
        <v>3015</v>
      </c>
      <c r="I132" s="167" t="s">
        <v>3015</v>
      </c>
      <c r="J132" s="167" t="s">
        <v>3015</v>
      </c>
      <c r="K132" s="167" t="s">
        <v>3015</v>
      </c>
      <c r="L132" s="167" t="s">
        <v>3015</v>
      </c>
      <c r="M132" s="167" t="s">
        <v>3015</v>
      </c>
      <c r="N132" s="167" t="s">
        <v>3015</v>
      </c>
      <c r="O132" s="167" t="s">
        <v>3015</v>
      </c>
      <c r="P132" s="167" t="s">
        <v>3015</v>
      </c>
      <c r="Q132" s="167" t="s">
        <v>3015</v>
      </c>
      <c r="R132" s="167" t="s">
        <v>3015</v>
      </c>
      <c r="S132" s="167" t="s">
        <v>3015</v>
      </c>
      <c r="T132" s="167" t="s">
        <v>3015</v>
      </c>
      <c r="U132" s="167" t="s">
        <v>3015</v>
      </c>
      <c r="V132" s="167" t="s">
        <v>3015</v>
      </c>
      <c r="W132" s="167" t="s">
        <v>3015</v>
      </c>
      <c r="X132" s="167" t="s">
        <v>3015</v>
      </c>
      <c r="Y132" s="167" t="s">
        <v>3015</v>
      </c>
      <c r="Z132" s="167" t="str">
        <f>_xlfn.IFNA(VLOOKUP(C132,'INFORM Severity - hidden'!$C$5:$G$155,5,FALSE),"-")</f>
        <v>-</v>
      </c>
      <c r="AA132" s="167" t="s">
        <v>3015</v>
      </c>
      <c r="AB132" s="167" t="s">
        <v>3015</v>
      </c>
    </row>
    <row r="133" spans="1:28" x14ac:dyDescent="0.3">
      <c r="A133" s="11" t="s">
        <v>159</v>
      </c>
      <c r="B133" s="11" t="s">
        <v>1117</v>
      </c>
      <c r="C133" s="11" t="s">
        <v>3072</v>
      </c>
      <c r="D133" s="166" t="str">
        <f t="shared" si="2"/>
        <v>-</v>
      </c>
      <c r="E133" s="167" t="s">
        <v>3015</v>
      </c>
      <c r="F133" s="167" t="s">
        <v>3015</v>
      </c>
      <c r="G133" s="167" t="s">
        <v>3015</v>
      </c>
      <c r="H133" s="167">
        <v>2.7</v>
      </c>
      <c r="I133" s="167" t="s">
        <v>3015</v>
      </c>
      <c r="J133" s="167" t="s">
        <v>3015</v>
      </c>
      <c r="K133" s="167" t="s">
        <v>3015</v>
      </c>
      <c r="L133" s="167" t="s">
        <v>3015</v>
      </c>
      <c r="M133" s="167" t="s">
        <v>3015</v>
      </c>
      <c r="N133" s="167" t="s">
        <v>3015</v>
      </c>
      <c r="O133" s="167" t="s">
        <v>3015</v>
      </c>
      <c r="P133" s="167" t="s">
        <v>3015</v>
      </c>
      <c r="Q133" s="167" t="s">
        <v>3015</v>
      </c>
      <c r="R133" s="167" t="s">
        <v>3015</v>
      </c>
      <c r="S133" s="167" t="s">
        <v>3015</v>
      </c>
      <c r="T133" s="167" t="s">
        <v>3015</v>
      </c>
      <c r="U133" s="167" t="s">
        <v>3015</v>
      </c>
      <c r="V133" s="167" t="s">
        <v>3015</v>
      </c>
      <c r="W133" s="167" t="s">
        <v>3015</v>
      </c>
      <c r="X133" s="167" t="s">
        <v>3015</v>
      </c>
      <c r="Y133" s="167" t="s">
        <v>3015</v>
      </c>
      <c r="Z133" s="167" t="str">
        <f>_xlfn.IFNA(VLOOKUP(C133,'INFORM Severity - hidden'!$C$5:$G$155,5,FALSE),"-")</f>
        <v>-</v>
      </c>
      <c r="AA133" s="167" t="s">
        <v>3015</v>
      </c>
      <c r="AB133" s="167" t="s">
        <v>3015</v>
      </c>
    </row>
    <row r="134" spans="1:28" x14ac:dyDescent="0.3">
      <c r="A134" s="11" t="s">
        <v>159</v>
      </c>
      <c r="B134" s="11" t="s">
        <v>1116</v>
      </c>
      <c r="C134" s="11" t="s">
        <v>2923</v>
      </c>
      <c r="D134" s="166" t="str">
        <f t="shared" si="2"/>
        <v>Increasing</v>
      </c>
      <c r="E134" s="167" t="s">
        <v>3015</v>
      </c>
      <c r="F134" s="167" t="s">
        <v>3015</v>
      </c>
      <c r="G134" s="167" t="s">
        <v>3015</v>
      </c>
      <c r="H134" s="167">
        <v>2.5</v>
      </c>
      <c r="I134" s="167">
        <v>2.6</v>
      </c>
      <c r="J134" s="167">
        <v>2.6</v>
      </c>
      <c r="K134" s="167">
        <v>2.6</v>
      </c>
      <c r="L134" s="167">
        <v>2.6</v>
      </c>
      <c r="M134" s="167">
        <v>2.6</v>
      </c>
      <c r="N134" s="167">
        <v>2.5</v>
      </c>
      <c r="O134" s="167">
        <v>2.5</v>
      </c>
      <c r="P134" s="167">
        <v>2.5</v>
      </c>
      <c r="Q134" s="167">
        <v>2.5</v>
      </c>
      <c r="R134" s="167">
        <v>2.5</v>
      </c>
      <c r="S134" s="167">
        <v>2.5</v>
      </c>
      <c r="T134" s="167">
        <v>2.5</v>
      </c>
      <c r="U134" s="167">
        <v>2.5</v>
      </c>
      <c r="V134" s="167">
        <v>2.5</v>
      </c>
      <c r="W134" s="167">
        <v>2.5</v>
      </c>
      <c r="X134" s="167">
        <v>2.5</v>
      </c>
      <c r="Y134" s="167">
        <v>2.6</v>
      </c>
      <c r="Z134" s="167">
        <f>_xlfn.IFNA(VLOOKUP(C134,'INFORM Severity - hidden'!$C$5:$G$155,5,FALSE),"-")</f>
        <v>2.6</v>
      </c>
      <c r="AA134" s="167" t="s">
        <v>3015</v>
      </c>
      <c r="AB134" s="167" t="s">
        <v>3015</v>
      </c>
    </row>
    <row r="135" spans="1:28" x14ac:dyDescent="0.3">
      <c r="A135" s="11" t="s">
        <v>159</v>
      </c>
      <c r="B135" s="11" t="s">
        <v>1118</v>
      </c>
      <c r="C135" s="11" t="s">
        <v>3155</v>
      </c>
      <c r="D135" s="166" t="str">
        <f t="shared" si="2"/>
        <v>-</v>
      </c>
      <c r="E135" s="167" t="s">
        <v>3015</v>
      </c>
      <c r="F135" s="167" t="s">
        <v>3015</v>
      </c>
      <c r="G135" s="167" t="s">
        <v>3015</v>
      </c>
      <c r="H135" s="167">
        <v>2.5</v>
      </c>
      <c r="I135" s="167" t="s">
        <v>3015</v>
      </c>
      <c r="J135" s="167" t="s">
        <v>3015</v>
      </c>
      <c r="K135" s="167" t="s">
        <v>3015</v>
      </c>
      <c r="L135" s="167" t="s">
        <v>3015</v>
      </c>
      <c r="M135" s="167" t="s">
        <v>3015</v>
      </c>
      <c r="N135" s="167" t="s">
        <v>3015</v>
      </c>
      <c r="O135" s="167" t="s">
        <v>3015</v>
      </c>
      <c r="P135" s="167" t="s">
        <v>3015</v>
      </c>
      <c r="Q135" s="167" t="s">
        <v>3015</v>
      </c>
      <c r="R135" s="167" t="s">
        <v>3015</v>
      </c>
      <c r="S135" s="167" t="s">
        <v>3015</v>
      </c>
      <c r="T135" s="167" t="s">
        <v>3015</v>
      </c>
      <c r="U135" s="167" t="s">
        <v>3015</v>
      </c>
      <c r="V135" s="167" t="s">
        <v>3015</v>
      </c>
      <c r="W135" s="167" t="s">
        <v>3015</v>
      </c>
      <c r="X135" s="167" t="s">
        <v>3015</v>
      </c>
      <c r="Y135" s="167" t="s">
        <v>3015</v>
      </c>
      <c r="Z135" s="167" t="str">
        <f>_xlfn.IFNA(VLOOKUP(C135,'INFORM Severity - hidden'!$C$5:$G$155,5,FALSE),"-")</f>
        <v>-</v>
      </c>
      <c r="AA135" s="167" t="s">
        <v>3015</v>
      </c>
      <c r="AB135" s="167" t="s">
        <v>3015</v>
      </c>
    </row>
    <row r="136" spans="1:28" x14ac:dyDescent="0.3">
      <c r="A136" s="11" t="s">
        <v>161</v>
      </c>
      <c r="B136" s="11" t="s">
        <v>914</v>
      </c>
      <c r="C136" s="11" t="s">
        <v>3073</v>
      </c>
      <c r="D136" s="166" t="str">
        <f t="shared" si="2"/>
        <v>-</v>
      </c>
      <c r="E136" s="167" t="s">
        <v>3015</v>
      </c>
      <c r="F136" s="167" t="s">
        <v>3015</v>
      </c>
      <c r="G136" s="167" t="s">
        <v>3015</v>
      </c>
      <c r="H136" s="167" t="s">
        <v>3015</v>
      </c>
      <c r="I136" s="167" t="s">
        <v>3015</v>
      </c>
      <c r="J136" s="167" t="s">
        <v>3015</v>
      </c>
      <c r="K136" s="167" t="s">
        <v>3015</v>
      </c>
      <c r="L136" s="167" t="s">
        <v>3015</v>
      </c>
      <c r="M136" s="167" t="s">
        <v>3015</v>
      </c>
      <c r="N136" s="167" t="s">
        <v>3015</v>
      </c>
      <c r="O136" s="167" t="s">
        <v>3015</v>
      </c>
      <c r="P136" s="167" t="s">
        <v>3015</v>
      </c>
      <c r="Q136" s="167" t="s">
        <v>3015</v>
      </c>
      <c r="R136" s="167" t="s">
        <v>3015</v>
      </c>
      <c r="S136" s="167" t="s">
        <v>3015</v>
      </c>
      <c r="T136" s="167" t="s">
        <v>3015</v>
      </c>
      <c r="U136" s="167" t="s">
        <v>3015</v>
      </c>
      <c r="V136" s="167" t="s">
        <v>3015</v>
      </c>
      <c r="W136" s="167" t="s">
        <v>3015</v>
      </c>
      <c r="X136" s="167" t="s">
        <v>3015</v>
      </c>
      <c r="Y136" s="167" t="s">
        <v>3015</v>
      </c>
      <c r="Z136" s="167" t="str">
        <f>_xlfn.IFNA(VLOOKUP(C136,'INFORM Severity - hidden'!$C$5:$G$155,5,FALSE),"-")</f>
        <v>-</v>
      </c>
      <c r="AA136" s="167" t="s">
        <v>3015</v>
      </c>
      <c r="AB136" s="167" t="s">
        <v>3015</v>
      </c>
    </row>
    <row r="137" spans="1:28" x14ac:dyDescent="0.3">
      <c r="A137" s="11" t="s">
        <v>163</v>
      </c>
      <c r="B137" s="11" t="s">
        <v>1386</v>
      </c>
      <c r="C137" s="11" t="s">
        <v>1387</v>
      </c>
      <c r="D137" s="166" t="str">
        <f t="shared" si="2"/>
        <v>Decreasing</v>
      </c>
      <c r="E137" s="167" t="s">
        <v>3015</v>
      </c>
      <c r="F137" s="167" t="s">
        <v>3015</v>
      </c>
      <c r="G137" s="167" t="s">
        <v>3015</v>
      </c>
      <c r="H137" s="167" t="s">
        <v>3015</v>
      </c>
      <c r="I137" s="167" t="s">
        <v>3015</v>
      </c>
      <c r="J137" s="167">
        <v>3.1</v>
      </c>
      <c r="K137" s="167">
        <v>3.1</v>
      </c>
      <c r="L137" s="167">
        <v>3.1</v>
      </c>
      <c r="M137" s="167">
        <v>3.4</v>
      </c>
      <c r="N137" s="167">
        <v>3.4</v>
      </c>
      <c r="O137" s="167">
        <v>3.3</v>
      </c>
      <c r="P137" s="167">
        <v>3.3</v>
      </c>
      <c r="Q137" s="167">
        <v>3.3</v>
      </c>
      <c r="R137" s="167">
        <v>3.3</v>
      </c>
      <c r="S137" s="167">
        <v>3.3</v>
      </c>
      <c r="T137" s="167">
        <v>3.3</v>
      </c>
      <c r="U137" s="167">
        <v>3.4</v>
      </c>
      <c r="V137" s="167">
        <v>3</v>
      </c>
      <c r="W137" s="167">
        <v>3</v>
      </c>
      <c r="X137" s="167">
        <v>3</v>
      </c>
      <c r="Y137" s="167">
        <v>2.9</v>
      </c>
      <c r="Z137" s="167">
        <f>_xlfn.IFNA(VLOOKUP(C137,'INFORM Severity - hidden'!$C$5:$G$155,5,FALSE),"-")</f>
        <v>2.9</v>
      </c>
      <c r="AA137" s="167" t="s">
        <v>3015</v>
      </c>
      <c r="AB137" s="167" t="s">
        <v>3015</v>
      </c>
    </row>
    <row r="138" spans="1:28" x14ac:dyDescent="0.3">
      <c r="A138" s="11" t="s">
        <v>163</v>
      </c>
      <c r="B138" s="11" t="s">
        <v>1090</v>
      </c>
      <c r="C138" s="11" t="s">
        <v>690</v>
      </c>
      <c r="D138" s="166" t="str">
        <f t="shared" si="2"/>
        <v>Decreasing</v>
      </c>
      <c r="E138" s="167" t="s">
        <v>3015</v>
      </c>
      <c r="F138" s="167">
        <v>2</v>
      </c>
      <c r="G138" s="167">
        <v>2</v>
      </c>
      <c r="H138" s="167">
        <v>2.8</v>
      </c>
      <c r="I138" s="167">
        <v>2.8</v>
      </c>
      <c r="J138" s="167">
        <v>2.8</v>
      </c>
      <c r="K138" s="167">
        <v>2.8</v>
      </c>
      <c r="L138" s="167">
        <v>2.8</v>
      </c>
      <c r="M138" s="167">
        <v>2.8</v>
      </c>
      <c r="N138" s="167">
        <v>2.9</v>
      </c>
      <c r="O138" s="167">
        <v>2.7</v>
      </c>
      <c r="P138" s="167">
        <v>2.7</v>
      </c>
      <c r="Q138" s="167">
        <v>2.7</v>
      </c>
      <c r="R138" s="167">
        <v>2.8</v>
      </c>
      <c r="S138" s="167">
        <v>2.7</v>
      </c>
      <c r="T138" s="167">
        <v>2.7</v>
      </c>
      <c r="U138" s="167">
        <v>2.7</v>
      </c>
      <c r="V138" s="167">
        <v>2.7</v>
      </c>
      <c r="W138" s="167">
        <v>2.7</v>
      </c>
      <c r="X138" s="167">
        <v>2.7</v>
      </c>
      <c r="Y138" s="167">
        <v>2.6</v>
      </c>
      <c r="Z138" s="167">
        <f>_xlfn.IFNA(VLOOKUP(C138,'INFORM Severity - hidden'!$C$5:$G$155,5,FALSE),"-")</f>
        <v>2.6</v>
      </c>
      <c r="AA138" s="167" t="s">
        <v>3015</v>
      </c>
      <c r="AB138" s="167" t="s">
        <v>3015</v>
      </c>
    </row>
    <row r="139" spans="1:28" x14ac:dyDescent="0.3">
      <c r="A139" s="11" t="s">
        <v>163</v>
      </c>
      <c r="B139" s="11" t="s">
        <v>1418</v>
      </c>
      <c r="C139" s="11" t="s">
        <v>1388</v>
      </c>
      <c r="D139" s="166" t="str">
        <f t="shared" si="2"/>
        <v>Decreasing</v>
      </c>
      <c r="E139" s="167" t="s">
        <v>3015</v>
      </c>
      <c r="F139" s="167" t="s">
        <v>3015</v>
      </c>
      <c r="G139" s="167" t="s">
        <v>3015</v>
      </c>
      <c r="H139" s="167" t="s">
        <v>3015</v>
      </c>
      <c r="I139" s="167" t="s">
        <v>3015</v>
      </c>
      <c r="J139" s="167">
        <v>3</v>
      </c>
      <c r="K139" s="167">
        <v>3.1</v>
      </c>
      <c r="L139" s="167">
        <v>3.1</v>
      </c>
      <c r="M139" s="167">
        <v>3.3</v>
      </c>
      <c r="N139" s="167">
        <v>3.3</v>
      </c>
      <c r="O139" s="167">
        <v>3.2</v>
      </c>
      <c r="P139" s="167">
        <v>3.2</v>
      </c>
      <c r="Q139" s="167">
        <v>3.2</v>
      </c>
      <c r="R139" s="167">
        <v>3.2</v>
      </c>
      <c r="S139" s="167">
        <v>3.2</v>
      </c>
      <c r="T139" s="167">
        <v>3.2</v>
      </c>
      <c r="U139" s="167">
        <v>3.3</v>
      </c>
      <c r="V139" s="167">
        <v>2.8</v>
      </c>
      <c r="W139" s="167">
        <v>2.8</v>
      </c>
      <c r="X139" s="167">
        <v>2.8</v>
      </c>
      <c r="Y139" s="167">
        <v>2.8</v>
      </c>
      <c r="Z139" s="167">
        <f>_xlfn.IFNA(VLOOKUP(C139,'INFORM Severity - hidden'!$C$5:$G$155,5,FALSE),"-")</f>
        <v>2.8</v>
      </c>
      <c r="AA139" s="167" t="s">
        <v>3015</v>
      </c>
      <c r="AB139" s="167" t="s">
        <v>3015</v>
      </c>
    </row>
    <row r="140" spans="1:28" x14ac:dyDescent="0.3">
      <c r="A140" s="11" t="s">
        <v>163</v>
      </c>
      <c r="B140" s="11" t="s">
        <v>1673</v>
      </c>
      <c r="C140" s="11" t="s">
        <v>1674</v>
      </c>
      <c r="D140" s="166" t="str">
        <f t="shared" si="2"/>
        <v>-</v>
      </c>
      <c r="E140" s="167" t="s">
        <v>3015</v>
      </c>
      <c r="F140" s="167" t="s">
        <v>3015</v>
      </c>
      <c r="G140" s="167" t="s">
        <v>3015</v>
      </c>
      <c r="H140" s="167" t="s">
        <v>3015</v>
      </c>
      <c r="I140" s="167" t="s">
        <v>3015</v>
      </c>
      <c r="J140" s="167" t="s">
        <v>3015</v>
      </c>
      <c r="K140" s="167" t="s">
        <v>3015</v>
      </c>
      <c r="L140" s="167" t="s">
        <v>3015</v>
      </c>
      <c r="M140" s="167" t="s">
        <v>3015</v>
      </c>
      <c r="N140" s="167" t="s">
        <v>3015</v>
      </c>
      <c r="O140" s="167" t="s">
        <v>393</v>
      </c>
      <c r="P140" s="167" t="s">
        <v>393</v>
      </c>
      <c r="Q140" s="167" t="s">
        <v>393</v>
      </c>
      <c r="R140" s="167" t="s">
        <v>393</v>
      </c>
      <c r="S140" s="167" t="s">
        <v>393</v>
      </c>
      <c r="T140" s="167" t="s">
        <v>3015</v>
      </c>
      <c r="U140" s="167" t="s">
        <v>3015</v>
      </c>
      <c r="V140" s="167" t="s">
        <v>3015</v>
      </c>
      <c r="W140" s="167" t="s">
        <v>3015</v>
      </c>
      <c r="X140" s="167" t="s">
        <v>3015</v>
      </c>
      <c r="Y140" s="167" t="s">
        <v>3015</v>
      </c>
      <c r="Z140" s="167" t="str">
        <f>_xlfn.IFNA(VLOOKUP(C140,'INFORM Severity - hidden'!$C$5:$G$155,5,FALSE),"-")</f>
        <v>-</v>
      </c>
      <c r="AA140" s="167" t="s">
        <v>3015</v>
      </c>
      <c r="AB140" s="167" t="s">
        <v>3015</v>
      </c>
    </row>
    <row r="141" spans="1:28" x14ac:dyDescent="0.3">
      <c r="A141" s="11" t="s">
        <v>163</v>
      </c>
      <c r="B141" s="11" t="s">
        <v>2263</v>
      </c>
      <c r="C141" s="11" t="s">
        <v>2589</v>
      </c>
      <c r="D141" s="166" t="str">
        <f t="shared" si="2"/>
        <v>Stable</v>
      </c>
      <c r="E141" s="167" t="s">
        <v>3015</v>
      </c>
      <c r="F141" s="167" t="s">
        <v>3015</v>
      </c>
      <c r="G141" s="167" t="s">
        <v>3015</v>
      </c>
      <c r="H141" s="167" t="s">
        <v>3015</v>
      </c>
      <c r="I141" s="167" t="s">
        <v>3015</v>
      </c>
      <c r="J141" s="167" t="s">
        <v>3015</v>
      </c>
      <c r="K141" s="167" t="s">
        <v>3015</v>
      </c>
      <c r="L141" s="167" t="s">
        <v>3015</v>
      </c>
      <c r="M141" s="167" t="s">
        <v>3015</v>
      </c>
      <c r="N141" s="167" t="s">
        <v>3015</v>
      </c>
      <c r="O141" s="167" t="s">
        <v>3015</v>
      </c>
      <c r="P141" s="167" t="s">
        <v>3015</v>
      </c>
      <c r="Q141" s="167" t="s">
        <v>3015</v>
      </c>
      <c r="R141" s="167" t="s">
        <v>3015</v>
      </c>
      <c r="S141" s="167" t="s">
        <v>3015</v>
      </c>
      <c r="T141" s="167">
        <v>1.7</v>
      </c>
      <c r="U141" s="167">
        <v>2.2000000000000002</v>
      </c>
      <c r="V141" s="167">
        <v>2.2000000000000002</v>
      </c>
      <c r="W141" s="167">
        <v>2.2000000000000002</v>
      </c>
      <c r="X141" s="167">
        <v>2.2000000000000002</v>
      </c>
      <c r="Y141" s="167">
        <v>2.2000000000000002</v>
      </c>
      <c r="Z141" s="167">
        <f>_xlfn.IFNA(VLOOKUP(C141,'INFORM Severity - hidden'!$C$5:$G$155,5,FALSE),"-")</f>
        <v>2.2000000000000002</v>
      </c>
      <c r="AA141" s="167" t="s">
        <v>3015</v>
      </c>
      <c r="AB141" s="167" t="s">
        <v>3015</v>
      </c>
    </row>
    <row r="142" spans="1:28" x14ac:dyDescent="0.3">
      <c r="A142" s="11" t="s">
        <v>170</v>
      </c>
      <c r="B142" s="11" t="s">
        <v>914</v>
      </c>
      <c r="C142" s="11" t="s">
        <v>3078</v>
      </c>
      <c r="D142" s="166" t="str">
        <f t="shared" si="2"/>
        <v>-</v>
      </c>
      <c r="E142" s="167" t="s">
        <v>3015</v>
      </c>
      <c r="F142" s="167" t="s">
        <v>3015</v>
      </c>
      <c r="G142" s="167" t="s">
        <v>3015</v>
      </c>
      <c r="H142" s="167" t="s">
        <v>3015</v>
      </c>
      <c r="I142" s="167" t="s">
        <v>3015</v>
      </c>
      <c r="J142" s="167" t="s">
        <v>3015</v>
      </c>
      <c r="K142" s="167" t="s">
        <v>3015</v>
      </c>
      <c r="L142" s="167" t="s">
        <v>3015</v>
      </c>
      <c r="M142" s="167" t="s">
        <v>3015</v>
      </c>
      <c r="N142" s="167" t="s">
        <v>3015</v>
      </c>
      <c r="O142" s="167" t="s">
        <v>3015</v>
      </c>
      <c r="P142" s="167" t="s">
        <v>3015</v>
      </c>
      <c r="Q142" s="167" t="s">
        <v>3015</v>
      </c>
      <c r="R142" s="167" t="s">
        <v>3015</v>
      </c>
      <c r="S142" s="167" t="s">
        <v>3015</v>
      </c>
      <c r="T142" s="167" t="s">
        <v>3015</v>
      </c>
      <c r="U142" s="167" t="s">
        <v>3015</v>
      </c>
      <c r="V142" s="167" t="s">
        <v>3015</v>
      </c>
      <c r="W142" s="167" t="s">
        <v>3015</v>
      </c>
      <c r="X142" s="167" t="s">
        <v>3015</v>
      </c>
      <c r="Y142" s="167" t="s">
        <v>3015</v>
      </c>
      <c r="Z142" s="167" t="str">
        <f>_xlfn.IFNA(VLOOKUP(C142,'INFORM Severity - hidden'!$C$5:$G$155,5,FALSE),"-")</f>
        <v>-</v>
      </c>
      <c r="AA142" s="167" t="s">
        <v>3015</v>
      </c>
      <c r="AB142" s="167" t="s">
        <v>3015</v>
      </c>
    </row>
    <row r="143" spans="1:28" x14ac:dyDescent="0.3">
      <c r="A143" s="11" t="s">
        <v>53</v>
      </c>
      <c r="B143" s="11" t="s">
        <v>914</v>
      </c>
      <c r="C143" s="11" t="s">
        <v>3038</v>
      </c>
      <c r="D143" s="166" t="str">
        <f t="shared" si="2"/>
        <v>-</v>
      </c>
      <c r="E143" s="167" t="s">
        <v>3015</v>
      </c>
      <c r="F143" s="167" t="s">
        <v>3015</v>
      </c>
      <c r="G143" s="167" t="s">
        <v>3015</v>
      </c>
      <c r="H143" s="167" t="s">
        <v>3015</v>
      </c>
      <c r="I143" s="167" t="s">
        <v>3015</v>
      </c>
      <c r="J143" s="167" t="s">
        <v>3015</v>
      </c>
      <c r="K143" s="167" t="s">
        <v>3015</v>
      </c>
      <c r="L143" s="167" t="s">
        <v>3015</v>
      </c>
      <c r="M143" s="167" t="s">
        <v>3015</v>
      </c>
      <c r="N143" s="167" t="s">
        <v>3015</v>
      </c>
      <c r="O143" s="167" t="s">
        <v>3015</v>
      </c>
      <c r="P143" s="167" t="s">
        <v>3015</v>
      </c>
      <c r="Q143" s="167" t="s">
        <v>3015</v>
      </c>
      <c r="R143" s="167" t="s">
        <v>3015</v>
      </c>
      <c r="S143" s="167" t="s">
        <v>3015</v>
      </c>
      <c r="T143" s="167" t="s">
        <v>3015</v>
      </c>
      <c r="U143" s="167" t="s">
        <v>3015</v>
      </c>
      <c r="V143" s="167" t="s">
        <v>3015</v>
      </c>
      <c r="W143" s="167" t="s">
        <v>3015</v>
      </c>
      <c r="X143" s="167" t="s">
        <v>3015</v>
      </c>
      <c r="Y143" s="167" t="s">
        <v>3015</v>
      </c>
      <c r="Z143" s="167" t="str">
        <f>_xlfn.IFNA(VLOOKUP(C143,'INFORM Severity - hidden'!$C$5:$G$155,5,FALSE),"-")</f>
        <v>-</v>
      </c>
      <c r="AA143" s="167" t="s">
        <v>3015</v>
      </c>
      <c r="AB143" s="167" t="s">
        <v>3015</v>
      </c>
    </row>
    <row r="144" spans="1:28" x14ac:dyDescent="0.3">
      <c r="A144" s="11" t="s">
        <v>165</v>
      </c>
      <c r="B144" s="11" t="s">
        <v>914</v>
      </c>
      <c r="C144" s="11" t="s">
        <v>3074</v>
      </c>
      <c r="D144" s="166" t="str">
        <f t="shared" si="2"/>
        <v>-</v>
      </c>
      <c r="E144" s="167" t="s">
        <v>3015</v>
      </c>
      <c r="F144" s="167" t="s">
        <v>3015</v>
      </c>
      <c r="G144" s="167" t="s">
        <v>3015</v>
      </c>
      <c r="H144" s="167" t="s">
        <v>3015</v>
      </c>
      <c r="I144" s="167" t="s">
        <v>3015</v>
      </c>
      <c r="J144" s="167" t="s">
        <v>3015</v>
      </c>
      <c r="K144" s="167" t="s">
        <v>3015</v>
      </c>
      <c r="L144" s="167" t="s">
        <v>3015</v>
      </c>
      <c r="M144" s="167" t="s">
        <v>3015</v>
      </c>
      <c r="N144" s="167" t="s">
        <v>3015</v>
      </c>
      <c r="O144" s="167" t="s">
        <v>3015</v>
      </c>
      <c r="P144" s="167" t="s">
        <v>3015</v>
      </c>
      <c r="Q144" s="167" t="s">
        <v>3015</v>
      </c>
      <c r="R144" s="167" t="s">
        <v>3015</v>
      </c>
      <c r="S144" s="167" t="s">
        <v>3015</v>
      </c>
      <c r="T144" s="167" t="s">
        <v>3015</v>
      </c>
      <c r="U144" s="167" t="s">
        <v>3015</v>
      </c>
      <c r="V144" s="167" t="s">
        <v>3015</v>
      </c>
      <c r="W144" s="167" t="s">
        <v>3015</v>
      </c>
      <c r="X144" s="167" t="s">
        <v>3015</v>
      </c>
      <c r="Y144" s="167" t="s">
        <v>3015</v>
      </c>
      <c r="Z144" s="167" t="str">
        <f>_xlfn.IFNA(VLOOKUP(C144,'INFORM Severity - hidden'!$C$5:$G$155,5,FALSE),"-")</f>
        <v>-</v>
      </c>
      <c r="AA144" s="167" t="s">
        <v>3015</v>
      </c>
      <c r="AB144" s="167" t="s">
        <v>3015</v>
      </c>
    </row>
    <row r="145" spans="1:28" x14ac:dyDescent="0.3">
      <c r="A145" s="11" t="s">
        <v>3120</v>
      </c>
      <c r="B145" s="11" t="s">
        <v>914</v>
      </c>
      <c r="C145" s="11" t="s">
        <v>3121</v>
      </c>
      <c r="D145" s="166" t="str">
        <f t="shared" si="2"/>
        <v>-</v>
      </c>
      <c r="E145" s="167" t="s">
        <v>3015</v>
      </c>
      <c r="F145" s="167" t="s">
        <v>3015</v>
      </c>
      <c r="G145" s="167" t="s">
        <v>3015</v>
      </c>
      <c r="H145" s="167" t="s">
        <v>3015</v>
      </c>
      <c r="I145" s="167" t="s">
        <v>3015</v>
      </c>
      <c r="J145" s="167" t="s">
        <v>3015</v>
      </c>
      <c r="K145" s="167" t="s">
        <v>3015</v>
      </c>
      <c r="L145" s="167" t="s">
        <v>3015</v>
      </c>
      <c r="M145" s="167" t="s">
        <v>3015</v>
      </c>
      <c r="N145" s="167" t="s">
        <v>3015</v>
      </c>
      <c r="O145" s="167" t="s">
        <v>3015</v>
      </c>
      <c r="P145" s="167" t="s">
        <v>3015</v>
      </c>
      <c r="Q145" s="167" t="s">
        <v>3015</v>
      </c>
      <c r="R145" s="167" t="s">
        <v>3015</v>
      </c>
      <c r="S145" s="167" t="s">
        <v>3015</v>
      </c>
      <c r="T145" s="167" t="s">
        <v>3015</v>
      </c>
      <c r="U145" s="167" t="s">
        <v>3015</v>
      </c>
      <c r="V145" s="167" t="s">
        <v>3015</v>
      </c>
      <c r="W145" s="167" t="s">
        <v>3015</v>
      </c>
      <c r="X145" s="167" t="s">
        <v>3015</v>
      </c>
      <c r="Y145" s="167" t="s">
        <v>3015</v>
      </c>
      <c r="Z145" s="167" t="str">
        <f>_xlfn.IFNA(VLOOKUP(C145,'INFORM Severity - hidden'!$C$5:$G$155,5,FALSE),"-")</f>
        <v>-</v>
      </c>
      <c r="AA145" s="167" t="s">
        <v>3015</v>
      </c>
      <c r="AB145" s="167" t="s">
        <v>3015</v>
      </c>
    </row>
    <row r="146" spans="1:28" x14ac:dyDescent="0.3">
      <c r="A146" s="11" t="s">
        <v>168</v>
      </c>
      <c r="B146" s="11" t="s">
        <v>914</v>
      </c>
      <c r="C146" s="11" t="s">
        <v>3077</v>
      </c>
      <c r="D146" s="166" t="str">
        <f t="shared" si="2"/>
        <v>-</v>
      </c>
      <c r="E146" s="167" t="s">
        <v>3015</v>
      </c>
      <c r="F146" s="167" t="s">
        <v>3015</v>
      </c>
      <c r="G146" s="167" t="s">
        <v>3015</v>
      </c>
      <c r="H146" s="167" t="s">
        <v>3015</v>
      </c>
      <c r="I146" s="167" t="s">
        <v>3015</v>
      </c>
      <c r="J146" s="167" t="s">
        <v>3015</v>
      </c>
      <c r="K146" s="167" t="s">
        <v>3015</v>
      </c>
      <c r="L146" s="167" t="s">
        <v>3015</v>
      </c>
      <c r="M146" s="167" t="s">
        <v>3015</v>
      </c>
      <c r="N146" s="167" t="s">
        <v>3015</v>
      </c>
      <c r="O146" s="167" t="s">
        <v>3015</v>
      </c>
      <c r="P146" s="167" t="s">
        <v>3015</v>
      </c>
      <c r="Q146" s="167" t="s">
        <v>3015</v>
      </c>
      <c r="R146" s="167" t="s">
        <v>3015</v>
      </c>
      <c r="S146" s="167" t="s">
        <v>3015</v>
      </c>
      <c r="T146" s="167" t="s">
        <v>3015</v>
      </c>
      <c r="U146" s="167" t="s">
        <v>3015</v>
      </c>
      <c r="V146" s="167" t="s">
        <v>3015</v>
      </c>
      <c r="W146" s="167" t="s">
        <v>3015</v>
      </c>
      <c r="X146" s="167" t="s">
        <v>3015</v>
      </c>
      <c r="Y146" s="167" t="s">
        <v>3015</v>
      </c>
      <c r="Z146" s="167" t="str">
        <f>_xlfn.IFNA(VLOOKUP(C146,'INFORM Severity - hidden'!$C$5:$G$155,5,FALSE),"-")</f>
        <v>-</v>
      </c>
      <c r="AA146" s="167" t="s">
        <v>3015</v>
      </c>
      <c r="AB146" s="167" t="s">
        <v>3015</v>
      </c>
    </row>
    <row r="147" spans="1:28" x14ac:dyDescent="0.3">
      <c r="A147" s="11" t="s">
        <v>1552</v>
      </c>
      <c r="B147" s="11" t="s">
        <v>914</v>
      </c>
      <c r="C147" s="11" t="s">
        <v>3079</v>
      </c>
      <c r="D147" s="166" t="str">
        <f t="shared" si="2"/>
        <v>-</v>
      </c>
      <c r="E147" s="167" t="s">
        <v>3015</v>
      </c>
      <c r="F147" s="167" t="s">
        <v>3015</v>
      </c>
      <c r="G147" s="167" t="s">
        <v>3015</v>
      </c>
      <c r="H147" s="167" t="s">
        <v>3015</v>
      </c>
      <c r="I147" s="167" t="s">
        <v>3015</v>
      </c>
      <c r="J147" s="167" t="s">
        <v>3015</v>
      </c>
      <c r="K147" s="167" t="s">
        <v>3015</v>
      </c>
      <c r="L147" s="167" t="s">
        <v>3015</v>
      </c>
      <c r="M147" s="167">
        <v>1.9</v>
      </c>
      <c r="N147" s="167" t="s">
        <v>3015</v>
      </c>
      <c r="O147" s="167" t="s">
        <v>3015</v>
      </c>
      <c r="P147" s="167" t="s">
        <v>3015</v>
      </c>
      <c r="Q147" s="167" t="s">
        <v>3015</v>
      </c>
      <c r="R147" s="167" t="s">
        <v>3015</v>
      </c>
      <c r="S147" s="167" t="s">
        <v>3015</v>
      </c>
      <c r="T147" s="167" t="s">
        <v>3015</v>
      </c>
      <c r="U147" s="167" t="s">
        <v>3015</v>
      </c>
      <c r="V147" s="167" t="s">
        <v>3015</v>
      </c>
      <c r="W147" s="167" t="s">
        <v>3015</v>
      </c>
      <c r="X147" s="167" t="s">
        <v>3015</v>
      </c>
      <c r="Y147" s="167" t="s">
        <v>3015</v>
      </c>
      <c r="Z147" s="167" t="str">
        <f>_xlfn.IFNA(VLOOKUP(C147,'INFORM Severity - hidden'!$C$5:$G$155,5,FALSE),"-")</f>
        <v>-</v>
      </c>
      <c r="AA147" s="167" t="s">
        <v>3015</v>
      </c>
      <c r="AB147" s="167" t="s">
        <v>3015</v>
      </c>
    </row>
    <row r="148" spans="1:28" x14ac:dyDescent="0.3">
      <c r="A148" s="11" t="s">
        <v>1552</v>
      </c>
      <c r="B148" s="11" t="s">
        <v>1553</v>
      </c>
      <c r="C148" s="11" t="s">
        <v>3201</v>
      </c>
      <c r="D148" s="166" t="str">
        <f t="shared" si="2"/>
        <v>-</v>
      </c>
      <c r="E148" s="167" t="s">
        <v>3015</v>
      </c>
      <c r="F148" s="167" t="s">
        <v>3015</v>
      </c>
      <c r="G148" s="167" t="s">
        <v>3015</v>
      </c>
      <c r="H148" s="167" t="s">
        <v>3015</v>
      </c>
      <c r="I148" s="167" t="s">
        <v>3015</v>
      </c>
      <c r="J148" s="167" t="s">
        <v>3015</v>
      </c>
      <c r="K148" s="167" t="s">
        <v>3015</v>
      </c>
      <c r="L148" s="167" t="s">
        <v>3015</v>
      </c>
      <c r="M148" s="167" t="s">
        <v>3015</v>
      </c>
      <c r="N148" s="167" t="s">
        <v>393</v>
      </c>
      <c r="O148" s="167" t="s">
        <v>3015</v>
      </c>
      <c r="P148" s="167" t="s">
        <v>3015</v>
      </c>
      <c r="Q148" s="167" t="s">
        <v>3015</v>
      </c>
      <c r="R148" s="167" t="s">
        <v>3015</v>
      </c>
      <c r="S148" s="167" t="s">
        <v>3015</v>
      </c>
      <c r="T148" s="167" t="s">
        <v>3015</v>
      </c>
      <c r="U148" s="167" t="s">
        <v>3015</v>
      </c>
      <c r="V148" s="167" t="s">
        <v>3015</v>
      </c>
      <c r="W148" s="167" t="s">
        <v>3015</v>
      </c>
      <c r="X148" s="167" t="s">
        <v>3015</v>
      </c>
      <c r="Y148" s="167" t="s">
        <v>3015</v>
      </c>
      <c r="Z148" s="167" t="str">
        <f>_xlfn.IFNA(VLOOKUP(C148,'INFORM Severity - hidden'!$C$5:$G$155,5,FALSE),"-")</f>
        <v>-</v>
      </c>
      <c r="AA148" s="167" t="s">
        <v>3015</v>
      </c>
      <c r="AB148" s="167" t="s">
        <v>3015</v>
      </c>
    </row>
    <row r="149" spans="1:28" x14ac:dyDescent="0.3">
      <c r="A149" s="11" t="s">
        <v>174</v>
      </c>
      <c r="B149" s="11" t="s">
        <v>1091</v>
      </c>
      <c r="C149" s="11" t="s">
        <v>3080</v>
      </c>
      <c r="D149" s="166" t="str">
        <f t="shared" si="2"/>
        <v>-</v>
      </c>
      <c r="E149" s="167" t="s">
        <v>3015</v>
      </c>
      <c r="F149" s="167">
        <v>2.4</v>
      </c>
      <c r="G149" s="167">
        <v>2.4</v>
      </c>
      <c r="H149" s="167">
        <v>2.9</v>
      </c>
      <c r="I149" s="167" t="s">
        <v>3015</v>
      </c>
      <c r="J149" s="167" t="s">
        <v>3015</v>
      </c>
      <c r="K149" s="167" t="s">
        <v>3015</v>
      </c>
      <c r="L149" s="167" t="s">
        <v>3015</v>
      </c>
      <c r="M149" s="167" t="s">
        <v>3015</v>
      </c>
      <c r="N149" s="167" t="s">
        <v>3015</v>
      </c>
      <c r="O149" s="167" t="s">
        <v>3015</v>
      </c>
      <c r="P149" s="167" t="s">
        <v>3015</v>
      </c>
      <c r="Q149" s="167" t="s">
        <v>3015</v>
      </c>
      <c r="R149" s="167" t="s">
        <v>3015</v>
      </c>
      <c r="S149" s="167" t="s">
        <v>3015</v>
      </c>
      <c r="T149" s="167" t="s">
        <v>3015</v>
      </c>
      <c r="U149" s="167" t="s">
        <v>3015</v>
      </c>
      <c r="V149" s="167" t="s">
        <v>3015</v>
      </c>
      <c r="W149" s="167" t="s">
        <v>3015</v>
      </c>
      <c r="X149" s="167" t="s">
        <v>3015</v>
      </c>
      <c r="Y149" s="167" t="s">
        <v>3015</v>
      </c>
      <c r="Z149" s="167" t="str">
        <f>_xlfn.IFNA(VLOOKUP(C149,'INFORM Severity - hidden'!$C$5:$G$155,5,FALSE),"-")</f>
        <v>-</v>
      </c>
      <c r="AA149" s="167" t="s">
        <v>3015</v>
      </c>
      <c r="AB149" s="167" t="s">
        <v>3015</v>
      </c>
    </row>
    <row r="150" spans="1:28" x14ac:dyDescent="0.3">
      <c r="A150" s="11" t="s">
        <v>174</v>
      </c>
      <c r="B150" s="11" t="s">
        <v>1092</v>
      </c>
      <c r="C150" s="11" t="s">
        <v>1746</v>
      </c>
      <c r="D150" s="166" t="str">
        <f t="shared" si="2"/>
        <v>Increasing</v>
      </c>
      <c r="E150" s="167" t="s">
        <v>3015</v>
      </c>
      <c r="F150" s="167">
        <v>2.4</v>
      </c>
      <c r="G150" s="167">
        <v>2.4</v>
      </c>
      <c r="H150" s="167">
        <v>2.8</v>
      </c>
      <c r="I150" s="167">
        <v>2.8</v>
      </c>
      <c r="J150" s="167">
        <v>2.8</v>
      </c>
      <c r="K150" s="167">
        <v>2.8</v>
      </c>
      <c r="L150" s="167">
        <v>2.8</v>
      </c>
      <c r="M150" s="167">
        <v>2.8</v>
      </c>
      <c r="N150" s="167">
        <v>2.9</v>
      </c>
      <c r="O150" s="167">
        <v>2.9</v>
      </c>
      <c r="P150" s="167">
        <v>2.9</v>
      </c>
      <c r="Q150" s="167">
        <v>2.9</v>
      </c>
      <c r="R150" s="167">
        <v>2.9</v>
      </c>
      <c r="S150" s="167">
        <v>2.9</v>
      </c>
      <c r="T150" s="167">
        <v>2.9</v>
      </c>
      <c r="U150" s="167">
        <v>3.2</v>
      </c>
      <c r="V150" s="167">
        <v>3.1</v>
      </c>
      <c r="W150" s="167">
        <v>3.1</v>
      </c>
      <c r="X150" s="167">
        <v>3.2</v>
      </c>
      <c r="Y150" s="167">
        <v>3.2</v>
      </c>
      <c r="Z150" s="167">
        <f>_xlfn.IFNA(VLOOKUP(C150,'INFORM Severity - hidden'!$C$5:$G$155,5,FALSE),"-")</f>
        <v>3.2</v>
      </c>
      <c r="AA150" s="167" t="s">
        <v>3015</v>
      </c>
      <c r="AB150" s="167" t="s">
        <v>3015</v>
      </c>
    </row>
    <row r="151" spans="1:28" x14ac:dyDescent="0.3">
      <c r="A151" s="11" t="s">
        <v>174</v>
      </c>
      <c r="B151" s="11" t="s">
        <v>1093</v>
      </c>
      <c r="C151" s="11" t="s">
        <v>3156</v>
      </c>
      <c r="D151" s="166" t="str">
        <f t="shared" si="2"/>
        <v>-</v>
      </c>
      <c r="E151" s="167" t="s">
        <v>3015</v>
      </c>
      <c r="F151" s="167">
        <v>1.4</v>
      </c>
      <c r="G151" s="167">
        <v>1.4</v>
      </c>
      <c r="H151" s="167">
        <v>2.2000000000000002</v>
      </c>
      <c r="I151" s="167" t="s">
        <v>3015</v>
      </c>
      <c r="J151" s="167" t="s">
        <v>3015</v>
      </c>
      <c r="K151" s="167" t="s">
        <v>3015</v>
      </c>
      <c r="L151" s="167" t="s">
        <v>3015</v>
      </c>
      <c r="M151" s="167" t="s">
        <v>3015</v>
      </c>
      <c r="N151" s="167" t="s">
        <v>3015</v>
      </c>
      <c r="O151" s="167" t="s">
        <v>3015</v>
      </c>
      <c r="P151" s="167" t="s">
        <v>3015</v>
      </c>
      <c r="Q151" s="167" t="s">
        <v>3015</v>
      </c>
      <c r="R151" s="167" t="s">
        <v>3015</v>
      </c>
      <c r="S151" s="167" t="s">
        <v>3015</v>
      </c>
      <c r="T151" s="167" t="s">
        <v>3015</v>
      </c>
      <c r="U151" s="167" t="s">
        <v>3015</v>
      </c>
      <c r="V151" s="167" t="s">
        <v>3015</v>
      </c>
      <c r="W151" s="167" t="s">
        <v>3015</v>
      </c>
      <c r="X151" s="167" t="s">
        <v>3015</v>
      </c>
      <c r="Y151" s="167" t="s">
        <v>3015</v>
      </c>
      <c r="Z151" s="167" t="str">
        <f>_xlfn.IFNA(VLOOKUP(C151,'INFORM Severity - hidden'!$C$5:$G$155,5,FALSE),"-")</f>
        <v>-</v>
      </c>
      <c r="AA151" s="167" t="s">
        <v>3015</v>
      </c>
      <c r="AB151" s="167" t="s">
        <v>3015</v>
      </c>
    </row>
    <row r="152" spans="1:28" x14ac:dyDescent="0.3">
      <c r="A152" s="11" t="s">
        <v>174</v>
      </c>
      <c r="B152" s="11" t="s">
        <v>2266</v>
      </c>
      <c r="C152" s="11" t="s">
        <v>2590</v>
      </c>
      <c r="D152" s="166" t="str">
        <f t="shared" si="2"/>
        <v>Increasing</v>
      </c>
      <c r="E152" s="167" t="s">
        <v>3015</v>
      </c>
      <c r="F152" s="167" t="s">
        <v>3015</v>
      </c>
      <c r="G152" s="167" t="s">
        <v>3015</v>
      </c>
      <c r="H152" s="167" t="s">
        <v>3015</v>
      </c>
      <c r="I152" s="167" t="s">
        <v>3015</v>
      </c>
      <c r="J152" s="167" t="s">
        <v>3015</v>
      </c>
      <c r="K152" s="167" t="s">
        <v>3015</v>
      </c>
      <c r="L152" s="167" t="s">
        <v>3015</v>
      </c>
      <c r="M152" s="167" t="s">
        <v>3015</v>
      </c>
      <c r="N152" s="167" t="s">
        <v>3015</v>
      </c>
      <c r="O152" s="167" t="s">
        <v>3015</v>
      </c>
      <c r="P152" s="167" t="s">
        <v>3015</v>
      </c>
      <c r="Q152" s="167" t="s">
        <v>3015</v>
      </c>
      <c r="R152" s="167" t="s">
        <v>3015</v>
      </c>
      <c r="S152" s="167" t="s">
        <v>3015</v>
      </c>
      <c r="T152" s="167">
        <v>3.3</v>
      </c>
      <c r="U152" s="167">
        <v>3.3</v>
      </c>
      <c r="V152" s="167">
        <v>3.3</v>
      </c>
      <c r="W152" s="167">
        <v>3.3</v>
      </c>
      <c r="X152" s="167">
        <v>3.4</v>
      </c>
      <c r="Y152" s="167">
        <v>3.5</v>
      </c>
      <c r="Z152" s="167">
        <f>_xlfn.IFNA(VLOOKUP(C152,'INFORM Severity - hidden'!$C$5:$G$155,5,FALSE),"-")</f>
        <v>3.5</v>
      </c>
      <c r="AA152" s="167" t="s">
        <v>3015</v>
      </c>
      <c r="AB152" s="167" t="s">
        <v>3015</v>
      </c>
    </row>
    <row r="153" spans="1:28" x14ac:dyDescent="0.3">
      <c r="A153" s="11" t="s">
        <v>174</v>
      </c>
      <c r="B153" s="11" t="s">
        <v>3217</v>
      </c>
      <c r="C153" s="11" t="s">
        <v>2931</v>
      </c>
      <c r="D153" s="166" t="str">
        <f t="shared" si="2"/>
        <v>-</v>
      </c>
      <c r="E153" s="167" t="s">
        <v>3015</v>
      </c>
      <c r="F153" s="167" t="s">
        <v>3015</v>
      </c>
      <c r="G153" s="167" t="s">
        <v>3015</v>
      </c>
      <c r="H153" s="167" t="s">
        <v>3015</v>
      </c>
      <c r="I153" s="167" t="s">
        <v>3015</v>
      </c>
      <c r="J153" s="167" t="s">
        <v>3015</v>
      </c>
      <c r="K153" s="167" t="s">
        <v>3015</v>
      </c>
      <c r="L153" s="167" t="s">
        <v>3015</v>
      </c>
      <c r="M153" s="167" t="s">
        <v>3015</v>
      </c>
      <c r="N153" s="167" t="s">
        <v>3015</v>
      </c>
      <c r="O153" s="167" t="s">
        <v>3015</v>
      </c>
      <c r="P153" s="167" t="s">
        <v>3015</v>
      </c>
      <c r="Q153" s="167" t="s">
        <v>3015</v>
      </c>
      <c r="R153" s="167" t="s">
        <v>3015</v>
      </c>
      <c r="S153" s="167" t="s">
        <v>3015</v>
      </c>
      <c r="T153" s="167" t="s">
        <v>3015</v>
      </c>
      <c r="U153" s="167" t="s">
        <v>3015</v>
      </c>
      <c r="V153" s="167" t="s">
        <v>3015</v>
      </c>
      <c r="W153" s="167" t="s">
        <v>3015</v>
      </c>
      <c r="X153" s="167">
        <v>3.2</v>
      </c>
      <c r="Y153" s="167">
        <v>3.2</v>
      </c>
      <c r="Z153" s="167">
        <f>_xlfn.IFNA(VLOOKUP(C153,'INFORM Severity - hidden'!$C$5:$G$155,5,FALSE),"-")</f>
        <v>3.2</v>
      </c>
      <c r="AA153" s="167" t="s">
        <v>3015</v>
      </c>
      <c r="AB153" s="167" t="s">
        <v>3015</v>
      </c>
    </row>
    <row r="154" spans="1:28" x14ac:dyDescent="0.3">
      <c r="A154" s="11" t="s">
        <v>178</v>
      </c>
      <c r="B154" s="11" t="s">
        <v>914</v>
      </c>
      <c r="C154" s="11" t="s">
        <v>3082</v>
      </c>
      <c r="D154" s="166" t="str">
        <f t="shared" si="2"/>
        <v>-</v>
      </c>
      <c r="E154" s="167" t="s">
        <v>3015</v>
      </c>
      <c r="F154" s="167" t="s">
        <v>3015</v>
      </c>
      <c r="G154" s="167" t="s">
        <v>3015</v>
      </c>
      <c r="H154" s="167" t="s">
        <v>3015</v>
      </c>
      <c r="I154" s="167" t="s">
        <v>3015</v>
      </c>
      <c r="J154" s="167" t="s">
        <v>3015</v>
      </c>
      <c r="K154" s="167" t="s">
        <v>3015</v>
      </c>
      <c r="L154" s="167" t="s">
        <v>3015</v>
      </c>
      <c r="M154" s="167" t="s">
        <v>3015</v>
      </c>
      <c r="N154" s="167" t="s">
        <v>3015</v>
      </c>
      <c r="O154" s="167" t="s">
        <v>3015</v>
      </c>
      <c r="P154" s="167" t="s">
        <v>3015</v>
      </c>
      <c r="Q154" s="167" t="s">
        <v>3015</v>
      </c>
      <c r="R154" s="167" t="s">
        <v>3015</v>
      </c>
      <c r="S154" s="167" t="s">
        <v>3015</v>
      </c>
      <c r="T154" s="167" t="s">
        <v>3015</v>
      </c>
      <c r="U154" s="167" t="s">
        <v>3015</v>
      </c>
      <c r="V154" s="167" t="s">
        <v>3015</v>
      </c>
      <c r="W154" s="167" t="s">
        <v>3015</v>
      </c>
      <c r="X154" s="167" t="s">
        <v>3015</v>
      </c>
      <c r="Y154" s="167" t="s">
        <v>3015</v>
      </c>
      <c r="Z154" s="167" t="str">
        <f>_xlfn.IFNA(VLOOKUP(C154,'INFORM Severity - hidden'!$C$5:$G$155,5,FALSE),"-")</f>
        <v>-</v>
      </c>
      <c r="AA154" s="167" t="s">
        <v>3015</v>
      </c>
      <c r="AB154" s="167" t="s">
        <v>3015</v>
      </c>
    </row>
    <row r="155" spans="1:28" x14ac:dyDescent="0.3">
      <c r="A155" s="11" t="s">
        <v>180</v>
      </c>
      <c r="B155" s="11" t="s">
        <v>1094</v>
      </c>
      <c r="C155" s="11" t="s">
        <v>587</v>
      </c>
      <c r="D155" s="166" t="str">
        <f t="shared" si="2"/>
        <v>Decreasing</v>
      </c>
      <c r="E155" s="167" t="s">
        <v>3015</v>
      </c>
      <c r="F155" s="167">
        <v>3.9</v>
      </c>
      <c r="G155" s="167">
        <v>3.7</v>
      </c>
      <c r="H155" s="167">
        <v>3.9</v>
      </c>
      <c r="I155" s="167">
        <v>3.9</v>
      </c>
      <c r="J155" s="167">
        <v>3.9</v>
      </c>
      <c r="K155" s="167">
        <v>3.9</v>
      </c>
      <c r="L155" s="167">
        <v>3.9</v>
      </c>
      <c r="M155" s="167">
        <v>3.9</v>
      </c>
      <c r="N155" s="167">
        <v>3.9</v>
      </c>
      <c r="O155" s="167">
        <v>3.9</v>
      </c>
      <c r="P155" s="167">
        <v>3.9</v>
      </c>
      <c r="Q155" s="167">
        <v>3.9</v>
      </c>
      <c r="R155" s="167">
        <v>3.9</v>
      </c>
      <c r="S155" s="167">
        <v>3.9</v>
      </c>
      <c r="T155" s="167">
        <v>4.2</v>
      </c>
      <c r="U155" s="167">
        <v>4.2</v>
      </c>
      <c r="V155" s="167">
        <v>4.2</v>
      </c>
      <c r="W155" s="167">
        <v>4.2</v>
      </c>
      <c r="X155" s="167">
        <v>4.2</v>
      </c>
      <c r="Y155" s="167">
        <v>4.0999999999999996</v>
      </c>
      <c r="Z155" s="167">
        <f>_xlfn.IFNA(VLOOKUP(C155,'INFORM Severity - hidden'!$C$5:$G$155,5,FALSE),"-")</f>
        <v>4.0999999999999996</v>
      </c>
      <c r="AA155" s="167" t="s">
        <v>3015</v>
      </c>
      <c r="AB155" s="167" t="s">
        <v>3015</v>
      </c>
    </row>
    <row r="156" spans="1:28" x14ac:dyDescent="0.3">
      <c r="A156" s="11" t="s">
        <v>180</v>
      </c>
      <c r="B156" s="11" t="s">
        <v>800</v>
      </c>
      <c r="C156" s="11" t="s">
        <v>865</v>
      </c>
      <c r="D156" s="166" t="str">
        <f t="shared" si="2"/>
        <v>Stable</v>
      </c>
      <c r="E156" s="167" t="s">
        <v>3015</v>
      </c>
      <c r="F156" s="167">
        <v>3.2</v>
      </c>
      <c r="G156" s="167">
        <v>3.2</v>
      </c>
      <c r="H156" s="167">
        <v>3.5</v>
      </c>
      <c r="I156" s="167">
        <v>3.5</v>
      </c>
      <c r="J156" s="167">
        <v>3.5</v>
      </c>
      <c r="K156" s="167">
        <v>3.5</v>
      </c>
      <c r="L156" s="167">
        <v>3.5</v>
      </c>
      <c r="M156" s="167">
        <v>3.5</v>
      </c>
      <c r="N156" s="167">
        <v>3.5</v>
      </c>
      <c r="O156" s="167">
        <v>3.5</v>
      </c>
      <c r="P156" s="167">
        <v>3.5</v>
      </c>
      <c r="Q156" s="167">
        <v>3.5</v>
      </c>
      <c r="R156" s="167">
        <v>3.5</v>
      </c>
      <c r="S156" s="167">
        <v>3.6</v>
      </c>
      <c r="T156" s="167">
        <v>3.1</v>
      </c>
      <c r="U156" s="167">
        <v>3.1</v>
      </c>
      <c r="V156" s="167">
        <v>3</v>
      </c>
      <c r="W156" s="167">
        <v>3</v>
      </c>
      <c r="X156" s="167">
        <v>3</v>
      </c>
      <c r="Y156" s="167">
        <v>3</v>
      </c>
      <c r="Z156" s="167">
        <f>_xlfn.IFNA(VLOOKUP(C156,'INFORM Severity - hidden'!$C$5:$G$155,5,FALSE),"-")</f>
        <v>3</v>
      </c>
      <c r="AA156" s="167" t="s">
        <v>3015</v>
      </c>
      <c r="AB156" s="167" t="s">
        <v>3015</v>
      </c>
    </row>
    <row r="157" spans="1:28" x14ac:dyDescent="0.3">
      <c r="A157" s="11" t="s">
        <v>268</v>
      </c>
      <c r="B157" s="11" t="s">
        <v>914</v>
      </c>
      <c r="C157" s="11" t="s">
        <v>3108</v>
      </c>
      <c r="D157" s="166" t="str">
        <f t="shared" si="2"/>
        <v>-</v>
      </c>
      <c r="E157" s="167" t="s">
        <v>3015</v>
      </c>
      <c r="F157" s="167" t="s">
        <v>3015</v>
      </c>
      <c r="G157" s="167" t="s">
        <v>3015</v>
      </c>
      <c r="H157" s="167" t="s">
        <v>3015</v>
      </c>
      <c r="I157" s="167" t="s">
        <v>3015</v>
      </c>
      <c r="J157" s="167" t="s">
        <v>3015</v>
      </c>
      <c r="K157" s="167" t="s">
        <v>3015</v>
      </c>
      <c r="L157" s="167" t="s">
        <v>3015</v>
      </c>
      <c r="M157" s="167" t="s">
        <v>3015</v>
      </c>
      <c r="N157" s="167" t="s">
        <v>3015</v>
      </c>
      <c r="O157" s="167" t="s">
        <v>3015</v>
      </c>
      <c r="P157" s="167" t="s">
        <v>3015</v>
      </c>
      <c r="Q157" s="167" t="s">
        <v>3015</v>
      </c>
      <c r="R157" s="167" t="s">
        <v>3015</v>
      </c>
      <c r="S157" s="167" t="s">
        <v>3015</v>
      </c>
      <c r="T157" s="167" t="s">
        <v>3015</v>
      </c>
      <c r="U157" s="167" t="s">
        <v>3015</v>
      </c>
      <c r="V157" s="167" t="s">
        <v>3015</v>
      </c>
      <c r="W157" s="167" t="s">
        <v>3015</v>
      </c>
      <c r="X157" s="167" t="s">
        <v>3015</v>
      </c>
      <c r="Y157" s="167" t="s">
        <v>3015</v>
      </c>
      <c r="Z157" s="167" t="str">
        <f>_xlfn.IFNA(VLOOKUP(C157,'INFORM Severity - hidden'!$C$5:$G$155,5,FALSE),"-")</f>
        <v>-</v>
      </c>
      <c r="AA157" s="167" t="s">
        <v>3015</v>
      </c>
      <c r="AB157" s="167" t="s">
        <v>3015</v>
      </c>
    </row>
    <row r="158" spans="1:28" x14ac:dyDescent="0.3">
      <c r="A158" s="11" t="s">
        <v>303</v>
      </c>
      <c r="B158" s="11" t="s">
        <v>914</v>
      </c>
      <c r="C158" s="11" t="s">
        <v>3119</v>
      </c>
      <c r="D158" s="166" t="str">
        <f t="shared" si="2"/>
        <v>-</v>
      </c>
      <c r="E158" s="167" t="s">
        <v>3015</v>
      </c>
      <c r="F158" s="167" t="s">
        <v>3015</v>
      </c>
      <c r="G158" s="167" t="s">
        <v>3015</v>
      </c>
      <c r="H158" s="167" t="s">
        <v>3015</v>
      </c>
      <c r="I158" s="167" t="s">
        <v>3015</v>
      </c>
      <c r="J158" s="167" t="s">
        <v>3015</v>
      </c>
      <c r="K158" s="167" t="s">
        <v>3015</v>
      </c>
      <c r="L158" s="167" t="s">
        <v>3015</v>
      </c>
      <c r="M158" s="167" t="s">
        <v>3015</v>
      </c>
      <c r="N158" s="167" t="s">
        <v>3015</v>
      </c>
      <c r="O158" s="167" t="s">
        <v>3015</v>
      </c>
      <c r="P158" s="167" t="s">
        <v>3015</v>
      </c>
      <c r="Q158" s="167" t="s">
        <v>3015</v>
      </c>
      <c r="R158" s="167" t="s">
        <v>3015</v>
      </c>
      <c r="S158" s="167" t="s">
        <v>3015</v>
      </c>
      <c r="T158" s="167" t="s">
        <v>3015</v>
      </c>
      <c r="U158" s="167" t="s">
        <v>3015</v>
      </c>
      <c r="V158" s="167" t="s">
        <v>3015</v>
      </c>
      <c r="W158" s="167" t="s">
        <v>3015</v>
      </c>
      <c r="X158" s="167" t="s">
        <v>3015</v>
      </c>
      <c r="Y158" s="167" t="s">
        <v>3015</v>
      </c>
      <c r="Z158" s="167" t="str">
        <f>_xlfn.IFNA(VLOOKUP(C158,'INFORM Severity - hidden'!$C$5:$G$155,5,FALSE),"-")</f>
        <v>-</v>
      </c>
      <c r="AA158" s="167" t="s">
        <v>3015</v>
      </c>
      <c r="AB158" s="167" t="s">
        <v>3015</v>
      </c>
    </row>
    <row r="159" spans="1:28" x14ac:dyDescent="0.3">
      <c r="A159" s="11" t="s">
        <v>176</v>
      </c>
      <c r="B159" s="11" t="s">
        <v>914</v>
      </c>
      <c r="C159" s="11" t="s">
        <v>3081</v>
      </c>
      <c r="D159" s="166" t="str">
        <f t="shared" si="2"/>
        <v>-</v>
      </c>
      <c r="E159" s="167" t="s">
        <v>3015</v>
      </c>
      <c r="F159" s="167" t="s">
        <v>3015</v>
      </c>
      <c r="G159" s="167" t="s">
        <v>3015</v>
      </c>
      <c r="H159" s="167" t="s">
        <v>3015</v>
      </c>
      <c r="I159" s="167" t="s">
        <v>3015</v>
      </c>
      <c r="J159" s="167" t="s">
        <v>3015</v>
      </c>
      <c r="K159" s="167" t="s">
        <v>3015</v>
      </c>
      <c r="L159" s="167" t="s">
        <v>3015</v>
      </c>
      <c r="M159" s="167" t="s">
        <v>3015</v>
      </c>
      <c r="N159" s="167" t="s">
        <v>3015</v>
      </c>
      <c r="O159" s="167" t="s">
        <v>3015</v>
      </c>
      <c r="P159" s="167" t="s">
        <v>3015</v>
      </c>
      <c r="Q159" s="167" t="s">
        <v>3015</v>
      </c>
      <c r="R159" s="167" t="s">
        <v>3015</v>
      </c>
      <c r="S159" s="167" t="s">
        <v>3015</v>
      </c>
      <c r="T159" s="167" t="s">
        <v>3015</v>
      </c>
      <c r="U159" s="167" t="s">
        <v>3015</v>
      </c>
      <c r="V159" s="167" t="s">
        <v>3015</v>
      </c>
      <c r="W159" s="167" t="s">
        <v>3015</v>
      </c>
      <c r="X159" s="167" t="s">
        <v>3015</v>
      </c>
      <c r="Y159" s="167" t="s">
        <v>3015</v>
      </c>
      <c r="Z159" s="167" t="str">
        <f>_xlfn.IFNA(VLOOKUP(C159,'INFORM Severity - hidden'!$C$5:$G$155,5,FALSE),"-")</f>
        <v>-</v>
      </c>
      <c r="AA159" s="167" t="s">
        <v>3015</v>
      </c>
      <c r="AB159" s="167" t="s">
        <v>3015</v>
      </c>
    </row>
    <row r="160" spans="1:28" x14ac:dyDescent="0.3">
      <c r="A160" s="11" t="s">
        <v>176</v>
      </c>
      <c r="B160" s="11" t="s">
        <v>792</v>
      </c>
      <c r="C160" s="11" t="s">
        <v>684</v>
      </c>
      <c r="D160" s="166" t="str">
        <f t="shared" si="2"/>
        <v>Decreasing</v>
      </c>
      <c r="E160" s="167">
        <v>2.2000000000000002</v>
      </c>
      <c r="F160" s="167">
        <v>2.2000000000000002</v>
      </c>
      <c r="G160" s="167">
        <v>2.1</v>
      </c>
      <c r="H160" s="167">
        <v>2.1</v>
      </c>
      <c r="I160" s="167">
        <v>2.1</v>
      </c>
      <c r="J160" s="167">
        <v>2.1</v>
      </c>
      <c r="K160" s="167">
        <v>2.1</v>
      </c>
      <c r="L160" s="167">
        <v>2.1</v>
      </c>
      <c r="M160" s="167">
        <v>2.1</v>
      </c>
      <c r="N160" s="167">
        <v>2.2000000000000002</v>
      </c>
      <c r="O160" s="167">
        <v>2.2000000000000002</v>
      </c>
      <c r="P160" s="167">
        <v>2.2000000000000002</v>
      </c>
      <c r="Q160" s="167">
        <v>2.2000000000000002</v>
      </c>
      <c r="R160" s="167">
        <v>2.2000000000000002</v>
      </c>
      <c r="S160" s="167">
        <v>2.4</v>
      </c>
      <c r="T160" s="167">
        <v>2.4</v>
      </c>
      <c r="U160" s="167">
        <v>2.4</v>
      </c>
      <c r="V160" s="167">
        <v>2.4</v>
      </c>
      <c r="W160" s="167">
        <v>2.4</v>
      </c>
      <c r="X160" s="167">
        <v>2.4</v>
      </c>
      <c r="Y160" s="167">
        <v>2.1</v>
      </c>
      <c r="Z160" s="167">
        <f>_xlfn.IFNA(VLOOKUP(C160,'INFORM Severity - hidden'!$C$5:$G$155,5,FALSE),"-")</f>
        <v>2.5</v>
      </c>
      <c r="AA160" s="167" t="s">
        <v>3015</v>
      </c>
      <c r="AB160" s="167" t="s">
        <v>3015</v>
      </c>
    </row>
    <row r="161" spans="1:28" x14ac:dyDescent="0.3">
      <c r="A161" s="11" t="s">
        <v>215</v>
      </c>
      <c r="B161" s="11" t="s">
        <v>914</v>
      </c>
      <c r="C161" s="11" t="s">
        <v>3095</v>
      </c>
      <c r="D161" s="166" t="str">
        <f t="shared" si="2"/>
        <v>-</v>
      </c>
      <c r="E161" s="167" t="s">
        <v>3015</v>
      </c>
      <c r="F161" s="167" t="s">
        <v>3015</v>
      </c>
      <c r="G161" s="167" t="s">
        <v>3015</v>
      </c>
      <c r="H161" s="167" t="s">
        <v>3015</v>
      </c>
      <c r="I161" s="167" t="s">
        <v>3015</v>
      </c>
      <c r="J161" s="167" t="s">
        <v>3015</v>
      </c>
      <c r="K161" s="167" t="s">
        <v>3015</v>
      </c>
      <c r="L161" s="167" t="s">
        <v>3015</v>
      </c>
      <c r="M161" s="167" t="s">
        <v>3015</v>
      </c>
      <c r="N161" s="167" t="s">
        <v>3015</v>
      </c>
      <c r="O161" s="167" t="s">
        <v>3015</v>
      </c>
      <c r="P161" s="167" t="s">
        <v>3015</v>
      </c>
      <c r="Q161" s="167" t="s">
        <v>3015</v>
      </c>
      <c r="R161" s="167" t="s">
        <v>3015</v>
      </c>
      <c r="S161" s="167" t="s">
        <v>3015</v>
      </c>
      <c r="T161" s="167" t="s">
        <v>3015</v>
      </c>
      <c r="U161" s="167" t="s">
        <v>3015</v>
      </c>
      <c r="V161" s="167" t="s">
        <v>3015</v>
      </c>
      <c r="W161" s="167" t="s">
        <v>3015</v>
      </c>
      <c r="X161" s="167" t="s">
        <v>3015</v>
      </c>
      <c r="Y161" s="167" t="s">
        <v>3015</v>
      </c>
      <c r="Z161" s="167" t="str">
        <f>_xlfn.IFNA(VLOOKUP(C161,'INFORM Severity - hidden'!$C$5:$G$155,5,FALSE),"-")</f>
        <v>-</v>
      </c>
      <c r="AA161" s="167" t="s">
        <v>3015</v>
      </c>
      <c r="AB161" s="167" t="s">
        <v>3015</v>
      </c>
    </row>
    <row r="162" spans="1:28" x14ac:dyDescent="0.3">
      <c r="A162" s="11" t="s">
        <v>215</v>
      </c>
      <c r="B162" s="11" t="s">
        <v>794</v>
      </c>
      <c r="C162" s="11" t="s">
        <v>686</v>
      </c>
      <c r="D162" s="166" t="str">
        <f t="shared" si="2"/>
        <v>-</v>
      </c>
      <c r="E162" s="167" t="s">
        <v>3015</v>
      </c>
      <c r="F162" s="167" t="s">
        <v>393</v>
      </c>
      <c r="G162" s="167" t="s">
        <v>393</v>
      </c>
      <c r="H162" s="167" t="s">
        <v>393</v>
      </c>
      <c r="I162" s="167" t="s">
        <v>393</v>
      </c>
      <c r="J162" s="167" t="s">
        <v>393</v>
      </c>
      <c r="K162" s="167" t="s">
        <v>393</v>
      </c>
      <c r="L162" s="167" t="s">
        <v>393</v>
      </c>
      <c r="M162" s="167" t="s">
        <v>393</v>
      </c>
      <c r="N162" s="167" t="s">
        <v>393</v>
      </c>
      <c r="O162" s="167" t="s">
        <v>393</v>
      </c>
      <c r="P162" s="167" t="s">
        <v>393</v>
      </c>
      <c r="Q162" s="167" t="s">
        <v>393</v>
      </c>
      <c r="R162" s="167" t="s">
        <v>393</v>
      </c>
      <c r="S162" s="167" t="s">
        <v>393</v>
      </c>
      <c r="T162" s="167" t="s">
        <v>393</v>
      </c>
      <c r="U162" s="167" t="s">
        <v>393</v>
      </c>
      <c r="V162" s="167" t="s">
        <v>393</v>
      </c>
      <c r="W162" s="167" t="s">
        <v>393</v>
      </c>
      <c r="X162" s="167" t="s">
        <v>393</v>
      </c>
      <c r="Y162" s="167" t="s">
        <v>393</v>
      </c>
      <c r="Z162" s="167" t="str">
        <f>_xlfn.IFNA(VLOOKUP(C162,'INFORM Severity - hidden'!$C$5:$G$155,5,FALSE),"-")</f>
        <v>x</v>
      </c>
      <c r="AA162" s="167" t="s">
        <v>3015</v>
      </c>
      <c r="AB162" s="167" t="s">
        <v>3015</v>
      </c>
    </row>
    <row r="163" spans="1:28" x14ac:dyDescent="0.3">
      <c r="A163" s="11" t="s">
        <v>3091</v>
      </c>
      <c r="B163" s="11" t="s">
        <v>914</v>
      </c>
      <c r="C163" s="11" t="s">
        <v>3092</v>
      </c>
      <c r="D163" s="166" t="str">
        <f t="shared" si="2"/>
        <v>-</v>
      </c>
      <c r="E163" s="167" t="s">
        <v>3015</v>
      </c>
      <c r="F163" s="167" t="s">
        <v>3015</v>
      </c>
      <c r="G163" s="167" t="s">
        <v>3015</v>
      </c>
      <c r="H163" s="167" t="s">
        <v>3015</v>
      </c>
      <c r="I163" s="167" t="s">
        <v>3015</v>
      </c>
      <c r="J163" s="167" t="s">
        <v>3015</v>
      </c>
      <c r="K163" s="167" t="s">
        <v>3015</v>
      </c>
      <c r="L163" s="167" t="s">
        <v>3015</v>
      </c>
      <c r="M163" s="167" t="s">
        <v>3015</v>
      </c>
      <c r="N163" s="167" t="s">
        <v>3015</v>
      </c>
      <c r="O163" s="167" t="s">
        <v>3015</v>
      </c>
      <c r="P163" s="167" t="s">
        <v>3015</v>
      </c>
      <c r="Q163" s="167" t="s">
        <v>3015</v>
      </c>
      <c r="R163" s="167" t="s">
        <v>3015</v>
      </c>
      <c r="S163" s="167" t="s">
        <v>3015</v>
      </c>
      <c r="T163" s="167" t="s">
        <v>3015</v>
      </c>
      <c r="U163" s="167" t="s">
        <v>3015</v>
      </c>
      <c r="V163" s="167" t="s">
        <v>3015</v>
      </c>
      <c r="W163" s="167" t="s">
        <v>3015</v>
      </c>
      <c r="X163" s="167" t="s">
        <v>3015</v>
      </c>
      <c r="Y163" s="167" t="s">
        <v>3015</v>
      </c>
      <c r="Z163" s="167" t="str">
        <f>_xlfn.IFNA(VLOOKUP(C163,'INFORM Severity - hidden'!$C$5:$G$155,5,FALSE),"-")</f>
        <v>-</v>
      </c>
      <c r="AA163" s="167" t="s">
        <v>3015</v>
      </c>
      <c r="AB163" s="167" t="s">
        <v>3015</v>
      </c>
    </row>
    <row r="164" spans="1:28" x14ac:dyDescent="0.3">
      <c r="A164" s="11" t="s">
        <v>189</v>
      </c>
      <c r="B164" s="11" t="s">
        <v>1095</v>
      </c>
      <c r="C164" s="11" t="s">
        <v>3083</v>
      </c>
      <c r="D164" s="166" t="str">
        <f t="shared" si="2"/>
        <v>-</v>
      </c>
      <c r="E164" s="167" t="s">
        <v>3015</v>
      </c>
      <c r="F164" s="167" t="s">
        <v>3015</v>
      </c>
      <c r="G164" s="167" t="s">
        <v>3015</v>
      </c>
      <c r="H164" s="167">
        <v>2.9</v>
      </c>
      <c r="I164" s="167">
        <v>2.9</v>
      </c>
      <c r="J164" s="167">
        <v>2.8</v>
      </c>
      <c r="K164" s="167" t="s">
        <v>3015</v>
      </c>
      <c r="L164" s="167" t="s">
        <v>3015</v>
      </c>
      <c r="M164" s="167" t="s">
        <v>3015</v>
      </c>
      <c r="N164" s="167" t="s">
        <v>3015</v>
      </c>
      <c r="O164" s="167" t="s">
        <v>3015</v>
      </c>
      <c r="P164" s="167" t="s">
        <v>3015</v>
      </c>
      <c r="Q164" s="167" t="s">
        <v>3015</v>
      </c>
      <c r="R164" s="167" t="s">
        <v>3015</v>
      </c>
      <c r="S164" s="167" t="s">
        <v>3015</v>
      </c>
      <c r="T164" s="167" t="s">
        <v>3015</v>
      </c>
      <c r="U164" s="167" t="s">
        <v>3015</v>
      </c>
      <c r="V164" s="167" t="s">
        <v>3015</v>
      </c>
      <c r="W164" s="167" t="s">
        <v>3015</v>
      </c>
      <c r="X164" s="167" t="s">
        <v>3015</v>
      </c>
      <c r="Y164" s="167" t="s">
        <v>3015</v>
      </c>
      <c r="Z164" s="167" t="str">
        <f>_xlfn.IFNA(VLOOKUP(C164,'INFORM Severity - hidden'!$C$5:$G$155,5,FALSE),"-")</f>
        <v>-</v>
      </c>
      <c r="AA164" s="167" t="s">
        <v>3015</v>
      </c>
      <c r="AB164" s="167" t="s">
        <v>3015</v>
      </c>
    </row>
    <row r="165" spans="1:28" x14ac:dyDescent="0.3">
      <c r="A165" s="11" t="s">
        <v>189</v>
      </c>
      <c r="B165" s="11" t="s">
        <v>789</v>
      </c>
      <c r="C165" s="11" t="s">
        <v>2924</v>
      </c>
      <c r="D165" s="166" t="str">
        <f t="shared" si="2"/>
        <v>Stable</v>
      </c>
      <c r="E165" s="167" t="s">
        <v>3015</v>
      </c>
      <c r="F165" s="167" t="s">
        <v>3015</v>
      </c>
      <c r="G165" s="167" t="s">
        <v>3015</v>
      </c>
      <c r="H165" s="167">
        <v>2.9</v>
      </c>
      <c r="I165" s="167">
        <v>2.9</v>
      </c>
      <c r="J165" s="167">
        <v>2.9</v>
      </c>
      <c r="K165" s="167">
        <v>2.8</v>
      </c>
      <c r="L165" s="167">
        <v>2.8</v>
      </c>
      <c r="M165" s="167">
        <v>2.6</v>
      </c>
      <c r="N165" s="167">
        <v>2.4</v>
      </c>
      <c r="O165" s="167">
        <v>2.4</v>
      </c>
      <c r="P165" s="167">
        <v>2.4</v>
      </c>
      <c r="Q165" s="167">
        <v>2.7</v>
      </c>
      <c r="R165" s="167">
        <v>2.8</v>
      </c>
      <c r="S165" s="167">
        <v>2.7</v>
      </c>
      <c r="T165" s="167">
        <v>2.7</v>
      </c>
      <c r="U165" s="167">
        <v>2.6</v>
      </c>
      <c r="V165" s="167">
        <v>2.6</v>
      </c>
      <c r="W165" s="167">
        <v>2.6</v>
      </c>
      <c r="X165" s="167">
        <v>2.6</v>
      </c>
      <c r="Y165" s="167">
        <v>2.6</v>
      </c>
      <c r="Z165" s="167">
        <f>_xlfn.IFNA(VLOOKUP(C165,'INFORM Severity - hidden'!$C$5:$G$155,5,FALSE),"-")</f>
        <v>2.5</v>
      </c>
      <c r="AA165" s="167" t="s">
        <v>3015</v>
      </c>
      <c r="AB165" s="167" t="s">
        <v>3015</v>
      </c>
    </row>
    <row r="166" spans="1:28" x14ac:dyDescent="0.3">
      <c r="A166" s="11" t="s">
        <v>189</v>
      </c>
      <c r="B166" s="11" t="s">
        <v>790</v>
      </c>
      <c r="C166" s="11" t="s">
        <v>3157</v>
      </c>
      <c r="D166" s="166" t="str">
        <f t="shared" si="2"/>
        <v>-</v>
      </c>
      <c r="E166" s="167" t="s">
        <v>3015</v>
      </c>
      <c r="F166" s="167" t="s">
        <v>3015</v>
      </c>
      <c r="G166" s="167" t="s">
        <v>3015</v>
      </c>
      <c r="H166" s="167">
        <v>2.4</v>
      </c>
      <c r="I166" s="167">
        <v>2.4</v>
      </c>
      <c r="J166" s="167" t="s">
        <v>3015</v>
      </c>
      <c r="K166" s="167" t="s">
        <v>3015</v>
      </c>
      <c r="L166" s="167" t="s">
        <v>3015</v>
      </c>
      <c r="M166" s="167" t="s">
        <v>3015</v>
      </c>
      <c r="N166" s="167" t="s">
        <v>3015</v>
      </c>
      <c r="O166" s="167" t="s">
        <v>3015</v>
      </c>
      <c r="P166" s="167" t="s">
        <v>3015</v>
      </c>
      <c r="Q166" s="167" t="s">
        <v>3015</v>
      </c>
      <c r="R166" s="167" t="s">
        <v>3015</v>
      </c>
      <c r="S166" s="167" t="s">
        <v>3015</v>
      </c>
      <c r="T166" s="167" t="s">
        <v>3015</v>
      </c>
      <c r="U166" s="167" t="s">
        <v>3015</v>
      </c>
      <c r="V166" s="167" t="s">
        <v>3015</v>
      </c>
      <c r="W166" s="167" t="s">
        <v>3015</v>
      </c>
      <c r="X166" s="167" t="s">
        <v>3015</v>
      </c>
      <c r="Y166" s="167" t="s">
        <v>3015</v>
      </c>
      <c r="Z166" s="167" t="str">
        <f>_xlfn.IFNA(VLOOKUP(C166,'INFORM Severity - hidden'!$C$5:$G$155,5,FALSE),"-")</f>
        <v>-</v>
      </c>
      <c r="AA166" s="167" t="s">
        <v>3015</v>
      </c>
      <c r="AB166" s="167" t="s">
        <v>3015</v>
      </c>
    </row>
    <row r="167" spans="1:28" x14ac:dyDescent="0.3">
      <c r="A167" s="11" t="s">
        <v>189</v>
      </c>
      <c r="B167" s="11" t="s">
        <v>2026</v>
      </c>
      <c r="C167" s="11" t="s">
        <v>2101</v>
      </c>
      <c r="D167" s="166" t="str">
        <f t="shared" si="2"/>
        <v>Stable</v>
      </c>
      <c r="E167" s="167" t="s">
        <v>3015</v>
      </c>
      <c r="F167" s="167" t="s">
        <v>3015</v>
      </c>
      <c r="G167" s="167" t="s">
        <v>3015</v>
      </c>
      <c r="H167" s="167" t="s">
        <v>3015</v>
      </c>
      <c r="I167" s="167" t="s">
        <v>3015</v>
      </c>
      <c r="J167" s="167" t="s">
        <v>3015</v>
      </c>
      <c r="K167" s="167" t="s">
        <v>3015</v>
      </c>
      <c r="L167" s="167" t="s">
        <v>3015</v>
      </c>
      <c r="M167" s="167" t="s">
        <v>3015</v>
      </c>
      <c r="N167" s="167" t="s">
        <v>3015</v>
      </c>
      <c r="O167" s="167" t="s">
        <v>3015</v>
      </c>
      <c r="P167" s="167" t="s">
        <v>3015</v>
      </c>
      <c r="Q167" s="167">
        <v>1.2</v>
      </c>
      <c r="R167" s="167">
        <v>1.3</v>
      </c>
      <c r="S167" s="167">
        <v>1.3</v>
      </c>
      <c r="T167" s="167">
        <v>1.3</v>
      </c>
      <c r="U167" s="167">
        <v>1.3</v>
      </c>
      <c r="V167" s="167">
        <v>1.3</v>
      </c>
      <c r="W167" s="167">
        <v>1.3</v>
      </c>
      <c r="X167" s="167">
        <v>1.3</v>
      </c>
      <c r="Y167" s="167">
        <v>1.3</v>
      </c>
      <c r="Z167" s="167">
        <f>_xlfn.IFNA(VLOOKUP(C167,'INFORM Severity - hidden'!$C$5:$G$155,5,FALSE),"-")</f>
        <v>1.3</v>
      </c>
      <c r="AA167" s="167" t="s">
        <v>3015</v>
      </c>
      <c r="AB167" s="167" t="s">
        <v>3015</v>
      </c>
    </row>
    <row r="168" spans="1:28" x14ac:dyDescent="0.3">
      <c r="A168" s="11" t="s">
        <v>189</v>
      </c>
      <c r="B168" s="11" t="s">
        <v>2045</v>
      </c>
      <c r="C168" s="11" t="s">
        <v>2102</v>
      </c>
      <c r="D168" s="166" t="str">
        <f t="shared" si="2"/>
        <v>Stable</v>
      </c>
      <c r="E168" s="167" t="s">
        <v>3015</v>
      </c>
      <c r="F168" s="167" t="s">
        <v>3015</v>
      </c>
      <c r="G168" s="167" t="s">
        <v>3015</v>
      </c>
      <c r="H168" s="167" t="s">
        <v>3015</v>
      </c>
      <c r="I168" s="167" t="s">
        <v>3015</v>
      </c>
      <c r="J168" s="167" t="s">
        <v>3015</v>
      </c>
      <c r="K168" s="167" t="s">
        <v>3015</v>
      </c>
      <c r="L168" s="167" t="s">
        <v>3015</v>
      </c>
      <c r="M168" s="167" t="s">
        <v>3015</v>
      </c>
      <c r="N168" s="167" t="s">
        <v>3015</v>
      </c>
      <c r="O168" s="167" t="s">
        <v>3015</v>
      </c>
      <c r="P168" s="167" t="s">
        <v>3015</v>
      </c>
      <c r="Q168" s="167">
        <v>2.5</v>
      </c>
      <c r="R168" s="167">
        <v>2.6</v>
      </c>
      <c r="S168" s="167">
        <v>2.5</v>
      </c>
      <c r="T168" s="167">
        <v>2.5</v>
      </c>
      <c r="U168" s="167">
        <v>2.5</v>
      </c>
      <c r="V168" s="167">
        <v>2.6</v>
      </c>
      <c r="W168" s="167">
        <v>2.6</v>
      </c>
      <c r="X168" s="167">
        <v>2.6</v>
      </c>
      <c r="Y168" s="167">
        <v>2.6</v>
      </c>
      <c r="Z168" s="167">
        <f>_xlfn.IFNA(VLOOKUP(C168,'INFORM Severity - hidden'!$C$5:$G$155,5,FALSE),"-")</f>
        <v>2.6</v>
      </c>
      <c r="AA168" s="167" t="s">
        <v>3015</v>
      </c>
      <c r="AB168" s="167" t="s">
        <v>3015</v>
      </c>
    </row>
    <row r="169" spans="1:28" x14ac:dyDescent="0.3">
      <c r="A169" s="11" t="s">
        <v>195</v>
      </c>
      <c r="B169" s="11" t="s">
        <v>914</v>
      </c>
      <c r="C169" s="11" t="s">
        <v>3086</v>
      </c>
      <c r="D169" s="166" t="str">
        <f t="shared" si="2"/>
        <v>-</v>
      </c>
      <c r="E169" s="167" t="s">
        <v>3015</v>
      </c>
      <c r="F169" s="167" t="s">
        <v>3015</v>
      </c>
      <c r="G169" s="167" t="s">
        <v>3015</v>
      </c>
      <c r="H169" s="167" t="s">
        <v>3015</v>
      </c>
      <c r="I169" s="167" t="s">
        <v>3015</v>
      </c>
      <c r="J169" s="167" t="s">
        <v>3015</v>
      </c>
      <c r="K169" s="167" t="s">
        <v>3015</v>
      </c>
      <c r="L169" s="167" t="s">
        <v>3015</v>
      </c>
      <c r="M169" s="167" t="s">
        <v>3015</v>
      </c>
      <c r="N169" s="167" t="s">
        <v>3015</v>
      </c>
      <c r="O169" s="167" t="s">
        <v>3015</v>
      </c>
      <c r="P169" s="167" t="s">
        <v>3015</v>
      </c>
      <c r="Q169" s="167" t="s">
        <v>3015</v>
      </c>
      <c r="R169" s="167" t="s">
        <v>3015</v>
      </c>
      <c r="S169" s="167" t="s">
        <v>3015</v>
      </c>
      <c r="T169" s="167" t="s">
        <v>3015</v>
      </c>
      <c r="U169" s="167" t="s">
        <v>3015</v>
      </c>
      <c r="V169" s="167" t="s">
        <v>3015</v>
      </c>
      <c r="W169" s="167" t="s">
        <v>3015</v>
      </c>
      <c r="X169" s="167" t="s">
        <v>3015</v>
      </c>
      <c r="Y169" s="167" t="s">
        <v>3015</v>
      </c>
      <c r="Z169" s="167" t="str">
        <f>_xlfn.IFNA(VLOOKUP(C169,'INFORM Severity - hidden'!$C$5:$G$155,5,FALSE),"-")</f>
        <v>-</v>
      </c>
      <c r="AA169" s="167" t="s">
        <v>3015</v>
      </c>
      <c r="AB169" s="167" t="s">
        <v>3015</v>
      </c>
    </row>
    <row r="170" spans="1:28" x14ac:dyDescent="0.3">
      <c r="A170" s="11" t="s">
        <v>207</v>
      </c>
      <c r="B170" s="11" t="s">
        <v>1747</v>
      </c>
      <c r="C170" s="11" t="s">
        <v>1748</v>
      </c>
      <c r="D170" s="166" t="str">
        <f t="shared" si="2"/>
        <v>-</v>
      </c>
      <c r="E170" s="167" t="s">
        <v>3015</v>
      </c>
      <c r="F170" s="167" t="s">
        <v>3015</v>
      </c>
      <c r="G170" s="167" t="s">
        <v>3015</v>
      </c>
      <c r="H170" s="167" t="s">
        <v>3015</v>
      </c>
      <c r="I170" s="167" t="s">
        <v>3015</v>
      </c>
      <c r="J170" s="167" t="s">
        <v>3015</v>
      </c>
      <c r="K170" s="167" t="s">
        <v>3015</v>
      </c>
      <c r="L170" s="167" t="s">
        <v>3015</v>
      </c>
      <c r="M170" s="167" t="s">
        <v>3015</v>
      </c>
      <c r="N170" s="167" t="s">
        <v>3015</v>
      </c>
      <c r="O170" s="167" t="s">
        <v>393</v>
      </c>
      <c r="P170" s="167" t="s">
        <v>393</v>
      </c>
      <c r="Q170" s="167" t="s">
        <v>393</v>
      </c>
      <c r="R170" s="167" t="s">
        <v>393</v>
      </c>
      <c r="S170" s="167" t="s">
        <v>393</v>
      </c>
      <c r="T170" s="167" t="s">
        <v>393</v>
      </c>
      <c r="U170" s="167" t="s">
        <v>393</v>
      </c>
      <c r="V170" s="167" t="s">
        <v>393</v>
      </c>
      <c r="W170" s="167" t="s">
        <v>393</v>
      </c>
      <c r="X170" s="167" t="s">
        <v>393</v>
      </c>
      <c r="Y170" s="167" t="s">
        <v>393</v>
      </c>
      <c r="Z170" s="167" t="str">
        <f>_xlfn.IFNA(VLOOKUP(C170,'INFORM Severity - hidden'!$C$5:$G$155,5,FALSE),"-")</f>
        <v>x</v>
      </c>
      <c r="AA170" s="167" t="s">
        <v>3015</v>
      </c>
      <c r="AB170" s="167" t="s">
        <v>3015</v>
      </c>
    </row>
    <row r="171" spans="1:28" x14ac:dyDescent="0.3">
      <c r="A171" s="11" t="s">
        <v>207</v>
      </c>
      <c r="B171" s="11" t="s">
        <v>1750</v>
      </c>
      <c r="C171" s="11" t="s">
        <v>1638</v>
      </c>
      <c r="D171" s="166" t="str">
        <f t="shared" si="2"/>
        <v>-</v>
      </c>
      <c r="E171" s="167" t="s">
        <v>3015</v>
      </c>
      <c r="F171" s="167" t="s">
        <v>3015</v>
      </c>
      <c r="G171" s="167" t="s">
        <v>3015</v>
      </c>
      <c r="H171" s="167" t="s">
        <v>3015</v>
      </c>
      <c r="I171" s="167" t="s">
        <v>3015</v>
      </c>
      <c r="J171" s="167" t="s">
        <v>3015</v>
      </c>
      <c r="K171" s="167" t="s">
        <v>3015</v>
      </c>
      <c r="L171" s="167" t="s">
        <v>3015</v>
      </c>
      <c r="M171" s="167" t="s">
        <v>3015</v>
      </c>
      <c r="N171" s="167" t="s">
        <v>3015</v>
      </c>
      <c r="O171" s="167" t="s">
        <v>393</v>
      </c>
      <c r="P171" s="167" t="s">
        <v>393</v>
      </c>
      <c r="Q171" s="167" t="s">
        <v>393</v>
      </c>
      <c r="R171" s="167" t="s">
        <v>393</v>
      </c>
      <c r="S171" s="167" t="s">
        <v>393</v>
      </c>
      <c r="T171" s="167" t="s">
        <v>393</v>
      </c>
      <c r="U171" s="167" t="s">
        <v>393</v>
      </c>
      <c r="V171" s="167" t="s">
        <v>393</v>
      </c>
      <c r="W171" s="167" t="s">
        <v>393</v>
      </c>
      <c r="X171" s="167" t="s">
        <v>393</v>
      </c>
      <c r="Y171" s="167" t="s">
        <v>393</v>
      </c>
      <c r="Z171" s="167" t="str">
        <f>_xlfn.IFNA(VLOOKUP(C171,'INFORM Severity - hidden'!$C$5:$G$155,5,FALSE),"-")</f>
        <v>x</v>
      </c>
      <c r="AA171" s="167" t="s">
        <v>3015</v>
      </c>
      <c r="AB171" s="167" t="s">
        <v>3015</v>
      </c>
    </row>
    <row r="172" spans="1:28" x14ac:dyDescent="0.3">
      <c r="A172" s="11" t="s">
        <v>207</v>
      </c>
      <c r="B172" s="11" t="s">
        <v>1751</v>
      </c>
      <c r="C172" s="11" t="s">
        <v>1640</v>
      </c>
      <c r="D172" s="166" t="str">
        <f t="shared" si="2"/>
        <v>-</v>
      </c>
      <c r="E172" s="167" t="s">
        <v>3015</v>
      </c>
      <c r="F172" s="167" t="s">
        <v>3015</v>
      </c>
      <c r="G172" s="167" t="s">
        <v>3015</v>
      </c>
      <c r="H172" s="167" t="s">
        <v>3015</v>
      </c>
      <c r="I172" s="167" t="s">
        <v>3015</v>
      </c>
      <c r="J172" s="167" t="s">
        <v>3015</v>
      </c>
      <c r="K172" s="167" t="s">
        <v>3015</v>
      </c>
      <c r="L172" s="167" t="s">
        <v>3015</v>
      </c>
      <c r="M172" s="167" t="s">
        <v>3015</v>
      </c>
      <c r="N172" s="167" t="s">
        <v>3015</v>
      </c>
      <c r="O172" s="167" t="s">
        <v>393</v>
      </c>
      <c r="P172" s="167" t="s">
        <v>393</v>
      </c>
      <c r="Q172" s="167" t="s">
        <v>393</v>
      </c>
      <c r="R172" s="167" t="s">
        <v>393</v>
      </c>
      <c r="S172" s="167" t="s">
        <v>393</v>
      </c>
      <c r="T172" s="167" t="s">
        <v>393</v>
      </c>
      <c r="U172" s="167" t="s">
        <v>393</v>
      </c>
      <c r="V172" s="167" t="s">
        <v>393</v>
      </c>
      <c r="W172" s="167" t="s">
        <v>393</v>
      </c>
      <c r="X172" s="167" t="s">
        <v>393</v>
      </c>
      <c r="Y172" s="167" t="s">
        <v>393</v>
      </c>
      <c r="Z172" s="167" t="str">
        <f>_xlfn.IFNA(VLOOKUP(C172,'INFORM Severity - hidden'!$C$5:$G$155,5,FALSE),"-")</f>
        <v>x</v>
      </c>
      <c r="AA172" s="167" t="s">
        <v>3015</v>
      </c>
      <c r="AB172" s="167" t="s">
        <v>3015</v>
      </c>
    </row>
    <row r="173" spans="1:28" x14ac:dyDescent="0.3">
      <c r="A173" s="11" t="s">
        <v>201</v>
      </c>
      <c r="B173" s="11" t="s">
        <v>914</v>
      </c>
      <c r="C173" s="11" t="s">
        <v>3087</v>
      </c>
      <c r="D173" s="166" t="str">
        <f t="shared" si="2"/>
        <v>-</v>
      </c>
      <c r="E173" s="167" t="s">
        <v>3015</v>
      </c>
      <c r="F173" s="167" t="s">
        <v>3015</v>
      </c>
      <c r="G173" s="167" t="s">
        <v>3015</v>
      </c>
      <c r="H173" s="167" t="s">
        <v>3015</v>
      </c>
      <c r="I173" s="167" t="s">
        <v>3015</v>
      </c>
      <c r="J173" s="167" t="s">
        <v>3015</v>
      </c>
      <c r="K173" s="167" t="s">
        <v>3015</v>
      </c>
      <c r="L173" s="167" t="s">
        <v>3015</v>
      </c>
      <c r="M173" s="167" t="s">
        <v>3015</v>
      </c>
      <c r="N173" s="167" t="s">
        <v>3015</v>
      </c>
      <c r="O173" s="167" t="s">
        <v>3015</v>
      </c>
      <c r="P173" s="167" t="s">
        <v>3015</v>
      </c>
      <c r="Q173" s="167" t="s">
        <v>3015</v>
      </c>
      <c r="R173" s="167" t="s">
        <v>3015</v>
      </c>
      <c r="S173" s="167" t="s">
        <v>3015</v>
      </c>
      <c r="T173" s="167" t="s">
        <v>3015</v>
      </c>
      <c r="U173" s="167" t="s">
        <v>3015</v>
      </c>
      <c r="V173" s="167" t="s">
        <v>3015</v>
      </c>
      <c r="W173" s="167" t="s">
        <v>3015</v>
      </c>
      <c r="X173" s="167" t="s">
        <v>3015</v>
      </c>
      <c r="Y173" s="167" t="s">
        <v>3015</v>
      </c>
      <c r="Z173" s="167" t="str">
        <f>_xlfn.IFNA(VLOOKUP(C173,'INFORM Severity - hidden'!$C$5:$G$155,5,FALSE),"-")</f>
        <v>-</v>
      </c>
      <c r="AA173" s="167" t="s">
        <v>3015</v>
      </c>
      <c r="AB173" s="167" t="s">
        <v>3015</v>
      </c>
    </row>
    <row r="174" spans="1:28" x14ac:dyDescent="0.3">
      <c r="A174" s="11" t="s">
        <v>197</v>
      </c>
      <c r="B174" s="11" t="s">
        <v>1096</v>
      </c>
      <c r="C174" s="11" t="s">
        <v>588</v>
      </c>
      <c r="D174" s="166" t="str">
        <f t="shared" si="2"/>
        <v>Stable</v>
      </c>
      <c r="E174" s="167">
        <v>3.6</v>
      </c>
      <c r="F174" s="167">
        <v>3.8</v>
      </c>
      <c r="G174" s="167">
        <v>3.8</v>
      </c>
      <c r="H174" s="167">
        <v>3.6</v>
      </c>
      <c r="I174" s="167">
        <v>3.6</v>
      </c>
      <c r="J174" s="167">
        <v>3.6</v>
      </c>
      <c r="K174" s="167">
        <v>3.6</v>
      </c>
      <c r="L174" s="167">
        <v>3.7</v>
      </c>
      <c r="M174" s="167">
        <v>3.7</v>
      </c>
      <c r="N174" s="167">
        <v>3.8</v>
      </c>
      <c r="O174" s="167">
        <v>3.8</v>
      </c>
      <c r="P174" s="167">
        <v>3.8</v>
      </c>
      <c r="Q174" s="167">
        <v>3.8</v>
      </c>
      <c r="R174" s="167">
        <v>3.8</v>
      </c>
      <c r="S174" s="167">
        <v>3.8</v>
      </c>
      <c r="T174" s="167">
        <v>3.8</v>
      </c>
      <c r="U174" s="167">
        <v>3.8</v>
      </c>
      <c r="V174" s="167">
        <v>3.8</v>
      </c>
      <c r="W174" s="167">
        <v>3.8</v>
      </c>
      <c r="X174" s="167">
        <v>3.8</v>
      </c>
      <c r="Y174" s="167">
        <v>3.8</v>
      </c>
      <c r="Z174" s="167">
        <f>_xlfn.IFNA(VLOOKUP(C174,'INFORM Severity - hidden'!$C$5:$G$155,5,FALSE),"-")</f>
        <v>3.8</v>
      </c>
      <c r="AA174" s="167" t="s">
        <v>3015</v>
      </c>
      <c r="AB174" s="167" t="s">
        <v>3015</v>
      </c>
    </row>
    <row r="175" spans="1:28" x14ac:dyDescent="0.3">
      <c r="A175" s="11" t="s">
        <v>357</v>
      </c>
      <c r="B175" s="11" t="s">
        <v>1164</v>
      </c>
      <c r="C175" s="11" t="s">
        <v>589</v>
      </c>
      <c r="D175" s="166" t="str">
        <f t="shared" si="2"/>
        <v>Decreasing</v>
      </c>
      <c r="E175" s="167" t="s">
        <v>3015</v>
      </c>
      <c r="F175" s="167">
        <v>3.2</v>
      </c>
      <c r="G175" s="167">
        <v>3.2</v>
      </c>
      <c r="H175" s="167">
        <v>3.2</v>
      </c>
      <c r="I175" s="167">
        <v>3.3</v>
      </c>
      <c r="J175" s="167">
        <v>3.3</v>
      </c>
      <c r="K175" s="167">
        <v>3.3</v>
      </c>
      <c r="L175" s="167">
        <v>3.3</v>
      </c>
      <c r="M175" s="167">
        <v>3.3</v>
      </c>
      <c r="N175" s="167">
        <v>3.4</v>
      </c>
      <c r="O175" s="167">
        <v>3.4</v>
      </c>
      <c r="P175" s="167">
        <v>3.4</v>
      </c>
      <c r="Q175" s="167">
        <v>3.4</v>
      </c>
      <c r="R175" s="167">
        <v>3.4</v>
      </c>
      <c r="S175" s="167">
        <v>3.6</v>
      </c>
      <c r="T175" s="167">
        <v>3.6</v>
      </c>
      <c r="U175" s="167">
        <v>3.6</v>
      </c>
      <c r="V175" s="167">
        <v>3.6</v>
      </c>
      <c r="W175" s="167">
        <v>3.6</v>
      </c>
      <c r="X175" s="167">
        <v>3.5</v>
      </c>
      <c r="Y175" s="167">
        <v>3.5</v>
      </c>
      <c r="Z175" s="167">
        <f>_xlfn.IFNA(VLOOKUP(C175,'INFORM Severity - hidden'!$C$5:$G$155,5,FALSE),"-")</f>
        <v>3.5</v>
      </c>
      <c r="AA175" s="167" t="s">
        <v>3015</v>
      </c>
      <c r="AB175" s="167" t="s">
        <v>3015</v>
      </c>
    </row>
    <row r="176" spans="1:28" x14ac:dyDescent="0.3">
      <c r="A176" s="11" t="s">
        <v>357</v>
      </c>
      <c r="B176" s="11" t="s">
        <v>653</v>
      </c>
      <c r="C176" s="11" t="s">
        <v>664</v>
      </c>
      <c r="D176" s="166" t="str">
        <f t="shared" si="2"/>
        <v>Stable</v>
      </c>
      <c r="E176" s="167" t="s">
        <v>3015</v>
      </c>
      <c r="F176" s="167">
        <v>3.3</v>
      </c>
      <c r="G176" s="167">
        <v>3.3</v>
      </c>
      <c r="H176" s="167">
        <v>3.1</v>
      </c>
      <c r="I176" s="167">
        <v>3.2</v>
      </c>
      <c r="J176" s="167">
        <v>3.2</v>
      </c>
      <c r="K176" s="167">
        <v>3.2</v>
      </c>
      <c r="L176" s="167">
        <v>3.2</v>
      </c>
      <c r="M176" s="167">
        <v>3.2</v>
      </c>
      <c r="N176" s="167">
        <v>3.5</v>
      </c>
      <c r="O176" s="167">
        <v>3.5</v>
      </c>
      <c r="P176" s="167">
        <v>3.4</v>
      </c>
      <c r="Q176" s="167">
        <v>3.5</v>
      </c>
      <c r="R176" s="167">
        <v>3.5</v>
      </c>
      <c r="S176" s="167">
        <v>3.5</v>
      </c>
      <c r="T176" s="167">
        <v>3.5</v>
      </c>
      <c r="U176" s="167">
        <v>3.5</v>
      </c>
      <c r="V176" s="167">
        <v>3.5</v>
      </c>
      <c r="W176" s="167">
        <v>3.5</v>
      </c>
      <c r="X176" s="167">
        <v>3.5</v>
      </c>
      <c r="Y176" s="167">
        <v>3.5</v>
      </c>
      <c r="Z176" s="167">
        <f>_xlfn.IFNA(VLOOKUP(C176,'INFORM Severity - hidden'!$C$5:$G$155,5,FALSE),"-")</f>
        <v>3.5</v>
      </c>
      <c r="AA176" s="167" t="s">
        <v>3015</v>
      </c>
      <c r="AB176" s="167" t="s">
        <v>3015</v>
      </c>
    </row>
    <row r="177" spans="1:28" x14ac:dyDescent="0.3">
      <c r="A177" s="11" t="s">
        <v>357</v>
      </c>
      <c r="B177" s="11" t="s">
        <v>654</v>
      </c>
      <c r="C177" s="11" t="s">
        <v>665</v>
      </c>
      <c r="D177" s="166" t="str">
        <f t="shared" si="2"/>
        <v>Stable</v>
      </c>
      <c r="E177" s="167" t="s">
        <v>3015</v>
      </c>
      <c r="F177" s="167">
        <v>2.6</v>
      </c>
      <c r="G177" s="167">
        <v>2.6</v>
      </c>
      <c r="H177" s="167">
        <v>2.2999999999999998</v>
      </c>
      <c r="I177" s="167">
        <v>2.4</v>
      </c>
      <c r="J177" s="167">
        <v>2.2999999999999998</v>
      </c>
      <c r="K177" s="167">
        <v>2.2999999999999998</v>
      </c>
      <c r="L177" s="167">
        <v>2.2999999999999998</v>
      </c>
      <c r="M177" s="167">
        <v>2.2999999999999998</v>
      </c>
      <c r="N177" s="167">
        <v>2.7</v>
      </c>
      <c r="O177" s="167">
        <v>2.7</v>
      </c>
      <c r="P177" s="167">
        <v>2.7</v>
      </c>
      <c r="Q177" s="167">
        <v>2.7</v>
      </c>
      <c r="R177" s="167">
        <v>2.7</v>
      </c>
      <c r="S177" s="167">
        <v>2.6</v>
      </c>
      <c r="T177" s="167">
        <v>2.6</v>
      </c>
      <c r="U177" s="167">
        <v>2.6</v>
      </c>
      <c r="V177" s="167">
        <v>2.6</v>
      </c>
      <c r="W177" s="167">
        <v>2.6</v>
      </c>
      <c r="X177" s="167">
        <v>2.6</v>
      </c>
      <c r="Y177" s="167">
        <v>2.6</v>
      </c>
      <c r="Z177" s="167">
        <f>_xlfn.IFNA(VLOOKUP(C177,'INFORM Severity - hidden'!$C$5:$G$155,5,FALSE),"-")</f>
        <v>2.6</v>
      </c>
      <c r="AA177" s="167" t="s">
        <v>3015</v>
      </c>
      <c r="AB177" s="167" t="s">
        <v>3015</v>
      </c>
    </row>
    <row r="178" spans="1:28" x14ac:dyDescent="0.3">
      <c r="A178" s="11" t="s">
        <v>213</v>
      </c>
      <c r="B178" s="11" t="s">
        <v>914</v>
      </c>
      <c r="C178" s="11" t="s">
        <v>3094</v>
      </c>
      <c r="D178" s="166" t="str">
        <f t="shared" si="2"/>
        <v>-</v>
      </c>
      <c r="E178" s="167" t="s">
        <v>3015</v>
      </c>
      <c r="F178" s="167" t="s">
        <v>3015</v>
      </c>
      <c r="G178" s="167" t="s">
        <v>3015</v>
      </c>
      <c r="H178" s="167" t="s">
        <v>3015</v>
      </c>
      <c r="I178" s="167" t="s">
        <v>3015</v>
      </c>
      <c r="J178" s="167" t="s">
        <v>3015</v>
      </c>
      <c r="K178" s="167" t="s">
        <v>3015</v>
      </c>
      <c r="L178" s="167" t="s">
        <v>3015</v>
      </c>
      <c r="M178" s="167" t="s">
        <v>3015</v>
      </c>
      <c r="N178" s="167" t="s">
        <v>3015</v>
      </c>
      <c r="O178" s="167" t="s">
        <v>3015</v>
      </c>
      <c r="P178" s="167" t="s">
        <v>3015</v>
      </c>
      <c r="Q178" s="167" t="s">
        <v>3015</v>
      </c>
      <c r="R178" s="167" t="s">
        <v>3015</v>
      </c>
      <c r="S178" s="167" t="s">
        <v>3015</v>
      </c>
      <c r="T178" s="167" t="s">
        <v>3015</v>
      </c>
      <c r="U178" s="167" t="s">
        <v>3015</v>
      </c>
      <c r="V178" s="167" t="s">
        <v>3015</v>
      </c>
      <c r="W178" s="167" t="s">
        <v>3015</v>
      </c>
      <c r="X178" s="167" t="s">
        <v>3015</v>
      </c>
      <c r="Y178" s="167" t="s">
        <v>3015</v>
      </c>
      <c r="Z178" s="167" t="str">
        <f>_xlfn.IFNA(VLOOKUP(C178,'INFORM Severity - hidden'!$C$5:$G$155,5,FALSE),"-")</f>
        <v>-</v>
      </c>
      <c r="AA178" s="167" t="s">
        <v>3015</v>
      </c>
      <c r="AB178" s="167" t="s">
        <v>3015</v>
      </c>
    </row>
    <row r="179" spans="1:28" x14ac:dyDescent="0.3">
      <c r="A179" s="11" t="s">
        <v>211</v>
      </c>
      <c r="B179" s="11" t="s">
        <v>914</v>
      </c>
      <c r="C179" s="11" t="s">
        <v>3093</v>
      </c>
      <c r="D179" s="166" t="str">
        <f t="shared" si="2"/>
        <v>-</v>
      </c>
      <c r="E179" s="167" t="s">
        <v>3015</v>
      </c>
      <c r="F179" s="167" t="s">
        <v>3015</v>
      </c>
      <c r="G179" s="167" t="s">
        <v>3015</v>
      </c>
      <c r="H179" s="167" t="s">
        <v>3015</v>
      </c>
      <c r="I179" s="167" t="s">
        <v>3015</v>
      </c>
      <c r="J179" s="167" t="s">
        <v>3015</v>
      </c>
      <c r="K179" s="167" t="s">
        <v>3015</v>
      </c>
      <c r="L179" s="167" t="s">
        <v>3015</v>
      </c>
      <c r="M179" s="167" t="s">
        <v>3015</v>
      </c>
      <c r="N179" s="167" t="s">
        <v>3015</v>
      </c>
      <c r="O179" s="167" t="s">
        <v>3015</v>
      </c>
      <c r="P179" s="167" t="s">
        <v>3015</v>
      </c>
      <c r="Q179" s="167" t="s">
        <v>3015</v>
      </c>
      <c r="R179" s="167" t="s">
        <v>3015</v>
      </c>
      <c r="S179" s="167" t="s">
        <v>3015</v>
      </c>
      <c r="T179" s="167" t="s">
        <v>3015</v>
      </c>
      <c r="U179" s="167" t="s">
        <v>3015</v>
      </c>
      <c r="V179" s="167" t="s">
        <v>3015</v>
      </c>
      <c r="W179" s="167" t="s">
        <v>3015</v>
      </c>
      <c r="X179" s="167" t="s">
        <v>3015</v>
      </c>
      <c r="Y179" s="167" t="s">
        <v>3015</v>
      </c>
      <c r="Z179" s="167" t="str">
        <f>_xlfn.IFNA(VLOOKUP(C179,'INFORM Severity - hidden'!$C$5:$G$155,5,FALSE),"-")</f>
        <v>-</v>
      </c>
      <c r="AA179" s="167" t="s">
        <v>3015</v>
      </c>
      <c r="AB179" s="167" t="s">
        <v>3015</v>
      </c>
    </row>
    <row r="180" spans="1:28" x14ac:dyDescent="0.3">
      <c r="A180" s="11" t="s">
        <v>217</v>
      </c>
      <c r="B180" s="11" t="s">
        <v>1482</v>
      </c>
      <c r="C180" s="11" t="s">
        <v>2917</v>
      </c>
      <c r="D180" s="166" t="str">
        <f t="shared" si="2"/>
        <v>Stable</v>
      </c>
      <c r="E180" s="167" t="s">
        <v>3015</v>
      </c>
      <c r="F180" s="167" t="s">
        <v>3015</v>
      </c>
      <c r="G180" s="167" t="s">
        <v>3015</v>
      </c>
      <c r="H180" s="167">
        <v>3.8</v>
      </c>
      <c r="I180" s="167">
        <v>3.7</v>
      </c>
      <c r="J180" s="167">
        <v>3.7</v>
      </c>
      <c r="K180" s="167">
        <v>3.2</v>
      </c>
      <c r="L180" s="167">
        <v>3.2</v>
      </c>
      <c r="M180" s="167">
        <v>3</v>
      </c>
      <c r="N180" s="167">
        <v>3.2</v>
      </c>
      <c r="O180" s="167">
        <v>3.5</v>
      </c>
      <c r="P180" s="167">
        <v>3.5</v>
      </c>
      <c r="Q180" s="167">
        <v>3.5</v>
      </c>
      <c r="R180" s="167">
        <v>3.5</v>
      </c>
      <c r="S180" s="167">
        <v>3.2</v>
      </c>
      <c r="T180" s="167">
        <v>3.2</v>
      </c>
      <c r="U180" s="167">
        <v>3.2</v>
      </c>
      <c r="V180" s="167">
        <v>3.2</v>
      </c>
      <c r="W180" s="167">
        <v>3</v>
      </c>
      <c r="X180" s="167">
        <v>3</v>
      </c>
      <c r="Y180" s="167">
        <v>3.2</v>
      </c>
      <c r="Z180" s="167">
        <f>_xlfn.IFNA(VLOOKUP(C180,'INFORM Severity - hidden'!$C$5:$G$155,5,FALSE),"-")</f>
        <v>3.2</v>
      </c>
      <c r="AA180" s="167" t="s">
        <v>3015</v>
      </c>
      <c r="AB180" s="167" t="s">
        <v>3015</v>
      </c>
    </row>
    <row r="181" spans="1:28" x14ac:dyDescent="0.3">
      <c r="A181" s="11" t="s">
        <v>217</v>
      </c>
      <c r="B181" s="11" t="s">
        <v>787</v>
      </c>
      <c r="C181" s="11" t="s">
        <v>3159</v>
      </c>
      <c r="D181" s="166" t="str">
        <f t="shared" si="2"/>
        <v>-</v>
      </c>
      <c r="E181" s="167" t="s">
        <v>3015</v>
      </c>
      <c r="F181" s="167">
        <v>3.3</v>
      </c>
      <c r="G181" s="167">
        <v>3.3</v>
      </c>
      <c r="H181" s="167">
        <v>3.3</v>
      </c>
      <c r="I181" s="167">
        <v>3.3</v>
      </c>
      <c r="J181" s="167">
        <v>3.3</v>
      </c>
      <c r="K181" s="167" t="s">
        <v>3015</v>
      </c>
      <c r="L181" s="167" t="s">
        <v>3015</v>
      </c>
      <c r="M181" s="167" t="s">
        <v>3015</v>
      </c>
      <c r="N181" s="167" t="s">
        <v>3015</v>
      </c>
      <c r="O181" s="167" t="s">
        <v>3015</v>
      </c>
      <c r="P181" s="167" t="s">
        <v>3015</v>
      </c>
      <c r="Q181" s="167" t="s">
        <v>3015</v>
      </c>
      <c r="R181" s="167" t="s">
        <v>3015</v>
      </c>
      <c r="S181" s="167" t="s">
        <v>3015</v>
      </c>
      <c r="T181" s="167" t="s">
        <v>3015</v>
      </c>
      <c r="U181" s="167" t="s">
        <v>3015</v>
      </c>
      <c r="V181" s="167" t="s">
        <v>3015</v>
      </c>
      <c r="W181" s="167" t="s">
        <v>3015</v>
      </c>
      <c r="X181" s="167" t="s">
        <v>3015</v>
      </c>
      <c r="Y181" s="167" t="s">
        <v>3015</v>
      </c>
      <c r="Z181" s="167" t="str">
        <f>_xlfn.IFNA(VLOOKUP(C181,'INFORM Severity - hidden'!$C$5:$G$155,5,FALSE),"-")</f>
        <v>-</v>
      </c>
      <c r="AA181" s="167" t="s">
        <v>3015</v>
      </c>
      <c r="AB181" s="167" t="s">
        <v>3015</v>
      </c>
    </row>
    <row r="182" spans="1:28" x14ac:dyDescent="0.3">
      <c r="A182" s="11" t="s">
        <v>217</v>
      </c>
      <c r="B182" s="11" t="s">
        <v>3160</v>
      </c>
      <c r="C182" s="11" t="s">
        <v>3161</v>
      </c>
      <c r="D182" s="166" t="str">
        <f t="shared" si="2"/>
        <v>-</v>
      </c>
      <c r="E182" s="167" t="s">
        <v>3015</v>
      </c>
      <c r="F182" s="167" t="s">
        <v>3015</v>
      </c>
      <c r="G182" s="167">
        <v>3.4</v>
      </c>
      <c r="H182" s="167">
        <v>3.4</v>
      </c>
      <c r="I182" s="167">
        <v>3.4</v>
      </c>
      <c r="J182" s="167">
        <v>3.4</v>
      </c>
      <c r="K182" s="167" t="s">
        <v>3015</v>
      </c>
      <c r="L182" s="167" t="s">
        <v>3015</v>
      </c>
      <c r="M182" s="167" t="s">
        <v>3015</v>
      </c>
      <c r="N182" s="167" t="s">
        <v>3015</v>
      </c>
      <c r="O182" s="167" t="s">
        <v>3015</v>
      </c>
      <c r="P182" s="167" t="s">
        <v>3015</v>
      </c>
      <c r="Q182" s="167" t="s">
        <v>3015</v>
      </c>
      <c r="R182" s="167" t="s">
        <v>3015</v>
      </c>
      <c r="S182" s="167" t="s">
        <v>3015</v>
      </c>
      <c r="T182" s="167" t="s">
        <v>3015</v>
      </c>
      <c r="U182" s="167" t="s">
        <v>3015</v>
      </c>
      <c r="V182" s="167" t="s">
        <v>3015</v>
      </c>
      <c r="W182" s="167" t="s">
        <v>3015</v>
      </c>
      <c r="X182" s="167" t="s">
        <v>3015</v>
      </c>
      <c r="Y182" s="167" t="s">
        <v>3015</v>
      </c>
      <c r="Z182" s="167" t="str">
        <f>_xlfn.IFNA(VLOOKUP(C182,'INFORM Severity - hidden'!$C$5:$G$155,5,FALSE),"-")</f>
        <v>-</v>
      </c>
      <c r="AA182" s="167" t="s">
        <v>3015</v>
      </c>
      <c r="AB182" s="167" t="s">
        <v>3015</v>
      </c>
    </row>
    <row r="183" spans="1:28" x14ac:dyDescent="0.3">
      <c r="A183" s="11" t="s">
        <v>217</v>
      </c>
      <c r="B183" s="11" t="s">
        <v>1157</v>
      </c>
      <c r="C183" s="11" t="s">
        <v>2926</v>
      </c>
      <c r="D183" s="166" t="str">
        <f t="shared" si="2"/>
        <v>Increasing</v>
      </c>
      <c r="E183" s="167" t="s">
        <v>3015</v>
      </c>
      <c r="F183" s="167" t="s">
        <v>3015</v>
      </c>
      <c r="G183" s="167" t="s">
        <v>393</v>
      </c>
      <c r="H183" s="167" t="s">
        <v>393</v>
      </c>
      <c r="I183" s="167" t="s">
        <v>393</v>
      </c>
      <c r="J183" s="167" t="s">
        <v>393</v>
      </c>
      <c r="K183" s="167" t="s">
        <v>393</v>
      </c>
      <c r="L183" s="167" t="s">
        <v>393</v>
      </c>
      <c r="M183" s="167" t="s">
        <v>393</v>
      </c>
      <c r="N183" s="167" t="s">
        <v>393</v>
      </c>
      <c r="O183" s="167" t="s">
        <v>393</v>
      </c>
      <c r="P183" s="167" t="s">
        <v>393</v>
      </c>
      <c r="Q183" s="167" t="s">
        <v>393</v>
      </c>
      <c r="R183" s="167">
        <v>2.2000000000000002</v>
      </c>
      <c r="S183" s="167">
        <v>2</v>
      </c>
      <c r="T183" s="167">
        <v>2</v>
      </c>
      <c r="U183" s="167">
        <v>2.5</v>
      </c>
      <c r="V183" s="167">
        <v>2.6</v>
      </c>
      <c r="W183" s="167">
        <v>2.8</v>
      </c>
      <c r="X183" s="167">
        <v>2.9</v>
      </c>
      <c r="Y183" s="167">
        <v>2.9</v>
      </c>
      <c r="Z183" s="167">
        <f>_xlfn.IFNA(VLOOKUP(C183,'INFORM Severity - hidden'!$C$5:$G$155,5,FALSE),"-")</f>
        <v>2.9</v>
      </c>
      <c r="AA183" s="167" t="s">
        <v>3015</v>
      </c>
      <c r="AB183" s="167" t="s">
        <v>3015</v>
      </c>
    </row>
    <row r="184" spans="1:28" x14ac:dyDescent="0.3">
      <c r="A184" s="11" t="s">
        <v>217</v>
      </c>
      <c r="B184" s="11" t="s">
        <v>1295</v>
      </c>
      <c r="C184" s="11" t="s">
        <v>3192</v>
      </c>
      <c r="D184" s="166" t="str">
        <f t="shared" si="2"/>
        <v>-</v>
      </c>
      <c r="E184" s="167" t="s">
        <v>3015</v>
      </c>
      <c r="F184" s="167" t="s">
        <v>3015</v>
      </c>
      <c r="G184" s="167" t="s">
        <v>3015</v>
      </c>
      <c r="H184" s="167">
        <v>2.7</v>
      </c>
      <c r="I184" s="167">
        <v>2.8</v>
      </c>
      <c r="J184" s="167">
        <v>2.8</v>
      </c>
      <c r="K184" s="167" t="s">
        <v>3015</v>
      </c>
      <c r="L184" s="167" t="s">
        <v>3015</v>
      </c>
      <c r="M184" s="167" t="s">
        <v>3015</v>
      </c>
      <c r="N184" s="167" t="s">
        <v>3015</v>
      </c>
      <c r="O184" s="167" t="s">
        <v>3015</v>
      </c>
      <c r="P184" s="167" t="s">
        <v>3015</v>
      </c>
      <c r="Q184" s="167" t="s">
        <v>3015</v>
      </c>
      <c r="R184" s="167" t="s">
        <v>3015</v>
      </c>
      <c r="S184" s="167" t="s">
        <v>3015</v>
      </c>
      <c r="T184" s="167" t="s">
        <v>3015</v>
      </c>
      <c r="U184" s="167" t="s">
        <v>3015</v>
      </c>
      <c r="V184" s="167" t="s">
        <v>3015</v>
      </c>
      <c r="W184" s="167" t="s">
        <v>3015</v>
      </c>
      <c r="X184" s="167" t="s">
        <v>3015</v>
      </c>
      <c r="Y184" s="167" t="s">
        <v>3015</v>
      </c>
      <c r="Z184" s="167" t="str">
        <f>_xlfn.IFNA(VLOOKUP(C184,'INFORM Severity - hidden'!$C$5:$G$155,5,FALSE),"-")</f>
        <v>-</v>
      </c>
      <c r="AA184" s="167" t="s">
        <v>3015</v>
      </c>
      <c r="AB184" s="167" t="s">
        <v>3015</v>
      </c>
    </row>
    <row r="185" spans="1:28" x14ac:dyDescent="0.3">
      <c r="A185" s="11" t="s">
        <v>217</v>
      </c>
      <c r="B185" s="11" t="s">
        <v>2051</v>
      </c>
      <c r="C185" s="11" t="s">
        <v>2591</v>
      </c>
      <c r="D185" s="166" t="str">
        <f t="shared" si="2"/>
        <v>Decreasing</v>
      </c>
      <c r="E185" s="167" t="s">
        <v>3015</v>
      </c>
      <c r="F185" s="167" t="s">
        <v>3015</v>
      </c>
      <c r="G185" s="167" t="s">
        <v>3015</v>
      </c>
      <c r="H185" s="167" t="s">
        <v>3015</v>
      </c>
      <c r="I185" s="167" t="s">
        <v>3015</v>
      </c>
      <c r="J185" s="167" t="s">
        <v>3015</v>
      </c>
      <c r="K185" s="167" t="s">
        <v>3015</v>
      </c>
      <c r="L185" s="167" t="s">
        <v>3015</v>
      </c>
      <c r="M185" s="167" t="s">
        <v>3015</v>
      </c>
      <c r="N185" s="167" t="s">
        <v>3015</v>
      </c>
      <c r="O185" s="167" t="s">
        <v>3015</v>
      </c>
      <c r="P185" s="167" t="s">
        <v>3015</v>
      </c>
      <c r="Q185" s="167">
        <v>3.2</v>
      </c>
      <c r="R185" s="167">
        <v>3.2</v>
      </c>
      <c r="S185" s="167">
        <v>3.2</v>
      </c>
      <c r="T185" s="167">
        <v>3.2</v>
      </c>
      <c r="U185" s="167">
        <v>3.2</v>
      </c>
      <c r="V185" s="167">
        <v>3.2</v>
      </c>
      <c r="W185" s="167">
        <v>3.2</v>
      </c>
      <c r="X185" s="167">
        <v>3.3</v>
      </c>
      <c r="Y185" s="167">
        <v>2.8</v>
      </c>
      <c r="Z185" s="167">
        <f>_xlfn.IFNA(VLOOKUP(C185,'INFORM Severity - hidden'!$C$5:$G$155,5,FALSE),"-")</f>
        <v>2.8</v>
      </c>
      <c r="AA185" s="167" t="s">
        <v>3015</v>
      </c>
      <c r="AB185" s="167" t="s">
        <v>3015</v>
      </c>
    </row>
    <row r="186" spans="1:28" x14ac:dyDescent="0.3">
      <c r="A186" s="11" t="s">
        <v>203</v>
      </c>
      <c r="B186" s="11" t="s">
        <v>1097</v>
      </c>
      <c r="C186" s="11" t="s">
        <v>3088</v>
      </c>
      <c r="D186" s="166" t="str">
        <f t="shared" si="2"/>
        <v>-</v>
      </c>
      <c r="E186" s="167" t="s">
        <v>3015</v>
      </c>
      <c r="F186" s="167">
        <v>2.9</v>
      </c>
      <c r="G186" s="167">
        <v>2.9</v>
      </c>
      <c r="H186" s="167">
        <v>2.9</v>
      </c>
      <c r="I186" s="167" t="s">
        <v>3015</v>
      </c>
      <c r="J186" s="167" t="s">
        <v>3015</v>
      </c>
      <c r="K186" s="167" t="s">
        <v>3015</v>
      </c>
      <c r="L186" s="167" t="s">
        <v>3015</v>
      </c>
      <c r="M186" s="167" t="s">
        <v>3015</v>
      </c>
      <c r="N186" s="167" t="s">
        <v>3015</v>
      </c>
      <c r="O186" s="167" t="s">
        <v>3015</v>
      </c>
      <c r="P186" s="167" t="s">
        <v>3015</v>
      </c>
      <c r="Q186" s="167" t="s">
        <v>3015</v>
      </c>
      <c r="R186" s="167" t="s">
        <v>3015</v>
      </c>
      <c r="S186" s="167" t="s">
        <v>3015</v>
      </c>
      <c r="T186" s="167" t="s">
        <v>3015</v>
      </c>
      <c r="U186" s="167" t="s">
        <v>3015</v>
      </c>
      <c r="V186" s="167" t="s">
        <v>3015</v>
      </c>
      <c r="W186" s="167" t="s">
        <v>3015</v>
      </c>
      <c r="X186" s="167" t="s">
        <v>3015</v>
      </c>
      <c r="Y186" s="167" t="s">
        <v>3015</v>
      </c>
      <c r="Z186" s="167" t="str">
        <f>_xlfn.IFNA(VLOOKUP(C186,'INFORM Severity - hidden'!$C$5:$G$155,5,FALSE),"-")</f>
        <v>-</v>
      </c>
      <c r="AA186" s="167" t="s">
        <v>3015</v>
      </c>
      <c r="AB186" s="167" t="s">
        <v>3015</v>
      </c>
    </row>
    <row r="187" spans="1:28" x14ac:dyDescent="0.3">
      <c r="A187" s="11" t="s">
        <v>203</v>
      </c>
      <c r="B187" s="11" t="s">
        <v>1069</v>
      </c>
      <c r="C187" s="11" t="s">
        <v>676</v>
      </c>
      <c r="D187" s="166" t="str">
        <f t="shared" si="2"/>
        <v>Decreasing</v>
      </c>
      <c r="E187" s="167" t="s">
        <v>3015</v>
      </c>
      <c r="F187" s="167">
        <v>2.2999999999999998</v>
      </c>
      <c r="G187" s="167">
        <v>2.2999999999999998</v>
      </c>
      <c r="H187" s="167">
        <v>2.2999999999999998</v>
      </c>
      <c r="I187" s="167">
        <v>2.2000000000000002</v>
      </c>
      <c r="J187" s="167">
        <v>2.2000000000000002</v>
      </c>
      <c r="K187" s="167">
        <v>2.2000000000000002</v>
      </c>
      <c r="L187" s="167">
        <v>2.2000000000000002</v>
      </c>
      <c r="M187" s="167">
        <v>2.2000000000000002</v>
      </c>
      <c r="N187" s="167">
        <v>2.2000000000000002</v>
      </c>
      <c r="O187" s="167">
        <v>2.2000000000000002</v>
      </c>
      <c r="P187" s="167">
        <v>1.5</v>
      </c>
      <c r="Q187" s="167">
        <v>2.2000000000000002</v>
      </c>
      <c r="R187" s="167">
        <v>2.2000000000000002</v>
      </c>
      <c r="S187" s="167">
        <v>2.2000000000000002</v>
      </c>
      <c r="T187" s="167">
        <v>2.2999999999999998</v>
      </c>
      <c r="U187" s="167">
        <v>2.2999999999999998</v>
      </c>
      <c r="V187" s="167">
        <v>2.2999999999999998</v>
      </c>
      <c r="W187" s="167">
        <v>2.2999999999999998</v>
      </c>
      <c r="X187" s="167">
        <v>2.2999999999999998</v>
      </c>
      <c r="Y187" s="167">
        <v>2.2000000000000002</v>
      </c>
      <c r="Z187" s="167">
        <f>_xlfn.IFNA(VLOOKUP(C187,'INFORM Severity - hidden'!$C$5:$G$155,5,FALSE),"-")</f>
        <v>2.2000000000000002</v>
      </c>
      <c r="AA187" s="167" t="s">
        <v>3015</v>
      </c>
      <c r="AB187" s="167" t="s">
        <v>3015</v>
      </c>
    </row>
    <row r="188" spans="1:28" x14ac:dyDescent="0.3">
      <c r="A188" s="11" t="s">
        <v>203</v>
      </c>
      <c r="B188" s="11" t="s">
        <v>2859</v>
      </c>
      <c r="C188" s="11" t="s">
        <v>677</v>
      </c>
      <c r="D188" s="166" t="str">
        <f t="shared" si="2"/>
        <v>Increasing</v>
      </c>
      <c r="E188" s="167" t="s">
        <v>3015</v>
      </c>
      <c r="F188" s="167">
        <v>3</v>
      </c>
      <c r="G188" s="167">
        <v>3</v>
      </c>
      <c r="H188" s="167">
        <v>3</v>
      </c>
      <c r="I188" s="167">
        <v>2.7</v>
      </c>
      <c r="J188" s="167">
        <v>2.8</v>
      </c>
      <c r="K188" s="167">
        <v>2.9</v>
      </c>
      <c r="L188" s="167">
        <v>2.9</v>
      </c>
      <c r="M188" s="167">
        <v>2.9</v>
      </c>
      <c r="N188" s="167">
        <v>2.9</v>
      </c>
      <c r="O188" s="167">
        <v>2.8</v>
      </c>
      <c r="P188" s="167">
        <v>2.8</v>
      </c>
      <c r="Q188" s="167">
        <v>2.8</v>
      </c>
      <c r="R188" s="167">
        <v>2.8</v>
      </c>
      <c r="S188" s="167">
        <v>2.8</v>
      </c>
      <c r="T188" s="167">
        <v>2.8</v>
      </c>
      <c r="U188" s="167">
        <v>2.8</v>
      </c>
      <c r="V188" s="167">
        <v>2.8</v>
      </c>
      <c r="W188" s="167">
        <v>2.8</v>
      </c>
      <c r="X188" s="167">
        <v>3</v>
      </c>
      <c r="Y188" s="167">
        <v>2.9</v>
      </c>
      <c r="Z188" s="167">
        <f>_xlfn.IFNA(VLOOKUP(C188,'INFORM Severity - hidden'!$C$5:$G$155,5,FALSE),"-")</f>
        <v>2.9</v>
      </c>
      <c r="AA188" s="167" t="s">
        <v>3015</v>
      </c>
      <c r="AB188" s="167" t="s">
        <v>3015</v>
      </c>
    </row>
    <row r="189" spans="1:28" x14ac:dyDescent="0.3">
      <c r="A189" s="11" t="s">
        <v>205</v>
      </c>
      <c r="B189" s="11" t="s">
        <v>914</v>
      </c>
      <c r="C189" s="11" t="s">
        <v>3089</v>
      </c>
      <c r="D189" s="166" t="str">
        <f t="shared" si="2"/>
        <v>-</v>
      </c>
      <c r="E189" s="167" t="s">
        <v>3015</v>
      </c>
      <c r="F189" s="167" t="s">
        <v>3015</v>
      </c>
      <c r="G189" s="167" t="s">
        <v>3015</v>
      </c>
      <c r="H189" s="167" t="s">
        <v>3015</v>
      </c>
      <c r="I189" s="167" t="s">
        <v>3015</v>
      </c>
      <c r="J189" s="167" t="s">
        <v>3015</v>
      </c>
      <c r="K189" s="167" t="s">
        <v>3015</v>
      </c>
      <c r="L189" s="167" t="s">
        <v>3015</v>
      </c>
      <c r="M189" s="167" t="s">
        <v>3015</v>
      </c>
      <c r="N189" s="167" t="s">
        <v>3015</v>
      </c>
      <c r="O189" s="167" t="s">
        <v>3015</v>
      </c>
      <c r="P189" s="167" t="s">
        <v>3015</v>
      </c>
      <c r="Q189" s="167" t="s">
        <v>3015</v>
      </c>
      <c r="R189" s="167" t="s">
        <v>3015</v>
      </c>
      <c r="S189" s="167" t="s">
        <v>3015</v>
      </c>
      <c r="T189" s="167" t="s">
        <v>3015</v>
      </c>
      <c r="U189" s="167" t="s">
        <v>3015</v>
      </c>
      <c r="V189" s="167" t="s">
        <v>3015</v>
      </c>
      <c r="W189" s="167" t="s">
        <v>3015</v>
      </c>
      <c r="X189" s="167" t="s">
        <v>3015</v>
      </c>
      <c r="Y189" s="167" t="s">
        <v>3015</v>
      </c>
      <c r="Z189" s="167" t="str">
        <f>_xlfn.IFNA(VLOOKUP(C189,'INFORM Severity - hidden'!$C$5:$G$155,5,FALSE),"-")</f>
        <v>-</v>
      </c>
      <c r="AA189" s="167" t="s">
        <v>3015</v>
      </c>
      <c r="AB189" s="167" t="s">
        <v>3015</v>
      </c>
    </row>
    <row r="190" spans="1:28" x14ac:dyDescent="0.3">
      <c r="A190" s="11" t="s">
        <v>191</v>
      </c>
      <c r="B190" s="11" t="s">
        <v>914</v>
      </c>
      <c r="C190" s="11" t="s">
        <v>3084</v>
      </c>
      <c r="D190" s="166" t="str">
        <f t="shared" si="2"/>
        <v>-</v>
      </c>
      <c r="E190" s="167" t="s">
        <v>3015</v>
      </c>
      <c r="F190" s="167" t="s">
        <v>3015</v>
      </c>
      <c r="G190" s="167" t="s">
        <v>3015</v>
      </c>
      <c r="H190" s="167" t="s">
        <v>3015</v>
      </c>
      <c r="I190" s="167" t="s">
        <v>3015</v>
      </c>
      <c r="J190" s="167" t="s">
        <v>3015</v>
      </c>
      <c r="K190" s="167" t="s">
        <v>3015</v>
      </c>
      <c r="L190" s="167" t="s">
        <v>3015</v>
      </c>
      <c r="M190" s="167" t="s">
        <v>3015</v>
      </c>
      <c r="N190" s="167" t="s">
        <v>3015</v>
      </c>
      <c r="O190" s="167" t="s">
        <v>3015</v>
      </c>
      <c r="P190" s="167" t="s">
        <v>3015</v>
      </c>
      <c r="Q190" s="167" t="s">
        <v>3015</v>
      </c>
      <c r="R190" s="167" t="s">
        <v>3015</v>
      </c>
      <c r="S190" s="167" t="s">
        <v>3015</v>
      </c>
      <c r="T190" s="167" t="s">
        <v>3015</v>
      </c>
      <c r="U190" s="167" t="s">
        <v>3015</v>
      </c>
      <c r="V190" s="167" t="s">
        <v>3015</v>
      </c>
      <c r="W190" s="167" t="s">
        <v>3015</v>
      </c>
      <c r="X190" s="167" t="s">
        <v>3015</v>
      </c>
      <c r="Y190" s="167" t="s">
        <v>3015</v>
      </c>
      <c r="Z190" s="167" t="str">
        <f>_xlfn.IFNA(VLOOKUP(C190,'INFORM Severity - hidden'!$C$5:$G$155,5,FALSE),"-")</f>
        <v>-</v>
      </c>
      <c r="AA190" s="167" t="s">
        <v>3015</v>
      </c>
      <c r="AB190" s="167" t="s">
        <v>3015</v>
      </c>
    </row>
    <row r="191" spans="1:28" x14ac:dyDescent="0.3">
      <c r="A191" s="11" t="s">
        <v>191</v>
      </c>
      <c r="B191" s="11" t="s">
        <v>1456</v>
      </c>
      <c r="C191" s="11" t="s">
        <v>2925</v>
      </c>
      <c r="D191" s="166" t="str">
        <f t="shared" si="2"/>
        <v>Decreasing</v>
      </c>
      <c r="E191" s="167" t="s">
        <v>3015</v>
      </c>
      <c r="F191" s="167" t="s">
        <v>3015</v>
      </c>
      <c r="G191" s="167" t="s">
        <v>3015</v>
      </c>
      <c r="H191" s="167">
        <v>3</v>
      </c>
      <c r="I191" s="167">
        <v>3.1</v>
      </c>
      <c r="J191" s="167">
        <v>3.1</v>
      </c>
      <c r="K191" s="167">
        <v>3.1</v>
      </c>
      <c r="L191" s="167">
        <v>2.7</v>
      </c>
      <c r="M191" s="167">
        <v>2.6</v>
      </c>
      <c r="N191" s="167">
        <v>2.5</v>
      </c>
      <c r="O191" s="167">
        <v>2.5</v>
      </c>
      <c r="P191" s="167">
        <v>2.5</v>
      </c>
      <c r="Q191" s="167">
        <v>2.6</v>
      </c>
      <c r="R191" s="167">
        <v>2.7</v>
      </c>
      <c r="S191" s="167">
        <v>2.7</v>
      </c>
      <c r="T191" s="167">
        <v>2.7</v>
      </c>
      <c r="U191" s="167">
        <v>2.6</v>
      </c>
      <c r="V191" s="167">
        <v>2.7</v>
      </c>
      <c r="W191" s="167">
        <v>2.7</v>
      </c>
      <c r="X191" s="167">
        <v>2.6</v>
      </c>
      <c r="Y191" s="167">
        <v>2.6</v>
      </c>
      <c r="Z191" s="167">
        <f>_xlfn.IFNA(VLOOKUP(C191,'INFORM Severity - hidden'!$C$5:$G$155,5,FALSE),"-")</f>
        <v>2.7</v>
      </c>
      <c r="AA191" s="167" t="s">
        <v>3015</v>
      </c>
      <c r="AB191" s="167" t="s">
        <v>3015</v>
      </c>
    </row>
    <row r="192" spans="1:28" x14ac:dyDescent="0.3">
      <c r="A192" s="11" t="s">
        <v>191</v>
      </c>
      <c r="B192" s="11" t="s">
        <v>1180</v>
      </c>
      <c r="C192" s="11" t="s">
        <v>3158</v>
      </c>
      <c r="D192" s="166" t="str">
        <f t="shared" si="2"/>
        <v>-</v>
      </c>
      <c r="E192" s="167" t="s">
        <v>3015</v>
      </c>
      <c r="F192" s="167" t="s">
        <v>3015</v>
      </c>
      <c r="G192" s="167" t="s">
        <v>3015</v>
      </c>
      <c r="H192" s="167" t="s">
        <v>3015</v>
      </c>
      <c r="I192" s="167">
        <v>2.7</v>
      </c>
      <c r="J192" s="167">
        <v>2.6</v>
      </c>
      <c r="K192" s="167">
        <v>2.6</v>
      </c>
      <c r="L192" s="167" t="s">
        <v>3015</v>
      </c>
      <c r="M192" s="167" t="s">
        <v>3015</v>
      </c>
      <c r="N192" s="167" t="s">
        <v>3015</v>
      </c>
      <c r="O192" s="167" t="s">
        <v>3015</v>
      </c>
      <c r="P192" s="167" t="s">
        <v>3015</v>
      </c>
      <c r="Q192" s="167" t="s">
        <v>3015</v>
      </c>
      <c r="R192" s="167" t="s">
        <v>3015</v>
      </c>
      <c r="S192" s="167" t="s">
        <v>3015</v>
      </c>
      <c r="T192" s="167" t="s">
        <v>3015</v>
      </c>
      <c r="U192" s="167" t="s">
        <v>3015</v>
      </c>
      <c r="V192" s="167" t="s">
        <v>3015</v>
      </c>
      <c r="W192" s="167" t="s">
        <v>3015</v>
      </c>
      <c r="X192" s="167" t="s">
        <v>3015</v>
      </c>
      <c r="Y192" s="167" t="s">
        <v>3015</v>
      </c>
      <c r="Z192" s="167" t="str">
        <f>_xlfn.IFNA(VLOOKUP(C192,'INFORM Severity - hidden'!$C$5:$G$155,5,FALSE),"-")</f>
        <v>-</v>
      </c>
      <c r="AA192" s="167" t="s">
        <v>3015</v>
      </c>
      <c r="AB192" s="167" t="s">
        <v>3015</v>
      </c>
    </row>
    <row r="193" spans="1:28" x14ac:dyDescent="0.3">
      <c r="A193" s="11" t="s">
        <v>193</v>
      </c>
      <c r="B193" s="11" t="s">
        <v>914</v>
      </c>
      <c r="C193" s="11" t="s">
        <v>3085</v>
      </c>
      <c r="D193" s="166" t="str">
        <f t="shared" si="2"/>
        <v>-</v>
      </c>
      <c r="E193" s="167" t="s">
        <v>3015</v>
      </c>
      <c r="F193" s="167" t="s">
        <v>3015</v>
      </c>
      <c r="G193" s="167" t="s">
        <v>3015</v>
      </c>
      <c r="H193" s="167" t="s">
        <v>3015</v>
      </c>
      <c r="I193" s="167" t="s">
        <v>3015</v>
      </c>
      <c r="J193" s="167" t="s">
        <v>3015</v>
      </c>
      <c r="K193" s="167" t="s">
        <v>3015</v>
      </c>
      <c r="L193" s="167" t="s">
        <v>3015</v>
      </c>
      <c r="M193" s="167" t="s">
        <v>3015</v>
      </c>
      <c r="N193" s="167" t="s">
        <v>3015</v>
      </c>
      <c r="O193" s="167" t="s">
        <v>3015</v>
      </c>
      <c r="P193" s="167" t="s">
        <v>3015</v>
      </c>
      <c r="Q193" s="167" t="s">
        <v>3015</v>
      </c>
      <c r="R193" s="167" t="s">
        <v>3015</v>
      </c>
      <c r="S193" s="167" t="s">
        <v>3015</v>
      </c>
      <c r="T193" s="167" t="s">
        <v>3015</v>
      </c>
      <c r="U193" s="167" t="s">
        <v>3015</v>
      </c>
      <c r="V193" s="167" t="s">
        <v>3015</v>
      </c>
      <c r="W193" s="167" t="s">
        <v>3015</v>
      </c>
      <c r="X193" s="167" t="s">
        <v>3015</v>
      </c>
      <c r="Y193" s="167" t="s">
        <v>3015</v>
      </c>
      <c r="Z193" s="167" t="str">
        <f>_xlfn.IFNA(VLOOKUP(C193,'INFORM Severity - hidden'!$C$5:$G$155,5,FALSE),"-")</f>
        <v>-</v>
      </c>
      <c r="AA193" s="167" t="s">
        <v>3015</v>
      </c>
      <c r="AB193" s="167" t="s">
        <v>3015</v>
      </c>
    </row>
    <row r="194" spans="1:28" x14ac:dyDescent="0.3">
      <c r="A194" s="11" t="s">
        <v>220</v>
      </c>
      <c r="B194" s="11" t="s">
        <v>914</v>
      </c>
      <c r="C194" s="11" t="s">
        <v>3096</v>
      </c>
      <c r="D194" s="166" t="str">
        <f t="shared" si="2"/>
        <v>-</v>
      </c>
      <c r="E194" s="167" t="s">
        <v>3015</v>
      </c>
      <c r="F194" s="167" t="s">
        <v>3015</v>
      </c>
      <c r="G194" s="167" t="s">
        <v>3015</v>
      </c>
      <c r="H194" s="167" t="s">
        <v>3015</v>
      </c>
      <c r="I194" s="167" t="s">
        <v>3015</v>
      </c>
      <c r="J194" s="167" t="s">
        <v>3015</v>
      </c>
      <c r="K194" s="167" t="s">
        <v>3015</v>
      </c>
      <c r="L194" s="167" t="s">
        <v>3015</v>
      </c>
      <c r="M194" s="167" t="s">
        <v>3015</v>
      </c>
      <c r="N194" s="167" t="s">
        <v>3015</v>
      </c>
      <c r="O194" s="167" t="s">
        <v>3015</v>
      </c>
      <c r="P194" s="167" t="s">
        <v>3015</v>
      </c>
      <c r="Q194" s="167" t="s">
        <v>3015</v>
      </c>
      <c r="R194" s="167" t="s">
        <v>3015</v>
      </c>
      <c r="S194" s="167" t="s">
        <v>3015</v>
      </c>
      <c r="T194" s="167" t="s">
        <v>3015</v>
      </c>
      <c r="U194" s="167" t="s">
        <v>3015</v>
      </c>
      <c r="V194" s="167" t="s">
        <v>3015</v>
      </c>
      <c r="W194" s="167" t="s">
        <v>3015</v>
      </c>
      <c r="X194" s="167" t="s">
        <v>3015</v>
      </c>
      <c r="Y194" s="167" t="s">
        <v>3015</v>
      </c>
      <c r="Z194" s="167" t="str">
        <f>_xlfn.IFNA(VLOOKUP(C194,'INFORM Severity - hidden'!$C$5:$G$155,5,FALSE),"-")</f>
        <v>-</v>
      </c>
      <c r="AA194" s="167" t="s">
        <v>3015</v>
      </c>
      <c r="AB194" s="167" t="s">
        <v>3015</v>
      </c>
    </row>
    <row r="195" spans="1:28" x14ac:dyDescent="0.3">
      <c r="A195" s="11" t="s">
        <v>220</v>
      </c>
      <c r="B195" s="11" t="s">
        <v>2057</v>
      </c>
      <c r="C195" s="11" t="s">
        <v>2104</v>
      </c>
      <c r="D195" s="166" t="str">
        <f t="shared" si="2"/>
        <v>Decreasing</v>
      </c>
      <c r="E195" s="167" t="s">
        <v>3015</v>
      </c>
      <c r="F195" s="167" t="s">
        <v>3015</v>
      </c>
      <c r="G195" s="167" t="s">
        <v>3015</v>
      </c>
      <c r="H195" s="167" t="s">
        <v>3015</v>
      </c>
      <c r="I195" s="167" t="s">
        <v>3015</v>
      </c>
      <c r="J195" s="167" t="s">
        <v>3015</v>
      </c>
      <c r="K195" s="167" t="s">
        <v>3015</v>
      </c>
      <c r="L195" s="167" t="s">
        <v>3015</v>
      </c>
      <c r="M195" s="167" t="s">
        <v>3015</v>
      </c>
      <c r="N195" s="167" t="s">
        <v>3015</v>
      </c>
      <c r="O195" s="167" t="s">
        <v>3015</v>
      </c>
      <c r="P195" s="167" t="s">
        <v>3015</v>
      </c>
      <c r="Q195" s="167">
        <v>2.2000000000000002</v>
      </c>
      <c r="R195" s="167">
        <v>2.2000000000000002</v>
      </c>
      <c r="S195" s="167">
        <v>2.1</v>
      </c>
      <c r="T195" s="167">
        <v>2.1</v>
      </c>
      <c r="U195" s="167">
        <v>2.1</v>
      </c>
      <c r="V195" s="167">
        <v>2.1</v>
      </c>
      <c r="W195" s="167">
        <v>2.1</v>
      </c>
      <c r="X195" s="167">
        <v>2.1</v>
      </c>
      <c r="Y195" s="167">
        <v>2</v>
      </c>
      <c r="Z195" s="167">
        <f>_xlfn.IFNA(VLOOKUP(C195,'INFORM Severity - hidden'!$C$5:$G$155,5,FALSE),"-")</f>
        <v>2</v>
      </c>
      <c r="AA195" s="167" t="s">
        <v>3015</v>
      </c>
      <c r="AB195" s="167" t="s">
        <v>3015</v>
      </c>
    </row>
    <row r="196" spans="1:28" x14ac:dyDescent="0.3">
      <c r="A196" s="11" t="s">
        <v>232</v>
      </c>
      <c r="B196" s="11" t="s">
        <v>1165</v>
      </c>
      <c r="C196" s="11" t="s">
        <v>591</v>
      </c>
      <c r="D196" s="166" t="str">
        <f t="shared" ref="D196:D259" si="3">IFERROR(IF(ROUND(AVERAGE(X196:Z196),1)=ROUND(AVERAGE(U196:W196),1),"Stable",IF(ROUND(AVERAGE(X196:Z196),1)&lt;ROUND(AVERAGE(U196:W196),1),"Decreasing",IF(ROUND(AVERAGE(X196:Z196),1)&gt;ROUND(AVERAGE(U196:W196),1),"Increasing"))),"-")</f>
        <v>Increasing</v>
      </c>
      <c r="E196" s="167" t="s">
        <v>3015</v>
      </c>
      <c r="F196" s="167">
        <v>3.1</v>
      </c>
      <c r="G196" s="167">
        <v>3.2</v>
      </c>
      <c r="H196" s="167">
        <v>3.5</v>
      </c>
      <c r="I196" s="167">
        <v>3.5</v>
      </c>
      <c r="J196" s="167">
        <v>3.5</v>
      </c>
      <c r="K196" s="167">
        <v>3.5</v>
      </c>
      <c r="L196" s="167">
        <v>3.5</v>
      </c>
      <c r="M196" s="167">
        <v>3.5</v>
      </c>
      <c r="N196" s="167">
        <v>3.6</v>
      </c>
      <c r="O196" s="167">
        <v>3.6</v>
      </c>
      <c r="P196" s="167">
        <v>3.6</v>
      </c>
      <c r="Q196" s="167">
        <v>3.6</v>
      </c>
      <c r="R196" s="167">
        <v>3.6</v>
      </c>
      <c r="S196" s="167">
        <v>3.6</v>
      </c>
      <c r="T196" s="167">
        <v>3.6</v>
      </c>
      <c r="U196" s="167">
        <v>3.6</v>
      </c>
      <c r="V196" s="167">
        <v>3.6</v>
      </c>
      <c r="W196" s="167">
        <v>3.7</v>
      </c>
      <c r="X196" s="167">
        <v>3.7</v>
      </c>
      <c r="Y196" s="167">
        <v>3.7</v>
      </c>
      <c r="Z196" s="167">
        <f>_xlfn.IFNA(VLOOKUP(C196,'INFORM Severity - hidden'!$C$5:$G$155,5,FALSE),"-")</f>
        <v>3.8</v>
      </c>
      <c r="AA196" s="167" t="s">
        <v>3015</v>
      </c>
      <c r="AB196" s="167" t="s">
        <v>3015</v>
      </c>
    </row>
    <row r="197" spans="1:28" x14ac:dyDescent="0.3">
      <c r="A197" s="11" t="s">
        <v>232</v>
      </c>
      <c r="B197" s="11" t="s">
        <v>1099</v>
      </c>
      <c r="C197" s="11" t="s">
        <v>680</v>
      </c>
      <c r="D197" s="166" t="str">
        <f t="shared" si="3"/>
        <v>Stable</v>
      </c>
      <c r="E197" s="167" t="s">
        <v>3015</v>
      </c>
      <c r="F197" s="167">
        <v>3.1</v>
      </c>
      <c r="G197" s="167">
        <v>3.2</v>
      </c>
      <c r="H197" s="167">
        <v>3.2</v>
      </c>
      <c r="I197" s="167">
        <v>3.2</v>
      </c>
      <c r="J197" s="167">
        <v>3.3</v>
      </c>
      <c r="K197" s="167">
        <v>3.3</v>
      </c>
      <c r="L197" s="167">
        <v>3.3</v>
      </c>
      <c r="M197" s="167">
        <v>3.3</v>
      </c>
      <c r="N197" s="167">
        <v>3.4</v>
      </c>
      <c r="O197" s="167">
        <v>3.4</v>
      </c>
      <c r="P197" s="167">
        <v>3.4</v>
      </c>
      <c r="Q197" s="167">
        <v>3.4</v>
      </c>
      <c r="R197" s="167">
        <v>3.4</v>
      </c>
      <c r="S197" s="167">
        <v>3.4</v>
      </c>
      <c r="T197" s="167">
        <v>3.4</v>
      </c>
      <c r="U197" s="167">
        <v>3.4</v>
      </c>
      <c r="V197" s="167">
        <v>3.4</v>
      </c>
      <c r="W197" s="167">
        <v>3.5</v>
      </c>
      <c r="X197" s="167">
        <v>3.5</v>
      </c>
      <c r="Y197" s="167">
        <v>3.4</v>
      </c>
      <c r="Z197" s="167">
        <f>_xlfn.IFNA(VLOOKUP(C197,'INFORM Severity - hidden'!$C$5:$G$155,5,FALSE),"-")</f>
        <v>3.4</v>
      </c>
      <c r="AA197" s="167" t="s">
        <v>3015</v>
      </c>
      <c r="AB197" s="167" t="s">
        <v>3015</v>
      </c>
    </row>
    <row r="198" spans="1:28" x14ac:dyDescent="0.3">
      <c r="A198" s="11" t="s">
        <v>232</v>
      </c>
      <c r="B198" s="11" t="s">
        <v>655</v>
      </c>
      <c r="C198" s="11" t="s">
        <v>681</v>
      </c>
      <c r="D198" s="166" t="str">
        <f t="shared" si="3"/>
        <v>Stable</v>
      </c>
      <c r="E198" s="167" t="s">
        <v>3015</v>
      </c>
      <c r="F198" s="167">
        <v>2.4</v>
      </c>
      <c r="G198" s="167">
        <v>2.6</v>
      </c>
      <c r="H198" s="167">
        <v>3</v>
      </c>
      <c r="I198" s="167">
        <v>3</v>
      </c>
      <c r="J198" s="167">
        <v>3</v>
      </c>
      <c r="K198" s="167">
        <v>3</v>
      </c>
      <c r="L198" s="167">
        <v>3</v>
      </c>
      <c r="M198" s="167">
        <v>3</v>
      </c>
      <c r="N198" s="167">
        <v>3.1</v>
      </c>
      <c r="O198" s="167">
        <v>3.1</v>
      </c>
      <c r="P198" s="167">
        <v>3.1</v>
      </c>
      <c r="Q198" s="167">
        <v>3.1</v>
      </c>
      <c r="R198" s="167">
        <v>3.1</v>
      </c>
      <c r="S198" s="167">
        <v>3.2</v>
      </c>
      <c r="T198" s="167">
        <v>3.2</v>
      </c>
      <c r="U198" s="167">
        <v>3.2</v>
      </c>
      <c r="V198" s="167">
        <v>3.2</v>
      </c>
      <c r="W198" s="167">
        <v>3.3</v>
      </c>
      <c r="X198" s="167">
        <v>3.2</v>
      </c>
      <c r="Y198" s="167">
        <v>3.2</v>
      </c>
      <c r="Z198" s="167">
        <f>_xlfn.IFNA(VLOOKUP(C198,'INFORM Severity - hidden'!$C$5:$G$155,5,FALSE),"-")</f>
        <v>3.2</v>
      </c>
      <c r="AA198" s="167" t="s">
        <v>3015</v>
      </c>
      <c r="AB198" s="167" t="s">
        <v>3015</v>
      </c>
    </row>
    <row r="199" spans="1:28" x14ac:dyDescent="0.3">
      <c r="A199" s="11" t="s">
        <v>232</v>
      </c>
      <c r="B199" s="11" t="s">
        <v>1819</v>
      </c>
      <c r="C199" s="11" t="s">
        <v>1820</v>
      </c>
      <c r="D199" s="166" t="str">
        <f t="shared" si="3"/>
        <v>Decreasing</v>
      </c>
      <c r="E199" s="167" t="s">
        <v>3015</v>
      </c>
      <c r="F199" s="167" t="s">
        <v>3015</v>
      </c>
      <c r="G199" s="167" t="s">
        <v>3015</v>
      </c>
      <c r="H199" s="167" t="s">
        <v>3015</v>
      </c>
      <c r="I199" s="167" t="s">
        <v>3015</v>
      </c>
      <c r="J199" s="167" t="s">
        <v>3015</v>
      </c>
      <c r="K199" s="167" t="s">
        <v>3015</v>
      </c>
      <c r="L199" s="167" t="s">
        <v>3015</v>
      </c>
      <c r="M199" s="167" t="s">
        <v>3015</v>
      </c>
      <c r="N199" s="167" t="s">
        <v>3015</v>
      </c>
      <c r="O199" s="167" t="s">
        <v>3015</v>
      </c>
      <c r="P199" s="167">
        <v>2.5</v>
      </c>
      <c r="Q199" s="167">
        <v>2.6</v>
      </c>
      <c r="R199" s="167">
        <v>2.6</v>
      </c>
      <c r="S199" s="167">
        <v>2.5</v>
      </c>
      <c r="T199" s="167">
        <v>2.5</v>
      </c>
      <c r="U199" s="167">
        <v>2.5</v>
      </c>
      <c r="V199" s="167">
        <v>2.7</v>
      </c>
      <c r="W199" s="167">
        <v>2.6</v>
      </c>
      <c r="X199" s="167">
        <v>2.6</v>
      </c>
      <c r="Y199" s="167">
        <v>2.5</v>
      </c>
      <c r="Z199" s="167">
        <f>_xlfn.IFNA(VLOOKUP(C199,'INFORM Severity - hidden'!$C$5:$G$155,5,FALSE),"-")</f>
        <v>2.5</v>
      </c>
      <c r="AA199" s="167" t="s">
        <v>3015</v>
      </c>
      <c r="AB199" s="167" t="s">
        <v>3015</v>
      </c>
    </row>
    <row r="200" spans="1:28" x14ac:dyDescent="0.3">
      <c r="A200" s="11" t="s">
        <v>232</v>
      </c>
      <c r="B200" s="11" t="s">
        <v>3270</v>
      </c>
      <c r="C200" s="11" t="s">
        <v>3271</v>
      </c>
      <c r="D200" s="166" t="str">
        <f t="shared" si="3"/>
        <v>-</v>
      </c>
      <c r="E200" s="167" t="s">
        <v>3015</v>
      </c>
      <c r="F200" s="167" t="s">
        <v>3015</v>
      </c>
      <c r="G200" s="167" t="s">
        <v>3015</v>
      </c>
      <c r="H200" s="167" t="s">
        <v>3015</v>
      </c>
      <c r="I200" s="167" t="s">
        <v>3015</v>
      </c>
      <c r="J200" s="167" t="s">
        <v>3015</v>
      </c>
      <c r="K200" s="167" t="s">
        <v>3015</v>
      </c>
      <c r="L200" s="167" t="s">
        <v>3015</v>
      </c>
      <c r="M200" s="167" t="s">
        <v>3015</v>
      </c>
      <c r="N200" s="167" t="s">
        <v>3015</v>
      </c>
      <c r="O200" s="167" t="s">
        <v>3015</v>
      </c>
      <c r="P200" s="167" t="s">
        <v>3015</v>
      </c>
      <c r="Q200" s="167" t="s">
        <v>3015</v>
      </c>
      <c r="R200" s="167" t="s">
        <v>3015</v>
      </c>
      <c r="S200" s="167" t="s">
        <v>3015</v>
      </c>
      <c r="T200" s="167" t="s">
        <v>3015</v>
      </c>
      <c r="U200" s="167" t="s">
        <v>3015</v>
      </c>
      <c r="V200" s="167" t="s">
        <v>3015</v>
      </c>
      <c r="W200" s="167" t="s">
        <v>3015</v>
      </c>
      <c r="X200" s="167" t="s">
        <v>3015</v>
      </c>
      <c r="Y200" s="167">
        <v>2.9</v>
      </c>
      <c r="Z200" s="167">
        <f>_xlfn.IFNA(VLOOKUP(C200,'INFORM Severity - hidden'!$C$5:$G$155,5,FALSE),"-")</f>
        <v>2.9</v>
      </c>
      <c r="AA200" s="167" t="s">
        <v>3015</v>
      </c>
      <c r="AB200" s="167" t="s">
        <v>3015</v>
      </c>
    </row>
    <row r="201" spans="1:28" x14ac:dyDescent="0.3">
      <c r="A201" s="11" t="s">
        <v>234</v>
      </c>
      <c r="B201" s="11" t="s">
        <v>1417</v>
      </c>
      <c r="C201" s="11" t="s">
        <v>2918</v>
      </c>
      <c r="D201" s="166" t="str">
        <f t="shared" si="3"/>
        <v>Stable</v>
      </c>
      <c r="E201" s="167">
        <v>3.5</v>
      </c>
      <c r="F201" s="167">
        <v>3.5</v>
      </c>
      <c r="G201" s="167">
        <v>4</v>
      </c>
      <c r="H201" s="167">
        <v>4.0999999999999996</v>
      </c>
      <c r="I201" s="167">
        <v>3.8</v>
      </c>
      <c r="J201" s="167">
        <v>3.8</v>
      </c>
      <c r="K201" s="167">
        <v>4.0999999999999996</v>
      </c>
      <c r="L201" s="167">
        <v>4.0999999999999996</v>
      </c>
      <c r="M201" s="167">
        <v>4.0999999999999996</v>
      </c>
      <c r="N201" s="167">
        <v>4.0999999999999996</v>
      </c>
      <c r="O201" s="167">
        <v>4.0999999999999996</v>
      </c>
      <c r="P201" s="167">
        <v>4.0999999999999996</v>
      </c>
      <c r="Q201" s="167">
        <v>4</v>
      </c>
      <c r="R201" s="167">
        <v>3.4</v>
      </c>
      <c r="S201" s="167">
        <v>3.7</v>
      </c>
      <c r="T201" s="167">
        <v>4.2</v>
      </c>
      <c r="U201" s="167">
        <v>4.2</v>
      </c>
      <c r="V201" s="167">
        <v>4.2</v>
      </c>
      <c r="W201" s="167">
        <v>4.2</v>
      </c>
      <c r="X201" s="167">
        <v>4.2</v>
      </c>
      <c r="Y201" s="167">
        <v>4.2</v>
      </c>
      <c r="Z201" s="167">
        <f>_xlfn.IFNA(VLOOKUP(C201,'INFORM Severity - hidden'!$C$5:$G$155,5,FALSE),"-")</f>
        <v>4.2</v>
      </c>
      <c r="AA201" s="167" t="s">
        <v>3015</v>
      </c>
      <c r="AB201" s="167" t="s">
        <v>3015</v>
      </c>
    </row>
    <row r="202" spans="1:28" x14ac:dyDescent="0.3">
      <c r="A202" s="11" t="s">
        <v>234</v>
      </c>
      <c r="B202" s="11" t="s">
        <v>779</v>
      </c>
      <c r="C202" s="11" t="s">
        <v>3162</v>
      </c>
      <c r="D202" s="166" t="str">
        <f t="shared" si="3"/>
        <v>-</v>
      </c>
      <c r="E202" s="167">
        <v>3.6</v>
      </c>
      <c r="F202" s="167">
        <v>3.6</v>
      </c>
      <c r="G202" s="167">
        <v>3.5</v>
      </c>
      <c r="H202" s="167">
        <v>3.6</v>
      </c>
      <c r="I202" s="167">
        <v>3.6</v>
      </c>
      <c r="J202" s="167" t="s">
        <v>3015</v>
      </c>
      <c r="K202" s="167" t="s">
        <v>3015</v>
      </c>
      <c r="L202" s="167" t="s">
        <v>3015</v>
      </c>
      <c r="M202" s="167" t="s">
        <v>3015</v>
      </c>
      <c r="N202" s="167" t="s">
        <v>3015</v>
      </c>
      <c r="O202" s="167" t="s">
        <v>3015</v>
      </c>
      <c r="P202" s="167" t="s">
        <v>3015</v>
      </c>
      <c r="Q202" s="167" t="s">
        <v>3015</v>
      </c>
      <c r="R202" s="167" t="s">
        <v>3015</v>
      </c>
      <c r="S202" s="167" t="s">
        <v>3015</v>
      </c>
      <c r="T202" s="167" t="s">
        <v>3015</v>
      </c>
      <c r="U202" s="167" t="s">
        <v>3015</v>
      </c>
      <c r="V202" s="167" t="s">
        <v>3015</v>
      </c>
      <c r="W202" s="167" t="s">
        <v>3015</v>
      </c>
      <c r="X202" s="167" t="s">
        <v>3015</v>
      </c>
      <c r="Y202" s="167" t="s">
        <v>3015</v>
      </c>
      <c r="Z202" s="167" t="str">
        <f>_xlfn.IFNA(VLOOKUP(C202,'INFORM Severity - hidden'!$C$5:$G$155,5,FALSE),"-")</f>
        <v>-</v>
      </c>
      <c r="AA202" s="167" t="s">
        <v>3015</v>
      </c>
      <c r="AB202" s="167" t="s">
        <v>3015</v>
      </c>
    </row>
    <row r="203" spans="1:28" x14ac:dyDescent="0.3">
      <c r="A203" s="11" t="s">
        <v>234</v>
      </c>
      <c r="B203" s="11" t="s">
        <v>780</v>
      </c>
      <c r="C203" s="11" t="s">
        <v>674</v>
      </c>
      <c r="D203" s="166" t="str">
        <f t="shared" si="3"/>
        <v>-</v>
      </c>
      <c r="E203" s="167">
        <v>2.1</v>
      </c>
      <c r="F203" s="167">
        <v>2</v>
      </c>
      <c r="G203" s="167">
        <v>2.7</v>
      </c>
      <c r="H203" s="167">
        <v>2.8</v>
      </c>
      <c r="I203" s="167">
        <v>2.8</v>
      </c>
      <c r="J203" s="167">
        <v>2.8</v>
      </c>
      <c r="K203" s="167">
        <v>2.8</v>
      </c>
      <c r="L203" s="167">
        <v>2.8</v>
      </c>
      <c r="M203" s="167">
        <v>2.8</v>
      </c>
      <c r="N203" s="167" t="s">
        <v>393</v>
      </c>
      <c r="O203" s="167" t="s">
        <v>393</v>
      </c>
      <c r="P203" s="167" t="s">
        <v>393</v>
      </c>
      <c r="Q203" s="167" t="s">
        <v>393</v>
      </c>
      <c r="R203" s="167" t="s">
        <v>393</v>
      </c>
      <c r="S203" s="167" t="s">
        <v>393</v>
      </c>
      <c r="T203" s="167" t="s">
        <v>393</v>
      </c>
      <c r="U203" s="167" t="s">
        <v>393</v>
      </c>
      <c r="V203" s="167" t="s">
        <v>393</v>
      </c>
      <c r="W203" s="167" t="s">
        <v>393</v>
      </c>
      <c r="X203" s="167" t="s">
        <v>393</v>
      </c>
      <c r="Y203" s="167" t="s">
        <v>393</v>
      </c>
      <c r="Z203" s="167" t="str">
        <f>_xlfn.IFNA(VLOOKUP(C203,'INFORM Severity - hidden'!$C$5:$G$155,5,FALSE),"-")</f>
        <v>x</v>
      </c>
      <c r="AA203" s="167" t="s">
        <v>3015</v>
      </c>
      <c r="AB203" s="167" t="s">
        <v>3015</v>
      </c>
    </row>
    <row r="204" spans="1:28" x14ac:dyDescent="0.3">
      <c r="A204" s="11" t="s">
        <v>234</v>
      </c>
      <c r="B204" s="11" t="s">
        <v>1100</v>
      </c>
      <c r="C204" s="11" t="s">
        <v>675</v>
      </c>
      <c r="D204" s="166" t="str">
        <f t="shared" si="3"/>
        <v>Stable</v>
      </c>
      <c r="E204" s="167">
        <v>4</v>
      </c>
      <c r="F204" s="167">
        <v>4</v>
      </c>
      <c r="G204" s="167">
        <v>4</v>
      </c>
      <c r="H204" s="167">
        <v>4.0999999999999996</v>
      </c>
      <c r="I204" s="167">
        <v>4.0999999999999996</v>
      </c>
      <c r="J204" s="167">
        <v>4.0999999999999996</v>
      </c>
      <c r="K204" s="167">
        <v>4.2</v>
      </c>
      <c r="L204" s="167">
        <v>4.0999999999999996</v>
      </c>
      <c r="M204" s="167">
        <v>4.0999999999999996</v>
      </c>
      <c r="N204" s="167">
        <v>4.0999999999999996</v>
      </c>
      <c r="O204" s="167">
        <v>4.0999999999999996</v>
      </c>
      <c r="P204" s="167">
        <v>4.0999999999999996</v>
      </c>
      <c r="Q204" s="167">
        <v>4</v>
      </c>
      <c r="R204" s="167">
        <v>3.7</v>
      </c>
      <c r="S204" s="167">
        <v>4</v>
      </c>
      <c r="T204" s="167">
        <v>4</v>
      </c>
      <c r="U204" s="167">
        <v>4.0999999999999996</v>
      </c>
      <c r="V204" s="167">
        <v>4.0999999999999996</v>
      </c>
      <c r="W204" s="167">
        <v>4.0999999999999996</v>
      </c>
      <c r="X204" s="167">
        <v>4.0999999999999996</v>
      </c>
      <c r="Y204" s="167">
        <v>4.0999999999999996</v>
      </c>
      <c r="Z204" s="167">
        <f>_xlfn.IFNA(VLOOKUP(C204,'INFORM Severity - hidden'!$C$5:$G$155,5,FALSE),"-")</f>
        <v>4</v>
      </c>
      <c r="AA204" s="167" t="s">
        <v>3015</v>
      </c>
      <c r="AB204" s="167" t="s">
        <v>3015</v>
      </c>
    </row>
    <row r="205" spans="1:28" x14ac:dyDescent="0.3">
      <c r="A205" s="11" t="s">
        <v>234</v>
      </c>
      <c r="B205" s="11" t="s">
        <v>781</v>
      </c>
      <c r="C205" s="11" t="s">
        <v>3163</v>
      </c>
      <c r="D205" s="166" t="str">
        <f t="shared" si="3"/>
        <v>-</v>
      </c>
      <c r="E205" s="167">
        <v>1.5</v>
      </c>
      <c r="F205" s="167">
        <v>1.5</v>
      </c>
      <c r="G205" s="167">
        <v>1.9</v>
      </c>
      <c r="H205" s="167" t="s">
        <v>3015</v>
      </c>
      <c r="I205" s="167" t="s">
        <v>3015</v>
      </c>
      <c r="J205" s="167" t="s">
        <v>3015</v>
      </c>
      <c r="K205" s="167" t="s">
        <v>3015</v>
      </c>
      <c r="L205" s="167" t="s">
        <v>3015</v>
      </c>
      <c r="M205" s="167" t="s">
        <v>3015</v>
      </c>
      <c r="N205" s="167" t="s">
        <v>3015</v>
      </c>
      <c r="O205" s="167" t="s">
        <v>3015</v>
      </c>
      <c r="P205" s="167" t="s">
        <v>3015</v>
      </c>
      <c r="Q205" s="167" t="s">
        <v>3015</v>
      </c>
      <c r="R205" s="167" t="s">
        <v>3015</v>
      </c>
      <c r="S205" s="167" t="s">
        <v>3015</v>
      </c>
      <c r="T205" s="167" t="s">
        <v>3015</v>
      </c>
      <c r="U205" s="167" t="s">
        <v>3015</v>
      </c>
      <c r="V205" s="167" t="s">
        <v>3015</v>
      </c>
      <c r="W205" s="167" t="s">
        <v>3015</v>
      </c>
      <c r="X205" s="167" t="s">
        <v>3015</v>
      </c>
      <c r="Y205" s="167" t="s">
        <v>3015</v>
      </c>
      <c r="Z205" s="167" t="str">
        <f>_xlfn.IFNA(VLOOKUP(C205,'INFORM Severity - hidden'!$C$5:$G$155,5,FALSE),"-")</f>
        <v>-</v>
      </c>
      <c r="AA205" s="167" t="s">
        <v>3015</v>
      </c>
      <c r="AB205" s="167" t="s">
        <v>3015</v>
      </c>
    </row>
    <row r="206" spans="1:28" x14ac:dyDescent="0.3">
      <c r="A206" s="11" t="s">
        <v>234</v>
      </c>
      <c r="B206" s="11" t="s">
        <v>3207</v>
      </c>
      <c r="C206" s="11" t="s">
        <v>3208</v>
      </c>
      <c r="D206" s="166" t="str">
        <f t="shared" si="3"/>
        <v>-</v>
      </c>
      <c r="E206" s="167" t="s">
        <v>3015</v>
      </c>
      <c r="F206" s="167" t="s">
        <v>3015</v>
      </c>
      <c r="G206" s="167" t="s">
        <v>3015</v>
      </c>
      <c r="H206" s="167" t="s">
        <v>3015</v>
      </c>
      <c r="I206" s="167" t="s">
        <v>3015</v>
      </c>
      <c r="J206" s="167" t="s">
        <v>3015</v>
      </c>
      <c r="K206" s="167" t="s">
        <v>3015</v>
      </c>
      <c r="L206" s="167" t="s">
        <v>3015</v>
      </c>
      <c r="M206" s="167" t="s">
        <v>3015</v>
      </c>
      <c r="N206" s="167" t="s">
        <v>3015</v>
      </c>
      <c r="O206" s="167" t="s">
        <v>3015</v>
      </c>
      <c r="P206" s="167" t="s">
        <v>3015</v>
      </c>
      <c r="Q206" s="167" t="s">
        <v>3015</v>
      </c>
      <c r="R206" s="167" t="s">
        <v>3015</v>
      </c>
      <c r="S206" s="167" t="s">
        <v>3015</v>
      </c>
      <c r="T206" s="167" t="s">
        <v>3015</v>
      </c>
      <c r="U206" s="167" t="s">
        <v>3015</v>
      </c>
      <c r="V206" s="167" t="s">
        <v>3015</v>
      </c>
      <c r="W206" s="167" t="s">
        <v>3015</v>
      </c>
      <c r="X206" s="167" t="s">
        <v>3015</v>
      </c>
      <c r="Y206" s="167" t="s">
        <v>3015</v>
      </c>
      <c r="Z206" s="167" t="str">
        <f>_xlfn.IFNA(VLOOKUP(C206,'INFORM Severity - hidden'!$C$5:$G$155,5,FALSE),"-")</f>
        <v>-</v>
      </c>
      <c r="AA206" s="167" t="s">
        <v>3015</v>
      </c>
      <c r="AB206" s="167" t="s">
        <v>3015</v>
      </c>
    </row>
    <row r="207" spans="1:28" x14ac:dyDescent="0.3">
      <c r="A207" s="11" t="s">
        <v>234</v>
      </c>
      <c r="B207" s="11" t="s">
        <v>1822</v>
      </c>
      <c r="C207" s="11" t="s">
        <v>2834</v>
      </c>
      <c r="D207" s="166" t="str">
        <f t="shared" si="3"/>
        <v>Decreasing</v>
      </c>
      <c r="E207" s="167" t="s">
        <v>3015</v>
      </c>
      <c r="F207" s="167" t="s">
        <v>3015</v>
      </c>
      <c r="G207" s="167" t="s">
        <v>3015</v>
      </c>
      <c r="H207" s="167" t="s">
        <v>3015</v>
      </c>
      <c r="I207" s="167" t="s">
        <v>3015</v>
      </c>
      <c r="J207" s="167" t="s">
        <v>3015</v>
      </c>
      <c r="K207" s="167" t="s">
        <v>3015</v>
      </c>
      <c r="L207" s="167" t="s">
        <v>3015</v>
      </c>
      <c r="M207" s="167" t="s">
        <v>3015</v>
      </c>
      <c r="N207" s="167" t="s">
        <v>3015</v>
      </c>
      <c r="O207" s="167" t="s">
        <v>3015</v>
      </c>
      <c r="P207" s="167" t="s">
        <v>393</v>
      </c>
      <c r="Q207" s="167" t="s">
        <v>393</v>
      </c>
      <c r="R207" s="167">
        <v>2.6</v>
      </c>
      <c r="S207" s="167">
        <v>2.5</v>
      </c>
      <c r="T207" s="167">
        <v>2.5</v>
      </c>
      <c r="U207" s="167">
        <v>2.6</v>
      </c>
      <c r="V207" s="167">
        <v>2.6</v>
      </c>
      <c r="W207" s="167">
        <v>2.6</v>
      </c>
      <c r="X207" s="167">
        <v>2.5</v>
      </c>
      <c r="Y207" s="167">
        <v>2.6</v>
      </c>
      <c r="Z207" s="167">
        <f>_xlfn.IFNA(VLOOKUP(C207,'INFORM Severity - hidden'!$C$5:$G$155,5,FALSE),"-")</f>
        <v>2.5</v>
      </c>
      <c r="AA207" s="167" t="s">
        <v>3015</v>
      </c>
      <c r="AB207" s="167" t="s">
        <v>3015</v>
      </c>
    </row>
    <row r="208" spans="1:28" x14ac:dyDescent="0.3">
      <c r="A208" s="11" t="s">
        <v>234</v>
      </c>
      <c r="B208" s="11" t="s">
        <v>1917</v>
      </c>
      <c r="C208" s="11" t="s">
        <v>2592</v>
      </c>
      <c r="D208" s="166" t="str">
        <f t="shared" si="3"/>
        <v>Decreasing</v>
      </c>
      <c r="E208" s="167" t="s">
        <v>3015</v>
      </c>
      <c r="F208" s="167" t="s">
        <v>3015</v>
      </c>
      <c r="G208" s="167" t="s">
        <v>3015</v>
      </c>
      <c r="H208" s="167" t="s">
        <v>3015</v>
      </c>
      <c r="I208" s="167" t="s">
        <v>3015</v>
      </c>
      <c r="J208" s="167" t="s">
        <v>3015</v>
      </c>
      <c r="K208" s="167" t="s">
        <v>3015</v>
      </c>
      <c r="L208" s="167" t="s">
        <v>3015</v>
      </c>
      <c r="M208" s="167" t="s">
        <v>3015</v>
      </c>
      <c r="N208" s="167" t="s">
        <v>3015</v>
      </c>
      <c r="O208" s="167" t="s">
        <v>3015</v>
      </c>
      <c r="P208" s="167" t="s">
        <v>3015</v>
      </c>
      <c r="Q208" s="167">
        <v>2.4</v>
      </c>
      <c r="R208" s="167">
        <v>2.5</v>
      </c>
      <c r="S208" s="167">
        <v>2.4</v>
      </c>
      <c r="T208" s="167">
        <v>2.5</v>
      </c>
      <c r="U208" s="167">
        <v>2.5</v>
      </c>
      <c r="V208" s="167">
        <v>2.5</v>
      </c>
      <c r="W208" s="167">
        <v>2.5</v>
      </c>
      <c r="X208" s="167">
        <v>2.5</v>
      </c>
      <c r="Y208" s="167">
        <v>2.4</v>
      </c>
      <c r="Z208" s="167">
        <f>_xlfn.IFNA(VLOOKUP(C208,'INFORM Severity - hidden'!$C$5:$G$155,5,FALSE),"-")</f>
        <v>2.4</v>
      </c>
      <c r="AA208" s="167" t="s">
        <v>3015</v>
      </c>
      <c r="AB208" s="167" t="s">
        <v>3015</v>
      </c>
    </row>
    <row r="209" spans="1:28" x14ac:dyDescent="0.3">
      <c r="A209" s="11" t="s">
        <v>230</v>
      </c>
      <c r="B209" s="11" t="s">
        <v>1098</v>
      </c>
      <c r="C209" s="11" t="s">
        <v>590</v>
      </c>
      <c r="D209" s="166" t="str">
        <f t="shared" si="3"/>
        <v>-</v>
      </c>
      <c r="E209" s="167">
        <v>2.5</v>
      </c>
      <c r="F209" s="167">
        <v>2.6</v>
      </c>
      <c r="G209" s="167">
        <v>2.6</v>
      </c>
      <c r="H209" s="167">
        <v>2.4</v>
      </c>
      <c r="I209" s="167">
        <v>2.4</v>
      </c>
      <c r="J209" s="167">
        <v>2.4</v>
      </c>
      <c r="K209" s="167">
        <v>2.4</v>
      </c>
      <c r="L209" s="167">
        <v>2.4</v>
      </c>
      <c r="M209" s="167">
        <v>2.4</v>
      </c>
      <c r="N209" s="167" t="s">
        <v>393</v>
      </c>
      <c r="O209" s="167" t="s">
        <v>393</v>
      </c>
      <c r="P209" s="167" t="s">
        <v>393</v>
      </c>
      <c r="Q209" s="167" t="s">
        <v>393</v>
      </c>
      <c r="R209" s="167" t="s">
        <v>393</v>
      </c>
      <c r="S209" s="167" t="s">
        <v>393</v>
      </c>
      <c r="T209" s="167" t="s">
        <v>393</v>
      </c>
      <c r="U209" s="167" t="s">
        <v>393</v>
      </c>
      <c r="V209" s="167" t="s">
        <v>393</v>
      </c>
      <c r="W209" s="167" t="s">
        <v>393</v>
      </c>
      <c r="X209" s="167" t="s">
        <v>393</v>
      </c>
      <c r="Y209" s="167" t="s">
        <v>393</v>
      </c>
      <c r="Z209" s="167" t="str">
        <f>_xlfn.IFNA(VLOOKUP(C209,'INFORM Severity - hidden'!$C$5:$G$155,5,FALSE),"-")</f>
        <v>x</v>
      </c>
      <c r="AA209" s="167" t="s">
        <v>3015</v>
      </c>
      <c r="AB209" s="167" t="s">
        <v>3015</v>
      </c>
    </row>
    <row r="210" spans="1:28" x14ac:dyDescent="0.3">
      <c r="A210" s="11" t="s">
        <v>3650</v>
      </c>
      <c r="B210" s="11" t="s">
        <v>914</v>
      </c>
      <c r="C210" s="11" t="s">
        <v>3652</v>
      </c>
      <c r="D210" s="166" t="str">
        <f t="shared" si="3"/>
        <v>-</v>
      </c>
      <c r="E210" s="167" t="s">
        <v>3015</v>
      </c>
      <c r="F210" s="167" t="s">
        <v>3015</v>
      </c>
      <c r="G210" s="167" t="s">
        <v>3015</v>
      </c>
      <c r="H210" s="167" t="s">
        <v>3015</v>
      </c>
      <c r="I210" s="167" t="s">
        <v>3015</v>
      </c>
      <c r="J210" s="167" t="s">
        <v>3015</v>
      </c>
      <c r="K210" s="167" t="s">
        <v>3015</v>
      </c>
      <c r="L210" s="167" t="s">
        <v>3015</v>
      </c>
      <c r="M210" s="167" t="s">
        <v>3015</v>
      </c>
      <c r="N210" s="167" t="s">
        <v>3015</v>
      </c>
      <c r="O210" s="167" t="s">
        <v>3015</v>
      </c>
      <c r="P210" s="167" t="s">
        <v>3015</v>
      </c>
      <c r="Q210" s="167" t="s">
        <v>3015</v>
      </c>
      <c r="R210" s="167" t="s">
        <v>3015</v>
      </c>
      <c r="S210" s="167" t="s">
        <v>3015</v>
      </c>
      <c r="T210" s="167" t="s">
        <v>3015</v>
      </c>
      <c r="U210" s="167" t="s">
        <v>3015</v>
      </c>
      <c r="V210" s="167" t="s">
        <v>3015</v>
      </c>
      <c r="W210" s="167" t="s">
        <v>3015</v>
      </c>
      <c r="X210" s="167" t="s">
        <v>3015</v>
      </c>
      <c r="Y210" s="167" t="s">
        <v>3015</v>
      </c>
      <c r="Z210" s="167" t="str">
        <f>_xlfn.IFNA(VLOOKUP(C210,'INFORM Severity - hidden'!$C$5:$G$155,5,FALSE),"-")</f>
        <v>-</v>
      </c>
      <c r="AA210" s="167" t="s">
        <v>3015</v>
      </c>
      <c r="AB210" s="167" t="s">
        <v>3015</v>
      </c>
    </row>
    <row r="211" spans="1:28" x14ac:dyDescent="0.3">
      <c r="A211" s="11" t="s">
        <v>224</v>
      </c>
      <c r="B211" s="11" t="s">
        <v>914</v>
      </c>
      <c r="C211" s="11" t="s">
        <v>3097</v>
      </c>
      <c r="D211" s="166" t="str">
        <f t="shared" si="3"/>
        <v>-</v>
      </c>
      <c r="E211" s="167" t="s">
        <v>3015</v>
      </c>
      <c r="F211" s="167" t="s">
        <v>3015</v>
      </c>
      <c r="G211" s="167" t="s">
        <v>3015</v>
      </c>
      <c r="H211" s="167" t="s">
        <v>3015</v>
      </c>
      <c r="I211" s="167" t="s">
        <v>3015</v>
      </c>
      <c r="J211" s="167" t="s">
        <v>3015</v>
      </c>
      <c r="K211" s="167" t="s">
        <v>3015</v>
      </c>
      <c r="L211" s="167" t="s">
        <v>3015</v>
      </c>
      <c r="M211" s="167" t="s">
        <v>3015</v>
      </c>
      <c r="N211" s="167" t="s">
        <v>3015</v>
      </c>
      <c r="O211" s="167" t="s">
        <v>3015</v>
      </c>
      <c r="P211" s="167" t="s">
        <v>3015</v>
      </c>
      <c r="Q211" s="167" t="s">
        <v>3015</v>
      </c>
      <c r="R211" s="167" t="s">
        <v>3015</v>
      </c>
      <c r="S211" s="167" t="s">
        <v>3015</v>
      </c>
      <c r="T211" s="167" t="s">
        <v>3015</v>
      </c>
      <c r="U211" s="167" t="s">
        <v>3015</v>
      </c>
      <c r="V211" s="167" t="s">
        <v>3015</v>
      </c>
      <c r="W211" s="167" t="s">
        <v>3015</v>
      </c>
      <c r="X211" s="167" t="s">
        <v>3015</v>
      </c>
      <c r="Y211" s="167" t="s">
        <v>3015</v>
      </c>
      <c r="Z211" s="167" t="str">
        <f>_xlfn.IFNA(VLOOKUP(C211,'INFORM Severity - hidden'!$C$5:$G$155,5,FALSE),"-")</f>
        <v>-</v>
      </c>
      <c r="AA211" s="167" t="s">
        <v>3015</v>
      </c>
      <c r="AB211" s="167" t="s">
        <v>3015</v>
      </c>
    </row>
    <row r="212" spans="1:28" x14ac:dyDescent="0.3">
      <c r="A212" s="11" t="s">
        <v>224</v>
      </c>
      <c r="B212" s="11" t="s">
        <v>1501</v>
      </c>
      <c r="C212" s="11" t="s">
        <v>3197</v>
      </c>
      <c r="D212" s="166" t="str">
        <f t="shared" si="3"/>
        <v>-</v>
      </c>
      <c r="E212" s="167" t="s">
        <v>3015</v>
      </c>
      <c r="F212" s="167" t="s">
        <v>3015</v>
      </c>
      <c r="G212" s="167" t="s">
        <v>3015</v>
      </c>
      <c r="H212" s="167" t="s">
        <v>3015</v>
      </c>
      <c r="I212" s="167" t="s">
        <v>3015</v>
      </c>
      <c r="J212" s="167" t="s">
        <v>3015</v>
      </c>
      <c r="K212" s="167">
        <v>1.6</v>
      </c>
      <c r="L212" s="167">
        <v>1.6</v>
      </c>
      <c r="M212" s="167">
        <v>1.6</v>
      </c>
      <c r="N212" s="167" t="s">
        <v>3015</v>
      </c>
      <c r="O212" s="167" t="s">
        <v>3015</v>
      </c>
      <c r="P212" s="167" t="s">
        <v>3015</v>
      </c>
      <c r="Q212" s="167" t="s">
        <v>3015</v>
      </c>
      <c r="R212" s="167" t="s">
        <v>3015</v>
      </c>
      <c r="S212" s="167" t="s">
        <v>3015</v>
      </c>
      <c r="T212" s="167" t="s">
        <v>3015</v>
      </c>
      <c r="U212" s="167" t="s">
        <v>3015</v>
      </c>
      <c r="V212" s="167" t="s">
        <v>3015</v>
      </c>
      <c r="W212" s="167" t="s">
        <v>3015</v>
      </c>
      <c r="X212" s="167" t="s">
        <v>3015</v>
      </c>
      <c r="Y212" s="167" t="s">
        <v>3015</v>
      </c>
      <c r="Z212" s="167" t="str">
        <f>_xlfn.IFNA(VLOOKUP(C212,'INFORM Severity - hidden'!$C$5:$G$155,5,FALSE),"-")</f>
        <v>-</v>
      </c>
      <c r="AA212" s="167" t="s">
        <v>3015</v>
      </c>
      <c r="AB212" s="167" t="s">
        <v>3015</v>
      </c>
    </row>
    <row r="213" spans="1:28" x14ac:dyDescent="0.3">
      <c r="A213" s="11" t="s">
        <v>224</v>
      </c>
      <c r="B213" s="11" t="s">
        <v>1501</v>
      </c>
      <c r="C213" s="11" t="s">
        <v>3216</v>
      </c>
      <c r="D213" s="166" t="str">
        <f t="shared" si="3"/>
        <v>-</v>
      </c>
      <c r="E213" s="167" t="s">
        <v>3015</v>
      </c>
      <c r="F213" s="167" t="s">
        <v>3015</v>
      </c>
      <c r="G213" s="167" t="s">
        <v>3015</v>
      </c>
      <c r="H213" s="167" t="s">
        <v>3015</v>
      </c>
      <c r="I213" s="167" t="s">
        <v>3015</v>
      </c>
      <c r="J213" s="167" t="s">
        <v>3015</v>
      </c>
      <c r="K213" s="167" t="s">
        <v>3015</v>
      </c>
      <c r="L213" s="167" t="s">
        <v>3015</v>
      </c>
      <c r="M213" s="167" t="s">
        <v>3015</v>
      </c>
      <c r="N213" s="167" t="s">
        <v>3015</v>
      </c>
      <c r="O213" s="167" t="s">
        <v>3015</v>
      </c>
      <c r="P213" s="167" t="s">
        <v>3015</v>
      </c>
      <c r="Q213" s="167" t="s">
        <v>3015</v>
      </c>
      <c r="R213" s="167" t="s">
        <v>3015</v>
      </c>
      <c r="S213" s="167" t="s">
        <v>3015</v>
      </c>
      <c r="T213" s="167" t="s">
        <v>3015</v>
      </c>
      <c r="U213" s="167" t="s">
        <v>3015</v>
      </c>
      <c r="V213" s="167" t="s">
        <v>3015</v>
      </c>
      <c r="W213" s="167" t="s">
        <v>3015</v>
      </c>
      <c r="X213" s="167" t="s">
        <v>3015</v>
      </c>
      <c r="Y213" s="167" t="s">
        <v>3015</v>
      </c>
      <c r="Z213" s="167" t="str">
        <f>_xlfn.IFNA(VLOOKUP(C213,'INFORM Severity - hidden'!$C$5:$G$155,5,FALSE),"-")</f>
        <v>-</v>
      </c>
      <c r="AA213" s="167" t="s">
        <v>3015</v>
      </c>
      <c r="AB213" s="167" t="s">
        <v>3015</v>
      </c>
    </row>
    <row r="214" spans="1:28" x14ac:dyDescent="0.3">
      <c r="A214" s="11" t="s">
        <v>239</v>
      </c>
      <c r="B214" s="11" t="s">
        <v>914</v>
      </c>
      <c r="C214" s="11" t="s">
        <v>3098</v>
      </c>
      <c r="D214" s="166" t="str">
        <f t="shared" si="3"/>
        <v>-</v>
      </c>
      <c r="E214" s="167" t="s">
        <v>3015</v>
      </c>
      <c r="F214" s="167" t="s">
        <v>3015</v>
      </c>
      <c r="G214" s="167" t="s">
        <v>3015</v>
      </c>
      <c r="H214" s="167" t="s">
        <v>3015</v>
      </c>
      <c r="I214" s="167" t="s">
        <v>3015</v>
      </c>
      <c r="J214" s="167" t="s">
        <v>3015</v>
      </c>
      <c r="K214" s="167" t="s">
        <v>3015</v>
      </c>
      <c r="L214" s="167" t="s">
        <v>3015</v>
      </c>
      <c r="M214" s="167" t="s">
        <v>3015</v>
      </c>
      <c r="N214" s="167" t="s">
        <v>3015</v>
      </c>
      <c r="O214" s="167" t="s">
        <v>3015</v>
      </c>
      <c r="P214" s="167" t="s">
        <v>3015</v>
      </c>
      <c r="Q214" s="167" t="s">
        <v>3015</v>
      </c>
      <c r="R214" s="167" t="s">
        <v>3015</v>
      </c>
      <c r="S214" s="167" t="s">
        <v>3015</v>
      </c>
      <c r="T214" s="167" t="s">
        <v>3015</v>
      </c>
      <c r="U214" s="167" t="s">
        <v>3015</v>
      </c>
      <c r="V214" s="167" t="s">
        <v>3015</v>
      </c>
      <c r="W214" s="167" t="s">
        <v>3015</v>
      </c>
      <c r="X214" s="167" t="s">
        <v>3015</v>
      </c>
      <c r="Y214" s="167" t="s">
        <v>3015</v>
      </c>
      <c r="Z214" s="167" t="str">
        <f>_xlfn.IFNA(VLOOKUP(C214,'INFORM Severity - hidden'!$C$5:$G$155,5,FALSE),"-")</f>
        <v>-</v>
      </c>
      <c r="AA214" s="167" t="s">
        <v>3015</v>
      </c>
      <c r="AB214" s="167" t="s">
        <v>3015</v>
      </c>
    </row>
    <row r="215" spans="1:28" x14ac:dyDescent="0.3">
      <c r="A215" s="11" t="s">
        <v>241</v>
      </c>
      <c r="B215" s="11" t="s">
        <v>1366</v>
      </c>
      <c r="C215" s="11" t="s">
        <v>1922</v>
      </c>
      <c r="D215" s="166" t="str">
        <f t="shared" si="3"/>
        <v>Stable</v>
      </c>
      <c r="E215" s="167" t="s">
        <v>3015</v>
      </c>
      <c r="F215" s="167">
        <v>4.0999999999999996</v>
      </c>
      <c r="G215" s="167">
        <v>4.0999999999999996</v>
      </c>
      <c r="H215" s="167">
        <v>3.3</v>
      </c>
      <c r="I215" s="167">
        <v>3.3</v>
      </c>
      <c r="J215" s="167">
        <v>3.3</v>
      </c>
      <c r="K215" s="167">
        <v>3.3</v>
      </c>
      <c r="L215" s="167">
        <v>3.3</v>
      </c>
      <c r="M215" s="167">
        <v>3.4</v>
      </c>
      <c r="N215" s="167">
        <v>3.4</v>
      </c>
      <c r="O215" s="167">
        <v>3.4</v>
      </c>
      <c r="P215" s="167">
        <v>3.4</v>
      </c>
      <c r="Q215" s="167">
        <v>3.4</v>
      </c>
      <c r="R215" s="167">
        <v>3.4</v>
      </c>
      <c r="S215" s="167">
        <v>3.4</v>
      </c>
      <c r="T215" s="167">
        <v>3.4</v>
      </c>
      <c r="U215" s="167">
        <v>3.4</v>
      </c>
      <c r="V215" s="167">
        <v>3.4</v>
      </c>
      <c r="W215" s="167">
        <v>3.4</v>
      </c>
      <c r="X215" s="167">
        <v>3.4</v>
      </c>
      <c r="Y215" s="167">
        <v>3.4</v>
      </c>
      <c r="Z215" s="167">
        <f>_xlfn.IFNA(VLOOKUP(C215,'INFORM Severity - hidden'!$C$5:$G$155,5,FALSE),"-")</f>
        <v>3.4</v>
      </c>
      <c r="AA215" s="167" t="s">
        <v>3015</v>
      </c>
      <c r="AB215" s="167" t="s">
        <v>3015</v>
      </c>
    </row>
    <row r="216" spans="1:28" x14ac:dyDescent="0.3">
      <c r="A216" s="11" t="s">
        <v>241</v>
      </c>
      <c r="B216" s="11" t="s">
        <v>767</v>
      </c>
      <c r="C216" s="11" t="s">
        <v>3164</v>
      </c>
      <c r="D216" s="166" t="str">
        <f t="shared" si="3"/>
        <v>-</v>
      </c>
      <c r="E216" s="167" t="s">
        <v>3015</v>
      </c>
      <c r="F216" s="167">
        <v>3.4</v>
      </c>
      <c r="G216" s="167">
        <v>3.4</v>
      </c>
      <c r="H216" s="167" t="s">
        <v>3015</v>
      </c>
      <c r="I216" s="167" t="s">
        <v>3015</v>
      </c>
      <c r="J216" s="167" t="s">
        <v>3015</v>
      </c>
      <c r="K216" s="167" t="s">
        <v>3015</v>
      </c>
      <c r="L216" s="167" t="s">
        <v>3015</v>
      </c>
      <c r="M216" s="167" t="s">
        <v>3015</v>
      </c>
      <c r="N216" s="167" t="s">
        <v>3015</v>
      </c>
      <c r="O216" s="167" t="s">
        <v>3015</v>
      </c>
      <c r="P216" s="167" t="s">
        <v>3015</v>
      </c>
      <c r="Q216" s="167" t="s">
        <v>3015</v>
      </c>
      <c r="R216" s="167" t="s">
        <v>3015</v>
      </c>
      <c r="S216" s="167" t="s">
        <v>3015</v>
      </c>
      <c r="T216" s="167" t="s">
        <v>3015</v>
      </c>
      <c r="U216" s="167" t="s">
        <v>3015</v>
      </c>
      <c r="V216" s="167" t="s">
        <v>3015</v>
      </c>
      <c r="W216" s="167" t="s">
        <v>3015</v>
      </c>
      <c r="X216" s="167" t="s">
        <v>3015</v>
      </c>
      <c r="Y216" s="167" t="s">
        <v>3015</v>
      </c>
      <c r="Z216" s="167" t="str">
        <f>_xlfn.IFNA(VLOOKUP(C216,'INFORM Severity - hidden'!$C$5:$G$155,5,FALSE),"-")</f>
        <v>-</v>
      </c>
      <c r="AA216" s="167" t="s">
        <v>3015</v>
      </c>
      <c r="AB216" s="167" t="s">
        <v>3015</v>
      </c>
    </row>
    <row r="217" spans="1:28" x14ac:dyDescent="0.3">
      <c r="A217" s="11" t="s">
        <v>241</v>
      </c>
      <c r="B217" s="11" t="s">
        <v>768</v>
      </c>
      <c r="C217" s="11" t="s">
        <v>3165</v>
      </c>
      <c r="D217" s="166" t="str">
        <f t="shared" si="3"/>
        <v>-</v>
      </c>
      <c r="E217" s="167" t="s">
        <v>3015</v>
      </c>
      <c r="F217" s="167">
        <v>4.0999999999999996</v>
      </c>
      <c r="G217" s="167">
        <v>4.0999999999999996</v>
      </c>
      <c r="H217" s="167">
        <v>3.3</v>
      </c>
      <c r="I217" s="167" t="s">
        <v>3015</v>
      </c>
      <c r="J217" s="167" t="s">
        <v>3015</v>
      </c>
      <c r="K217" s="167" t="s">
        <v>3015</v>
      </c>
      <c r="L217" s="167" t="s">
        <v>3015</v>
      </c>
      <c r="M217" s="167" t="s">
        <v>3015</v>
      </c>
      <c r="N217" s="167" t="s">
        <v>3015</v>
      </c>
      <c r="O217" s="167" t="s">
        <v>3015</v>
      </c>
      <c r="P217" s="167" t="s">
        <v>3015</v>
      </c>
      <c r="Q217" s="167" t="s">
        <v>3015</v>
      </c>
      <c r="R217" s="167" t="s">
        <v>3015</v>
      </c>
      <c r="S217" s="167" t="s">
        <v>3015</v>
      </c>
      <c r="T217" s="167" t="s">
        <v>3015</v>
      </c>
      <c r="U217" s="167" t="s">
        <v>3015</v>
      </c>
      <c r="V217" s="167" t="s">
        <v>3015</v>
      </c>
      <c r="W217" s="167" t="s">
        <v>3015</v>
      </c>
      <c r="X217" s="167" t="s">
        <v>3015</v>
      </c>
      <c r="Y217" s="167" t="s">
        <v>3015</v>
      </c>
      <c r="Z217" s="167" t="str">
        <f>_xlfn.IFNA(VLOOKUP(C217,'INFORM Severity - hidden'!$C$5:$G$155,5,FALSE),"-")</f>
        <v>-</v>
      </c>
      <c r="AA217" s="167" t="s">
        <v>3015</v>
      </c>
      <c r="AB217" s="167" t="s">
        <v>3015</v>
      </c>
    </row>
    <row r="218" spans="1:28" x14ac:dyDescent="0.3">
      <c r="A218" s="11" t="s">
        <v>241</v>
      </c>
      <c r="B218" s="11" t="s">
        <v>1121</v>
      </c>
      <c r="C218" s="11" t="s">
        <v>1122</v>
      </c>
      <c r="D218" s="166" t="str">
        <f t="shared" si="3"/>
        <v>-</v>
      </c>
      <c r="E218" s="167" t="s">
        <v>3015</v>
      </c>
      <c r="F218" s="167" t="s">
        <v>393</v>
      </c>
      <c r="G218" s="167" t="s">
        <v>393</v>
      </c>
      <c r="H218" s="167" t="s">
        <v>393</v>
      </c>
      <c r="I218" s="167" t="s">
        <v>393</v>
      </c>
      <c r="J218" s="167" t="s">
        <v>393</v>
      </c>
      <c r="K218" s="167" t="s">
        <v>393</v>
      </c>
      <c r="L218" s="167" t="s">
        <v>393</v>
      </c>
      <c r="M218" s="167" t="s">
        <v>393</v>
      </c>
      <c r="N218" s="167" t="s">
        <v>393</v>
      </c>
      <c r="O218" s="167" t="s">
        <v>393</v>
      </c>
      <c r="P218" s="167" t="s">
        <v>393</v>
      </c>
      <c r="Q218" s="167" t="s">
        <v>393</v>
      </c>
      <c r="R218" s="167" t="s">
        <v>393</v>
      </c>
      <c r="S218" s="167" t="s">
        <v>393</v>
      </c>
      <c r="T218" s="167" t="s">
        <v>393</v>
      </c>
      <c r="U218" s="167" t="s">
        <v>393</v>
      </c>
      <c r="V218" s="167" t="s">
        <v>393</v>
      </c>
      <c r="W218" s="167" t="s">
        <v>393</v>
      </c>
      <c r="X218" s="167" t="s">
        <v>393</v>
      </c>
      <c r="Y218" s="167" t="s">
        <v>393</v>
      </c>
      <c r="Z218" s="167" t="str">
        <f>_xlfn.IFNA(VLOOKUP(C218,'INFORM Severity - hidden'!$C$5:$G$155,5,FALSE),"-")</f>
        <v>x</v>
      </c>
      <c r="AA218" s="167" t="s">
        <v>3015</v>
      </c>
      <c r="AB218" s="167" t="s">
        <v>3015</v>
      </c>
    </row>
    <row r="219" spans="1:28" x14ac:dyDescent="0.3">
      <c r="A219" s="11" t="s">
        <v>245</v>
      </c>
      <c r="B219" s="11" t="s">
        <v>914</v>
      </c>
      <c r="C219" s="11" t="s">
        <v>3101</v>
      </c>
      <c r="D219" s="166" t="str">
        <f t="shared" si="3"/>
        <v>-</v>
      </c>
      <c r="E219" s="167" t="s">
        <v>3015</v>
      </c>
      <c r="F219" s="167" t="s">
        <v>3015</v>
      </c>
      <c r="G219" s="167" t="s">
        <v>3015</v>
      </c>
      <c r="H219" s="167" t="s">
        <v>3015</v>
      </c>
      <c r="I219" s="167" t="s">
        <v>3015</v>
      </c>
      <c r="J219" s="167" t="s">
        <v>3015</v>
      </c>
      <c r="K219" s="167" t="s">
        <v>3015</v>
      </c>
      <c r="L219" s="167" t="s">
        <v>3015</v>
      </c>
      <c r="M219" s="167" t="s">
        <v>3015</v>
      </c>
      <c r="N219" s="167" t="s">
        <v>3015</v>
      </c>
      <c r="O219" s="167" t="s">
        <v>3015</v>
      </c>
      <c r="P219" s="167" t="s">
        <v>3015</v>
      </c>
      <c r="Q219" s="167" t="s">
        <v>3015</v>
      </c>
      <c r="R219" s="167" t="s">
        <v>3015</v>
      </c>
      <c r="S219" s="167" t="s">
        <v>3015</v>
      </c>
      <c r="T219" s="167" t="s">
        <v>3015</v>
      </c>
      <c r="U219" s="167" t="s">
        <v>3015</v>
      </c>
      <c r="V219" s="167" t="s">
        <v>3015</v>
      </c>
      <c r="W219" s="167" t="s">
        <v>3015</v>
      </c>
      <c r="X219" s="167" t="s">
        <v>3015</v>
      </c>
      <c r="Y219" s="167" t="s">
        <v>3015</v>
      </c>
      <c r="Z219" s="167" t="str">
        <f>_xlfn.IFNA(VLOOKUP(C219,'INFORM Severity - hidden'!$C$5:$G$155,5,FALSE),"-")</f>
        <v>-</v>
      </c>
      <c r="AA219" s="167" t="s">
        <v>3015</v>
      </c>
      <c r="AB219" s="167" t="s">
        <v>3015</v>
      </c>
    </row>
    <row r="220" spans="1:28" x14ac:dyDescent="0.3">
      <c r="A220" s="11" t="s">
        <v>245</v>
      </c>
      <c r="B220" s="11" t="s">
        <v>773</v>
      </c>
      <c r="C220" s="11" t="s">
        <v>3166</v>
      </c>
      <c r="D220" s="166" t="str">
        <f t="shared" si="3"/>
        <v>-</v>
      </c>
      <c r="E220" s="167" t="s">
        <v>3015</v>
      </c>
      <c r="F220" s="167" t="s">
        <v>3015</v>
      </c>
      <c r="G220" s="167" t="s">
        <v>3015</v>
      </c>
      <c r="H220" s="167" t="s">
        <v>3015</v>
      </c>
      <c r="I220" s="167" t="s">
        <v>3015</v>
      </c>
      <c r="J220" s="167" t="s">
        <v>3015</v>
      </c>
      <c r="K220" s="167" t="s">
        <v>3015</v>
      </c>
      <c r="L220" s="167" t="s">
        <v>3015</v>
      </c>
      <c r="M220" s="167" t="s">
        <v>3015</v>
      </c>
      <c r="N220" s="167" t="s">
        <v>3015</v>
      </c>
      <c r="O220" s="167" t="s">
        <v>3015</v>
      </c>
      <c r="P220" s="167" t="s">
        <v>3015</v>
      </c>
      <c r="Q220" s="167" t="s">
        <v>3015</v>
      </c>
      <c r="R220" s="167" t="s">
        <v>3015</v>
      </c>
      <c r="S220" s="167" t="s">
        <v>3015</v>
      </c>
      <c r="T220" s="167" t="s">
        <v>3015</v>
      </c>
      <c r="U220" s="167" t="s">
        <v>3015</v>
      </c>
      <c r="V220" s="167" t="s">
        <v>3015</v>
      </c>
      <c r="W220" s="167" t="s">
        <v>3015</v>
      </c>
      <c r="X220" s="167" t="s">
        <v>3015</v>
      </c>
      <c r="Y220" s="167" t="s">
        <v>3015</v>
      </c>
      <c r="Z220" s="167" t="str">
        <f>_xlfn.IFNA(VLOOKUP(C220,'INFORM Severity - hidden'!$C$5:$G$155,5,FALSE),"-")</f>
        <v>-</v>
      </c>
      <c r="AA220" s="167" t="s">
        <v>3015</v>
      </c>
      <c r="AB220" s="167" t="s">
        <v>3015</v>
      </c>
    </row>
    <row r="221" spans="1:28" x14ac:dyDescent="0.3">
      <c r="A221" s="11" t="s">
        <v>251</v>
      </c>
      <c r="B221" s="11" t="s">
        <v>914</v>
      </c>
      <c r="C221" s="11" t="s">
        <v>3104</v>
      </c>
      <c r="D221" s="166" t="str">
        <f t="shared" si="3"/>
        <v>-</v>
      </c>
      <c r="E221" s="167" t="s">
        <v>3015</v>
      </c>
      <c r="F221" s="167" t="s">
        <v>3015</v>
      </c>
      <c r="G221" s="167" t="s">
        <v>3015</v>
      </c>
      <c r="H221" s="167" t="s">
        <v>3015</v>
      </c>
      <c r="I221" s="167" t="s">
        <v>3015</v>
      </c>
      <c r="J221" s="167" t="s">
        <v>3015</v>
      </c>
      <c r="K221" s="167" t="s">
        <v>3015</v>
      </c>
      <c r="L221" s="167" t="s">
        <v>3015</v>
      </c>
      <c r="M221" s="167" t="s">
        <v>3015</v>
      </c>
      <c r="N221" s="167" t="s">
        <v>3015</v>
      </c>
      <c r="O221" s="167" t="s">
        <v>3015</v>
      </c>
      <c r="P221" s="167" t="s">
        <v>3015</v>
      </c>
      <c r="Q221" s="167" t="s">
        <v>3015</v>
      </c>
      <c r="R221" s="167" t="s">
        <v>3015</v>
      </c>
      <c r="S221" s="167" t="s">
        <v>3015</v>
      </c>
      <c r="T221" s="167" t="s">
        <v>3015</v>
      </c>
      <c r="U221" s="167" t="s">
        <v>3015</v>
      </c>
      <c r="V221" s="167" t="s">
        <v>3015</v>
      </c>
      <c r="W221" s="167" t="s">
        <v>3015</v>
      </c>
      <c r="X221" s="167" t="s">
        <v>3015</v>
      </c>
      <c r="Y221" s="167" t="s">
        <v>3015</v>
      </c>
      <c r="Z221" s="167" t="str">
        <f>_xlfn.IFNA(VLOOKUP(C221,'INFORM Severity - hidden'!$C$5:$G$155,5,FALSE),"-")</f>
        <v>-</v>
      </c>
      <c r="AA221" s="167" t="s">
        <v>3015</v>
      </c>
      <c r="AB221" s="167" t="s">
        <v>3015</v>
      </c>
    </row>
    <row r="222" spans="1:28" x14ac:dyDescent="0.3">
      <c r="A222" s="11" t="s">
        <v>251</v>
      </c>
      <c r="B222" s="11" t="s">
        <v>771</v>
      </c>
      <c r="C222" s="11" t="s">
        <v>668</v>
      </c>
      <c r="D222" s="166" t="str">
        <f t="shared" si="3"/>
        <v>Stable</v>
      </c>
      <c r="E222" s="167" t="s">
        <v>3015</v>
      </c>
      <c r="F222" s="167">
        <v>1.5</v>
      </c>
      <c r="G222" s="167">
        <v>1.5</v>
      </c>
      <c r="H222" s="167">
        <v>2.6</v>
      </c>
      <c r="I222" s="167">
        <v>2.6</v>
      </c>
      <c r="J222" s="167">
        <v>2.6</v>
      </c>
      <c r="K222" s="167">
        <v>2.6</v>
      </c>
      <c r="L222" s="167">
        <v>2.6</v>
      </c>
      <c r="M222" s="167">
        <v>2.6</v>
      </c>
      <c r="N222" s="167">
        <v>2.6</v>
      </c>
      <c r="O222" s="167">
        <v>2.2999999999999998</v>
      </c>
      <c r="P222" s="167">
        <v>2.2999999999999998</v>
      </c>
      <c r="Q222" s="167">
        <v>2.6</v>
      </c>
      <c r="R222" s="167">
        <v>2.6</v>
      </c>
      <c r="S222" s="167">
        <v>2.6</v>
      </c>
      <c r="T222" s="167">
        <v>2.6</v>
      </c>
      <c r="U222" s="167">
        <v>2.6</v>
      </c>
      <c r="V222" s="167">
        <v>2.6</v>
      </c>
      <c r="W222" s="167">
        <v>2.6</v>
      </c>
      <c r="X222" s="167">
        <v>2.6</v>
      </c>
      <c r="Y222" s="167">
        <v>2.6</v>
      </c>
      <c r="Z222" s="167">
        <f>_xlfn.IFNA(VLOOKUP(C222,'INFORM Severity - hidden'!$C$5:$G$155,5,FALSE),"-")</f>
        <v>2.6</v>
      </c>
      <c r="AA222" s="167" t="s">
        <v>3015</v>
      </c>
      <c r="AB222" s="167" t="s">
        <v>3015</v>
      </c>
    </row>
    <row r="223" spans="1:28" x14ac:dyDescent="0.3">
      <c r="A223" s="11" t="s">
        <v>253</v>
      </c>
      <c r="B223" s="11" t="s">
        <v>1823</v>
      </c>
      <c r="C223" s="11" t="s">
        <v>1923</v>
      </c>
      <c r="D223" s="166" t="str">
        <f t="shared" si="3"/>
        <v>Decreasing</v>
      </c>
      <c r="E223" s="167" t="s">
        <v>3015</v>
      </c>
      <c r="F223" s="167" t="s">
        <v>3015</v>
      </c>
      <c r="G223" s="167" t="s">
        <v>3015</v>
      </c>
      <c r="H223" s="167" t="s">
        <v>3015</v>
      </c>
      <c r="I223" s="167" t="s">
        <v>3015</v>
      </c>
      <c r="J223" s="167" t="s">
        <v>3015</v>
      </c>
      <c r="K223" s="167" t="s">
        <v>3015</v>
      </c>
      <c r="L223" s="167" t="s">
        <v>3015</v>
      </c>
      <c r="M223" s="167" t="s">
        <v>3015</v>
      </c>
      <c r="N223" s="167" t="s">
        <v>3015</v>
      </c>
      <c r="O223" s="167" t="s">
        <v>3015</v>
      </c>
      <c r="P223" s="167">
        <v>2.7</v>
      </c>
      <c r="Q223" s="167">
        <v>3.4</v>
      </c>
      <c r="R223" s="167">
        <v>3.4</v>
      </c>
      <c r="S223" s="167">
        <v>2.7</v>
      </c>
      <c r="T223" s="167">
        <v>2.4</v>
      </c>
      <c r="U223" s="167">
        <v>2.5</v>
      </c>
      <c r="V223" s="167">
        <v>2.5</v>
      </c>
      <c r="W223" s="167">
        <v>2.5</v>
      </c>
      <c r="X223" s="167">
        <v>2.5</v>
      </c>
      <c r="Y223" s="167">
        <v>2.4</v>
      </c>
      <c r="Z223" s="167">
        <f>_xlfn.IFNA(VLOOKUP(C223,'INFORM Severity - hidden'!$C$5:$G$155,5,FALSE),"-")</f>
        <v>2.4</v>
      </c>
      <c r="AA223" s="167" t="s">
        <v>3015</v>
      </c>
      <c r="AB223" s="167" t="s">
        <v>3015</v>
      </c>
    </row>
    <row r="224" spans="1:28" x14ac:dyDescent="0.3">
      <c r="A224" s="11" t="s">
        <v>253</v>
      </c>
      <c r="B224" s="11" t="s">
        <v>3168</v>
      </c>
      <c r="C224" s="11" t="s">
        <v>3169</v>
      </c>
      <c r="D224" s="166" t="str">
        <f t="shared" si="3"/>
        <v>-</v>
      </c>
      <c r="E224" s="167" t="s">
        <v>3015</v>
      </c>
      <c r="F224" s="167" t="s">
        <v>3015</v>
      </c>
      <c r="G224" s="167" t="s">
        <v>3015</v>
      </c>
      <c r="H224" s="167" t="s">
        <v>3015</v>
      </c>
      <c r="I224" s="167" t="s">
        <v>3015</v>
      </c>
      <c r="J224" s="167" t="s">
        <v>3015</v>
      </c>
      <c r="K224" s="167" t="s">
        <v>3015</v>
      </c>
      <c r="L224" s="167" t="s">
        <v>3015</v>
      </c>
      <c r="M224" s="167" t="s">
        <v>3015</v>
      </c>
      <c r="N224" s="167" t="s">
        <v>3015</v>
      </c>
      <c r="O224" s="167" t="s">
        <v>3015</v>
      </c>
      <c r="P224" s="167" t="s">
        <v>3015</v>
      </c>
      <c r="Q224" s="167" t="s">
        <v>3015</v>
      </c>
      <c r="R224" s="167" t="s">
        <v>3015</v>
      </c>
      <c r="S224" s="167" t="s">
        <v>3015</v>
      </c>
      <c r="T224" s="167" t="s">
        <v>3015</v>
      </c>
      <c r="U224" s="167" t="s">
        <v>3015</v>
      </c>
      <c r="V224" s="167" t="s">
        <v>3015</v>
      </c>
      <c r="W224" s="167" t="s">
        <v>3015</v>
      </c>
      <c r="X224" s="167" t="s">
        <v>3015</v>
      </c>
      <c r="Y224" s="167" t="s">
        <v>3015</v>
      </c>
      <c r="Z224" s="167" t="str">
        <f>_xlfn.IFNA(VLOOKUP(C224,'INFORM Severity - hidden'!$C$5:$G$155,5,FALSE),"-")</f>
        <v>-</v>
      </c>
      <c r="AA224" s="167" t="s">
        <v>3015</v>
      </c>
      <c r="AB224" s="167" t="s">
        <v>3015</v>
      </c>
    </row>
    <row r="225" spans="1:28" x14ac:dyDescent="0.3">
      <c r="A225" s="11" t="s">
        <v>253</v>
      </c>
      <c r="B225" s="11" t="s">
        <v>908</v>
      </c>
      <c r="C225" s="11" t="s">
        <v>1179</v>
      </c>
      <c r="D225" s="166" t="str">
        <f t="shared" si="3"/>
        <v>Stable</v>
      </c>
      <c r="E225" s="167" t="s">
        <v>3015</v>
      </c>
      <c r="F225" s="167" t="s">
        <v>3015</v>
      </c>
      <c r="G225" s="167">
        <v>1.1000000000000001</v>
      </c>
      <c r="H225" s="167">
        <v>1.8</v>
      </c>
      <c r="I225" s="167">
        <v>2</v>
      </c>
      <c r="J225" s="167">
        <v>1.8</v>
      </c>
      <c r="K225" s="167">
        <v>2.2000000000000002</v>
      </c>
      <c r="L225" s="167">
        <v>2.2000000000000002</v>
      </c>
      <c r="M225" s="167">
        <v>2.1</v>
      </c>
      <c r="N225" s="167">
        <v>2.1</v>
      </c>
      <c r="O225" s="167">
        <v>2.2000000000000002</v>
      </c>
      <c r="P225" s="167">
        <v>2.2000000000000002</v>
      </c>
      <c r="Q225" s="167">
        <v>2.4</v>
      </c>
      <c r="R225" s="167">
        <v>2.4</v>
      </c>
      <c r="S225" s="167">
        <v>2.4</v>
      </c>
      <c r="T225" s="167">
        <v>2.2000000000000002</v>
      </c>
      <c r="U225" s="167">
        <v>2.2000000000000002</v>
      </c>
      <c r="V225" s="167">
        <v>2.2000000000000002</v>
      </c>
      <c r="W225" s="167">
        <v>2.2000000000000002</v>
      </c>
      <c r="X225" s="167">
        <v>2.2000000000000002</v>
      </c>
      <c r="Y225" s="167">
        <v>2.2000000000000002</v>
      </c>
      <c r="Z225" s="167">
        <f>_xlfn.IFNA(VLOOKUP(C225,'INFORM Severity - hidden'!$C$5:$G$155,5,FALSE),"-")</f>
        <v>2.2000000000000002</v>
      </c>
      <c r="AA225" s="167" t="s">
        <v>3015</v>
      </c>
      <c r="AB225" s="167" t="s">
        <v>3015</v>
      </c>
    </row>
    <row r="226" spans="1:28" x14ac:dyDescent="0.3">
      <c r="A226" s="11" t="s">
        <v>253</v>
      </c>
      <c r="B226" s="11" t="s">
        <v>1824</v>
      </c>
      <c r="C226" s="11" t="s">
        <v>1825</v>
      </c>
      <c r="D226" s="166" t="str">
        <f t="shared" si="3"/>
        <v>Decreasing</v>
      </c>
      <c r="E226" s="167" t="s">
        <v>3015</v>
      </c>
      <c r="F226" s="167" t="s">
        <v>3015</v>
      </c>
      <c r="G226" s="167" t="s">
        <v>3015</v>
      </c>
      <c r="H226" s="167" t="s">
        <v>3015</v>
      </c>
      <c r="I226" s="167" t="s">
        <v>3015</v>
      </c>
      <c r="J226" s="167" t="s">
        <v>3015</v>
      </c>
      <c r="K226" s="167" t="s">
        <v>3015</v>
      </c>
      <c r="L226" s="167" t="s">
        <v>3015</v>
      </c>
      <c r="M226" s="167" t="s">
        <v>3015</v>
      </c>
      <c r="N226" s="167" t="s">
        <v>3015</v>
      </c>
      <c r="O226" s="167" t="s">
        <v>3015</v>
      </c>
      <c r="P226" s="167">
        <v>2.1</v>
      </c>
      <c r="Q226" s="167">
        <v>2.1</v>
      </c>
      <c r="R226" s="167">
        <v>2.1</v>
      </c>
      <c r="S226" s="167">
        <v>2.1</v>
      </c>
      <c r="T226" s="167">
        <v>2.1</v>
      </c>
      <c r="U226" s="167">
        <v>2.1</v>
      </c>
      <c r="V226" s="167">
        <v>2.1</v>
      </c>
      <c r="W226" s="167">
        <v>2.1</v>
      </c>
      <c r="X226" s="167">
        <v>2</v>
      </c>
      <c r="Y226" s="167">
        <v>1.8</v>
      </c>
      <c r="Z226" s="167">
        <f>_xlfn.IFNA(VLOOKUP(C226,'INFORM Severity - hidden'!$C$5:$G$155,5,FALSE),"-")</f>
        <v>1.8</v>
      </c>
      <c r="AA226" s="167" t="s">
        <v>3015</v>
      </c>
      <c r="AB226" s="167" t="s">
        <v>3015</v>
      </c>
    </row>
    <row r="227" spans="1:28" x14ac:dyDescent="0.3">
      <c r="A227" s="11" t="s">
        <v>253</v>
      </c>
      <c r="B227" s="11" t="s">
        <v>1827</v>
      </c>
      <c r="C227" s="11" t="s">
        <v>3212</v>
      </c>
      <c r="D227" s="166" t="str">
        <f t="shared" si="3"/>
        <v>-</v>
      </c>
      <c r="E227" s="167" t="s">
        <v>3015</v>
      </c>
      <c r="F227" s="167" t="s">
        <v>3015</v>
      </c>
      <c r="G227" s="167" t="s">
        <v>3015</v>
      </c>
      <c r="H227" s="167" t="s">
        <v>3015</v>
      </c>
      <c r="I227" s="167" t="s">
        <v>3015</v>
      </c>
      <c r="J227" s="167" t="s">
        <v>3015</v>
      </c>
      <c r="K227" s="167" t="s">
        <v>3015</v>
      </c>
      <c r="L227" s="167" t="s">
        <v>3015</v>
      </c>
      <c r="M227" s="167" t="s">
        <v>3015</v>
      </c>
      <c r="N227" s="167" t="s">
        <v>3015</v>
      </c>
      <c r="O227" s="167" t="s">
        <v>3015</v>
      </c>
      <c r="P227" s="167">
        <v>1.8</v>
      </c>
      <c r="Q227" s="167">
        <v>1.7</v>
      </c>
      <c r="R227" s="167">
        <v>1.7</v>
      </c>
      <c r="S227" s="167" t="s">
        <v>3015</v>
      </c>
      <c r="T227" s="167" t="s">
        <v>3015</v>
      </c>
      <c r="U227" s="167" t="s">
        <v>3015</v>
      </c>
      <c r="V227" s="167" t="s">
        <v>3015</v>
      </c>
      <c r="W227" s="167" t="s">
        <v>3015</v>
      </c>
      <c r="X227" s="167" t="s">
        <v>3015</v>
      </c>
      <c r="Y227" s="167" t="s">
        <v>3015</v>
      </c>
      <c r="Z227" s="167" t="str">
        <f>_xlfn.IFNA(VLOOKUP(C227,'INFORM Severity - hidden'!$C$5:$G$155,5,FALSE),"-")</f>
        <v>-</v>
      </c>
      <c r="AA227" s="167" t="s">
        <v>3015</v>
      </c>
      <c r="AB227" s="167" t="s">
        <v>3015</v>
      </c>
    </row>
    <row r="228" spans="1:28" x14ac:dyDescent="0.3">
      <c r="A228" s="11" t="s">
        <v>253</v>
      </c>
      <c r="B228" s="11" t="s">
        <v>1915</v>
      </c>
      <c r="C228" s="11" t="s">
        <v>1916</v>
      </c>
      <c r="D228" s="166" t="str">
        <f t="shared" si="3"/>
        <v>-</v>
      </c>
      <c r="E228" s="167" t="s">
        <v>3015</v>
      </c>
      <c r="F228" s="167" t="s">
        <v>3015</v>
      </c>
      <c r="G228" s="167" t="s">
        <v>3015</v>
      </c>
      <c r="H228" s="167" t="s">
        <v>3015</v>
      </c>
      <c r="I228" s="167" t="s">
        <v>3015</v>
      </c>
      <c r="J228" s="167" t="s">
        <v>3015</v>
      </c>
      <c r="K228" s="167" t="s">
        <v>3015</v>
      </c>
      <c r="L228" s="167" t="s">
        <v>3015</v>
      </c>
      <c r="M228" s="167" t="s">
        <v>3015</v>
      </c>
      <c r="N228" s="167" t="s">
        <v>3015</v>
      </c>
      <c r="O228" s="167" t="s">
        <v>3015</v>
      </c>
      <c r="P228" s="167" t="s">
        <v>3015</v>
      </c>
      <c r="Q228" s="167">
        <v>3.1</v>
      </c>
      <c r="R228" s="167">
        <v>3.1</v>
      </c>
      <c r="S228" s="167">
        <v>2.1</v>
      </c>
      <c r="T228" s="167" t="s">
        <v>3015</v>
      </c>
      <c r="U228" s="167" t="s">
        <v>3015</v>
      </c>
      <c r="V228" s="167" t="s">
        <v>3015</v>
      </c>
      <c r="W228" s="167" t="s">
        <v>3015</v>
      </c>
      <c r="X228" s="167" t="s">
        <v>3015</v>
      </c>
      <c r="Y228" s="167" t="s">
        <v>3015</v>
      </c>
      <c r="Z228" s="167" t="str">
        <f>_xlfn.IFNA(VLOOKUP(C228,'INFORM Severity - hidden'!$C$5:$G$155,5,FALSE),"-")</f>
        <v>-</v>
      </c>
      <c r="AA228" s="167" t="s">
        <v>3015</v>
      </c>
      <c r="AB228" s="167" t="s">
        <v>3015</v>
      </c>
    </row>
    <row r="229" spans="1:28" x14ac:dyDescent="0.3">
      <c r="A229" s="11" t="s">
        <v>253</v>
      </c>
      <c r="B229" s="11" t="s">
        <v>1938</v>
      </c>
      <c r="C229" s="11" t="s">
        <v>1939</v>
      </c>
      <c r="D229" s="166" t="str">
        <f t="shared" si="3"/>
        <v>-</v>
      </c>
      <c r="E229" s="167" t="s">
        <v>3015</v>
      </c>
      <c r="F229" s="167" t="s">
        <v>3015</v>
      </c>
      <c r="G229" s="167" t="s">
        <v>3015</v>
      </c>
      <c r="H229" s="167" t="s">
        <v>3015</v>
      </c>
      <c r="I229" s="167" t="s">
        <v>3015</v>
      </c>
      <c r="J229" s="167" t="s">
        <v>3015</v>
      </c>
      <c r="K229" s="167" t="s">
        <v>3015</v>
      </c>
      <c r="L229" s="167" t="s">
        <v>3015</v>
      </c>
      <c r="M229" s="167" t="s">
        <v>3015</v>
      </c>
      <c r="N229" s="167" t="s">
        <v>3015</v>
      </c>
      <c r="O229" s="167" t="s">
        <v>3015</v>
      </c>
      <c r="P229" s="167" t="s">
        <v>3015</v>
      </c>
      <c r="Q229" s="167">
        <v>2</v>
      </c>
      <c r="R229" s="167">
        <v>2</v>
      </c>
      <c r="S229" s="167">
        <v>1.5</v>
      </c>
      <c r="T229" s="167" t="s">
        <v>3015</v>
      </c>
      <c r="U229" s="167" t="s">
        <v>3015</v>
      </c>
      <c r="V229" s="167" t="s">
        <v>3015</v>
      </c>
      <c r="W229" s="167" t="s">
        <v>3015</v>
      </c>
      <c r="X229" s="167" t="s">
        <v>3015</v>
      </c>
      <c r="Y229" s="167" t="s">
        <v>3015</v>
      </c>
      <c r="Z229" s="167" t="str">
        <f>_xlfn.IFNA(VLOOKUP(C229,'INFORM Severity - hidden'!$C$5:$G$155,5,FALSE),"-")</f>
        <v>-</v>
      </c>
      <c r="AA229" s="167" t="s">
        <v>3015</v>
      </c>
      <c r="AB229" s="167" t="s">
        <v>3015</v>
      </c>
    </row>
    <row r="230" spans="1:28" x14ac:dyDescent="0.3">
      <c r="A230" s="11" t="s">
        <v>253</v>
      </c>
      <c r="B230" s="11" t="s">
        <v>2511</v>
      </c>
      <c r="C230" s="11" t="s">
        <v>2593</v>
      </c>
      <c r="D230" s="166" t="str">
        <f t="shared" si="3"/>
        <v>-</v>
      </c>
      <c r="E230" s="167" t="s">
        <v>3015</v>
      </c>
      <c r="F230" s="167" t="s">
        <v>3015</v>
      </c>
      <c r="G230" s="167" t="s">
        <v>3015</v>
      </c>
      <c r="H230" s="167" t="s">
        <v>3015</v>
      </c>
      <c r="I230" s="167" t="s">
        <v>3015</v>
      </c>
      <c r="J230" s="167" t="s">
        <v>3015</v>
      </c>
      <c r="K230" s="167" t="s">
        <v>3015</v>
      </c>
      <c r="L230" s="167" t="s">
        <v>3015</v>
      </c>
      <c r="M230" s="167" t="s">
        <v>3015</v>
      </c>
      <c r="N230" s="167" t="s">
        <v>3015</v>
      </c>
      <c r="O230" s="167" t="s">
        <v>3015</v>
      </c>
      <c r="P230" s="167" t="s">
        <v>3015</v>
      </c>
      <c r="Q230" s="167" t="s">
        <v>3015</v>
      </c>
      <c r="R230" s="167" t="s">
        <v>3015</v>
      </c>
      <c r="S230" s="167" t="s">
        <v>3015</v>
      </c>
      <c r="T230" s="167" t="s">
        <v>3015</v>
      </c>
      <c r="U230" s="167" t="s">
        <v>393</v>
      </c>
      <c r="V230" s="167" t="s">
        <v>393</v>
      </c>
      <c r="W230" s="167" t="s">
        <v>393</v>
      </c>
      <c r="X230" s="167" t="s">
        <v>393</v>
      </c>
      <c r="Y230" s="167" t="s">
        <v>3015</v>
      </c>
      <c r="Z230" s="167" t="str">
        <f>_xlfn.IFNA(VLOOKUP(C230,'INFORM Severity - hidden'!$C$5:$G$155,5,FALSE),"-")</f>
        <v>-</v>
      </c>
      <c r="AA230" s="167" t="s">
        <v>3015</v>
      </c>
      <c r="AB230" s="167" t="s">
        <v>3015</v>
      </c>
    </row>
    <row r="231" spans="1:28" x14ac:dyDescent="0.3">
      <c r="A231" s="11" t="s">
        <v>243</v>
      </c>
      <c r="B231" s="11" t="s">
        <v>914</v>
      </c>
      <c r="C231" s="11" t="s">
        <v>3099</v>
      </c>
      <c r="D231" s="166" t="str">
        <f t="shared" si="3"/>
        <v>-</v>
      </c>
      <c r="E231" s="167" t="s">
        <v>3015</v>
      </c>
      <c r="F231" s="167" t="s">
        <v>3015</v>
      </c>
      <c r="G231" s="167" t="s">
        <v>3015</v>
      </c>
      <c r="H231" s="167" t="s">
        <v>3015</v>
      </c>
      <c r="I231" s="167" t="s">
        <v>3015</v>
      </c>
      <c r="J231" s="167" t="s">
        <v>3015</v>
      </c>
      <c r="K231" s="167" t="s">
        <v>3015</v>
      </c>
      <c r="L231" s="167" t="s">
        <v>3015</v>
      </c>
      <c r="M231" s="167" t="s">
        <v>3015</v>
      </c>
      <c r="N231" s="167" t="s">
        <v>3015</v>
      </c>
      <c r="O231" s="167" t="s">
        <v>3015</v>
      </c>
      <c r="P231" s="167" t="s">
        <v>3015</v>
      </c>
      <c r="Q231" s="167" t="s">
        <v>3015</v>
      </c>
      <c r="R231" s="167" t="s">
        <v>3015</v>
      </c>
      <c r="S231" s="167" t="s">
        <v>3015</v>
      </c>
      <c r="T231" s="167" t="s">
        <v>3015</v>
      </c>
      <c r="U231" s="167" t="s">
        <v>3015</v>
      </c>
      <c r="V231" s="167" t="s">
        <v>3015</v>
      </c>
      <c r="W231" s="167" t="s">
        <v>3015</v>
      </c>
      <c r="X231" s="167" t="s">
        <v>3015</v>
      </c>
      <c r="Y231" s="167" t="s">
        <v>3015</v>
      </c>
      <c r="Z231" s="167" t="str">
        <f>_xlfn.IFNA(VLOOKUP(C231,'INFORM Severity - hidden'!$C$5:$G$155,5,FALSE),"-")</f>
        <v>-</v>
      </c>
      <c r="AA231" s="167" t="s">
        <v>3015</v>
      </c>
      <c r="AB231" s="167" t="s">
        <v>3015</v>
      </c>
    </row>
    <row r="232" spans="1:28" x14ac:dyDescent="0.3">
      <c r="A232" s="11" t="s">
        <v>247</v>
      </c>
      <c r="B232" s="11" t="s">
        <v>914</v>
      </c>
      <c r="C232" s="11" t="s">
        <v>3102</v>
      </c>
      <c r="D232" s="166" t="str">
        <f t="shared" si="3"/>
        <v>-</v>
      </c>
      <c r="E232" s="167" t="s">
        <v>3015</v>
      </c>
      <c r="F232" s="167" t="s">
        <v>3015</v>
      </c>
      <c r="G232" s="167" t="s">
        <v>3015</v>
      </c>
      <c r="H232" s="167" t="s">
        <v>3015</v>
      </c>
      <c r="I232" s="167" t="s">
        <v>3015</v>
      </c>
      <c r="J232" s="167" t="s">
        <v>3015</v>
      </c>
      <c r="K232" s="167" t="s">
        <v>3015</v>
      </c>
      <c r="L232" s="167" t="s">
        <v>3015</v>
      </c>
      <c r="M232" s="167" t="s">
        <v>3015</v>
      </c>
      <c r="N232" s="167" t="s">
        <v>3015</v>
      </c>
      <c r="O232" s="167" t="s">
        <v>3015</v>
      </c>
      <c r="P232" s="167" t="s">
        <v>3015</v>
      </c>
      <c r="Q232" s="167" t="s">
        <v>3015</v>
      </c>
      <c r="R232" s="167" t="s">
        <v>3015</v>
      </c>
      <c r="S232" s="167" t="s">
        <v>3015</v>
      </c>
      <c r="T232" s="167" t="s">
        <v>3015</v>
      </c>
      <c r="U232" s="167" t="s">
        <v>3015</v>
      </c>
      <c r="V232" s="167" t="s">
        <v>3015</v>
      </c>
      <c r="W232" s="167" t="s">
        <v>3015</v>
      </c>
      <c r="X232" s="167" t="s">
        <v>3015</v>
      </c>
      <c r="Y232" s="167" t="s">
        <v>3015</v>
      </c>
      <c r="Z232" s="167" t="str">
        <f>_xlfn.IFNA(VLOOKUP(C232,'INFORM Severity - hidden'!$C$5:$G$155,5,FALSE),"-")</f>
        <v>-</v>
      </c>
      <c r="AA232" s="167" t="s">
        <v>3015</v>
      </c>
      <c r="AB232" s="167" t="s">
        <v>3015</v>
      </c>
    </row>
    <row r="233" spans="1:28" x14ac:dyDescent="0.3">
      <c r="A233" s="11" t="s">
        <v>247</v>
      </c>
      <c r="B233" s="11" t="s">
        <v>1167</v>
      </c>
      <c r="C233" s="11" t="s">
        <v>3167</v>
      </c>
      <c r="D233" s="166" t="str">
        <f t="shared" si="3"/>
        <v>-</v>
      </c>
      <c r="E233" s="167" t="s">
        <v>3015</v>
      </c>
      <c r="F233" s="167" t="s">
        <v>393</v>
      </c>
      <c r="G233" s="167" t="s">
        <v>393</v>
      </c>
      <c r="H233" s="167" t="s">
        <v>393</v>
      </c>
      <c r="I233" s="167" t="s">
        <v>393</v>
      </c>
      <c r="J233" s="167" t="s">
        <v>393</v>
      </c>
      <c r="K233" s="167" t="s">
        <v>393</v>
      </c>
      <c r="L233" s="167" t="s">
        <v>393</v>
      </c>
      <c r="M233" s="167" t="s">
        <v>393</v>
      </c>
      <c r="N233" s="167" t="s">
        <v>393</v>
      </c>
      <c r="O233" s="167" t="s">
        <v>393</v>
      </c>
      <c r="P233" s="167" t="s">
        <v>393</v>
      </c>
      <c r="Q233" s="167" t="s">
        <v>3015</v>
      </c>
      <c r="R233" s="167" t="s">
        <v>3015</v>
      </c>
      <c r="S233" s="167" t="s">
        <v>3015</v>
      </c>
      <c r="T233" s="167" t="s">
        <v>3015</v>
      </c>
      <c r="U233" s="167" t="s">
        <v>3015</v>
      </c>
      <c r="V233" s="167" t="s">
        <v>3015</v>
      </c>
      <c r="W233" s="167" t="s">
        <v>3015</v>
      </c>
      <c r="X233" s="167" t="s">
        <v>3015</v>
      </c>
      <c r="Y233" s="167" t="s">
        <v>3015</v>
      </c>
      <c r="Z233" s="167" t="str">
        <f>_xlfn.IFNA(VLOOKUP(C233,'INFORM Severity - hidden'!$C$5:$G$155,5,FALSE),"-")</f>
        <v>-</v>
      </c>
      <c r="AA233" s="167" t="s">
        <v>3015</v>
      </c>
      <c r="AB233" s="167" t="s">
        <v>3015</v>
      </c>
    </row>
    <row r="234" spans="1:28" x14ac:dyDescent="0.3">
      <c r="A234" s="11" t="s">
        <v>247</v>
      </c>
      <c r="B234" s="11" t="s">
        <v>3214</v>
      </c>
      <c r="C234" s="11" t="s">
        <v>3215</v>
      </c>
      <c r="D234" s="166" t="str">
        <f t="shared" si="3"/>
        <v>-</v>
      </c>
      <c r="E234" s="167" t="s">
        <v>3015</v>
      </c>
      <c r="F234" s="167" t="s">
        <v>3015</v>
      </c>
      <c r="G234" s="167" t="s">
        <v>3015</v>
      </c>
      <c r="H234" s="167" t="s">
        <v>3015</v>
      </c>
      <c r="I234" s="167" t="s">
        <v>3015</v>
      </c>
      <c r="J234" s="167" t="s">
        <v>3015</v>
      </c>
      <c r="K234" s="167" t="s">
        <v>3015</v>
      </c>
      <c r="L234" s="167" t="s">
        <v>3015</v>
      </c>
      <c r="M234" s="167" t="s">
        <v>3015</v>
      </c>
      <c r="N234" s="167" t="s">
        <v>3015</v>
      </c>
      <c r="O234" s="167" t="s">
        <v>3015</v>
      </c>
      <c r="P234" s="167" t="s">
        <v>3015</v>
      </c>
      <c r="Q234" s="167" t="s">
        <v>3015</v>
      </c>
      <c r="R234" s="167" t="s">
        <v>3015</v>
      </c>
      <c r="S234" s="167" t="s">
        <v>3015</v>
      </c>
      <c r="T234" s="167" t="s">
        <v>3015</v>
      </c>
      <c r="U234" s="167" t="s">
        <v>3015</v>
      </c>
      <c r="V234" s="167" t="s">
        <v>3015</v>
      </c>
      <c r="W234" s="167" t="s">
        <v>3015</v>
      </c>
      <c r="X234" s="167" t="s">
        <v>3015</v>
      </c>
      <c r="Y234" s="167" t="s">
        <v>3015</v>
      </c>
      <c r="Z234" s="167" t="str">
        <f>_xlfn.IFNA(VLOOKUP(C234,'INFORM Severity - hidden'!$C$5:$G$155,5,FALSE),"-")</f>
        <v>-</v>
      </c>
      <c r="AA234" s="167" t="s">
        <v>3015</v>
      </c>
      <c r="AB234" s="167" t="s">
        <v>3015</v>
      </c>
    </row>
    <row r="235" spans="1:28" x14ac:dyDescent="0.3">
      <c r="A235" s="11" t="s">
        <v>574</v>
      </c>
      <c r="B235" s="11" t="s">
        <v>1081</v>
      </c>
      <c r="C235" s="11" t="s">
        <v>580</v>
      </c>
      <c r="D235" s="166" t="str">
        <f t="shared" si="3"/>
        <v>Stable</v>
      </c>
      <c r="E235" s="167">
        <v>3.6</v>
      </c>
      <c r="F235" s="167">
        <v>3.6</v>
      </c>
      <c r="G235" s="167">
        <v>3.6</v>
      </c>
      <c r="H235" s="167">
        <v>3.9</v>
      </c>
      <c r="I235" s="167">
        <v>3.9</v>
      </c>
      <c r="J235" s="167">
        <v>3.9</v>
      </c>
      <c r="K235" s="167">
        <v>3.9</v>
      </c>
      <c r="L235" s="167">
        <v>3.9</v>
      </c>
      <c r="M235" s="167">
        <v>3.9</v>
      </c>
      <c r="N235" s="167">
        <v>4.0999999999999996</v>
      </c>
      <c r="O235" s="167">
        <v>4.0999999999999996</v>
      </c>
      <c r="P235" s="167">
        <v>4.0999999999999996</v>
      </c>
      <c r="Q235" s="167">
        <v>4.0999999999999996</v>
      </c>
      <c r="R235" s="167">
        <v>4.0999999999999996</v>
      </c>
      <c r="S235" s="167">
        <v>4.0999999999999996</v>
      </c>
      <c r="T235" s="167">
        <v>4.0999999999999996</v>
      </c>
      <c r="U235" s="167">
        <v>4.0999999999999996</v>
      </c>
      <c r="V235" s="167">
        <v>4.0999999999999996</v>
      </c>
      <c r="W235" s="167">
        <v>4.0999999999999996</v>
      </c>
      <c r="X235" s="167">
        <v>4.0999999999999996</v>
      </c>
      <c r="Y235" s="167">
        <v>4.0999999999999996</v>
      </c>
      <c r="Z235" s="167">
        <f>_xlfn.IFNA(VLOOKUP(C235,'INFORM Severity - hidden'!$C$5:$G$155,5,FALSE),"-")</f>
        <v>4.0999999999999996</v>
      </c>
      <c r="AA235" s="167" t="s">
        <v>3015</v>
      </c>
      <c r="AB235" s="167" t="s">
        <v>3015</v>
      </c>
    </row>
    <row r="236" spans="1:28" x14ac:dyDescent="0.3">
      <c r="A236" s="11" t="s">
        <v>249</v>
      </c>
      <c r="B236" s="11" t="s">
        <v>914</v>
      </c>
      <c r="C236" s="11" t="s">
        <v>3103</v>
      </c>
      <c r="D236" s="166" t="str">
        <f t="shared" si="3"/>
        <v>-</v>
      </c>
      <c r="E236" s="167" t="s">
        <v>3015</v>
      </c>
      <c r="F236" s="167" t="s">
        <v>3015</v>
      </c>
      <c r="G236" s="167" t="s">
        <v>3015</v>
      </c>
      <c r="H236" s="167" t="s">
        <v>3015</v>
      </c>
      <c r="I236" s="167" t="s">
        <v>3015</v>
      </c>
      <c r="J236" s="167" t="s">
        <v>3015</v>
      </c>
      <c r="K236" s="167" t="s">
        <v>3015</v>
      </c>
      <c r="L236" s="167" t="s">
        <v>3015</v>
      </c>
      <c r="M236" s="167" t="s">
        <v>3015</v>
      </c>
      <c r="N236" s="167" t="s">
        <v>3015</v>
      </c>
      <c r="O236" s="167" t="s">
        <v>3015</v>
      </c>
      <c r="P236" s="167" t="s">
        <v>3015</v>
      </c>
      <c r="Q236" s="167" t="s">
        <v>3015</v>
      </c>
      <c r="R236" s="167" t="s">
        <v>3015</v>
      </c>
      <c r="S236" s="167" t="s">
        <v>3015</v>
      </c>
      <c r="T236" s="167" t="s">
        <v>3015</v>
      </c>
      <c r="U236" s="167" t="s">
        <v>3015</v>
      </c>
      <c r="V236" s="167" t="s">
        <v>3015</v>
      </c>
      <c r="W236" s="167" t="s">
        <v>3015</v>
      </c>
      <c r="X236" s="167" t="s">
        <v>3015</v>
      </c>
      <c r="Y236" s="167" t="s">
        <v>3015</v>
      </c>
      <c r="Z236" s="167" t="str">
        <f>_xlfn.IFNA(VLOOKUP(C236,'INFORM Severity - hidden'!$C$5:$G$155,5,FALSE),"-")</f>
        <v>-</v>
      </c>
      <c r="AA236" s="167" t="s">
        <v>3015</v>
      </c>
      <c r="AB236" s="167" t="s">
        <v>3015</v>
      </c>
    </row>
    <row r="237" spans="1:28" x14ac:dyDescent="0.3">
      <c r="A237" s="11" t="s">
        <v>372</v>
      </c>
      <c r="B237" s="11" t="s">
        <v>914</v>
      </c>
      <c r="C237" s="11" t="s">
        <v>3100</v>
      </c>
      <c r="D237" s="166" t="str">
        <f t="shared" si="3"/>
        <v>-</v>
      </c>
      <c r="E237" s="167" t="s">
        <v>3015</v>
      </c>
      <c r="F237" s="167" t="s">
        <v>3015</v>
      </c>
      <c r="G237" s="167" t="s">
        <v>3015</v>
      </c>
      <c r="H237" s="167" t="s">
        <v>3015</v>
      </c>
      <c r="I237" s="167" t="s">
        <v>3015</v>
      </c>
      <c r="J237" s="167" t="s">
        <v>3015</v>
      </c>
      <c r="K237" s="167" t="s">
        <v>3015</v>
      </c>
      <c r="L237" s="167" t="s">
        <v>3015</v>
      </c>
      <c r="M237" s="167" t="s">
        <v>3015</v>
      </c>
      <c r="N237" s="167" t="s">
        <v>3015</v>
      </c>
      <c r="O237" s="167" t="s">
        <v>3015</v>
      </c>
      <c r="P237" s="167" t="s">
        <v>3015</v>
      </c>
      <c r="Q237" s="167" t="s">
        <v>3015</v>
      </c>
      <c r="R237" s="167" t="s">
        <v>3015</v>
      </c>
      <c r="S237" s="167" t="s">
        <v>3015</v>
      </c>
      <c r="T237" s="167" t="s">
        <v>3015</v>
      </c>
      <c r="U237" s="167" t="s">
        <v>3015</v>
      </c>
      <c r="V237" s="167" t="s">
        <v>3015</v>
      </c>
      <c r="W237" s="167" t="s">
        <v>3015</v>
      </c>
      <c r="X237" s="167" t="s">
        <v>3015</v>
      </c>
      <c r="Y237" s="167" t="s">
        <v>3015</v>
      </c>
      <c r="Z237" s="167" t="str">
        <f>_xlfn.IFNA(VLOOKUP(C237,'INFORM Severity - hidden'!$C$5:$G$155,5,FALSE),"-")</f>
        <v>-</v>
      </c>
      <c r="AA237" s="167" t="s">
        <v>3015</v>
      </c>
      <c r="AB237" s="167" t="s">
        <v>3015</v>
      </c>
    </row>
    <row r="238" spans="1:28" x14ac:dyDescent="0.3">
      <c r="A238" s="11" t="s">
        <v>372</v>
      </c>
      <c r="B238" s="11" t="s">
        <v>765</v>
      </c>
      <c r="C238" s="11" t="s">
        <v>658</v>
      </c>
      <c r="D238" s="166" t="str">
        <f t="shared" si="3"/>
        <v>Increasing</v>
      </c>
      <c r="E238" s="167" t="s">
        <v>3015</v>
      </c>
      <c r="F238" s="167" t="s">
        <v>3015</v>
      </c>
      <c r="G238" s="167" t="s">
        <v>3015</v>
      </c>
      <c r="H238" s="167">
        <v>3.8</v>
      </c>
      <c r="I238" s="167">
        <v>3.8</v>
      </c>
      <c r="J238" s="167">
        <v>3.8</v>
      </c>
      <c r="K238" s="167">
        <v>3.8</v>
      </c>
      <c r="L238" s="167">
        <v>3.8</v>
      </c>
      <c r="M238" s="167">
        <v>3.8</v>
      </c>
      <c r="N238" s="167">
        <v>3.8</v>
      </c>
      <c r="O238" s="167">
        <v>3.8</v>
      </c>
      <c r="P238" s="167">
        <v>3.8</v>
      </c>
      <c r="Q238" s="167">
        <v>3.8</v>
      </c>
      <c r="R238" s="167">
        <v>3.8</v>
      </c>
      <c r="S238" s="167">
        <v>3.8</v>
      </c>
      <c r="T238" s="167">
        <v>3.8</v>
      </c>
      <c r="U238" s="167">
        <v>3.8</v>
      </c>
      <c r="V238" s="167">
        <v>3.7</v>
      </c>
      <c r="W238" s="167">
        <v>3.7</v>
      </c>
      <c r="X238" s="167">
        <v>3.9</v>
      </c>
      <c r="Y238" s="167">
        <v>3.9</v>
      </c>
      <c r="Z238" s="167">
        <f>_xlfn.IFNA(VLOOKUP(C238,'INFORM Severity - hidden'!$C$5:$G$155,5,FALSE),"-")</f>
        <v>3.9</v>
      </c>
      <c r="AA238" s="167" t="s">
        <v>3015</v>
      </c>
      <c r="AB238" s="167" t="s">
        <v>3015</v>
      </c>
    </row>
    <row r="239" spans="1:28" x14ac:dyDescent="0.3">
      <c r="A239" s="11" t="s">
        <v>3057</v>
      </c>
      <c r="B239" s="11" t="s">
        <v>914</v>
      </c>
      <c r="C239" s="11" t="s">
        <v>3058</v>
      </c>
      <c r="D239" s="166" t="str">
        <f t="shared" si="3"/>
        <v>-</v>
      </c>
      <c r="E239" s="167" t="s">
        <v>3015</v>
      </c>
      <c r="F239" s="167" t="s">
        <v>3015</v>
      </c>
      <c r="G239" s="167" t="s">
        <v>3015</v>
      </c>
      <c r="H239" s="167" t="s">
        <v>3015</v>
      </c>
      <c r="I239" s="167" t="s">
        <v>3015</v>
      </c>
      <c r="J239" s="167" t="s">
        <v>3015</v>
      </c>
      <c r="K239" s="167" t="s">
        <v>3015</v>
      </c>
      <c r="L239" s="167" t="s">
        <v>3015</v>
      </c>
      <c r="M239" s="167" t="s">
        <v>3015</v>
      </c>
      <c r="N239" s="167" t="s">
        <v>3015</v>
      </c>
      <c r="O239" s="167" t="s">
        <v>3015</v>
      </c>
      <c r="P239" s="167" t="s">
        <v>3015</v>
      </c>
      <c r="Q239" s="167" t="s">
        <v>3015</v>
      </c>
      <c r="R239" s="167" t="s">
        <v>3015</v>
      </c>
      <c r="S239" s="167" t="s">
        <v>3015</v>
      </c>
      <c r="T239" s="167" t="s">
        <v>3015</v>
      </c>
      <c r="U239" s="167" t="s">
        <v>3015</v>
      </c>
      <c r="V239" s="167" t="s">
        <v>3015</v>
      </c>
      <c r="W239" s="167" t="s">
        <v>3015</v>
      </c>
      <c r="X239" s="167" t="s">
        <v>3015</v>
      </c>
      <c r="Y239" s="167" t="s">
        <v>3015</v>
      </c>
      <c r="Z239" s="167" t="str">
        <f>_xlfn.IFNA(VLOOKUP(C239,'INFORM Severity - hidden'!$C$5:$G$155,5,FALSE),"-")</f>
        <v>-</v>
      </c>
      <c r="AA239" s="167" t="s">
        <v>3015</v>
      </c>
      <c r="AB239" s="167" t="s">
        <v>3015</v>
      </c>
    </row>
    <row r="240" spans="1:28" x14ac:dyDescent="0.3">
      <c r="A240" s="11" t="s">
        <v>259</v>
      </c>
      <c r="B240" s="11" t="s">
        <v>914</v>
      </c>
      <c r="C240" s="11" t="s">
        <v>3105</v>
      </c>
      <c r="D240" s="166" t="str">
        <f t="shared" si="3"/>
        <v>-</v>
      </c>
      <c r="E240" s="167" t="s">
        <v>3015</v>
      </c>
      <c r="F240" s="167" t="s">
        <v>3015</v>
      </c>
      <c r="G240" s="167" t="s">
        <v>3015</v>
      </c>
      <c r="H240" s="167" t="s">
        <v>3015</v>
      </c>
      <c r="I240" s="167" t="s">
        <v>3015</v>
      </c>
      <c r="J240" s="167" t="s">
        <v>3015</v>
      </c>
      <c r="K240" s="167" t="s">
        <v>3015</v>
      </c>
      <c r="L240" s="167" t="s">
        <v>3015</v>
      </c>
      <c r="M240" s="167" t="s">
        <v>3015</v>
      </c>
      <c r="N240" s="167" t="s">
        <v>3015</v>
      </c>
      <c r="O240" s="167" t="s">
        <v>3015</v>
      </c>
      <c r="P240" s="167" t="s">
        <v>3015</v>
      </c>
      <c r="Q240" s="167" t="s">
        <v>3015</v>
      </c>
      <c r="R240" s="167" t="s">
        <v>3015</v>
      </c>
      <c r="S240" s="167" t="s">
        <v>3015</v>
      </c>
      <c r="T240" s="167" t="s">
        <v>3015</v>
      </c>
      <c r="U240" s="167" t="s">
        <v>3015</v>
      </c>
      <c r="V240" s="167" t="s">
        <v>3015</v>
      </c>
      <c r="W240" s="167" t="s">
        <v>3015</v>
      </c>
      <c r="X240" s="167" t="s">
        <v>3015</v>
      </c>
      <c r="Y240" s="167" t="s">
        <v>3015</v>
      </c>
      <c r="Z240" s="167" t="str">
        <f>_xlfn.IFNA(VLOOKUP(C240,'INFORM Severity - hidden'!$C$5:$G$155,5,FALSE),"-")</f>
        <v>-</v>
      </c>
      <c r="AA240" s="167" t="s">
        <v>3015</v>
      </c>
      <c r="AB240" s="167" t="s">
        <v>3015</v>
      </c>
    </row>
    <row r="241" spans="1:28" x14ac:dyDescent="0.3">
      <c r="A241" s="11" t="s">
        <v>1173</v>
      </c>
      <c r="B241" s="11" t="s">
        <v>1166</v>
      </c>
      <c r="C241" s="11" t="s">
        <v>1172</v>
      </c>
      <c r="D241" s="166" t="str">
        <f t="shared" si="3"/>
        <v>Stable</v>
      </c>
      <c r="E241" s="167" t="s">
        <v>3015</v>
      </c>
      <c r="F241" s="167" t="s">
        <v>3015</v>
      </c>
      <c r="G241" s="167">
        <v>4.2</v>
      </c>
      <c r="H241" s="167">
        <v>4.2</v>
      </c>
      <c r="I241" s="167">
        <v>4.2</v>
      </c>
      <c r="J241" s="167">
        <v>4.2</v>
      </c>
      <c r="K241" s="167" t="s">
        <v>3015</v>
      </c>
      <c r="L241" s="167">
        <v>4.2</v>
      </c>
      <c r="M241" s="167">
        <v>4.2</v>
      </c>
      <c r="N241" s="167">
        <v>4.3</v>
      </c>
      <c r="O241" s="167">
        <v>4.3</v>
      </c>
      <c r="P241" s="167">
        <v>4.3</v>
      </c>
      <c r="Q241" s="167">
        <v>4.3</v>
      </c>
      <c r="R241" s="167">
        <v>4.3</v>
      </c>
      <c r="S241" s="167">
        <v>4.3</v>
      </c>
      <c r="T241" s="167">
        <v>4.3</v>
      </c>
      <c r="U241" s="167">
        <v>4.0999999999999996</v>
      </c>
      <c r="V241" s="167">
        <v>4.0999999999999996</v>
      </c>
      <c r="W241" s="167">
        <v>4.0999999999999996</v>
      </c>
      <c r="X241" s="167">
        <v>4.0999999999999996</v>
      </c>
      <c r="Y241" s="167">
        <v>4.0999999999999996</v>
      </c>
      <c r="Z241" s="167">
        <f>_xlfn.IFNA(VLOOKUP(C241,'INFORM Severity - hidden'!$C$5:$G$155,5,FALSE),"-")</f>
        <v>4.0999999999999996</v>
      </c>
      <c r="AA241" s="167" t="s">
        <v>3015</v>
      </c>
      <c r="AB241" s="167" t="s">
        <v>3015</v>
      </c>
    </row>
    <row r="242" spans="1:28" x14ac:dyDescent="0.3">
      <c r="A242" s="11" t="s">
        <v>1362</v>
      </c>
      <c r="B242" s="11" t="s">
        <v>1202</v>
      </c>
      <c r="C242" s="11" t="s">
        <v>1204</v>
      </c>
      <c r="D242" s="166" t="str">
        <f t="shared" si="3"/>
        <v>Stable</v>
      </c>
      <c r="E242" s="167" t="s">
        <v>3015</v>
      </c>
      <c r="F242" s="167" t="s">
        <v>3015</v>
      </c>
      <c r="G242" s="167" t="s">
        <v>3015</v>
      </c>
      <c r="H242" s="167">
        <v>3.7</v>
      </c>
      <c r="I242" s="167">
        <v>3.7</v>
      </c>
      <c r="J242" s="167">
        <v>3.7</v>
      </c>
      <c r="K242" s="167" t="s">
        <v>3015</v>
      </c>
      <c r="L242" s="167">
        <v>3.7</v>
      </c>
      <c r="M242" s="167">
        <v>3.7</v>
      </c>
      <c r="N242" s="167">
        <v>3.6</v>
      </c>
      <c r="O242" s="167">
        <v>3.6</v>
      </c>
      <c r="P242" s="167">
        <v>3.6</v>
      </c>
      <c r="Q242" s="167">
        <v>3.5</v>
      </c>
      <c r="R242" s="167">
        <v>3.5</v>
      </c>
      <c r="S242" s="167">
        <v>3.6</v>
      </c>
      <c r="T242" s="167">
        <v>3.6</v>
      </c>
      <c r="U242" s="167">
        <v>3.6</v>
      </c>
      <c r="V242" s="167">
        <v>3.6</v>
      </c>
      <c r="W242" s="167">
        <v>3.6</v>
      </c>
      <c r="X242" s="167">
        <v>3.6</v>
      </c>
      <c r="Y242" s="167">
        <v>3.6</v>
      </c>
      <c r="Z242" s="167">
        <f>_xlfn.IFNA(VLOOKUP(C242,'INFORM Severity - hidden'!$C$5:$G$155,5,FALSE),"-")</f>
        <v>3.6</v>
      </c>
      <c r="AA242" s="167" t="s">
        <v>3015</v>
      </c>
      <c r="AB242" s="167" t="s">
        <v>3015</v>
      </c>
    </row>
    <row r="243" spans="1:28" x14ac:dyDescent="0.3">
      <c r="A243" s="11" t="s">
        <v>1236</v>
      </c>
      <c r="B243" s="11" t="s">
        <v>1234</v>
      </c>
      <c r="C243" s="11" t="s">
        <v>1235</v>
      </c>
      <c r="D243" s="166" t="str">
        <f t="shared" si="3"/>
        <v>-</v>
      </c>
      <c r="E243" s="167" t="s">
        <v>3015</v>
      </c>
      <c r="F243" s="167" t="s">
        <v>3015</v>
      </c>
      <c r="G243" s="167" t="s">
        <v>3015</v>
      </c>
      <c r="H243" s="167" t="s">
        <v>393</v>
      </c>
      <c r="I243" s="167" t="s">
        <v>393</v>
      </c>
      <c r="J243" s="167" t="s">
        <v>393</v>
      </c>
      <c r="K243" s="167" t="s">
        <v>3015</v>
      </c>
      <c r="L243" s="167" t="s">
        <v>393</v>
      </c>
      <c r="M243" s="167" t="s">
        <v>393</v>
      </c>
      <c r="N243" s="167" t="s">
        <v>393</v>
      </c>
      <c r="O243" s="167" t="s">
        <v>393</v>
      </c>
      <c r="P243" s="167" t="s">
        <v>393</v>
      </c>
      <c r="Q243" s="167" t="s">
        <v>393</v>
      </c>
      <c r="R243" s="167" t="s">
        <v>393</v>
      </c>
      <c r="S243" s="167" t="s">
        <v>393</v>
      </c>
      <c r="T243" s="167" t="s">
        <v>393</v>
      </c>
      <c r="U243" s="167" t="s">
        <v>393</v>
      </c>
      <c r="V243" s="167" t="s">
        <v>393</v>
      </c>
      <c r="W243" s="167" t="s">
        <v>393</v>
      </c>
      <c r="X243" s="167" t="s">
        <v>393</v>
      </c>
      <c r="Y243" s="167" t="s">
        <v>393</v>
      </c>
      <c r="Z243" s="167" t="str">
        <f>_xlfn.IFNA(VLOOKUP(C243,'INFORM Severity - hidden'!$C$5:$G$155,5,FALSE),"-")</f>
        <v>x</v>
      </c>
      <c r="AA243" s="167" t="s">
        <v>3015</v>
      </c>
      <c r="AB243" s="167" t="s">
        <v>3015</v>
      </c>
    </row>
    <row r="244" spans="1:28" x14ac:dyDescent="0.3">
      <c r="A244" s="11" t="s">
        <v>1258</v>
      </c>
      <c r="B244" s="11" t="s">
        <v>1250</v>
      </c>
      <c r="C244" s="11" t="s">
        <v>1254</v>
      </c>
      <c r="D244" s="166" t="str">
        <f t="shared" si="3"/>
        <v>Stable</v>
      </c>
      <c r="E244" s="167" t="s">
        <v>3015</v>
      </c>
      <c r="F244" s="167" t="s">
        <v>3015</v>
      </c>
      <c r="G244" s="167" t="s">
        <v>3015</v>
      </c>
      <c r="H244" s="167" t="s">
        <v>3015</v>
      </c>
      <c r="I244" s="167">
        <v>4.0999999999999996</v>
      </c>
      <c r="J244" s="167">
        <v>4.2</v>
      </c>
      <c r="K244" s="167" t="s">
        <v>3015</v>
      </c>
      <c r="L244" s="167">
        <v>4.2</v>
      </c>
      <c r="M244" s="167">
        <v>4.2</v>
      </c>
      <c r="N244" s="167">
        <v>4.2</v>
      </c>
      <c r="O244" s="167">
        <v>4.2</v>
      </c>
      <c r="P244" s="167">
        <v>4.2</v>
      </c>
      <c r="Q244" s="167">
        <v>4.2</v>
      </c>
      <c r="R244" s="167">
        <v>4.2</v>
      </c>
      <c r="S244" s="167">
        <v>4.2</v>
      </c>
      <c r="T244" s="167">
        <v>4.2</v>
      </c>
      <c r="U244" s="167">
        <v>4.2</v>
      </c>
      <c r="V244" s="167">
        <v>4.2</v>
      </c>
      <c r="W244" s="167">
        <v>4.2</v>
      </c>
      <c r="X244" s="167">
        <v>4.2</v>
      </c>
      <c r="Y244" s="167">
        <v>4.2</v>
      </c>
      <c r="Z244" s="167">
        <f>_xlfn.IFNA(VLOOKUP(C244,'INFORM Severity - hidden'!$C$5:$G$155,5,FALSE),"-")</f>
        <v>4.2</v>
      </c>
      <c r="AA244" s="167" t="s">
        <v>3015</v>
      </c>
      <c r="AB244" s="167" t="s">
        <v>3015</v>
      </c>
    </row>
    <row r="245" spans="1:28" x14ac:dyDescent="0.3">
      <c r="A245" s="11" t="s">
        <v>3181</v>
      </c>
      <c r="B245" s="11" t="s">
        <v>3182</v>
      </c>
      <c r="C245" s="11" t="s">
        <v>3183</v>
      </c>
      <c r="D245" s="166" t="str">
        <f t="shared" si="3"/>
        <v>-</v>
      </c>
      <c r="E245" s="167" t="s">
        <v>3015</v>
      </c>
      <c r="F245" s="167" t="s">
        <v>3015</v>
      </c>
      <c r="G245" s="167" t="s">
        <v>3015</v>
      </c>
      <c r="H245" s="167" t="s">
        <v>3015</v>
      </c>
      <c r="I245" s="167" t="s">
        <v>3015</v>
      </c>
      <c r="J245" s="167" t="s">
        <v>3015</v>
      </c>
      <c r="K245" s="167" t="s">
        <v>3015</v>
      </c>
      <c r="L245" s="167" t="s">
        <v>3015</v>
      </c>
      <c r="M245" s="167" t="s">
        <v>3015</v>
      </c>
      <c r="N245" s="167" t="s">
        <v>3015</v>
      </c>
      <c r="O245" s="167" t="s">
        <v>3015</v>
      </c>
      <c r="P245" s="167" t="s">
        <v>3015</v>
      </c>
      <c r="Q245" s="167" t="s">
        <v>3015</v>
      </c>
      <c r="R245" s="167" t="s">
        <v>3015</v>
      </c>
      <c r="S245" s="167" t="s">
        <v>3015</v>
      </c>
      <c r="T245" s="167" t="s">
        <v>3015</v>
      </c>
      <c r="U245" s="167" t="s">
        <v>3015</v>
      </c>
      <c r="V245" s="167" t="s">
        <v>3015</v>
      </c>
      <c r="W245" s="167" t="s">
        <v>3015</v>
      </c>
      <c r="X245" s="167" t="s">
        <v>3015</v>
      </c>
      <c r="Y245" s="167" t="s">
        <v>3015</v>
      </c>
      <c r="Z245" s="167" t="str">
        <f>_xlfn.IFNA(VLOOKUP(C245,'INFORM Severity - hidden'!$C$5:$G$155,5,FALSE),"-")</f>
        <v>-</v>
      </c>
      <c r="AA245" s="167" t="s">
        <v>3015</v>
      </c>
      <c r="AB245" s="167" t="s">
        <v>3015</v>
      </c>
    </row>
    <row r="246" spans="1:28" x14ac:dyDescent="0.3">
      <c r="A246" s="11" t="s">
        <v>1259</v>
      </c>
      <c r="B246" s="11" t="s">
        <v>1251</v>
      </c>
      <c r="C246" s="11" t="s">
        <v>1255</v>
      </c>
      <c r="D246" s="166" t="str">
        <f t="shared" si="3"/>
        <v>-</v>
      </c>
      <c r="E246" s="167" t="s">
        <v>3015</v>
      </c>
      <c r="F246" s="167" t="s">
        <v>3015</v>
      </c>
      <c r="G246" s="167" t="s">
        <v>3015</v>
      </c>
      <c r="H246" s="167" t="s">
        <v>3015</v>
      </c>
      <c r="I246" s="167" t="s">
        <v>393</v>
      </c>
      <c r="J246" s="167" t="s">
        <v>393</v>
      </c>
      <c r="K246" s="167" t="s">
        <v>393</v>
      </c>
      <c r="L246" s="167" t="s">
        <v>393</v>
      </c>
      <c r="M246" s="167" t="s">
        <v>393</v>
      </c>
      <c r="N246" s="167" t="s">
        <v>393</v>
      </c>
      <c r="O246" s="167" t="s">
        <v>393</v>
      </c>
      <c r="P246" s="167" t="s">
        <v>393</v>
      </c>
      <c r="Q246" s="167" t="s">
        <v>393</v>
      </c>
      <c r="R246" s="167" t="s">
        <v>393</v>
      </c>
      <c r="S246" s="167" t="s">
        <v>393</v>
      </c>
      <c r="T246" s="167" t="s">
        <v>393</v>
      </c>
      <c r="U246" s="167" t="s">
        <v>393</v>
      </c>
      <c r="V246" s="167" t="s">
        <v>393</v>
      </c>
      <c r="W246" s="167" t="s">
        <v>393</v>
      </c>
      <c r="X246" s="167" t="s">
        <v>393</v>
      </c>
      <c r="Y246" s="167" t="s">
        <v>393</v>
      </c>
      <c r="Z246" s="167" t="str">
        <f>_xlfn.IFNA(VLOOKUP(C246,'INFORM Severity - hidden'!$C$5:$G$155,5,FALSE),"-")</f>
        <v>x</v>
      </c>
      <c r="AA246" s="167" t="s">
        <v>3015</v>
      </c>
      <c r="AB246" s="167" t="s">
        <v>3015</v>
      </c>
    </row>
    <row r="247" spans="1:28" x14ac:dyDescent="0.3">
      <c r="A247" s="11" t="s">
        <v>1257</v>
      </c>
      <c r="B247" s="11" t="s">
        <v>1249</v>
      </c>
      <c r="C247" s="11" t="s">
        <v>1253</v>
      </c>
      <c r="D247" s="166" t="str">
        <f t="shared" si="3"/>
        <v>-</v>
      </c>
      <c r="E247" s="167" t="s">
        <v>3015</v>
      </c>
      <c r="F247" s="167" t="s">
        <v>3015</v>
      </c>
      <c r="G247" s="167" t="s">
        <v>3015</v>
      </c>
      <c r="H247" s="167" t="s">
        <v>393</v>
      </c>
      <c r="I247" s="167" t="s">
        <v>393</v>
      </c>
      <c r="J247" s="167" t="s">
        <v>393</v>
      </c>
      <c r="K247" s="167" t="s">
        <v>393</v>
      </c>
      <c r="L247" s="167" t="s">
        <v>393</v>
      </c>
      <c r="M247" s="167" t="s">
        <v>393</v>
      </c>
      <c r="N247" s="167" t="s">
        <v>393</v>
      </c>
      <c r="O247" s="167" t="s">
        <v>393</v>
      </c>
      <c r="P247" s="167" t="s">
        <v>393</v>
      </c>
      <c r="Q247" s="167" t="s">
        <v>393</v>
      </c>
      <c r="R247" s="167" t="s">
        <v>393</v>
      </c>
      <c r="S247" s="167" t="s">
        <v>393</v>
      </c>
      <c r="T247" s="167" t="s">
        <v>393</v>
      </c>
      <c r="U247" s="167" t="s">
        <v>393</v>
      </c>
      <c r="V247" s="167" t="s">
        <v>393</v>
      </c>
      <c r="W247" s="167" t="s">
        <v>393</v>
      </c>
      <c r="X247" s="167" t="s">
        <v>393</v>
      </c>
      <c r="Y247" s="167" t="s">
        <v>393</v>
      </c>
      <c r="Z247" s="167" t="str">
        <f>_xlfn.IFNA(VLOOKUP(C247,'INFORM Severity - hidden'!$C$5:$G$155,5,FALSE),"-")</f>
        <v>x</v>
      </c>
      <c r="AA247" s="167" t="s">
        <v>3015</v>
      </c>
      <c r="AB247" s="167" t="s">
        <v>3015</v>
      </c>
    </row>
    <row r="248" spans="1:28" x14ac:dyDescent="0.3">
      <c r="A248" s="11" t="s">
        <v>1256</v>
      </c>
      <c r="B248" s="11" t="s">
        <v>1248</v>
      </c>
      <c r="C248" s="11" t="s">
        <v>1252</v>
      </c>
      <c r="D248" s="166" t="str">
        <f t="shared" si="3"/>
        <v>-</v>
      </c>
      <c r="E248" s="167" t="s">
        <v>3015</v>
      </c>
      <c r="F248" s="167" t="s">
        <v>3015</v>
      </c>
      <c r="G248" s="167" t="s">
        <v>3015</v>
      </c>
      <c r="H248" s="167" t="s">
        <v>393</v>
      </c>
      <c r="I248" s="167" t="s">
        <v>393</v>
      </c>
      <c r="J248" s="167" t="s">
        <v>393</v>
      </c>
      <c r="K248" s="167" t="s">
        <v>393</v>
      </c>
      <c r="L248" s="167" t="s">
        <v>393</v>
      </c>
      <c r="M248" s="167" t="s">
        <v>393</v>
      </c>
      <c r="N248" s="167" t="s">
        <v>393</v>
      </c>
      <c r="O248" s="167" t="s">
        <v>393</v>
      </c>
      <c r="P248" s="167" t="s">
        <v>393</v>
      </c>
      <c r="Q248" s="167" t="s">
        <v>393</v>
      </c>
      <c r="R248" s="167" t="s">
        <v>393</v>
      </c>
      <c r="S248" s="167" t="s">
        <v>393</v>
      </c>
      <c r="T248" s="167" t="s">
        <v>393</v>
      </c>
      <c r="U248" s="167" t="s">
        <v>393</v>
      </c>
      <c r="V248" s="167" t="s">
        <v>393</v>
      </c>
      <c r="W248" s="167" t="s">
        <v>393</v>
      </c>
      <c r="X248" s="167" t="s">
        <v>393</v>
      </c>
      <c r="Y248" s="167" t="s">
        <v>393</v>
      </c>
      <c r="Z248" s="167" t="str">
        <f>_xlfn.IFNA(VLOOKUP(C248,'INFORM Severity - hidden'!$C$5:$G$155,5,FALSE),"-")</f>
        <v>x</v>
      </c>
      <c r="AA248" s="167" t="s">
        <v>3015</v>
      </c>
      <c r="AB248" s="167" t="s">
        <v>3015</v>
      </c>
    </row>
    <row r="249" spans="1:28" x14ac:dyDescent="0.3">
      <c r="A249" s="11" t="s">
        <v>3184</v>
      </c>
      <c r="B249" s="11" t="s">
        <v>3185</v>
      </c>
      <c r="C249" s="11" t="s">
        <v>3186</v>
      </c>
      <c r="D249" s="166" t="str">
        <f t="shared" si="3"/>
        <v>-</v>
      </c>
      <c r="E249" s="167" t="s">
        <v>3015</v>
      </c>
      <c r="F249" s="167" t="s">
        <v>3015</v>
      </c>
      <c r="G249" s="167" t="s">
        <v>3015</v>
      </c>
      <c r="H249" s="167" t="s">
        <v>3015</v>
      </c>
      <c r="I249" s="167" t="s">
        <v>3015</v>
      </c>
      <c r="J249" s="167" t="s">
        <v>3015</v>
      </c>
      <c r="K249" s="167" t="s">
        <v>3015</v>
      </c>
      <c r="L249" s="167" t="s">
        <v>3015</v>
      </c>
      <c r="M249" s="167" t="s">
        <v>3015</v>
      </c>
      <c r="N249" s="167" t="s">
        <v>3015</v>
      </c>
      <c r="O249" s="167" t="s">
        <v>3015</v>
      </c>
      <c r="P249" s="167" t="s">
        <v>3015</v>
      </c>
      <c r="Q249" s="167" t="s">
        <v>3015</v>
      </c>
      <c r="R249" s="167" t="s">
        <v>3015</v>
      </c>
      <c r="S249" s="167" t="s">
        <v>3015</v>
      </c>
      <c r="T249" s="167" t="s">
        <v>3015</v>
      </c>
      <c r="U249" s="167" t="s">
        <v>3015</v>
      </c>
      <c r="V249" s="167" t="s">
        <v>3015</v>
      </c>
      <c r="W249" s="167" t="s">
        <v>3015</v>
      </c>
      <c r="X249" s="167" t="s">
        <v>3015</v>
      </c>
      <c r="Y249" s="167" t="s">
        <v>3015</v>
      </c>
      <c r="Z249" s="167" t="str">
        <f>_xlfn.IFNA(VLOOKUP(C249,'INFORM Severity - hidden'!$C$5:$G$155,5,FALSE),"-")</f>
        <v>-</v>
      </c>
      <c r="AA249" s="167" t="s">
        <v>3015</v>
      </c>
      <c r="AB249" s="167" t="s">
        <v>3015</v>
      </c>
    </row>
    <row r="250" spans="1:28" x14ac:dyDescent="0.3">
      <c r="A250" s="11" t="s">
        <v>3187</v>
      </c>
      <c r="B250" s="11" t="s">
        <v>3188</v>
      </c>
      <c r="C250" s="11" t="s">
        <v>3189</v>
      </c>
      <c r="D250" s="166" t="str">
        <f t="shared" si="3"/>
        <v>-</v>
      </c>
      <c r="E250" s="167" t="s">
        <v>3015</v>
      </c>
      <c r="F250" s="167" t="s">
        <v>3015</v>
      </c>
      <c r="G250" s="167" t="s">
        <v>3015</v>
      </c>
      <c r="H250" s="167" t="s">
        <v>3015</v>
      </c>
      <c r="I250" s="167" t="s">
        <v>3015</v>
      </c>
      <c r="J250" s="167" t="s">
        <v>3015</v>
      </c>
      <c r="K250" s="167" t="s">
        <v>3015</v>
      </c>
      <c r="L250" s="167" t="s">
        <v>3015</v>
      </c>
      <c r="M250" s="167" t="s">
        <v>3015</v>
      </c>
      <c r="N250" s="167" t="s">
        <v>3015</v>
      </c>
      <c r="O250" s="167" t="s">
        <v>3015</v>
      </c>
      <c r="P250" s="167" t="s">
        <v>3015</v>
      </c>
      <c r="Q250" s="167" t="s">
        <v>3015</v>
      </c>
      <c r="R250" s="167" t="s">
        <v>3015</v>
      </c>
      <c r="S250" s="167" t="s">
        <v>3015</v>
      </c>
      <c r="T250" s="167" t="s">
        <v>3015</v>
      </c>
      <c r="U250" s="167" t="s">
        <v>3015</v>
      </c>
      <c r="V250" s="167" t="s">
        <v>3015</v>
      </c>
      <c r="W250" s="167" t="s">
        <v>3015</v>
      </c>
      <c r="X250" s="167" t="s">
        <v>3015</v>
      </c>
      <c r="Y250" s="167" t="s">
        <v>3015</v>
      </c>
      <c r="Z250" s="167" t="str">
        <f>_xlfn.IFNA(VLOOKUP(C250,'INFORM Severity - hidden'!$C$5:$G$155,5,FALSE),"-")</f>
        <v>-</v>
      </c>
      <c r="AA250" s="167" t="s">
        <v>3015</v>
      </c>
      <c r="AB250" s="167" t="s">
        <v>3015</v>
      </c>
    </row>
    <row r="251" spans="1:28" x14ac:dyDescent="0.3">
      <c r="A251" s="11" t="s">
        <v>1270</v>
      </c>
      <c r="B251" s="11" t="s">
        <v>1265</v>
      </c>
      <c r="C251" s="11" t="s">
        <v>1268</v>
      </c>
      <c r="D251" s="166" t="str">
        <f t="shared" si="3"/>
        <v>Decreasing</v>
      </c>
      <c r="E251" s="167" t="s">
        <v>3015</v>
      </c>
      <c r="F251" s="167" t="s">
        <v>3015</v>
      </c>
      <c r="G251" s="167" t="s">
        <v>3015</v>
      </c>
      <c r="H251" s="167">
        <v>3.5</v>
      </c>
      <c r="I251" s="167">
        <v>3.5</v>
      </c>
      <c r="J251" s="167">
        <v>3.5</v>
      </c>
      <c r="K251" s="167" t="s">
        <v>3015</v>
      </c>
      <c r="L251" s="167">
        <v>3.5</v>
      </c>
      <c r="M251" s="167">
        <v>3.5</v>
      </c>
      <c r="N251" s="167">
        <v>3.7</v>
      </c>
      <c r="O251" s="167">
        <v>3.7</v>
      </c>
      <c r="P251" s="167">
        <v>3.7</v>
      </c>
      <c r="Q251" s="167">
        <v>3.7</v>
      </c>
      <c r="R251" s="167">
        <v>3.7</v>
      </c>
      <c r="S251" s="167">
        <v>3.7</v>
      </c>
      <c r="T251" s="167">
        <v>3.7</v>
      </c>
      <c r="U251" s="167">
        <v>3.7</v>
      </c>
      <c r="V251" s="167">
        <v>3.7</v>
      </c>
      <c r="W251" s="167">
        <v>3.7</v>
      </c>
      <c r="X251" s="167">
        <v>3.7</v>
      </c>
      <c r="Y251" s="167">
        <v>3.6</v>
      </c>
      <c r="Z251" s="167">
        <f>_xlfn.IFNA(VLOOKUP(C251,'INFORM Severity - hidden'!$C$5:$G$155,5,FALSE),"-")</f>
        <v>3.6</v>
      </c>
      <c r="AA251" s="167" t="s">
        <v>3015</v>
      </c>
      <c r="AB251" s="167" t="s">
        <v>3015</v>
      </c>
    </row>
    <row r="252" spans="1:28" x14ac:dyDescent="0.3">
      <c r="A252" s="11" t="s">
        <v>2137</v>
      </c>
      <c r="B252" s="11" t="s">
        <v>2100</v>
      </c>
      <c r="C252" s="11" t="s">
        <v>2135</v>
      </c>
      <c r="D252" s="166" t="str">
        <f t="shared" si="3"/>
        <v>Stable</v>
      </c>
      <c r="E252" s="167" t="s">
        <v>3015</v>
      </c>
      <c r="F252" s="167" t="s">
        <v>3015</v>
      </c>
      <c r="G252" s="167" t="s">
        <v>3015</v>
      </c>
      <c r="H252" s="167" t="s">
        <v>3015</v>
      </c>
      <c r="I252" s="167" t="s">
        <v>3015</v>
      </c>
      <c r="J252" s="167" t="s">
        <v>3015</v>
      </c>
      <c r="K252" s="167" t="s">
        <v>3015</v>
      </c>
      <c r="L252" s="167" t="s">
        <v>3015</v>
      </c>
      <c r="M252" s="167" t="s">
        <v>3015</v>
      </c>
      <c r="N252" s="167" t="s">
        <v>3015</v>
      </c>
      <c r="O252" s="167" t="s">
        <v>3015</v>
      </c>
      <c r="P252" s="167" t="s">
        <v>3015</v>
      </c>
      <c r="Q252" s="167" t="s">
        <v>3015</v>
      </c>
      <c r="R252" s="167">
        <v>3.6</v>
      </c>
      <c r="S252" s="167">
        <v>3.5</v>
      </c>
      <c r="T252" s="167">
        <v>3.5</v>
      </c>
      <c r="U252" s="167">
        <v>3.5</v>
      </c>
      <c r="V252" s="167">
        <v>3.4</v>
      </c>
      <c r="W252" s="167">
        <v>3.5</v>
      </c>
      <c r="X252" s="167">
        <v>3.5</v>
      </c>
      <c r="Y252" s="167">
        <v>3.5</v>
      </c>
      <c r="Z252" s="167">
        <f>_xlfn.IFNA(VLOOKUP(C252,'INFORM Severity - hidden'!$C$5:$G$155,5,FALSE),"-")</f>
        <v>3.5</v>
      </c>
      <c r="AA252" s="167" t="s">
        <v>3015</v>
      </c>
      <c r="AB252" s="167" t="s">
        <v>3015</v>
      </c>
    </row>
    <row r="253" spans="1:28" x14ac:dyDescent="0.3">
      <c r="A253" s="11" t="s">
        <v>3817</v>
      </c>
      <c r="B253" s="11" t="s">
        <v>4011</v>
      </c>
      <c r="C253" s="11" t="s">
        <v>3820</v>
      </c>
      <c r="D253" s="166" t="str">
        <f t="shared" si="3"/>
        <v>-</v>
      </c>
      <c r="E253" s="167" t="s">
        <v>3015</v>
      </c>
      <c r="F253" s="167" t="s">
        <v>3015</v>
      </c>
      <c r="G253" s="167" t="s">
        <v>3015</v>
      </c>
      <c r="H253" s="167" t="s">
        <v>3015</v>
      </c>
      <c r="I253" s="167" t="s">
        <v>3015</v>
      </c>
      <c r="J253" s="167" t="s">
        <v>3015</v>
      </c>
      <c r="K253" s="167" t="s">
        <v>3015</v>
      </c>
      <c r="L253" s="167" t="s">
        <v>3015</v>
      </c>
      <c r="M253" s="167" t="s">
        <v>3015</v>
      </c>
      <c r="N253" s="167" t="s">
        <v>3015</v>
      </c>
      <c r="O253" s="167" t="s">
        <v>3015</v>
      </c>
      <c r="P253" s="167" t="s">
        <v>3015</v>
      </c>
      <c r="Q253" s="167" t="s">
        <v>3015</v>
      </c>
      <c r="R253" s="167" t="s">
        <v>3015</v>
      </c>
      <c r="S253" s="167" t="s">
        <v>3015</v>
      </c>
      <c r="T253" s="167" t="s">
        <v>3015</v>
      </c>
      <c r="U253" s="167" t="s">
        <v>3015</v>
      </c>
      <c r="V253" s="167" t="s">
        <v>3015</v>
      </c>
      <c r="W253" s="167" t="s">
        <v>3015</v>
      </c>
      <c r="X253" s="167" t="s">
        <v>3015</v>
      </c>
      <c r="Y253" s="167" t="s">
        <v>3015</v>
      </c>
      <c r="Z253" s="167" t="str">
        <f>_xlfn.IFNA(VLOOKUP(C253,'INFORM Severity - hidden'!$C$5:$G$155,5,FALSE),"-")</f>
        <v>x</v>
      </c>
      <c r="AA253" s="167" t="s">
        <v>3015</v>
      </c>
      <c r="AB253" s="167" t="s">
        <v>3015</v>
      </c>
    </row>
    <row r="254" spans="1:28" x14ac:dyDescent="0.3">
      <c r="A254" s="11" t="s">
        <v>3075</v>
      </c>
      <c r="B254" s="11" t="s">
        <v>914</v>
      </c>
      <c r="C254" s="11" t="s">
        <v>3076</v>
      </c>
      <c r="D254" s="166" t="str">
        <f t="shared" si="3"/>
        <v>-</v>
      </c>
      <c r="E254" s="167" t="s">
        <v>3015</v>
      </c>
      <c r="F254" s="167" t="s">
        <v>3015</v>
      </c>
      <c r="G254" s="167" t="s">
        <v>3015</v>
      </c>
      <c r="H254" s="167" t="s">
        <v>3015</v>
      </c>
      <c r="I254" s="167" t="s">
        <v>3015</v>
      </c>
      <c r="J254" s="167" t="s">
        <v>3015</v>
      </c>
      <c r="K254" s="167" t="s">
        <v>3015</v>
      </c>
      <c r="L254" s="167" t="s">
        <v>3015</v>
      </c>
      <c r="M254" s="167" t="s">
        <v>3015</v>
      </c>
      <c r="N254" s="167" t="s">
        <v>3015</v>
      </c>
      <c r="O254" s="167" t="s">
        <v>3015</v>
      </c>
      <c r="P254" s="167" t="s">
        <v>3015</v>
      </c>
      <c r="Q254" s="167" t="s">
        <v>3015</v>
      </c>
      <c r="R254" s="167" t="s">
        <v>3015</v>
      </c>
      <c r="S254" s="167" t="s">
        <v>3015</v>
      </c>
      <c r="T254" s="167" t="s">
        <v>3015</v>
      </c>
      <c r="U254" s="167" t="s">
        <v>3015</v>
      </c>
      <c r="V254" s="167" t="s">
        <v>3015</v>
      </c>
      <c r="W254" s="167" t="s">
        <v>3015</v>
      </c>
      <c r="X254" s="167" t="s">
        <v>3015</v>
      </c>
      <c r="Y254" s="167" t="s">
        <v>3015</v>
      </c>
      <c r="Z254" s="167" t="str">
        <f>_xlfn.IFNA(VLOOKUP(C254,'INFORM Severity - hidden'!$C$5:$G$155,5,FALSE),"-")</f>
        <v>-</v>
      </c>
      <c r="AA254" s="167" t="s">
        <v>3015</v>
      </c>
      <c r="AB254" s="167" t="s">
        <v>3015</v>
      </c>
    </row>
    <row r="255" spans="1:28" x14ac:dyDescent="0.3">
      <c r="A255" s="11" t="s">
        <v>261</v>
      </c>
      <c r="B255" s="11" t="s">
        <v>914</v>
      </c>
      <c r="C255" s="11" t="s">
        <v>3106</v>
      </c>
      <c r="D255" s="166" t="str">
        <f t="shared" si="3"/>
        <v>-</v>
      </c>
      <c r="E255" s="167" t="s">
        <v>3015</v>
      </c>
      <c r="F255" s="167" t="s">
        <v>3015</v>
      </c>
      <c r="G255" s="167" t="s">
        <v>3015</v>
      </c>
      <c r="H255" s="167" t="s">
        <v>3015</v>
      </c>
      <c r="I255" s="167" t="s">
        <v>3015</v>
      </c>
      <c r="J255" s="167" t="s">
        <v>3015</v>
      </c>
      <c r="K255" s="167" t="s">
        <v>3015</v>
      </c>
      <c r="L255" s="167" t="s">
        <v>3015</v>
      </c>
      <c r="M255" s="167" t="s">
        <v>3015</v>
      </c>
      <c r="N255" s="167" t="s">
        <v>3015</v>
      </c>
      <c r="O255" s="167" t="s">
        <v>3015</v>
      </c>
      <c r="P255" s="167" t="s">
        <v>3015</v>
      </c>
      <c r="Q255" s="167" t="s">
        <v>3015</v>
      </c>
      <c r="R255" s="167" t="s">
        <v>3015</v>
      </c>
      <c r="S255" s="167" t="s">
        <v>3015</v>
      </c>
      <c r="T255" s="167" t="s">
        <v>3015</v>
      </c>
      <c r="U255" s="167" t="s">
        <v>3015</v>
      </c>
      <c r="V255" s="167" t="s">
        <v>3015</v>
      </c>
      <c r="W255" s="167" t="s">
        <v>3015</v>
      </c>
      <c r="X255" s="167" t="s">
        <v>3015</v>
      </c>
      <c r="Y255" s="167" t="s">
        <v>3015</v>
      </c>
      <c r="Z255" s="167" t="str">
        <f>_xlfn.IFNA(VLOOKUP(C255,'INFORM Severity - hidden'!$C$5:$G$155,5,FALSE),"-")</f>
        <v>-</v>
      </c>
      <c r="AA255" s="167" t="s">
        <v>3015</v>
      </c>
      <c r="AB255" s="167" t="s">
        <v>3015</v>
      </c>
    </row>
    <row r="256" spans="1:28" x14ac:dyDescent="0.3">
      <c r="A256" s="11" t="s">
        <v>264</v>
      </c>
      <c r="B256" s="11" t="s">
        <v>914</v>
      </c>
      <c r="C256" s="11" t="s">
        <v>3107</v>
      </c>
      <c r="D256" s="166" t="str">
        <f t="shared" si="3"/>
        <v>-</v>
      </c>
      <c r="E256" s="167" t="s">
        <v>3015</v>
      </c>
      <c r="F256" s="167" t="s">
        <v>3015</v>
      </c>
      <c r="G256" s="167" t="s">
        <v>3015</v>
      </c>
      <c r="H256" s="167" t="s">
        <v>3015</v>
      </c>
      <c r="I256" s="167" t="s">
        <v>3015</v>
      </c>
      <c r="J256" s="167" t="s">
        <v>3015</v>
      </c>
      <c r="K256" s="167" t="s">
        <v>3015</v>
      </c>
      <c r="L256" s="167" t="s">
        <v>3015</v>
      </c>
      <c r="M256" s="167" t="s">
        <v>3015</v>
      </c>
      <c r="N256" s="167" t="s">
        <v>3015</v>
      </c>
      <c r="O256" s="167" t="s">
        <v>3015</v>
      </c>
      <c r="P256" s="167" t="s">
        <v>3015</v>
      </c>
      <c r="Q256" s="167" t="s">
        <v>3015</v>
      </c>
      <c r="R256" s="167" t="s">
        <v>3015</v>
      </c>
      <c r="S256" s="167" t="s">
        <v>3015</v>
      </c>
      <c r="T256" s="167" t="s">
        <v>3015</v>
      </c>
      <c r="U256" s="167" t="s">
        <v>3015</v>
      </c>
      <c r="V256" s="167" t="s">
        <v>3015</v>
      </c>
      <c r="W256" s="167" t="s">
        <v>3015</v>
      </c>
      <c r="X256" s="167" t="s">
        <v>3015</v>
      </c>
      <c r="Y256" s="167" t="s">
        <v>3015</v>
      </c>
      <c r="Z256" s="167" t="str">
        <f>_xlfn.IFNA(VLOOKUP(C256,'INFORM Severity - hidden'!$C$5:$G$155,5,FALSE),"-")</f>
        <v>-</v>
      </c>
      <c r="AA256" s="167" t="s">
        <v>3015</v>
      </c>
      <c r="AB256" s="167" t="s">
        <v>3015</v>
      </c>
    </row>
    <row r="257" spans="1:28" x14ac:dyDescent="0.3">
      <c r="A257" s="11" t="s">
        <v>264</v>
      </c>
      <c r="B257" s="11" t="s">
        <v>1101</v>
      </c>
      <c r="C257" s="11" t="s">
        <v>807</v>
      </c>
      <c r="D257" s="166" t="str">
        <f t="shared" si="3"/>
        <v>Increasing</v>
      </c>
      <c r="E257" s="167" t="s">
        <v>3015</v>
      </c>
      <c r="F257" s="167">
        <v>1.4</v>
      </c>
      <c r="G257" s="167">
        <v>1.4</v>
      </c>
      <c r="H257" s="167">
        <v>1.6</v>
      </c>
      <c r="I257" s="167">
        <v>1.6</v>
      </c>
      <c r="J257" s="167">
        <v>1.6</v>
      </c>
      <c r="K257" s="167">
        <v>1.6</v>
      </c>
      <c r="L257" s="167">
        <v>1.6</v>
      </c>
      <c r="M257" s="167">
        <v>1.6</v>
      </c>
      <c r="N257" s="167">
        <v>2.2999999999999998</v>
      </c>
      <c r="O257" s="167">
        <v>2.2999999999999998</v>
      </c>
      <c r="P257" s="167">
        <v>2.2999999999999998</v>
      </c>
      <c r="Q257" s="167">
        <v>2.2999999999999998</v>
      </c>
      <c r="R257" s="167">
        <v>2.2000000000000002</v>
      </c>
      <c r="S257" s="167">
        <v>2</v>
      </c>
      <c r="T257" s="167">
        <v>2</v>
      </c>
      <c r="U257" s="167">
        <v>1.9</v>
      </c>
      <c r="V257" s="167">
        <v>1.9</v>
      </c>
      <c r="W257" s="167">
        <v>1.9</v>
      </c>
      <c r="X257" s="167">
        <v>2</v>
      </c>
      <c r="Y257" s="167">
        <v>1.9</v>
      </c>
      <c r="Z257" s="167">
        <f>_xlfn.IFNA(VLOOKUP(C257,'INFORM Severity - hidden'!$C$5:$G$155,5,FALSE),"-")</f>
        <v>2</v>
      </c>
      <c r="AA257" s="167" t="s">
        <v>3015</v>
      </c>
      <c r="AB257" s="167" t="s">
        <v>3015</v>
      </c>
    </row>
    <row r="258" spans="1:28" x14ac:dyDescent="0.3">
      <c r="A258" s="11" t="s">
        <v>276</v>
      </c>
      <c r="B258" s="11" t="s">
        <v>914</v>
      </c>
      <c r="C258" s="11" t="s">
        <v>3111</v>
      </c>
      <c r="D258" s="166" t="str">
        <f t="shared" si="3"/>
        <v>-</v>
      </c>
      <c r="E258" s="167" t="s">
        <v>3015</v>
      </c>
      <c r="F258" s="167" t="s">
        <v>3015</v>
      </c>
      <c r="G258" s="167" t="s">
        <v>3015</v>
      </c>
      <c r="H258" s="167" t="s">
        <v>3015</v>
      </c>
      <c r="I258" s="167" t="s">
        <v>3015</v>
      </c>
      <c r="J258" s="167" t="s">
        <v>3015</v>
      </c>
      <c r="K258" s="167" t="s">
        <v>3015</v>
      </c>
      <c r="L258" s="167" t="s">
        <v>3015</v>
      </c>
      <c r="M258" s="167" t="s">
        <v>3015</v>
      </c>
      <c r="N258" s="167" t="s">
        <v>3015</v>
      </c>
      <c r="O258" s="167" t="s">
        <v>3015</v>
      </c>
      <c r="P258" s="167" t="s">
        <v>3015</v>
      </c>
      <c r="Q258" s="167" t="s">
        <v>3015</v>
      </c>
      <c r="R258" s="167" t="s">
        <v>3015</v>
      </c>
      <c r="S258" s="167" t="s">
        <v>3015</v>
      </c>
      <c r="T258" s="167" t="s">
        <v>3015</v>
      </c>
      <c r="U258" s="167" t="s">
        <v>3015</v>
      </c>
      <c r="V258" s="167" t="s">
        <v>3015</v>
      </c>
      <c r="W258" s="167" t="s">
        <v>3015</v>
      </c>
      <c r="X258" s="167" t="s">
        <v>3015</v>
      </c>
      <c r="Y258" s="167" t="s">
        <v>3015</v>
      </c>
      <c r="Z258" s="167" t="str">
        <f>_xlfn.IFNA(VLOOKUP(C258,'INFORM Severity - hidden'!$C$5:$G$155,5,FALSE),"-")</f>
        <v>-</v>
      </c>
      <c r="AA258" s="167" t="s">
        <v>3015</v>
      </c>
      <c r="AB258" s="167" t="s">
        <v>3015</v>
      </c>
    </row>
    <row r="259" spans="1:28" x14ac:dyDescent="0.3">
      <c r="A259" s="11" t="s">
        <v>305</v>
      </c>
      <c r="B259" s="11" t="s">
        <v>1104</v>
      </c>
      <c r="C259" s="11" t="s">
        <v>1924</v>
      </c>
      <c r="D259" s="166" t="str">
        <f t="shared" si="3"/>
        <v>Stable</v>
      </c>
      <c r="E259" s="167" t="s">
        <v>3015</v>
      </c>
      <c r="F259" s="167">
        <v>3.9</v>
      </c>
      <c r="G259" s="167">
        <v>3.9</v>
      </c>
      <c r="H259" s="167">
        <v>4</v>
      </c>
      <c r="I259" s="167">
        <v>3.9</v>
      </c>
      <c r="J259" s="167">
        <v>4</v>
      </c>
      <c r="K259" s="167">
        <v>4</v>
      </c>
      <c r="L259" s="167">
        <v>4</v>
      </c>
      <c r="M259" s="167">
        <v>4</v>
      </c>
      <c r="N259" s="167">
        <v>4.0999999999999996</v>
      </c>
      <c r="O259" s="167">
        <v>4.0999999999999996</v>
      </c>
      <c r="P259" s="167">
        <v>4.0999999999999996</v>
      </c>
      <c r="Q259" s="167">
        <v>4.5999999999999996</v>
      </c>
      <c r="R259" s="167">
        <v>4.5999999999999996</v>
      </c>
      <c r="S259" s="167">
        <v>4.5999999999999996</v>
      </c>
      <c r="T259" s="167">
        <v>4.5999999999999996</v>
      </c>
      <c r="U259" s="167">
        <v>4.5999999999999996</v>
      </c>
      <c r="V259" s="167">
        <v>4.5999999999999996</v>
      </c>
      <c r="W259" s="167">
        <v>4.5999999999999996</v>
      </c>
      <c r="X259" s="167">
        <v>4.5999999999999996</v>
      </c>
      <c r="Y259" s="167">
        <v>4.5999999999999996</v>
      </c>
      <c r="Z259" s="167">
        <f>_xlfn.IFNA(VLOOKUP(C259,'INFORM Severity - hidden'!$C$5:$G$155,5,FALSE),"-")</f>
        <v>4.5999999999999996</v>
      </c>
      <c r="AA259" s="167" t="s">
        <v>3015</v>
      </c>
      <c r="AB259" s="167" t="s">
        <v>3015</v>
      </c>
    </row>
    <row r="260" spans="1:28" x14ac:dyDescent="0.3">
      <c r="A260" s="11" t="s">
        <v>305</v>
      </c>
      <c r="B260" s="11" t="s">
        <v>3172</v>
      </c>
      <c r="C260" s="11" t="s">
        <v>3173</v>
      </c>
      <c r="D260" s="166" t="str">
        <f t="shared" ref="D260:D323" si="4">IFERROR(IF(ROUND(AVERAGE(X260:Z260),1)=ROUND(AVERAGE(U260:W260),1),"Stable",IF(ROUND(AVERAGE(X260:Z260),1)&lt;ROUND(AVERAGE(U260:W260),1),"Decreasing",IF(ROUND(AVERAGE(X260:Z260),1)&gt;ROUND(AVERAGE(U260:W260),1),"Increasing"))),"-")</f>
        <v>-</v>
      </c>
      <c r="E260" s="167" t="s">
        <v>3015</v>
      </c>
      <c r="F260" s="167" t="s">
        <v>3015</v>
      </c>
      <c r="G260" s="167" t="s">
        <v>3015</v>
      </c>
      <c r="H260" s="167" t="s">
        <v>3015</v>
      </c>
      <c r="I260" s="167" t="s">
        <v>3015</v>
      </c>
      <c r="J260" s="167" t="s">
        <v>3015</v>
      </c>
      <c r="K260" s="167" t="s">
        <v>3015</v>
      </c>
      <c r="L260" s="167" t="s">
        <v>3015</v>
      </c>
      <c r="M260" s="167" t="s">
        <v>3015</v>
      </c>
      <c r="N260" s="167" t="s">
        <v>3015</v>
      </c>
      <c r="O260" s="167" t="s">
        <v>3015</v>
      </c>
      <c r="P260" s="167" t="s">
        <v>3015</v>
      </c>
      <c r="Q260" s="167" t="s">
        <v>3015</v>
      </c>
      <c r="R260" s="167" t="s">
        <v>3015</v>
      </c>
      <c r="S260" s="167" t="s">
        <v>3015</v>
      </c>
      <c r="T260" s="167" t="s">
        <v>3015</v>
      </c>
      <c r="U260" s="167" t="s">
        <v>3015</v>
      </c>
      <c r="V260" s="167" t="s">
        <v>3015</v>
      </c>
      <c r="W260" s="167" t="s">
        <v>3015</v>
      </c>
      <c r="X260" s="167" t="s">
        <v>3015</v>
      </c>
      <c r="Y260" s="167" t="s">
        <v>3015</v>
      </c>
      <c r="Z260" s="167" t="str">
        <f>_xlfn.IFNA(VLOOKUP(C260,'INFORM Severity - hidden'!$C$5:$G$155,5,FALSE),"-")</f>
        <v>-</v>
      </c>
      <c r="AA260" s="167" t="s">
        <v>3015</v>
      </c>
      <c r="AB260" s="167" t="s">
        <v>3015</v>
      </c>
    </row>
    <row r="261" spans="1:28" x14ac:dyDescent="0.3">
      <c r="A261" s="11" t="s">
        <v>305</v>
      </c>
      <c r="B261" s="11" t="s">
        <v>1105</v>
      </c>
      <c r="C261" s="11" t="s">
        <v>3174</v>
      </c>
      <c r="D261" s="166" t="str">
        <f t="shared" si="4"/>
        <v>-</v>
      </c>
      <c r="E261" s="167" t="s">
        <v>3015</v>
      </c>
      <c r="F261" s="167">
        <v>2.1</v>
      </c>
      <c r="G261" s="167">
        <v>2.1</v>
      </c>
      <c r="H261" s="167">
        <v>2.7</v>
      </c>
      <c r="I261" s="167">
        <v>2.7</v>
      </c>
      <c r="J261" s="167">
        <v>2.7</v>
      </c>
      <c r="K261" s="167">
        <v>2.8</v>
      </c>
      <c r="L261" s="167">
        <v>2.7</v>
      </c>
      <c r="M261" s="167">
        <v>2.7</v>
      </c>
      <c r="N261" s="167">
        <v>2.7</v>
      </c>
      <c r="O261" s="167">
        <v>2.7</v>
      </c>
      <c r="P261" s="167">
        <v>2.7</v>
      </c>
      <c r="Q261" s="167" t="s">
        <v>3015</v>
      </c>
      <c r="R261" s="167" t="s">
        <v>3015</v>
      </c>
      <c r="S261" s="167" t="s">
        <v>3015</v>
      </c>
      <c r="T261" s="167" t="s">
        <v>3015</v>
      </c>
      <c r="U261" s="167" t="s">
        <v>3015</v>
      </c>
      <c r="V261" s="167" t="s">
        <v>3015</v>
      </c>
      <c r="W261" s="167" t="s">
        <v>3015</v>
      </c>
      <c r="X261" s="167" t="s">
        <v>3015</v>
      </c>
      <c r="Y261" s="167" t="s">
        <v>3015</v>
      </c>
      <c r="Z261" s="167" t="str">
        <f>_xlfn.IFNA(VLOOKUP(C261,'INFORM Severity - hidden'!$C$5:$G$155,5,FALSE),"-")</f>
        <v>-</v>
      </c>
      <c r="AA261" s="167" t="s">
        <v>3015</v>
      </c>
      <c r="AB261" s="167" t="s">
        <v>3015</v>
      </c>
    </row>
    <row r="262" spans="1:28" x14ac:dyDescent="0.3">
      <c r="A262" s="11" t="s">
        <v>305</v>
      </c>
      <c r="B262" s="11" t="s">
        <v>1106</v>
      </c>
      <c r="C262" s="11" t="s">
        <v>3175</v>
      </c>
      <c r="D262" s="166" t="str">
        <f t="shared" si="4"/>
        <v>-</v>
      </c>
      <c r="E262" s="167" t="s">
        <v>3015</v>
      </c>
      <c r="F262" s="167">
        <v>2.6</v>
      </c>
      <c r="G262" s="167">
        <v>2.6</v>
      </c>
      <c r="H262" s="167">
        <v>3.5</v>
      </c>
      <c r="I262" s="167">
        <v>3.5</v>
      </c>
      <c r="J262" s="167">
        <v>3.5</v>
      </c>
      <c r="K262" s="167">
        <v>3.5</v>
      </c>
      <c r="L262" s="167">
        <v>3.4</v>
      </c>
      <c r="M262" s="167">
        <v>3.4</v>
      </c>
      <c r="N262" s="167">
        <v>3.4</v>
      </c>
      <c r="O262" s="167">
        <v>3.4</v>
      </c>
      <c r="P262" s="167">
        <v>3.4</v>
      </c>
      <c r="Q262" s="167" t="s">
        <v>3015</v>
      </c>
      <c r="R262" s="167" t="s">
        <v>3015</v>
      </c>
      <c r="S262" s="167" t="s">
        <v>3015</v>
      </c>
      <c r="T262" s="167" t="s">
        <v>3015</v>
      </c>
      <c r="U262" s="167" t="s">
        <v>3015</v>
      </c>
      <c r="V262" s="167" t="s">
        <v>3015</v>
      </c>
      <c r="W262" s="167" t="s">
        <v>3015</v>
      </c>
      <c r="X262" s="167" t="s">
        <v>3015</v>
      </c>
      <c r="Y262" s="167" t="s">
        <v>3015</v>
      </c>
      <c r="Z262" s="167" t="str">
        <f>_xlfn.IFNA(VLOOKUP(C262,'INFORM Severity - hidden'!$C$5:$G$155,5,FALSE),"-")</f>
        <v>-</v>
      </c>
      <c r="AA262" s="167" t="s">
        <v>3015</v>
      </c>
      <c r="AB262" s="167" t="s">
        <v>3015</v>
      </c>
    </row>
    <row r="263" spans="1:28" x14ac:dyDescent="0.3">
      <c r="A263" s="11" t="s">
        <v>305</v>
      </c>
      <c r="B263" s="11" t="s">
        <v>1927</v>
      </c>
      <c r="C263" s="11" t="s">
        <v>1928</v>
      </c>
      <c r="D263" s="166" t="str">
        <f t="shared" si="4"/>
        <v>Stable</v>
      </c>
      <c r="E263" s="167" t="s">
        <v>3015</v>
      </c>
      <c r="F263" s="167" t="s">
        <v>3015</v>
      </c>
      <c r="G263" s="167" t="s">
        <v>3015</v>
      </c>
      <c r="H263" s="167" t="s">
        <v>3015</v>
      </c>
      <c r="I263" s="167" t="s">
        <v>3015</v>
      </c>
      <c r="J263" s="167" t="s">
        <v>3015</v>
      </c>
      <c r="K263" s="167" t="s">
        <v>3015</v>
      </c>
      <c r="L263" s="167" t="s">
        <v>3015</v>
      </c>
      <c r="M263" s="167" t="s">
        <v>3015</v>
      </c>
      <c r="N263" s="167" t="s">
        <v>3015</v>
      </c>
      <c r="O263" s="167" t="s">
        <v>3015</v>
      </c>
      <c r="P263" s="167" t="s">
        <v>3015</v>
      </c>
      <c r="Q263" s="167">
        <v>3.7</v>
      </c>
      <c r="R263" s="167">
        <v>3.7</v>
      </c>
      <c r="S263" s="167">
        <v>3.8</v>
      </c>
      <c r="T263" s="167">
        <v>3.8</v>
      </c>
      <c r="U263" s="167">
        <v>3.8</v>
      </c>
      <c r="V263" s="167">
        <v>3.8</v>
      </c>
      <c r="W263" s="167">
        <v>3.8</v>
      </c>
      <c r="X263" s="167">
        <v>3.8</v>
      </c>
      <c r="Y263" s="167">
        <v>3.8</v>
      </c>
      <c r="Z263" s="167">
        <f>_xlfn.IFNA(VLOOKUP(C263,'INFORM Severity - hidden'!$C$5:$G$155,5,FALSE),"-")</f>
        <v>3.8</v>
      </c>
      <c r="AA263" s="167" t="s">
        <v>3015</v>
      </c>
      <c r="AB263" s="167" t="s">
        <v>3015</v>
      </c>
    </row>
    <row r="264" spans="1:28" x14ac:dyDescent="0.3">
      <c r="A264" s="11" t="s">
        <v>305</v>
      </c>
      <c r="B264" s="11" t="s">
        <v>2807</v>
      </c>
      <c r="C264" s="11" t="s">
        <v>2933</v>
      </c>
      <c r="D264" s="166" t="str">
        <f t="shared" si="4"/>
        <v>-</v>
      </c>
      <c r="E264" s="167" t="s">
        <v>3015</v>
      </c>
      <c r="F264" s="167" t="s">
        <v>3015</v>
      </c>
      <c r="G264" s="167" t="s">
        <v>3015</v>
      </c>
      <c r="H264" s="167" t="s">
        <v>3015</v>
      </c>
      <c r="I264" s="167" t="s">
        <v>3015</v>
      </c>
      <c r="J264" s="167" t="s">
        <v>3015</v>
      </c>
      <c r="K264" s="167" t="s">
        <v>3015</v>
      </c>
      <c r="L264" s="167" t="s">
        <v>3015</v>
      </c>
      <c r="M264" s="167" t="s">
        <v>3015</v>
      </c>
      <c r="N264" s="167" t="s">
        <v>3015</v>
      </c>
      <c r="O264" s="167" t="s">
        <v>3015</v>
      </c>
      <c r="P264" s="167" t="s">
        <v>3015</v>
      </c>
      <c r="Q264" s="167" t="s">
        <v>3015</v>
      </c>
      <c r="R264" s="167" t="s">
        <v>3015</v>
      </c>
      <c r="S264" s="167" t="s">
        <v>3015</v>
      </c>
      <c r="T264" s="167" t="s">
        <v>3015</v>
      </c>
      <c r="U264" s="167" t="s">
        <v>3015</v>
      </c>
      <c r="V264" s="167" t="s">
        <v>3015</v>
      </c>
      <c r="W264" s="167" t="s">
        <v>3015</v>
      </c>
      <c r="X264" s="167">
        <v>2.5</v>
      </c>
      <c r="Y264" s="167">
        <v>2.6</v>
      </c>
      <c r="Z264" s="167">
        <f>_xlfn.IFNA(VLOOKUP(C264,'INFORM Severity - hidden'!$C$5:$G$155,5,FALSE),"-")</f>
        <v>2.6</v>
      </c>
      <c r="AA264" s="167" t="s">
        <v>3015</v>
      </c>
      <c r="AB264" s="167" t="s">
        <v>3015</v>
      </c>
    </row>
    <row r="265" spans="1:28" x14ac:dyDescent="0.3">
      <c r="A265" s="11" t="s">
        <v>278</v>
      </c>
      <c r="B265" s="11" t="s">
        <v>914</v>
      </c>
      <c r="C265" s="11" t="s">
        <v>3112</v>
      </c>
      <c r="D265" s="166" t="str">
        <f t="shared" si="4"/>
        <v>-</v>
      </c>
      <c r="E265" s="167" t="s">
        <v>3015</v>
      </c>
      <c r="F265" s="167" t="s">
        <v>3015</v>
      </c>
      <c r="G265" s="167" t="s">
        <v>3015</v>
      </c>
      <c r="H265" s="167" t="s">
        <v>3015</v>
      </c>
      <c r="I265" s="167" t="s">
        <v>3015</v>
      </c>
      <c r="J265" s="167" t="s">
        <v>3015</v>
      </c>
      <c r="K265" s="167" t="s">
        <v>3015</v>
      </c>
      <c r="L265" s="167" t="s">
        <v>3015</v>
      </c>
      <c r="M265" s="167" t="s">
        <v>3015</v>
      </c>
      <c r="N265" s="167" t="s">
        <v>3015</v>
      </c>
      <c r="O265" s="167" t="s">
        <v>3015</v>
      </c>
      <c r="P265" s="167" t="s">
        <v>3015</v>
      </c>
      <c r="Q265" s="167" t="s">
        <v>3015</v>
      </c>
      <c r="R265" s="167" t="s">
        <v>3015</v>
      </c>
      <c r="S265" s="167" t="s">
        <v>3015</v>
      </c>
      <c r="T265" s="167" t="s">
        <v>3015</v>
      </c>
      <c r="U265" s="167" t="s">
        <v>3015</v>
      </c>
      <c r="V265" s="167" t="s">
        <v>3015</v>
      </c>
      <c r="W265" s="167" t="s">
        <v>3015</v>
      </c>
      <c r="X265" s="167" t="s">
        <v>3015</v>
      </c>
      <c r="Y265" s="167" t="s">
        <v>3015</v>
      </c>
      <c r="Z265" s="167" t="str">
        <f>_xlfn.IFNA(VLOOKUP(C265,'INFORM Severity - hidden'!$C$5:$G$155,5,FALSE),"-")</f>
        <v>-</v>
      </c>
      <c r="AA265" s="167" t="s">
        <v>3015</v>
      </c>
      <c r="AB265" s="167" t="s">
        <v>3015</v>
      </c>
    </row>
    <row r="266" spans="1:28" x14ac:dyDescent="0.3">
      <c r="A266" s="11" t="s">
        <v>278</v>
      </c>
      <c r="B266" s="11" t="s">
        <v>778</v>
      </c>
      <c r="C266" s="11" t="s">
        <v>673</v>
      </c>
      <c r="D266" s="166" t="str">
        <f t="shared" si="4"/>
        <v>Decreasing</v>
      </c>
      <c r="E266" s="167" t="s">
        <v>3015</v>
      </c>
      <c r="F266" s="167" t="s">
        <v>3015</v>
      </c>
      <c r="G266" s="167" t="s">
        <v>3015</v>
      </c>
      <c r="H266" s="167">
        <v>2.5</v>
      </c>
      <c r="I266" s="167">
        <v>2.5</v>
      </c>
      <c r="J266" s="167">
        <v>2.5</v>
      </c>
      <c r="K266" s="167">
        <v>2.5</v>
      </c>
      <c r="L266" s="167">
        <v>2.5</v>
      </c>
      <c r="M266" s="167">
        <v>2.5</v>
      </c>
      <c r="N266" s="167">
        <v>2.6</v>
      </c>
      <c r="O266" s="167">
        <v>2.6</v>
      </c>
      <c r="P266" s="167">
        <v>2.6</v>
      </c>
      <c r="Q266" s="167">
        <v>2.6</v>
      </c>
      <c r="R266" s="167">
        <v>2.6</v>
      </c>
      <c r="S266" s="167">
        <v>2.6</v>
      </c>
      <c r="T266" s="167">
        <v>2.6</v>
      </c>
      <c r="U266" s="167">
        <v>2.6</v>
      </c>
      <c r="V266" s="167">
        <v>2.4</v>
      </c>
      <c r="W266" s="167">
        <v>2.4</v>
      </c>
      <c r="X266" s="167">
        <v>2.4</v>
      </c>
      <c r="Y266" s="167">
        <v>2.4</v>
      </c>
      <c r="Z266" s="167">
        <f>_xlfn.IFNA(VLOOKUP(C266,'INFORM Severity - hidden'!$C$5:$G$155,5,FALSE),"-")</f>
        <v>2.4</v>
      </c>
      <c r="AA266" s="167" t="s">
        <v>3015</v>
      </c>
      <c r="AB266" s="167" t="s">
        <v>3015</v>
      </c>
    </row>
    <row r="267" spans="1:28" x14ac:dyDescent="0.3">
      <c r="A267" s="11" t="s">
        <v>292</v>
      </c>
      <c r="B267" s="11" t="s">
        <v>914</v>
      </c>
      <c r="C267" s="11" t="s">
        <v>3116</v>
      </c>
      <c r="D267" s="166" t="str">
        <f t="shared" si="4"/>
        <v>-</v>
      </c>
      <c r="E267" s="167" t="s">
        <v>3015</v>
      </c>
      <c r="F267" s="167" t="s">
        <v>3015</v>
      </c>
      <c r="G267" s="167" t="s">
        <v>3015</v>
      </c>
      <c r="H267" s="167" t="s">
        <v>3015</v>
      </c>
      <c r="I267" s="167" t="s">
        <v>3015</v>
      </c>
      <c r="J267" s="167" t="s">
        <v>3015</v>
      </c>
      <c r="K267" s="167" t="s">
        <v>3015</v>
      </c>
      <c r="L267" s="167" t="s">
        <v>3015</v>
      </c>
      <c r="M267" s="167" t="s">
        <v>3015</v>
      </c>
      <c r="N267" s="167" t="s">
        <v>3015</v>
      </c>
      <c r="O267" s="167" t="s">
        <v>3015</v>
      </c>
      <c r="P267" s="167" t="s">
        <v>3015</v>
      </c>
      <c r="Q267" s="167" t="s">
        <v>3015</v>
      </c>
      <c r="R267" s="167" t="s">
        <v>3015</v>
      </c>
      <c r="S267" s="167" t="s">
        <v>3015</v>
      </c>
      <c r="T267" s="167" t="s">
        <v>3015</v>
      </c>
      <c r="U267" s="167" t="s">
        <v>3015</v>
      </c>
      <c r="V267" s="167" t="s">
        <v>3015</v>
      </c>
      <c r="W267" s="167" t="s">
        <v>3015</v>
      </c>
      <c r="X267" s="167" t="s">
        <v>3015</v>
      </c>
      <c r="Y267" s="167" t="s">
        <v>3015</v>
      </c>
      <c r="Z267" s="167" t="str">
        <f>_xlfn.IFNA(VLOOKUP(C267,'INFORM Severity - hidden'!$C$5:$G$155,5,FALSE),"-")</f>
        <v>-</v>
      </c>
      <c r="AA267" s="167" t="s">
        <v>3015</v>
      </c>
      <c r="AB267" s="167" t="s">
        <v>3015</v>
      </c>
    </row>
    <row r="268" spans="1:28" x14ac:dyDescent="0.3">
      <c r="A268" s="11" t="s">
        <v>284</v>
      </c>
      <c r="B268" s="11" t="s">
        <v>914</v>
      </c>
      <c r="C268" s="11" t="s">
        <v>3115</v>
      </c>
      <c r="D268" s="166" t="str">
        <f t="shared" si="4"/>
        <v>-</v>
      </c>
      <c r="E268" s="167" t="s">
        <v>3015</v>
      </c>
      <c r="F268" s="167" t="s">
        <v>3015</v>
      </c>
      <c r="G268" s="167" t="s">
        <v>3015</v>
      </c>
      <c r="H268" s="167" t="s">
        <v>3015</v>
      </c>
      <c r="I268" s="167" t="s">
        <v>3015</v>
      </c>
      <c r="J268" s="167" t="s">
        <v>3015</v>
      </c>
      <c r="K268" s="167" t="s">
        <v>3015</v>
      </c>
      <c r="L268" s="167" t="s">
        <v>3015</v>
      </c>
      <c r="M268" s="167" t="s">
        <v>3015</v>
      </c>
      <c r="N268" s="167" t="s">
        <v>3015</v>
      </c>
      <c r="O268" s="167" t="s">
        <v>3015</v>
      </c>
      <c r="P268" s="167" t="s">
        <v>3015</v>
      </c>
      <c r="Q268" s="167" t="s">
        <v>3015</v>
      </c>
      <c r="R268" s="167" t="s">
        <v>3015</v>
      </c>
      <c r="S268" s="167" t="s">
        <v>3015</v>
      </c>
      <c r="T268" s="167" t="s">
        <v>3015</v>
      </c>
      <c r="U268" s="167" t="s">
        <v>3015</v>
      </c>
      <c r="V268" s="167" t="s">
        <v>3015</v>
      </c>
      <c r="W268" s="167" t="s">
        <v>3015</v>
      </c>
      <c r="X268" s="167" t="s">
        <v>3015</v>
      </c>
      <c r="Y268" s="167" t="s">
        <v>3015</v>
      </c>
      <c r="Z268" s="167" t="str">
        <f>_xlfn.IFNA(VLOOKUP(C268,'INFORM Severity - hidden'!$C$5:$G$155,5,FALSE),"-")</f>
        <v>-</v>
      </c>
      <c r="AA268" s="167" t="s">
        <v>3015</v>
      </c>
      <c r="AB268" s="167" t="s">
        <v>3015</v>
      </c>
    </row>
    <row r="269" spans="1:28" x14ac:dyDescent="0.3">
      <c r="A269" s="11" t="s">
        <v>97</v>
      </c>
      <c r="B269" s="11" t="s">
        <v>1083</v>
      </c>
      <c r="C269" s="11" t="s">
        <v>581</v>
      </c>
      <c r="D269" s="166" t="str">
        <f t="shared" si="4"/>
        <v>Increasing</v>
      </c>
      <c r="E269" s="167" t="s">
        <v>3015</v>
      </c>
      <c r="F269" s="167">
        <v>2.8</v>
      </c>
      <c r="G269" s="167">
        <v>2.8</v>
      </c>
      <c r="H269" s="167">
        <v>3</v>
      </c>
      <c r="I269" s="167">
        <v>3</v>
      </c>
      <c r="J269" s="167">
        <v>3</v>
      </c>
      <c r="K269" s="167">
        <v>3</v>
      </c>
      <c r="L269" s="167">
        <v>3</v>
      </c>
      <c r="M269" s="167">
        <v>2.6</v>
      </c>
      <c r="N269" s="167">
        <v>2.6</v>
      </c>
      <c r="O269" s="167">
        <v>2.7</v>
      </c>
      <c r="P269" s="167">
        <v>2.7</v>
      </c>
      <c r="Q269" s="167">
        <v>2.7</v>
      </c>
      <c r="R269" s="167">
        <v>2.7</v>
      </c>
      <c r="S269" s="167">
        <v>2.7</v>
      </c>
      <c r="T269" s="167">
        <v>2.7</v>
      </c>
      <c r="U269" s="167">
        <v>2.7</v>
      </c>
      <c r="V269" s="167">
        <v>2.7</v>
      </c>
      <c r="W269" s="167">
        <v>2.7</v>
      </c>
      <c r="X269" s="167">
        <v>2.7</v>
      </c>
      <c r="Y269" s="167">
        <v>3</v>
      </c>
      <c r="Z269" s="167">
        <f>_xlfn.IFNA(VLOOKUP(C269,'INFORM Severity - hidden'!$C$5:$G$155,5,FALSE),"-")</f>
        <v>3</v>
      </c>
      <c r="AA269" s="167" t="s">
        <v>3015</v>
      </c>
      <c r="AB269" s="167" t="s">
        <v>3015</v>
      </c>
    </row>
    <row r="270" spans="1:28" x14ac:dyDescent="0.3">
      <c r="A270" s="11" t="s">
        <v>294</v>
      </c>
      <c r="B270" s="11" t="s">
        <v>1102</v>
      </c>
      <c r="C270" s="11" t="s">
        <v>592</v>
      </c>
      <c r="D270" s="166" t="str">
        <f t="shared" si="4"/>
        <v>Decreasing</v>
      </c>
      <c r="E270" s="167" t="s">
        <v>3015</v>
      </c>
      <c r="F270" s="167" t="s">
        <v>3015</v>
      </c>
      <c r="G270" s="167" t="s">
        <v>3015</v>
      </c>
      <c r="H270" s="167">
        <v>4.0999999999999996</v>
      </c>
      <c r="I270" s="167">
        <v>4.3</v>
      </c>
      <c r="J270" s="167">
        <v>4.3</v>
      </c>
      <c r="K270" s="167">
        <v>4.3</v>
      </c>
      <c r="L270" s="167">
        <v>4.3</v>
      </c>
      <c r="M270" s="167">
        <v>4.3</v>
      </c>
      <c r="N270" s="167">
        <v>4.2</v>
      </c>
      <c r="O270" s="167">
        <v>4.2</v>
      </c>
      <c r="P270" s="167">
        <v>4.2</v>
      </c>
      <c r="Q270" s="167">
        <v>4.7</v>
      </c>
      <c r="R270" s="167">
        <v>4.7</v>
      </c>
      <c r="S270" s="167">
        <v>4.7</v>
      </c>
      <c r="T270" s="167">
        <v>4.7</v>
      </c>
      <c r="U270" s="167">
        <v>4.7</v>
      </c>
      <c r="V270" s="167">
        <v>4.7</v>
      </c>
      <c r="W270" s="167">
        <v>4.7</v>
      </c>
      <c r="X270" s="167">
        <v>4.7</v>
      </c>
      <c r="Y270" s="167">
        <v>4.5999999999999996</v>
      </c>
      <c r="Z270" s="167">
        <f>_xlfn.IFNA(VLOOKUP(C270,'INFORM Severity - hidden'!$C$5:$G$155,5,FALSE),"-")</f>
        <v>4.5999999999999996</v>
      </c>
      <c r="AA270" s="167" t="s">
        <v>3015</v>
      </c>
      <c r="AB270" s="167" t="s">
        <v>3015</v>
      </c>
    </row>
    <row r="271" spans="1:28" x14ac:dyDescent="0.3">
      <c r="A271" s="11" t="s">
        <v>294</v>
      </c>
      <c r="B271" s="11" t="s">
        <v>1266</v>
      </c>
      <c r="C271" s="11" t="s">
        <v>1269</v>
      </c>
      <c r="D271" s="166" t="str">
        <f t="shared" si="4"/>
        <v>Decreasing</v>
      </c>
      <c r="E271" s="167" t="s">
        <v>3015</v>
      </c>
      <c r="F271" s="167" t="s">
        <v>3015</v>
      </c>
      <c r="G271" s="167" t="s">
        <v>3015</v>
      </c>
      <c r="H271" s="167">
        <v>2.1</v>
      </c>
      <c r="I271" s="167">
        <v>2.1</v>
      </c>
      <c r="J271" s="167">
        <v>2.1</v>
      </c>
      <c r="K271" s="167">
        <v>2.1</v>
      </c>
      <c r="L271" s="167">
        <v>2.1</v>
      </c>
      <c r="M271" s="167">
        <v>2.1</v>
      </c>
      <c r="N271" s="167">
        <v>2</v>
      </c>
      <c r="O271" s="167">
        <v>2</v>
      </c>
      <c r="P271" s="167">
        <v>2</v>
      </c>
      <c r="Q271" s="167">
        <v>2</v>
      </c>
      <c r="R271" s="167">
        <v>2</v>
      </c>
      <c r="S271" s="167">
        <v>2</v>
      </c>
      <c r="T271" s="167">
        <v>2</v>
      </c>
      <c r="U271" s="167">
        <v>2</v>
      </c>
      <c r="V271" s="167">
        <v>2</v>
      </c>
      <c r="W271" s="167">
        <v>2</v>
      </c>
      <c r="X271" s="167">
        <v>2</v>
      </c>
      <c r="Y271" s="167">
        <v>1.9</v>
      </c>
      <c r="Z271" s="167">
        <f>_xlfn.IFNA(VLOOKUP(C271,'INFORM Severity - hidden'!$C$5:$G$155,5,FALSE),"-")</f>
        <v>1.9</v>
      </c>
      <c r="AA271" s="167" t="s">
        <v>3015</v>
      </c>
      <c r="AB271" s="167" t="s">
        <v>3015</v>
      </c>
    </row>
    <row r="272" spans="1:28" x14ac:dyDescent="0.3">
      <c r="A272" s="11" t="s">
        <v>294</v>
      </c>
      <c r="B272" s="11" t="s">
        <v>1676</v>
      </c>
      <c r="C272" s="11" t="s">
        <v>1677</v>
      </c>
      <c r="D272" s="166" t="str">
        <f t="shared" si="4"/>
        <v>-</v>
      </c>
      <c r="E272" s="167" t="s">
        <v>3015</v>
      </c>
      <c r="F272" s="167" t="s">
        <v>3015</v>
      </c>
      <c r="G272" s="167" t="s">
        <v>3015</v>
      </c>
      <c r="H272" s="167" t="s">
        <v>3015</v>
      </c>
      <c r="I272" s="167" t="s">
        <v>3015</v>
      </c>
      <c r="J272" s="167" t="s">
        <v>3015</v>
      </c>
      <c r="K272" s="167" t="s">
        <v>3015</v>
      </c>
      <c r="L272" s="167" t="s">
        <v>3015</v>
      </c>
      <c r="M272" s="167" t="s">
        <v>3015</v>
      </c>
      <c r="N272" s="167" t="s">
        <v>3015</v>
      </c>
      <c r="O272" s="167">
        <v>3.2</v>
      </c>
      <c r="P272" s="167">
        <v>3.1</v>
      </c>
      <c r="Q272" s="167">
        <v>3.1</v>
      </c>
      <c r="R272" s="167">
        <v>3.1</v>
      </c>
      <c r="S272" s="167">
        <v>3.1</v>
      </c>
      <c r="T272" s="167" t="s">
        <v>3015</v>
      </c>
      <c r="U272" s="167" t="s">
        <v>3015</v>
      </c>
      <c r="V272" s="167" t="s">
        <v>3015</v>
      </c>
      <c r="W272" s="167" t="s">
        <v>3015</v>
      </c>
      <c r="X272" s="167" t="s">
        <v>3015</v>
      </c>
      <c r="Y272" s="167" t="s">
        <v>3015</v>
      </c>
      <c r="Z272" s="167" t="str">
        <f>_xlfn.IFNA(VLOOKUP(C272,'INFORM Severity - hidden'!$C$5:$G$155,5,FALSE),"-")</f>
        <v>-</v>
      </c>
      <c r="AA272" s="167" t="s">
        <v>3015</v>
      </c>
      <c r="AB272" s="167" t="s">
        <v>3015</v>
      </c>
    </row>
    <row r="273" spans="1:28" x14ac:dyDescent="0.3">
      <c r="A273" s="11" t="s">
        <v>294</v>
      </c>
      <c r="B273" s="11" t="s">
        <v>1676</v>
      </c>
      <c r="C273" s="11" t="s">
        <v>2388</v>
      </c>
      <c r="D273" s="166" t="str">
        <f t="shared" si="4"/>
        <v>Increasing</v>
      </c>
      <c r="E273" s="167" t="s">
        <v>3015</v>
      </c>
      <c r="F273" s="167" t="s">
        <v>3015</v>
      </c>
      <c r="G273" s="167" t="s">
        <v>3015</v>
      </c>
      <c r="H273" s="167" t="s">
        <v>3015</v>
      </c>
      <c r="I273" s="167" t="s">
        <v>3015</v>
      </c>
      <c r="J273" s="167" t="s">
        <v>3015</v>
      </c>
      <c r="K273" s="167" t="s">
        <v>3015</v>
      </c>
      <c r="L273" s="167" t="s">
        <v>3015</v>
      </c>
      <c r="M273" s="167" t="s">
        <v>3015</v>
      </c>
      <c r="N273" s="167" t="s">
        <v>3015</v>
      </c>
      <c r="O273" s="167" t="s">
        <v>3015</v>
      </c>
      <c r="P273" s="167" t="s">
        <v>3015</v>
      </c>
      <c r="Q273" s="167" t="s">
        <v>3015</v>
      </c>
      <c r="R273" s="167" t="s">
        <v>3015</v>
      </c>
      <c r="S273" s="167" t="s">
        <v>3015</v>
      </c>
      <c r="T273" s="167">
        <v>2.4</v>
      </c>
      <c r="U273" s="167">
        <v>2.4</v>
      </c>
      <c r="V273" s="167">
        <v>2.4</v>
      </c>
      <c r="W273" s="167">
        <v>3.3</v>
      </c>
      <c r="X273" s="167">
        <v>3.1</v>
      </c>
      <c r="Y273" s="167">
        <v>3</v>
      </c>
      <c r="Z273" s="167">
        <f>_xlfn.IFNA(VLOOKUP(C273,'INFORM Severity - hidden'!$C$5:$G$155,5,FALSE),"-")</f>
        <v>3</v>
      </c>
      <c r="AA273" s="167" t="s">
        <v>3015</v>
      </c>
      <c r="AB273" s="167" t="s">
        <v>3015</v>
      </c>
    </row>
    <row r="274" spans="1:28" x14ac:dyDescent="0.3">
      <c r="A274" s="11" t="s">
        <v>280</v>
      </c>
      <c r="B274" s="11" t="s">
        <v>914</v>
      </c>
      <c r="C274" s="11" t="s">
        <v>3113</v>
      </c>
      <c r="D274" s="166" t="str">
        <f t="shared" si="4"/>
        <v>-</v>
      </c>
      <c r="E274" s="167" t="s">
        <v>3015</v>
      </c>
      <c r="F274" s="167" t="s">
        <v>3015</v>
      </c>
      <c r="G274" s="167" t="s">
        <v>3015</v>
      </c>
      <c r="H274" s="167" t="s">
        <v>3015</v>
      </c>
      <c r="I274" s="167" t="s">
        <v>3015</v>
      </c>
      <c r="J274" s="167" t="s">
        <v>3015</v>
      </c>
      <c r="K274" s="167" t="s">
        <v>3015</v>
      </c>
      <c r="L274" s="167" t="s">
        <v>3015</v>
      </c>
      <c r="M274" s="167" t="s">
        <v>3015</v>
      </c>
      <c r="N274" s="167" t="s">
        <v>3015</v>
      </c>
      <c r="O274" s="167" t="s">
        <v>3015</v>
      </c>
      <c r="P274" s="167" t="s">
        <v>3015</v>
      </c>
      <c r="Q274" s="167" t="s">
        <v>3015</v>
      </c>
      <c r="R274" s="167" t="s">
        <v>3015</v>
      </c>
      <c r="S274" s="167" t="s">
        <v>3015</v>
      </c>
      <c r="T274" s="167" t="s">
        <v>3015</v>
      </c>
      <c r="U274" s="167" t="s">
        <v>3015</v>
      </c>
      <c r="V274" s="167" t="s">
        <v>3015</v>
      </c>
      <c r="W274" s="167" t="s">
        <v>3015</v>
      </c>
      <c r="X274" s="167" t="s">
        <v>3015</v>
      </c>
      <c r="Y274" s="167" t="s">
        <v>3015</v>
      </c>
      <c r="Z274" s="167" t="str">
        <f>_xlfn.IFNA(VLOOKUP(C274,'INFORM Severity - hidden'!$C$5:$G$155,5,FALSE),"-")</f>
        <v>-</v>
      </c>
      <c r="AA274" s="167" t="s">
        <v>3015</v>
      </c>
      <c r="AB274" s="167" t="s">
        <v>3015</v>
      </c>
    </row>
    <row r="275" spans="1:28" x14ac:dyDescent="0.3">
      <c r="A275" s="11" t="s">
        <v>299</v>
      </c>
      <c r="B275" s="11" t="s">
        <v>1103</v>
      </c>
      <c r="C275" s="11" t="s">
        <v>593</v>
      </c>
      <c r="D275" s="166" t="str">
        <f t="shared" si="4"/>
        <v>Increasing</v>
      </c>
      <c r="E275" s="167" t="s">
        <v>3015</v>
      </c>
      <c r="F275" s="167">
        <v>4.3</v>
      </c>
      <c r="G275" s="167">
        <v>4.3</v>
      </c>
      <c r="H275" s="167">
        <v>4.3</v>
      </c>
      <c r="I275" s="167">
        <v>4.3</v>
      </c>
      <c r="J275" s="167">
        <v>4.3</v>
      </c>
      <c r="K275" s="167">
        <v>4.3</v>
      </c>
      <c r="L275" s="167">
        <v>4.3</v>
      </c>
      <c r="M275" s="167">
        <v>4.3</v>
      </c>
      <c r="N275" s="167">
        <v>4.3</v>
      </c>
      <c r="O275" s="167">
        <v>4.3</v>
      </c>
      <c r="P275" s="167">
        <v>4.3</v>
      </c>
      <c r="Q275" s="167">
        <v>4.3</v>
      </c>
      <c r="R275" s="167">
        <v>4.3</v>
      </c>
      <c r="S275" s="167">
        <v>4.3</v>
      </c>
      <c r="T275" s="167">
        <v>4.3</v>
      </c>
      <c r="U275" s="167">
        <v>4.3</v>
      </c>
      <c r="V275" s="167">
        <v>4.3</v>
      </c>
      <c r="W275" s="167">
        <v>4.4000000000000004</v>
      </c>
      <c r="X275" s="167">
        <v>4.4000000000000004</v>
      </c>
      <c r="Y275" s="167">
        <v>4.4000000000000004</v>
      </c>
      <c r="Z275" s="167">
        <f>_xlfn.IFNA(VLOOKUP(C275,'INFORM Severity - hidden'!$C$5:$G$155,5,FALSE),"-")</f>
        <v>4.4000000000000004</v>
      </c>
      <c r="AA275" s="167" t="s">
        <v>3015</v>
      </c>
      <c r="AB275" s="167" t="s">
        <v>3015</v>
      </c>
    </row>
    <row r="276" spans="1:28" x14ac:dyDescent="0.3">
      <c r="A276" s="11" t="s">
        <v>299</v>
      </c>
      <c r="B276" s="11" t="s">
        <v>1678</v>
      </c>
      <c r="C276" s="11" t="s">
        <v>1679</v>
      </c>
      <c r="D276" s="166" t="str">
        <f t="shared" si="4"/>
        <v>-</v>
      </c>
      <c r="E276" s="167" t="s">
        <v>3015</v>
      </c>
      <c r="F276" s="167" t="s">
        <v>3015</v>
      </c>
      <c r="G276" s="167" t="s">
        <v>3015</v>
      </c>
      <c r="H276" s="167" t="s">
        <v>3015</v>
      </c>
      <c r="I276" s="167" t="s">
        <v>3015</v>
      </c>
      <c r="J276" s="167" t="s">
        <v>3015</v>
      </c>
      <c r="K276" s="167" t="s">
        <v>3015</v>
      </c>
      <c r="L276" s="167" t="s">
        <v>3015</v>
      </c>
      <c r="M276" s="167" t="s">
        <v>3015</v>
      </c>
      <c r="N276" s="167" t="s">
        <v>3015</v>
      </c>
      <c r="O276" s="167">
        <v>3.1</v>
      </c>
      <c r="P276" s="167">
        <v>3.1</v>
      </c>
      <c r="Q276" s="167">
        <v>3.1</v>
      </c>
      <c r="R276" s="167">
        <v>3.1</v>
      </c>
      <c r="S276" s="167">
        <v>3.1</v>
      </c>
      <c r="T276" s="167" t="s">
        <v>3015</v>
      </c>
      <c r="U276" s="167" t="s">
        <v>3015</v>
      </c>
      <c r="V276" s="167" t="s">
        <v>3015</v>
      </c>
      <c r="W276" s="167" t="s">
        <v>3015</v>
      </c>
      <c r="X276" s="167" t="s">
        <v>3015</v>
      </c>
      <c r="Y276" s="167" t="s">
        <v>3015</v>
      </c>
      <c r="Z276" s="167" t="str">
        <f>_xlfn.IFNA(VLOOKUP(C276,'INFORM Severity - hidden'!$C$5:$G$155,5,FALSE),"-")</f>
        <v>-</v>
      </c>
      <c r="AA276" s="167" t="s">
        <v>3015</v>
      </c>
      <c r="AB276" s="167" t="s">
        <v>3015</v>
      </c>
    </row>
    <row r="277" spans="1:28" x14ac:dyDescent="0.3">
      <c r="A277" s="11" t="s">
        <v>274</v>
      </c>
      <c r="B277" s="11" t="s">
        <v>914</v>
      </c>
      <c r="C277" s="11" t="s">
        <v>3110</v>
      </c>
      <c r="D277" s="166" t="str">
        <f t="shared" si="4"/>
        <v>-</v>
      </c>
      <c r="E277" s="167" t="s">
        <v>3015</v>
      </c>
      <c r="F277" s="167" t="s">
        <v>3015</v>
      </c>
      <c r="G277" s="167" t="s">
        <v>3015</v>
      </c>
      <c r="H277" s="167" t="s">
        <v>3015</v>
      </c>
      <c r="I277" s="167" t="s">
        <v>3015</v>
      </c>
      <c r="J277" s="167" t="s">
        <v>3015</v>
      </c>
      <c r="K277" s="167" t="s">
        <v>3015</v>
      </c>
      <c r="L277" s="167" t="s">
        <v>3015</v>
      </c>
      <c r="M277" s="167" t="s">
        <v>3015</v>
      </c>
      <c r="N277" s="167" t="s">
        <v>3015</v>
      </c>
      <c r="O277" s="167" t="s">
        <v>3015</v>
      </c>
      <c r="P277" s="167" t="s">
        <v>3015</v>
      </c>
      <c r="Q277" s="167" t="s">
        <v>3015</v>
      </c>
      <c r="R277" s="167" t="s">
        <v>3015</v>
      </c>
      <c r="S277" s="167" t="s">
        <v>3015</v>
      </c>
      <c r="T277" s="167" t="s">
        <v>3015</v>
      </c>
      <c r="U277" s="167" t="s">
        <v>3015</v>
      </c>
      <c r="V277" s="167" t="s">
        <v>3015</v>
      </c>
      <c r="W277" s="167" t="s">
        <v>3015</v>
      </c>
      <c r="X277" s="167" t="s">
        <v>3015</v>
      </c>
      <c r="Y277" s="167" t="s">
        <v>3015</v>
      </c>
      <c r="Z277" s="167" t="str">
        <f>_xlfn.IFNA(VLOOKUP(C277,'INFORM Severity - hidden'!$C$5:$G$155,5,FALSE),"-")</f>
        <v>-</v>
      </c>
      <c r="AA277" s="167" t="s">
        <v>3015</v>
      </c>
      <c r="AB277" s="167" t="s">
        <v>3015</v>
      </c>
    </row>
    <row r="278" spans="1:28" x14ac:dyDescent="0.3">
      <c r="A278" s="11" t="s">
        <v>307</v>
      </c>
      <c r="B278" s="11" t="s">
        <v>914</v>
      </c>
      <c r="C278" s="11" t="s">
        <v>3124</v>
      </c>
      <c r="D278" s="166" t="str">
        <f t="shared" si="4"/>
        <v>-</v>
      </c>
      <c r="E278" s="167" t="s">
        <v>3015</v>
      </c>
      <c r="F278" s="167" t="s">
        <v>3015</v>
      </c>
      <c r="G278" s="167" t="s">
        <v>3015</v>
      </c>
      <c r="H278" s="167" t="s">
        <v>3015</v>
      </c>
      <c r="I278" s="167" t="s">
        <v>3015</v>
      </c>
      <c r="J278" s="167" t="s">
        <v>3015</v>
      </c>
      <c r="K278" s="167" t="s">
        <v>3015</v>
      </c>
      <c r="L278" s="167" t="s">
        <v>3015</v>
      </c>
      <c r="M278" s="167" t="s">
        <v>3015</v>
      </c>
      <c r="N278" s="167" t="s">
        <v>3015</v>
      </c>
      <c r="O278" s="167" t="s">
        <v>3015</v>
      </c>
      <c r="P278" s="167" t="s">
        <v>3015</v>
      </c>
      <c r="Q278" s="167" t="s">
        <v>3015</v>
      </c>
      <c r="R278" s="167" t="s">
        <v>3015</v>
      </c>
      <c r="S278" s="167" t="s">
        <v>3015</v>
      </c>
      <c r="T278" s="167" t="s">
        <v>3015</v>
      </c>
      <c r="U278" s="167" t="s">
        <v>3015</v>
      </c>
      <c r="V278" s="167" t="s">
        <v>3015</v>
      </c>
      <c r="W278" s="167" t="s">
        <v>3015</v>
      </c>
      <c r="X278" s="167" t="s">
        <v>3015</v>
      </c>
      <c r="Y278" s="167" t="s">
        <v>3015</v>
      </c>
      <c r="Z278" s="167" t="str">
        <f>_xlfn.IFNA(VLOOKUP(C278,'INFORM Severity - hidden'!$C$5:$G$155,5,FALSE),"-")</f>
        <v>-</v>
      </c>
      <c r="AA278" s="167" t="s">
        <v>3015</v>
      </c>
      <c r="AB278" s="167" t="s">
        <v>3015</v>
      </c>
    </row>
    <row r="279" spans="1:28" x14ac:dyDescent="0.3">
      <c r="A279" s="11" t="s">
        <v>3649</v>
      </c>
      <c r="B279" s="11" t="s">
        <v>3651</v>
      </c>
      <c r="C279" s="11" t="s">
        <v>3125</v>
      </c>
      <c r="D279" s="166" t="str">
        <f t="shared" si="4"/>
        <v>-</v>
      </c>
      <c r="E279" s="167" t="s">
        <v>3015</v>
      </c>
      <c r="F279" s="167" t="s">
        <v>3015</v>
      </c>
      <c r="G279" s="167" t="s">
        <v>3015</v>
      </c>
      <c r="H279" s="167" t="s">
        <v>3015</v>
      </c>
      <c r="I279" s="167" t="s">
        <v>3015</v>
      </c>
      <c r="J279" s="167" t="s">
        <v>3015</v>
      </c>
      <c r="K279" s="167" t="s">
        <v>3015</v>
      </c>
      <c r="L279" s="167" t="s">
        <v>3015</v>
      </c>
      <c r="M279" s="167" t="s">
        <v>3015</v>
      </c>
      <c r="N279" s="167" t="s">
        <v>3015</v>
      </c>
      <c r="O279" s="167" t="s">
        <v>3015</v>
      </c>
      <c r="P279" s="167" t="s">
        <v>3015</v>
      </c>
      <c r="Q279" s="167" t="s">
        <v>3015</v>
      </c>
      <c r="R279" s="167" t="s">
        <v>3015</v>
      </c>
      <c r="S279" s="167" t="s">
        <v>3015</v>
      </c>
      <c r="T279" s="167" t="s">
        <v>3015</v>
      </c>
      <c r="U279" s="167" t="s">
        <v>3015</v>
      </c>
      <c r="V279" s="167" t="s">
        <v>3015</v>
      </c>
      <c r="W279" s="167" t="s">
        <v>3015</v>
      </c>
      <c r="X279" s="167" t="s">
        <v>3015</v>
      </c>
      <c r="Y279" s="167" t="s">
        <v>3015</v>
      </c>
      <c r="Z279" s="167">
        <f>_xlfn.IFNA(VLOOKUP(C279,'INFORM Severity - hidden'!$C$5:$G$155,5,FALSE),"-")</f>
        <v>2.6</v>
      </c>
      <c r="AA279" s="167" t="s">
        <v>3015</v>
      </c>
      <c r="AB279" s="167" t="s">
        <v>3015</v>
      </c>
    </row>
    <row r="280" spans="1:28" x14ac:dyDescent="0.3">
      <c r="A280" s="11" t="s">
        <v>282</v>
      </c>
      <c r="B280" s="11" t="s">
        <v>914</v>
      </c>
      <c r="C280" s="11" t="s">
        <v>3114</v>
      </c>
      <c r="D280" s="166" t="str">
        <f t="shared" si="4"/>
        <v>-</v>
      </c>
      <c r="E280" s="167" t="s">
        <v>3015</v>
      </c>
      <c r="F280" s="167" t="s">
        <v>3015</v>
      </c>
      <c r="G280" s="167" t="s">
        <v>3015</v>
      </c>
      <c r="H280" s="167" t="s">
        <v>3015</v>
      </c>
      <c r="I280" s="167" t="s">
        <v>3015</v>
      </c>
      <c r="J280" s="167" t="s">
        <v>3015</v>
      </c>
      <c r="K280" s="167" t="s">
        <v>3015</v>
      </c>
      <c r="L280" s="167" t="s">
        <v>3015</v>
      </c>
      <c r="M280" s="167" t="s">
        <v>3015</v>
      </c>
      <c r="N280" s="167" t="s">
        <v>3015</v>
      </c>
      <c r="O280" s="167" t="s">
        <v>3015</v>
      </c>
      <c r="P280" s="167" t="s">
        <v>3015</v>
      </c>
      <c r="Q280" s="167" t="s">
        <v>3015</v>
      </c>
      <c r="R280" s="167" t="s">
        <v>3015</v>
      </c>
      <c r="S280" s="167" t="s">
        <v>3015</v>
      </c>
      <c r="T280" s="167" t="s">
        <v>3015</v>
      </c>
      <c r="U280" s="167" t="s">
        <v>3015</v>
      </c>
      <c r="V280" s="167" t="s">
        <v>3015</v>
      </c>
      <c r="W280" s="167" t="s">
        <v>3015</v>
      </c>
      <c r="X280" s="167" t="s">
        <v>3015</v>
      </c>
      <c r="Y280" s="167" t="s">
        <v>3015</v>
      </c>
      <c r="Z280" s="167" t="str">
        <f>_xlfn.IFNA(VLOOKUP(C280,'INFORM Severity - hidden'!$C$5:$G$155,5,FALSE),"-")</f>
        <v>-</v>
      </c>
      <c r="AA280" s="167" t="s">
        <v>3015</v>
      </c>
      <c r="AB280" s="167" t="s">
        <v>3015</v>
      </c>
    </row>
    <row r="281" spans="1:28" x14ac:dyDescent="0.3">
      <c r="A281" s="11" t="s">
        <v>388</v>
      </c>
      <c r="B281" s="11" t="s">
        <v>761</v>
      </c>
      <c r="C281" s="11" t="s">
        <v>594</v>
      </c>
      <c r="D281" s="166" t="str">
        <f t="shared" si="4"/>
        <v>Stable</v>
      </c>
      <c r="E281" s="167">
        <v>4.9000000000000004</v>
      </c>
      <c r="F281" s="167">
        <v>4.9000000000000004</v>
      </c>
      <c r="G281" s="167">
        <v>4.8</v>
      </c>
      <c r="H281" s="167">
        <v>4.8</v>
      </c>
      <c r="I281" s="167">
        <v>4.8</v>
      </c>
      <c r="J281" s="167">
        <v>4.9000000000000004</v>
      </c>
      <c r="K281" s="167">
        <v>4.9000000000000004</v>
      </c>
      <c r="L281" s="167">
        <v>4.9000000000000004</v>
      </c>
      <c r="M281" s="167">
        <v>4.9000000000000004</v>
      </c>
      <c r="N281" s="167">
        <v>4.8</v>
      </c>
      <c r="O281" s="167">
        <v>4.9000000000000004</v>
      </c>
      <c r="P281" s="167">
        <v>4.9000000000000004</v>
      </c>
      <c r="Q281" s="167">
        <v>4.9000000000000004</v>
      </c>
      <c r="R281" s="167">
        <v>4.9000000000000004</v>
      </c>
      <c r="S281" s="167">
        <v>4.9000000000000004</v>
      </c>
      <c r="T281" s="167">
        <v>4.9000000000000004</v>
      </c>
      <c r="U281" s="167">
        <v>4.9000000000000004</v>
      </c>
      <c r="V281" s="167">
        <v>4.9000000000000004</v>
      </c>
      <c r="W281" s="167">
        <v>4.9000000000000004</v>
      </c>
      <c r="X281" s="167">
        <v>4.9000000000000004</v>
      </c>
      <c r="Y281" s="167">
        <v>4.9000000000000004</v>
      </c>
      <c r="Z281" s="167">
        <f>_xlfn.IFNA(VLOOKUP(C281,'INFORM Severity - hidden'!$C$5:$G$155,5,FALSE),"-")</f>
        <v>4.9000000000000004</v>
      </c>
      <c r="AA281" s="167" t="s">
        <v>3015</v>
      </c>
      <c r="AB281" s="167" t="s">
        <v>3015</v>
      </c>
    </row>
    <row r="282" spans="1:28" x14ac:dyDescent="0.3">
      <c r="A282" s="11" t="s">
        <v>62</v>
      </c>
      <c r="B282" s="11" t="s">
        <v>1419</v>
      </c>
      <c r="C282" s="11" t="s">
        <v>577</v>
      </c>
      <c r="D282" s="166" t="str">
        <f t="shared" si="4"/>
        <v>Stable</v>
      </c>
      <c r="E282" s="167" t="s">
        <v>3015</v>
      </c>
      <c r="F282" s="167" t="s">
        <v>3015</v>
      </c>
      <c r="G282" s="167" t="s">
        <v>3015</v>
      </c>
      <c r="H282" s="167">
        <v>4</v>
      </c>
      <c r="I282" s="167">
        <v>4</v>
      </c>
      <c r="J282" s="167">
        <v>4</v>
      </c>
      <c r="K282" s="167">
        <v>4</v>
      </c>
      <c r="L282" s="167">
        <v>4</v>
      </c>
      <c r="M282" s="167">
        <v>4</v>
      </c>
      <c r="N282" s="167">
        <v>4.0999999999999996</v>
      </c>
      <c r="O282" s="167">
        <v>4.0999999999999996</v>
      </c>
      <c r="P282" s="167">
        <v>4</v>
      </c>
      <c r="Q282" s="167">
        <v>4.0999999999999996</v>
      </c>
      <c r="R282" s="167">
        <v>4.0999999999999996</v>
      </c>
      <c r="S282" s="167">
        <v>4.0999999999999996</v>
      </c>
      <c r="T282" s="167">
        <v>4.0999999999999996</v>
      </c>
      <c r="U282" s="167">
        <v>4.0999999999999996</v>
      </c>
      <c r="V282" s="167">
        <v>4.0999999999999996</v>
      </c>
      <c r="W282" s="167">
        <v>4.0999999999999996</v>
      </c>
      <c r="X282" s="167">
        <v>4.0999999999999996</v>
      </c>
      <c r="Y282" s="167">
        <v>4.0999999999999996</v>
      </c>
      <c r="Z282" s="167">
        <f>_xlfn.IFNA(VLOOKUP(C282,'INFORM Severity - hidden'!$C$5:$G$155,5,FALSE),"-")</f>
        <v>4.2</v>
      </c>
      <c r="AA282" s="167" t="s">
        <v>3015</v>
      </c>
      <c r="AB282" s="167" t="s">
        <v>3015</v>
      </c>
    </row>
    <row r="283" spans="1:28" x14ac:dyDescent="0.3">
      <c r="A283" s="11" t="s">
        <v>62</v>
      </c>
      <c r="B283" s="11" t="s">
        <v>783</v>
      </c>
      <c r="C283" s="11" t="s">
        <v>3153</v>
      </c>
      <c r="D283" s="166" t="str">
        <f t="shared" si="4"/>
        <v>-</v>
      </c>
      <c r="E283" s="167" t="s">
        <v>3015</v>
      </c>
      <c r="F283" s="167" t="s">
        <v>3015</v>
      </c>
      <c r="G283" s="167" t="s">
        <v>3015</v>
      </c>
      <c r="H283" s="167">
        <v>3</v>
      </c>
      <c r="I283" s="167">
        <v>3</v>
      </c>
      <c r="J283" s="167" t="s">
        <v>3015</v>
      </c>
      <c r="K283" s="167" t="s">
        <v>3015</v>
      </c>
      <c r="L283" s="167" t="s">
        <v>3015</v>
      </c>
      <c r="M283" s="167" t="s">
        <v>3015</v>
      </c>
      <c r="N283" s="167" t="s">
        <v>3015</v>
      </c>
      <c r="O283" s="167" t="s">
        <v>3015</v>
      </c>
      <c r="P283" s="167" t="s">
        <v>3015</v>
      </c>
      <c r="Q283" s="167" t="s">
        <v>3015</v>
      </c>
      <c r="R283" s="167" t="s">
        <v>3015</v>
      </c>
      <c r="S283" s="167" t="s">
        <v>3015</v>
      </c>
      <c r="T283" s="167" t="s">
        <v>3015</v>
      </c>
      <c r="U283" s="167" t="s">
        <v>3015</v>
      </c>
      <c r="V283" s="167" t="s">
        <v>3015</v>
      </c>
      <c r="W283" s="167" t="s">
        <v>3015</v>
      </c>
      <c r="X283" s="167" t="s">
        <v>3015</v>
      </c>
      <c r="Y283" s="167" t="s">
        <v>3015</v>
      </c>
      <c r="Z283" s="167" t="str">
        <f>_xlfn.IFNA(VLOOKUP(C283,'INFORM Severity - hidden'!$C$5:$G$155,5,FALSE),"-")</f>
        <v>-</v>
      </c>
      <c r="AA283" s="167" t="s">
        <v>3015</v>
      </c>
      <c r="AB283" s="167" t="s">
        <v>3015</v>
      </c>
    </row>
    <row r="284" spans="1:28" x14ac:dyDescent="0.3">
      <c r="A284" s="11" t="s">
        <v>62</v>
      </c>
      <c r="B284" s="11" t="s">
        <v>784</v>
      </c>
      <c r="C284" s="11" t="s">
        <v>678</v>
      </c>
      <c r="D284" s="166" t="str">
        <f t="shared" si="4"/>
        <v>Stable</v>
      </c>
      <c r="E284" s="167" t="s">
        <v>3015</v>
      </c>
      <c r="F284" s="167" t="s">
        <v>3015</v>
      </c>
      <c r="G284" s="167" t="s">
        <v>3015</v>
      </c>
      <c r="H284" s="167">
        <v>3.4</v>
      </c>
      <c r="I284" s="167">
        <v>3.4</v>
      </c>
      <c r="J284" s="167">
        <v>3.4</v>
      </c>
      <c r="K284" s="167">
        <v>3.4</v>
      </c>
      <c r="L284" s="167">
        <v>3.4</v>
      </c>
      <c r="M284" s="167">
        <v>3.4</v>
      </c>
      <c r="N284" s="167">
        <v>3.5</v>
      </c>
      <c r="O284" s="167">
        <v>3.5</v>
      </c>
      <c r="P284" s="167">
        <v>3.5</v>
      </c>
      <c r="Q284" s="167">
        <v>3.5</v>
      </c>
      <c r="R284" s="167">
        <v>3.5</v>
      </c>
      <c r="S284" s="167">
        <v>3.7</v>
      </c>
      <c r="T284" s="167">
        <v>3.7</v>
      </c>
      <c r="U284" s="167">
        <v>3.7</v>
      </c>
      <c r="V284" s="167">
        <v>3.7</v>
      </c>
      <c r="W284" s="167">
        <v>3.7</v>
      </c>
      <c r="X284" s="167">
        <v>3.7</v>
      </c>
      <c r="Y284" s="167">
        <v>3.7</v>
      </c>
      <c r="Z284" s="167">
        <f>_xlfn.IFNA(VLOOKUP(C284,'INFORM Severity - hidden'!$C$5:$G$155,5,FALSE),"-")</f>
        <v>3.7</v>
      </c>
      <c r="AA284" s="167" t="s">
        <v>3015</v>
      </c>
      <c r="AB284" s="167" t="s">
        <v>3015</v>
      </c>
    </row>
    <row r="285" spans="1:28" x14ac:dyDescent="0.3">
      <c r="A285" s="11" t="s">
        <v>62</v>
      </c>
      <c r="B285" s="11" t="s">
        <v>785</v>
      </c>
      <c r="C285" s="11" t="s">
        <v>679</v>
      </c>
      <c r="D285" s="166" t="str">
        <f t="shared" si="4"/>
        <v>Stable</v>
      </c>
      <c r="E285" s="167" t="s">
        <v>3015</v>
      </c>
      <c r="F285" s="167" t="s">
        <v>3015</v>
      </c>
      <c r="G285" s="167" t="s">
        <v>3015</v>
      </c>
      <c r="H285" s="167">
        <v>3.1</v>
      </c>
      <c r="I285" s="167">
        <v>3.1</v>
      </c>
      <c r="J285" s="167">
        <v>3.1</v>
      </c>
      <c r="K285" s="167">
        <v>3.1</v>
      </c>
      <c r="L285" s="167">
        <v>3.1</v>
      </c>
      <c r="M285" s="167">
        <v>3.1</v>
      </c>
      <c r="N285" s="167">
        <v>3.1</v>
      </c>
      <c r="O285" s="167">
        <v>3.1</v>
      </c>
      <c r="P285" s="167">
        <v>3.1</v>
      </c>
      <c r="Q285" s="167">
        <v>3.1</v>
      </c>
      <c r="R285" s="167">
        <v>3.1</v>
      </c>
      <c r="S285" s="167">
        <v>3.3</v>
      </c>
      <c r="T285" s="167">
        <v>3.3</v>
      </c>
      <c r="U285" s="167">
        <v>3.3</v>
      </c>
      <c r="V285" s="167">
        <v>3.3</v>
      </c>
      <c r="W285" s="167">
        <v>3.3</v>
      </c>
      <c r="X285" s="167">
        <v>3.3</v>
      </c>
      <c r="Y285" s="167">
        <v>3.3</v>
      </c>
      <c r="Z285" s="167">
        <f>_xlfn.IFNA(VLOOKUP(C285,'INFORM Severity - hidden'!$C$5:$G$155,5,FALSE),"-")</f>
        <v>3.4</v>
      </c>
      <c r="AA285" s="167" t="s">
        <v>3015</v>
      </c>
      <c r="AB285" s="167" t="s">
        <v>3015</v>
      </c>
    </row>
    <row r="286" spans="1:28" x14ac:dyDescent="0.3">
      <c r="A286" s="11" t="s">
        <v>62</v>
      </c>
      <c r="B286" s="11" t="s">
        <v>786</v>
      </c>
      <c r="C286" s="11" t="s">
        <v>1744</v>
      </c>
      <c r="D286" s="166" t="str">
        <f t="shared" si="4"/>
        <v>Decreasing</v>
      </c>
      <c r="E286" s="167" t="s">
        <v>3015</v>
      </c>
      <c r="F286" s="167" t="s">
        <v>3015</v>
      </c>
      <c r="G286" s="167" t="s">
        <v>3015</v>
      </c>
      <c r="H286" s="167">
        <v>3.3</v>
      </c>
      <c r="I286" s="167">
        <v>3.3</v>
      </c>
      <c r="J286" s="167">
        <v>3.3</v>
      </c>
      <c r="K286" s="167">
        <v>3.3</v>
      </c>
      <c r="L286" s="167">
        <v>3.3</v>
      </c>
      <c r="M286" s="167">
        <v>3.3</v>
      </c>
      <c r="N286" s="167">
        <v>3.3</v>
      </c>
      <c r="O286" s="167">
        <v>3.3</v>
      </c>
      <c r="P286" s="167">
        <v>3.3</v>
      </c>
      <c r="Q286" s="167">
        <v>3.3</v>
      </c>
      <c r="R286" s="167">
        <v>3.3</v>
      </c>
      <c r="S286" s="167">
        <v>3.3</v>
      </c>
      <c r="T286" s="167">
        <v>3.4</v>
      </c>
      <c r="U286" s="167">
        <v>3.4</v>
      </c>
      <c r="V286" s="167">
        <v>3.4</v>
      </c>
      <c r="W286" s="167">
        <v>3.2</v>
      </c>
      <c r="X286" s="167">
        <v>3.2</v>
      </c>
      <c r="Y286" s="167">
        <v>3.2</v>
      </c>
      <c r="Z286" s="167">
        <f>_xlfn.IFNA(VLOOKUP(C286,'INFORM Severity - hidden'!$C$5:$G$155,5,FALSE),"-")</f>
        <v>3.2</v>
      </c>
      <c r="AA286" s="167" t="s">
        <v>3015</v>
      </c>
      <c r="AB286" s="167" t="s">
        <v>3015</v>
      </c>
    </row>
    <row r="287" spans="1:28" x14ac:dyDescent="0.3">
      <c r="A287" s="11" t="s">
        <v>62</v>
      </c>
      <c r="B287" s="11" t="s">
        <v>1160</v>
      </c>
      <c r="C287" s="11" t="s">
        <v>804</v>
      </c>
      <c r="D287" s="166" t="str">
        <f t="shared" si="4"/>
        <v>Decreasing</v>
      </c>
      <c r="E287" s="167" t="s">
        <v>3015</v>
      </c>
      <c r="F287" s="167" t="s">
        <v>3015</v>
      </c>
      <c r="G287" s="167" t="s">
        <v>393</v>
      </c>
      <c r="H287" s="167" t="s">
        <v>393</v>
      </c>
      <c r="I287" s="167" t="s">
        <v>393</v>
      </c>
      <c r="J287" s="167" t="s">
        <v>393</v>
      </c>
      <c r="K287" s="167" t="s">
        <v>393</v>
      </c>
      <c r="L287" s="167" t="s">
        <v>393</v>
      </c>
      <c r="M287" s="167" t="s">
        <v>393</v>
      </c>
      <c r="N287" s="167" t="s">
        <v>393</v>
      </c>
      <c r="O287" s="167" t="s">
        <v>393</v>
      </c>
      <c r="P287" s="167" t="s">
        <v>393</v>
      </c>
      <c r="Q287" s="167" t="s">
        <v>393</v>
      </c>
      <c r="R287" s="167" t="s">
        <v>393</v>
      </c>
      <c r="S287" s="167" t="s">
        <v>393</v>
      </c>
      <c r="T287" s="167" t="s">
        <v>393</v>
      </c>
      <c r="U287" s="167" t="s">
        <v>393</v>
      </c>
      <c r="V287" s="167" t="s">
        <v>393</v>
      </c>
      <c r="W287" s="167">
        <v>2.7</v>
      </c>
      <c r="X287" s="167">
        <v>2.7</v>
      </c>
      <c r="Y287" s="167">
        <v>2.6</v>
      </c>
      <c r="Z287" s="167">
        <f>_xlfn.IFNA(VLOOKUP(C287,'INFORM Severity - hidden'!$C$5:$G$155,5,FALSE),"-")</f>
        <v>2.5</v>
      </c>
      <c r="AA287" s="167" t="s">
        <v>3015</v>
      </c>
      <c r="AB287" s="167" t="s">
        <v>3015</v>
      </c>
    </row>
    <row r="288" spans="1:28" x14ac:dyDescent="0.3">
      <c r="A288" s="11" t="s">
        <v>62</v>
      </c>
      <c r="B288" s="11" t="s">
        <v>1697</v>
      </c>
      <c r="C288" s="11" t="s">
        <v>3205</v>
      </c>
      <c r="D288" s="166" t="str">
        <f t="shared" si="4"/>
        <v>-</v>
      </c>
      <c r="E288" s="167" t="s">
        <v>3015</v>
      </c>
      <c r="F288" s="167" t="s">
        <v>3015</v>
      </c>
      <c r="G288" s="167" t="s">
        <v>3015</v>
      </c>
      <c r="H288" s="167" t="s">
        <v>3015</v>
      </c>
      <c r="I288" s="167" t="s">
        <v>3015</v>
      </c>
      <c r="J288" s="167" t="s">
        <v>3015</v>
      </c>
      <c r="K288" s="167" t="s">
        <v>3015</v>
      </c>
      <c r="L288" s="167" t="s">
        <v>3015</v>
      </c>
      <c r="M288" s="167" t="s">
        <v>3015</v>
      </c>
      <c r="N288" s="167" t="s">
        <v>3015</v>
      </c>
      <c r="O288" s="167">
        <v>2.4</v>
      </c>
      <c r="P288" s="167">
        <v>2.6</v>
      </c>
      <c r="Q288" s="167">
        <v>2.6</v>
      </c>
      <c r="R288" s="167">
        <v>2.6</v>
      </c>
      <c r="S288" s="167">
        <v>2.6</v>
      </c>
      <c r="T288" s="167" t="s">
        <v>3015</v>
      </c>
      <c r="U288" s="167" t="s">
        <v>3015</v>
      </c>
      <c r="V288" s="167" t="s">
        <v>3015</v>
      </c>
      <c r="W288" s="167" t="s">
        <v>3015</v>
      </c>
      <c r="X288" s="167" t="s">
        <v>3015</v>
      </c>
      <c r="Y288" s="167" t="s">
        <v>3015</v>
      </c>
      <c r="Z288" s="167" t="str">
        <f>_xlfn.IFNA(VLOOKUP(C288,'INFORM Severity - hidden'!$C$5:$G$155,5,FALSE),"-")</f>
        <v>-</v>
      </c>
      <c r="AA288" s="167" t="s">
        <v>3015</v>
      </c>
      <c r="AB288" s="167" t="s">
        <v>3015</v>
      </c>
    </row>
    <row r="289" spans="1:28" x14ac:dyDescent="0.3">
      <c r="A289" s="11" t="s">
        <v>62</v>
      </c>
      <c r="B289" s="11" t="s">
        <v>1697</v>
      </c>
      <c r="C289" s="11" t="s">
        <v>3264</v>
      </c>
      <c r="D289" s="166" t="str">
        <f t="shared" si="4"/>
        <v>-</v>
      </c>
      <c r="E289" s="167" t="s">
        <v>3015</v>
      </c>
      <c r="F289" s="167" t="s">
        <v>3015</v>
      </c>
      <c r="G289" s="167" t="s">
        <v>3015</v>
      </c>
      <c r="H289" s="167" t="s">
        <v>3015</v>
      </c>
      <c r="I289" s="167" t="s">
        <v>3015</v>
      </c>
      <c r="J289" s="167" t="s">
        <v>3015</v>
      </c>
      <c r="K289" s="167" t="s">
        <v>3015</v>
      </c>
      <c r="L289" s="167" t="s">
        <v>3015</v>
      </c>
      <c r="M289" s="167" t="s">
        <v>3015</v>
      </c>
      <c r="N289" s="167" t="s">
        <v>3015</v>
      </c>
      <c r="O289" s="167" t="s">
        <v>3015</v>
      </c>
      <c r="P289" s="167" t="s">
        <v>3015</v>
      </c>
      <c r="Q289" s="167" t="s">
        <v>3015</v>
      </c>
      <c r="R289" s="167" t="s">
        <v>3015</v>
      </c>
      <c r="S289" s="167" t="s">
        <v>3015</v>
      </c>
      <c r="T289" s="167" t="s">
        <v>3015</v>
      </c>
      <c r="U289" s="167" t="s">
        <v>3015</v>
      </c>
      <c r="V289" s="167" t="s">
        <v>3015</v>
      </c>
      <c r="W289" s="167" t="s">
        <v>3015</v>
      </c>
      <c r="X289" s="167" t="s">
        <v>3015</v>
      </c>
      <c r="Y289" s="167">
        <v>2.8</v>
      </c>
      <c r="Z289" s="167">
        <f>_xlfn.IFNA(VLOOKUP(C289,'INFORM Severity - hidden'!$C$5:$G$155,5,FALSE),"-")</f>
        <v>2.6</v>
      </c>
      <c r="AA289" s="167" t="s">
        <v>3015</v>
      </c>
      <c r="AB289" s="167" t="s">
        <v>3015</v>
      </c>
    </row>
    <row r="290" spans="1:28" x14ac:dyDescent="0.3">
      <c r="A290" s="11" t="s">
        <v>320</v>
      </c>
      <c r="B290" s="11" t="s">
        <v>914</v>
      </c>
      <c r="C290" s="11" t="s">
        <v>3130</v>
      </c>
      <c r="D290" s="166" t="str">
        <f t="shared" si="4"/>
        <v>-</v>
      </c>
      <c r="E290" s="167" t="s">
        <v>3015</v>
      </c>
      <c r="F290" s="167" t="s">
        <v>3015</v>
      </c>
      <c r="G290" s="167" t="s">
        <v>3015</v>
      </c>
      <c r="H290" s="167" t="s">
        <v>3015</v>
      </c>
      <c r="I290" s="167" t="s">
        <v>3015</v>
      </c>
      <c r="J290" s="167" t="s">
        <v>3015</v>
      </c>
      <c r="K290" s="167" t="s">
        <v>3015</v>
      </c>
      <c r="L290" s="167" t="s">
        <v>3015</v>
      </c>
      <c r="M290" s="167" t="s">
        <v>3015</v>
      </c>
      <c r="N290" s="167" t="s">
        <v>3015</v>
      </c>
      <c r="O290" s="167" t="s">
        <v>3015</v>
      </c>
      <c r="P290" s="167" t="s">
        <v>3015</v>
      </c>
      <c r="Q290" s="167" t="s">
        <v>3015</v>
      </c>
      <c r="R290" s="167" t="s">
        <v>3015</v>
      </c>
      <c r="S290" s="167" t="s">
        <v>3015</v>
      </c>
      <c r="T290" s="167" t="s">
        <v>3015</v>
      </c>
      <c r="U290" s="167" t="s">
        <v>3015</v>
      </c>
      <c r="V290" s="167" t="s">
        <v>3015</v>
      </c>
      <c r="W290" s="167" t="s">
        <v>3015</v>
      </c>
      <c r="X290" s="167" t="s">
        <v>3015</v>
      </c>
      <c r="Y290" s="167" t="s">
        <v>3015</v>
      </c>
      <c r="Z290" s="167" t="str">
        <f>_xlfn.IFNA(VLOOKUP(C290,'INFORM Severity - hidden'!$C$5:$G$155,5,FALSE),"-")</f>
        <v>-</v>
      </c>
      <c r="AA290" s="167" t="s">
        <v>3015</v>
      </c>
      <c r="AB290" s="167" t="s">
        <v>3015</v>
      </c>
    </row>
    <row r="291" spans="1:28" x14ac:dyDescent="0.3">
      <c r="A291" s="11" t="s">
        <v>318</v>
      </c>
      <c r="B291" s="11" t="s">
        <v>1168</v>
      </c>
      <c r="C291" s="11" t="s">
        <v>595</v>
      </c>
      <c r="D291" s="166" t="str">
        <f t="shared" si="4"/>
        <v>Stable</v>
      </c>
      <c r="E291" s="167" t="s">
        <v>3015</v>
      </c>
      <c r="F291" s="167" t="s">
        <v>393</v>
      </c>
      <c r="G291" s="167" t="s">
        <v>393</v>
      </c>
      <c r="H291" s="167" t="s">
        <v>393</v>
      </c>
      <c r="I291" s="167" t="s">
        <v>393</v>
      </c>
      <c r="J291" s="167" t="s">
        <v>393</v>
      </c>
      <c r="K291" s="167" t="s">
        <v>393</v>
      </c>
      <c r="L291" s="167" t="s">
        <v>393</v>
      </c>
      <c r="M291" s="167" t="s">
        <v>393</v>
      </c>
      <c r="N291" s="167" t="s">
        <v>393</v>
      </c>
      <c r="O291" s="167" t="s">
        <v>393</v>
      </c>
      <c r="P291" s="167" t="s">
        <v>393</v>
      </c>
      <c r="Q291" s="167">
        <v>2.8</v>
      </c>
      <c r="R291" s="167">
        <v>2.8</v>
      </c>
      <c r="S291" s="167">
        <v>2.1</v>
      </c>
      <c r="T291" s="167">
        <v>2.1</v>
      </c>
      <c r="U291" s="167">
        <v>2.1</v>
      </c>
      <c r="V291" s="167">
        <v>2.1</v>
      </c>
      <c r="W291" s="167">
        <v>2.1</v>
      </c>
      <c r="X291" s="167">
        <v>2.1</v>
      </c>
      <c r="Y291" s="167">
        <v>2.1</v>
      </c>
      <c r="Z291" s="167">
        <f>_xlfn.IFNA(VLOOKUP(C291,'INFORM Severity - hidden'!$C$5:$G$155,5,FALSE),"-")</f>
        <v>2.1</v>
      </c>
      <c r="AA291" s="167" t="s">
        <v>3015</v>
      </c>
      <c r="AB291" s="167" t="s">
        <v>3015</v>
      </c>
    </row>
    <row r="292" spans="1:28" x14ac:dyDescent="0.3">
      <c r="A292" s="11" t="s">
        <v>318</v>
      </c>
      <c r="B292" s="11" t="s">
        <v>1169</v>
      </c>
      <c r="C292" s="11" t="s">
        <v>661</v>
      </c>
      <c r="D292" s="166" t="str">
        <f t="shared" si="4"/>
        <v>-</v>
      </c>
      <c r="E292" s="167" t="s">
        <v>3015</v>
      </c>
      <c r="F292" s="167" t="s">
        <v>393</v>
      </c>
      <c r="G292" s="167" t="s">
        <v>393</v>
      </c>
      <c r="H292" s="167" t="s">
        <v>393</v>
      </c>
      <c r="I292" s="167" t="s">
        <v>393</v>
      </c>
      <c r="J292" s="167" t="s">
        <v>393</v>
      </c>
      <c r="K292" s="167" t="s">
        <v>393</v>
      </c>
      <c r="L292" s="167" t="s">
        <v>393</v>
      </c>
      <c r="M292" s="167" t="s">
        <v>393</v>
      </c>
      <c r="N292" s="167" t="s">
        <v>393</v>
      </c>
      <c r="O292" s="167" t="s">
        <v>393</v>
      </c>
      <c r="P292" s="167" t="s">
        <v>393</v>
      </c>
      <c r="Q292" s="167" t="s">
        <v>393</v>
      </c>
      <c r="R292" s="167" t="s">
        <v>393</v>
      </c>
      <c r="S292" s="167" t="s">
        <v>393</v>
      </c>
      <c r="T292" s="167" t="s">
        <v>393</v>
      </c>
      <c r="U292" s="167" t="s">
        <v>393</v>
      </c>
      <c r="V292" s="167" t="s">
        <v>393</v>
      </c>
      <c r="W292" s="167" t="s">
        <v>393</v>
      </c>
      <c r="X292" s="167" t="s">
        <v>393</v>
      </c>
      <c r="Y292" s="167" t="s">
        <v>393</v>
      </c>
      <c r="Z292" s="167" t="str">
        <f>_xlfn.IFNA(VLOOKUP(C292,'INFORM Severity - hidden'!$C$5:$G$155,5,FALSE),"-")</f>
        <v>x</v>
      </c>
      <c r="AA292" s="167" t="s">
        <v>3015</v>
      </c>
      <c r="AB292" s="167" t="s">
        <v>3015</v>
      </c>
    </row>
    <row r="293" spans="1:28" x14ac:dyDescent="0.3">
      <c r="A293" s="11" t="s">
        <v>318</v>
      </c>
      <c r="B293" s="11" t="s">
        <v>1107</v>
      </c>
      <c r="C293" s="11" t="s">
        <v>662</v>
      </c>
      <c r="D293" s="166" t="str">
        <f t="shared" si="4"/>
        <v>Increasing</v>
      </c>
      <c r="E293" s="167" t="s">
        <v>3015</v>
      </c>
      <c r="F293" s="167">
        <v>1.2</v>
      </c>
      <c r="G293" s="167">
        <v>1.2</v>
      </c>
      <c r="H293" s="167">
        <v>1.4</v>
      </c>
      <c r="I293" s="167">
        <v>1.4</v>
      </c>
      <c r="J293" s="167">
        <v>1.4</v>
      </c>
      <c r="K293" s="167">
        <v>1.4</v>
      </c>
      <c r="L293" s="167">
        <v>1.4</v>
      </c>
      <c r="M293" s="167">
        <v>1.4</v>
      </c>
      <c r="N293" s="167">
        <v>1.4</v>
      </c>
      <c r="O293" s="167">
        <v>2.1</v>
      </c>
      <c r="P293" s="167">
        <v>2.1</v>
      </c>
      <c r="Q293" s="167">
        <v>2.1</v>
      </c>
      <c r="R293" s="167">
        <v>2.1</v>
      </c>
      <c r="S293" s="167">
        <v>2.1</v>
      </c>
      <c r="T293" s="167">
        <v>2.1</v>
      </c>
      <c r="U293" s="167">
        <v>2.1</v>
      </c>
      <c r="V293" s="167">
        <v>2.1</v>
      </c>
      <c r="W293" s="167">
        <v>2.1</v>
      </c>
      <c r="X293" s="167">
        <v>2.1</v>
      </c>
      <c r="Y293" s="167">
        <v>2.2000000000000002</v>
      </c>
      <c r="Z293" s="167">
        <f>_xlfn.IFNA(VLOOKUP(C293,'INFORM Severity - hidden'!$C$5:$G$155,5,FALSE),"-")</f>
        <v>2.2000000000000002</v>
      </c>
      <c r="AA293" s="167" t="s">
        <v>3015</v>
      </c>
      <c r="AB293" s="167" t="s">
        <v>3015</v>
      </c>
    </row>
    <row r="294" spans="1:28" x14ac:dyDescent="0.3">
      <c r="A294" s="11" t="s">
        <v>315</v>
      </c>
      <c r="B294" s="11" t="s">
        <v>914</v>
      </c>
      <c r="C294" s="11" t="s">
        <v>3126</v>
      </c>
      <c r="D294" s="166" t="str">
        <f t="shared" si="4"/>
        <v>-</v>
      </c>
      <c r="E294" s="167" t="s">
        <v>3015</v>
      </c>
      <c r="F294" s="167" t="s">
        <v>3015</v>
      </c>
      <c r="G294" s="167" t="s">
        <v>3015</v>
      </c>
      <c r="H294" s="167" t="s">
        <v>3015</v>
      </c>
      <c r="I294" s="167" t="s">
        <v>3015</v>
      </c>
      <c r="J294" s="167" t="s">
        <v>3015</v>
      </c>
      <c r="K294" s="167" t="s">
        <v>3015</v>
      </c>
      <c r="L294" s="167" t="s">
        <v>3015</v>
      </c>
      <c r="M294" s="167" t="s">
        <v>3015</v>
      </c>
      <c r="N294" s="167" t="s">
        <v>3015</v>
      </c>
      <c r="O294" s="167" t="s">
        <v>3015</v>
      </c>
      <c r="P294" s="167" t="s">
        <v>3015</v>
      </c>
      <c r="Q294" s="167" t="s">
        <v>3015</v>
      </c>
      <c r="R294" s="167" t="s">
        <v>3015</v>
      </c>
      <c r="S294" s="167" t="s">
        <v>3015</v>
      </c>
      <c r="T294" s="167" t="s">
        <v>3015</v>
      </c>
      <c r="U294" s="167" t="s">
        <v>3015</v>
      </c>
      <c r="V294" s="167" t="s">
        <v>3015</v>
      </c>
      <c r="W294" s="167" t="s">
        <v>3015</v>
      </c>
      <c r="X294" s="167" t="s">
        <v>3015</v>
      </c>
      <c r="Y294" s="167" t="s">
        <v>3015</v>
      </c>
      <c r="Z294" s="167" t="str">
        <f>_xlfn.IFNA(VLOOKUP(C294,'INFORM Severity - hidden'!$C$5:$G$155,5,FALSE),"-")</f>
        <v>-</v>
      </c>
      <c r="AA294" s="167" t="s">
        <v>3015</v>
      </c>
      <c r="AB294" s="167" t="s">
        <v>3015</v>
      </c>
    </row>
    <row r="295" spans="1:28" x14ac:dyDescent="0.3">
      <c r="A295" s="11" t="s">
        <v>3131</v>
      </c>
      <c r="B295" s="11" t="s">
        <v>914</v>
      </c>
      <c r="C295" s="11" t="s">
        <v>3132</v>
      </c>
      <c r="D295" s="166" t="str">
        <f t="shared" si="4"/>
        <v>-</v>
      </c>
      <c r="E295" s="167" t="s">
        <v>3015</v>
      </c>
      <c r="F295" s="167" t="s">
        <v>3015</v>
      </c>
      <c r="G295" s="167" t="s">
        <v>3015</v>
      </c>
      <c r="H295" s="167" t="s">
        <v>3015</v>
      </c>
      <c r="I295" s="167" t="s">
        <v>3015</v>
      </c>
      <c r="J295" s="167" t="s">
        <v>3015</v>
      </c>
      <c r="K295" s="167" t="s">
        <v>3015</v>
      </c>
      <c r="L295" s="167" t="s">
        <v>3015</v>
      </c>
      <c r="M295" s="167" t="s">
        <v>3015</v>
      </c>
      <c r="N295" s="167" t="s">
        <v>3015</v>
      </c>
      <c r="O295" s="167" t="s">
        <v>3015</v>
      </c>
      <c r="P295" s="167" t="s">
        <v>3015</v>
      </c>
      <c r="Q295" s="167" t="s">
        <v>3015</v>
      </c>
      <c r="R295" s="167" t="s">
        <v>3015</v>
      </c>
      <c r="S295" s="167" t="s">
        <v>3015</v>
      </c>
      <c r="T295" s="167" t="s">
        <v>3015</v>
      </c>
      <c r="U295" s="167" t="s">
        <v>3015</v>
      </c>
      <c r="V295" s="167" t="s">
        <v>3015</v>
      </c>
      <c r="W295" s="167" t="s">
        <v>3015</v>
      </c>
      <c r="X295" s="167" t="s">
        <v>3015</v>
      </c>
      <c r="Y295" s="167" t="s">
        <v>3015</v>
      </c>
      <c r="Z295" s="167" t="str">
        <f>_xlfn.IFNA(VLOOKUP(C295,'INFORM Severity - hidden'!$C$5:$G$155,5,FALSE),"-")</f>
        <v>-</v>
      </c>
      <c r="AA295" s="167" t="s">
        <v>3015</v>
      </c>
      <c r="AB295" s="167" t="s">
        <v>3015</v>
      </c>
    </row>
    <row r="296" spans="1:28" x14ac:dyDescent="0.3">
      <c r="A296" s="11" t="s">
        <v>330</v>
      </c>
      <c r="B296" s="11" t="s">
        <v>914</v>
      </c>
      <c r="C296" s="11" t="s">
        <v>3136</v>
      </c>
      <c r="D296" s="166" t="str">
        <f t="shared" si="4"/>
        <v>-</v>
      </c>
      <c r="E296" s="167" t="s">
        <v>3015</v>
      </c>
      <c r="F296" s="167" t="s">
        <v>3015</v>
      </c>
      <c r="G296" s="167" t="s">
        <v>3015</v>
      </c>
      <c r="H296" s="167" t="s">
        <v>3015</v>
      </c>
      <c r="I296" s="167" t="s">
        <v>3015</v>
      </c>
      <c r="J296" s="167" t="s">
        <v>3015</v>
      </c>
      <c r="K296" s="167" t="s">
        <v>3015</v>
      </c>
      <c r="L296" s="167" t="s">
        <v>3015</v>
      </c>
      <c r="M296" s="167" t="s">
        <v>3015</v>
      </c>
      <c r="N296" s="167" t="s">
        <v>3015</v>
      </c>
      <c r="O296" s="167" t="s">
        <v>3015</v>
      </c>
      <c r="P296" s="167" t="s">
        <v>3015</v>
      </c>
      <c r="Q296" s="167" t="s">
        <v>3015</v>
      </c>
      <c r="R296" s="167" t="s">
        <v>3015</v>
      </c>
      <c r="S296" s="167" t="s">
        <v>3015</v>
      </c>
      <c r="T296" s="167" t="s">
        <v>3015</v>
      </c>
      <c r="U296" s="167" t="s">
        <v>3015</v>
      </c>
      <c r="V296" s="167" t="s">
        <v>3015</v>
      </c>
      <c r="W296" s="167" t="s">
        <v>3015</v>
      </c>
      <c r="X296" s="167" t="s">
        <v>3015</v>
      </c>
      <c r="Y296" s="167" t="s">
        <v>3015</v>
      </c>
      <c r="Z296" s="167" t="str">
        <f>_xlfn.IFNA(VLOOKUP(C296,'INFORM Severity - hidden'!$C$5:$G$155,5,FALSE),"-")</f>
        <v>-</v>
      </c>
      <c r="AA296" s="167" t="s">
        <v>3015</v>
      </c>
      <c r="AB296" s="167" t="s">
        <v>3015</v>
      </c>
    </row>
    <row r="297" spans="1:28" x14ac:dyDescent="0.3">
      <c r="A297" s="11" t="s">
        <v>3128</v>
      </c>
      <c r="B297" s="11" t="s">
        <v>914</v>
      </c>
      <c r="C297" s="11" t="s">
        <v>3129</v>
      </c>
      <c r="D297" s="166" t="str">
        <f t="shared" si="4"/>
        <v>-</v>
      </c>
      <c r="E297" s="167" t="s">
        <v>3015</v>
      </c>
      <c r="F297" s="167" t="s">
        <v>3015</v>
      </c>
      <c r="G297" s="167" t="s">
        <v>3015</v>
      </c>
      <c r="H297" s="167" t="s">
        <v>3015</v>
      </c>
      <c r="I297" s="167" t="s">
        <v>3015</v>
      </c>
      <c r="J297" s="167" t="s">
        <v>3015</v>
      </c>
      <c r="K297" s="167" t="s">
        <v>3015</v>
      </c>
      <c r="L297" s="167" t="s">
        <v>3015</v>
      </c>
      <c r="M297" s="167" t="s">
        <v>3015</v>
      </c>
      <c r="N297" s="167" t="s">
        <v>3015</v>
      </c>
      <c r="O297" s="167" t="s">
        <v>3015</v>
      </c>
      <c r="P297" s="167" t="s">
        <v>3015</v>
      </c>
      <c r="Q297" s="167" t="s">
        <v>3015</v>
      </c>
      <c r="R297" s="167" t="s">
        <v>3015</v>
      </c>
      <c r="S297" s="167" t="s">
        <v>3015</v>
      </c>
      <c r="T297" s="167" t="s">
        <v>3015</v>
      </c>
      <c r="U297" s="167" t="s">
        <v>3015</v>
      </c>
      <c r="V297" s="167" t="s">
        <v>3015</v>
      </c>
      <c r="W297" s="167" t="s">
        <v>3015</v>
      </c>
      <c r="X297" s="167" t="s">
        <v>3015</v>
      </c>
      <c r="Y297" s="167" t="s">
        <v>3015</v>
      </c>
      <c r="Z297" s="167" t="str">
        <f>_xlfn.IFNA(VLOOKUP(C297,'INFORM Severity - hidden'!$C$5:$G$155,5,FALSE),"-")</f>
        <v>-</v>
      </c>
      <c r="AA297" s="167" t="s">
        <v>3015</v>
      </c>
      <c r="AB297" s="167" t="s">
        <v>3015</v>
      </c>
    </row>
    <row r="298" spans="1:28" x14ac:dyDescent="0.3">
      <c r="A298" s="11" t="s">
        <v>322</v>
      </c>
      <c r="B298" s="11" t="s">
        <v>914</v>
      </c>
      <c r="C298" s="11" t="s">
        <v>3133</v>
      </c>
      <c r="D298" s="166" t="str">
        <f t="shared" si="4"/>
        <v>-</v>
      </c>
      <c r="E298" s="167" t="s">
        <v>3015</v>
      </c>
      <c r="F298" s="167" t="s">
        <v>3015</v>
      </c>
      <c r="G298" s="167" t="s">
        <v>3015</v>
      </c>
      <c r="H298" s="167" t="s">
        <v>3015</v>
      </c>
      <c r="I298" s="167" t="s">
        <v>3015</v>
      </c>
      <c r="J298" s="167" t="s">
        <v>3015</v>
      </c>
      <c r="K298" s="167" t="s">
        <v>3015</v>
      </c>
      <c r="L298" s="167" t="s">
        <v>3015</v>
      </c>
      <c r="M298" s="167" t="s">
        <v>3015</v>
      </c>
      <c r="N298" s="167" t="s">
        <v>3015</v>
      </c>
      <c r="O298" s="167" t="s">
        <v>3015</v>
      </c>
      <c r="P298" s="167" t="s">
        <v>3015</v>
      </c>
      <c r="Q298" s="167" t="s">
        <v>3015</v>
      </c>
      <c r="R298" s="167" t="s">
        <v>3015</v>
      </c>
      <c r="S298" s="167" t="s">
        <v>3015</v>
      </c>
      <c r="T298" s="167" t="s">
        <v>3015</v>
      </c>
      <c r="U298" s="167" t="s">
        <v>3015</v>
      </c>
      <c r="V298" s="167" t="s">
        <v>3015</v>
      </c>
      <c r="W298" s="167" t="s">
        <v>3015</v>
      </c>
      <c r="X298" s="167" t="s">
        <v>3015</v>
      </c>
      <c r="Y298" s="167" t="s">
        <v>3015</v>
      </c>
      <c r="Z298" s="167" t="str">
        <f>_xlfn.IFNA(VLOOKUP(C298,'INFORM Severity - hidden'!$C$5:$G$155,5,FALSE),"-")</f>
        <v>-</v>
      </c>
      <c r="AA298" s="167" t="s">
        <v>3015</v>
      </c>
      <c r="AB298" s="167" t="s">
        <v>3015</v>
      </c>
    </row>
    <row r="299" spans="1:28" x14ac:dyDescent="0.3">
      <c r="A299" s="11" t="s">
        <v>324</v>
      </c>
      <c r="B299" s="11" t="s">
        <v>914</v>
      </c>
      <c r="C299" s="11" t="s">
        <v>3134</v>
      </c>
      <c r="D299" s="166" t="str">
        <f t="shared" si="4"/>
        <v>-</v>
      </c>
      <c r="E299" s="167" t="s">
        <v>3015</v>
      </c>
      <c r="F299" s="167" t="s">
        <v>3015</v>
      </c>
      <c r="G299" s="167" t="s">
        <v>3015</v>
      </c>
      <c r="H299" s="167" t="s">
        <v>3015</v>
      </c>
      <c r="I299" s="167" t="s">
        <v>3015</v>
      </c>
      <c r="J299" s="167" t="s">
        <v>3015</v>
      </c>
      <c r="K299" s="167" t="s">
        <v>3015</v>
      </c>
      <c r="L299" s="167" t="s">
        <v>3015</v>
      </c>
      <c r="M299" s="167" t="s">
        <v>3015</v>
      </c>
      <c r="N299" s="167" t="s">
        <v>3015</v>
      </c>
      <c r="O299" s="167" t="s">
        <v>3015</v>
      </c>
      <c r="P299" s="167" t="s">
        <v>3015</v>
      </c>
      <c r="Q299" s="167" t="s">
        <v>3015</v>
      </c>
      <c r="R299" s="167" t="s">
        <v>3015</v>
      </c>
      <c r="S299" s="167" t="s">
        <v>3015</v>
      </c>
      <c r="T299" s="167" t="s">
        <v>3015</v>
      </c>
      <c r="U299" s="167" t="s">
        <v>3015</v>
      </c>
      <c r="V299" s="167" t="s">
        <v>3015</v>
      </c>
      <c r="W299" s="167" t="s">
        <v>3015</v>
      </c>
      <c r="X299" s="167" t="s">
        <v>3015</v>
      </c>
      <c r="Y299" s="167" t="s">
        <v>3015</v>
      </c>
      <c r="Z299" s="167" t="str">
        <f>_xlfn.IFNA(VLOOKUP(C299,'INFORM Severity - hidden'!$C$5:$G$155,5,FALSE),"-")</f>
        <v>-</v>
      </c>
      <c r="AA299" s="167" t="s">
        <v>3015</v>
      </c>
      <c r="AB299" s="167" t="s">
        <v>3015</v>
      </c>
    </row>
    <row r="300" spans="1:28" x14ac:dyDescent="0.3">
      <c r="A300" s="11" t="s">
        <v>324</v>
      </c>
      <c r="B300" s="11" t="s">
        <v>1119</v>
      </c>
      <c r="C300" s="11" t="s">
        <v>1120</v>
      </c>
      <c r="D300" s="166" t="str">
        <f t="shared" si="4"/>
        <v>Stable</v>
      </c>
      <c r="E300" s="167" t="s">
        <v>3015</v>
      </c>
      <c r="F300" s="167">
        <v>0.9</v>
      </c>
      <c r="G300" s="167">
        <v>0.9</v>
      </c>
      <c r="H300" s="167">
        <v>1.4</v>
      </c>
      <c r="I300" s="167">
        <v>1.4</v>
      </c>
      <c r="J300" s="167">
        <v>1.4</v>
      </c>
      <c r="K300" s="167">
        <v>1.4</v>
      </c>
      <c r="L300" s="167">
        <v>1.4</v>
      </c>
      <c r="M300" s="167">
        <v>1.4</v>
      </c>
      <c r="N300" s="167">
        <v>1.4</v>
      </c>
      <c r="O300" s="167">
        <v>1.7</v>
      </c>
      <c r="P300" s="167">
        <v>1.5</v>
      </c>
      <c r="Q300" s="167">
        <v>1.5</v>
      </c>
      <c r="R300" s="167">
        <v>1.5</v>
      </c>
      <c r="S300" s="167">
        <v>1.5</v>
      </c>
      <c r="T300" s="167">
        <v>1.5</v>
      </c>
      <c r="U300" s="167">
        <v>1.5</v>
      </c>
      <c r="V300" s="167">
        <v>1.5</v>
      </c>
      <c r="W300" s="167">
        <v>1.5</v>
      </c>
      <c r="X300" s="167">
        <v>1.5</v>
      </c>
      <c r="Y300" s="167">
        <v>1.5</v>
      </c>
      <c r="Z300" s="167">
        <f>_xlfn.IFNA(VLOOKUP(C300,'INFORM Severity - hidden'!$C$5:$G$155,5,FALSE),"-")</f>
        <v>1.5</v>
      </c>
      <c r="AA300" s="167" t="s">
        <v>3015</v>
      </c>
      <c r="AB300" s="167" t="s">
        <v>3015</v>
      </c>
    </row>
    <row r="301" spans="1:28" x14ac:dyDescent="0.3">
      <c r="A301" s="11" t="s">
        <v>326</v>
      </c>
      <c r="B301" s="11" t="s">
        <v>914</v>
      </c>
      <c r="C301" s="11" t="s">
        <v>3135</v>
      </c>
      <c r="D301" s="166" t="str">
        <f t="shared" si="4"/>
        <v>-</v>
      </c>
      <c r="E301" s="167" t="s">
        <v>3015</v>
      </c>
      <c r="F301" s="167" t="s">
        <v>3015</v>
      </c>
      <c r="G301" s="167" t="s">
        <v>3015</v>
      </c>
      <c r="H301" s="167" t="s">
        <v>3015</v>
      </c>
      <c r="I301" s="167" t="s">
        <v>3015</v>
      </c>
      <c r="J301" s="167" t="s">
        <v>3015</v>
      </c>
      <c r="K301" s="167" t="s">
        <v>3015</v>
      </c>
      <c r="L301" s="167" t="s">
        <v>3015</v>
      </c>
      <c r="M301" s="167" t="s">
        <v>3015</v>
      </c>
      <c r="N301" s="167" t="s">
        <v>3015</v>
      </c>
      <c r="O301" s="167" t="s">
        <v>3015</v>
      </c>
      <c r="P301" s="167" t="s">
        <v>3015</v>
      </c>
      <c r="Q301" s="167" t="s">
        <v>3015</v>
      </c>
      <c r="R301" s="167" t="s">
        <v>3015</v>
      </c>
      <c r="S301" s="167" t="s">
        <v>3015</v>
      </c>
      <c r="T301" s="167" t="s">
        <v>3015</v>
      </c>
      <c r="U301" s="167" t="s">
        <v>3015</v>
      </c>
      <c r="V301" s="167" t="s">
        <v>3015</v>
      </c>
      <c r="W301" s="167" t="s">
        <v>3015</v>
      </c>
      <c r="X301" s="167" t="s">
        <v>3015</v>
      </c>
      <c r="Y301" s="167" t="s">
        <v>3015</v>
      </c>
      <c r="Z301" s="167" t="str">
        <f>_xlfn.IFNA(VLOOKUP(C301,'INFORM Severity - hidden'!$C$5:$G$155,5,FALSE),"-")</f>
        <v>-</v>
      </c>
      <c r="AA301" s="167" t="s">
        <v>3015</v>
      </c>
      <c r="AB301" s="167" t="s">
        <v>3015</v>
      </c>
    </row>
    <row r="302" spans="1:28" x14ac:dyDescent="0.3">
      <c r="A302" s="11" t="s">
        <v>326</v>
      </c>
      <c r="B302" s="11" t="s">
        <v>1108</v>
      </c>
      <c r="C302" s="11" t="s">
        <v>808</v>
      </c>
      <c r="D302" s="166" t="str">
        <f t="shared" si="4"/>
        <v>-</v>
      </c>
      <c r="E302" s="167" t="s">
        <v>3015</v>
      </c>
      <c r="F302" s="167" t="s">
        <v>393</v>
      </c>
      <c r="G302" s="167" t="s">
        <v>393</v>
      </c>
      <c r="H302" s="167" t="s">
        <v>393</v>
      </c>
      <c r="I302" s="167" t="s">
        <v>393</v>
      </c>
      <c r="J302" s="167" t="s">
        <v>393</v>
      </c>
      <c r="K302" s="167" t="s">
        <v>393</v>
      </c>
      <c r="L302" s="167" t="s">
        <v>393</v>
      </c>
      <c r="M302" s="167" t="s">
        <v>393</v>
      </c>
      <c r="N302" s="167" t="s">
        <v>393</v>
      </c>
      <c r="O302" s="167" t="s">
        <v>393</v>
      </c>
      <c r="P302" s="167" t="s">
        <v>393</v>
      </c>
      <c r="Q302" s="167" t="s">
        <v>393</v>
      </c>
      <c r="R302" s="167" t="s">
        <v>393</v>
      </c>
      <c r="S302" s="167" t="s">
        <v>393</v>
      </c>
      <c r="T302" s="167" t="s">
        <v>393</v>
      </c>
      <c r="U302" s="167" t="s">
        <v>393</v>
      </c>
      <c r="V302" s="167" t="s">
        <v>393</v>
      </c>
      <c r="W302" s="167" t="s">
        <v>393</v>
      </c>
      <c r="X302" s="167" t="s">
        <v>393</v>
      </c>
      <c r="Y302" s="167" t="s">
        <v>393</v>
      </c>
      <c r="Z302" s="167" t="str">
        <f>_xlfn.IFNA(VLOOKUP(C302,'INFORM Severity - hidden'!$C$5:$G$155,5,FALSE),"-")</f>
        <v>x</v>
      </c>
      <c r="AA302" s="167" t="s">
        <v>3015</v>
      </c>
      <c r="AB302" s="167" t="s">
        <v>3015</v>
      </c>
    </row>
    <row r="303" spans="1:28" x14ac:dyDescent="0.3">
      <c r="A303" s="11" t="s">
        <v>328</v>
      </c>
      <c r="B303" s="11" t="s">
        <v>1109</v>
      </c>
      <c r="C303" s="11" t="s">
        <v>596</v>
      </c>
      <c r="D303" s="166" t="str">
        <f t="shared" si="4"/>
        <v>Stable</v>
      </c>
      <c r="E303" s="167" t="s">
        <v>3015</v>
      </c>
      <c r="F303" s="167" t="s">
        <v>3015</v>
      </c>
      <c r="G303" s="167" t="s">
        <v>3015</v>
      </c>
      <c r="H303" s="167">
        <v>3.6</v>
      </c>
      <c r="I303" s="167">
        <v>3.6</v>
      </c>
      <c r="J303" s="167">
        <v>3.6</v>
      </c>
      <c r="K303" s="167">
        <v>3.5</v>
      </c>
      <c r="L303" s="167">
        <v>3.5</v>
      </c>
      <c r="M303" s="167">
        <v>3.5</v>
      </c>
      <c r="N303" s="167">
        <v>3.5</v>
      </c>
      <c r="O303" s="167">
        <v>3.5</v>
      </c>
      <c r="P303" s="167">
        <v>3.5</v>
      </c>
      <c r="Q303" s="167">
        <v>3.2</v>
      </c>
      <c r="R303" s="167">
        <v>3.2</v>
      </c>
      <c r="S303" s="167">
        <v>3.2</v>
      </c>
      <c r="T303" s="167">
        <v>3.2</v>
      </c>
      <c r="U303" s="167">
        <v>3.2</v>
      </c>
      <c r="V303" s="167">
        <v>3.2</v>
      </c>
      <c r="W303" s="167">
        <v>3.2</v>
      </c>
      <c r="X303" s="167">
        <v>3.2</v>
      </c>
      <c r="Y303" s="167">
        <v>3.2</v>
      </c>
      <c r="Z303" s="167">
        <f>_xlfn.IFNA(VLOOKUP(C303,'INFORM Severity - hidden'!$C$5:$G$155,5,FALSE),"-")</f>
        <v>3.2</v>
      </c>
      <c r="AA303" s="167" t="s">
        <v>3015</v>
      </c>
      <c r="AB303" s="167" t="s">
        <v>3015</v>
      </c>
    </row>
    <row r="304" spans="1:28" x14ac:dyDescent="0.3">
      <c r="A304" s="11" t="s">
        <v>328</v>
      </c>
      <c r="B304" s="11" t="s">
        <v>762</v>
      </c>
      <c r="C304" s="11" t="s">
        <v>656</v>
      </c>
      <c r="D304" s="166" t="str">
        <f t="shared" si="4"/>
        <v>Stable</v>
      </c>
      <c r="E304" s="167" t="s">
        <v>3015</v>
      </c>
      <c r="F304" s="167" t="s">
        <v>3015</v>
      </c>
      <c r="G304" s="167" t="s">
        <v>3015</v>
      </c>
      <c r="H304" s="167">
        <v>3.3</v>
      </c>
      <c r="I304" s="167">
        <v>3.3</v>
      </c>
      <c r="J304" s="167">
        <v>3.3</v>
      </c>
      <c r="K304" s="167">
        <v>3.3</v>
      </c>
      <c r="L304" s="167">
        <v>3.3</v>
      </c>
      <c r="M304" s="167">
        <v>3.3</v>
      </c>
      <c r="N304" s="167">
        <v>3.3</v>
      </c>
      <c r="O304" s="167">
        <v>3.3</v>
      </c>
      <c r="P304" s="167">
        <v>3.3</v>
      </c>
      <c r="Q304" s="167">
        <v>3.3</v>
      </c>
      <c r="R304" s="167">
        <v>3.3</v>
      </c>
      <c r="S304" s="167">
        <v>3.3</v>
      </c>
      <c r="T304" s="167">
        <v>3.3</v>
      </c>
      <c r="U304" s="167">
        <v>3.2</v>
      </c>
      <c r="V304" s="167">
        <v>3.2</v>
      </c>
      <c r="W304" s="167">
        <v>3.2</v>
      </c>
      <c r="X304" s="167">
        <v>3.2</v>
      </c>
      <c r="Y304" s="167">
        <v>3.2</v>
      </c>
      <c r="Z304" s="167">
        <f>_xlfn.IFNA(VLOOKUP(C304,'INFORM Severity - hidden'!$C$5:$G$155,5,FALSE),"-")</f>
        <v>3.3</v>
      </c>
      <c r="AA304" s="167" t="s">
        <v>3015</v>
      </c>
      <c r="AB304" s="167" t="s">
        <v>3015</v>
      </c>
    </row>
    <row r="305" spans="1:28" x14ac:dyDescent="0.3">
      <c r="A305" s="11" t="s">
        <v>328</v>
      </c>
      <c r="B305" s="11" t="s">
        <v>763</v>
      </c>
      <c r="C305" s="11" t="s">
        <v>657</v>
      </c>
      <c r="D305" s="166" t="str">
        <f t="shared" si="4"/>
        <v>Stable</v>
      </c>
      <c r="E305" s="167" t="s">
        <v>3015</v>
      </c>
      <c r="F305" s="167" t="s">
        <v>3015</v>
      </c>
      <c r="G305" s="167" t="s">
        <v>3015</v>
      </c>
      <c r="H305" s="167">
        <v>3.3</v>
      </c>
      <c r="I305" s="167">
        <v>3.3</v>
      </c>
      <c r="J305" s="167">
        <v>3.3</v>
      </c>
      <c r="K305" s="167">
        <v>3.2</v>
      </c>
      <c r="L305" s="167">
        <v>3.3</v>
      </c>
      <c r="M305" s="167">
        <v>3.3</v>
      </c>
      <c r="N305" s="167">
        <v>3.2</v>
      </c>
      <c r="O305" s="167">
        <v>3.2</v>
      </c>
      <c r="P305" s="167">
        <v>3.2</v>
      </c>
      <c r="Q305" s="167">
        <v>3.1</v>
      </c>
      <c r="R305" s="167">
        <v>3.1</v>
      </c>
      <c r="S305" s="167">
        <v>3.1</v>
      </c>
      <c r="T305" s="167">
        <v>3.1</v>
      </c>
      <c r="U305" s="167">
        <v>3.1</v>
      </c>
      <c r="V305" s="167">
        <v>3.1</v>
      </c>
      <c r="W305" s="167">
        <v>3.1</v>
      </c>
      <c r="X305" s="167">
        <v>3.1</v>
      </c>
      <c r="Y305" s="167">
        <v>3.1</v>
      </c>
      <c r="Z305" s="167">
        <f>_xlfn.IFNA(VLOOKUP(C305,'INFORM Severity - hidden'!$C$5:$G$155,5,FALSE),"-")</f>
        <v>3.2</v>
      </c>
      <c r="AA305" s="167" t="s">
        <v>3015</v>
      </c>
      <c r="AB305" s="167" t="s">
        <v>3015</v>
      </c>
    </row>
    <row r="306" spans="1:28" x14ac:dyDescent="0.3">
      <c r="A306" s="11" t="s">
        <v>328</v>
      </c>
      <c r="B306" s="11" t="s">
        <v>764</v>
      </c>
      <c r="C306" s="11" t="s">
        <v>803</v>
      </c>
      <c r="D306" s="166" t="str">
        <f t="shared" si="4"/>
        <v>-</v>
      </c>
      <c r="E306" s="167" t="s">
        <v>3015</v>
      </c>
      <c r="F306" s="167" t="s">
        <v>3015</v>
      </c>
      <c r="G306" s="167" t="s">
        <v>393</v>
      </c>
      <c r="H306" s="167" t="s">
        <v>393</v>
      </c>
      <c r="I306" s="167" t="s">
        <v>393</v>
      </c>
      <c r="J306" s="167" t="s">
        <v>393</v>
      </c>
      <c r="K306" s="167" t="s">
        <v>393</v>
      </c>
      <c r="L306" s="167" t="s">
        <v>393</v>
      </c>
      <c r="M306" s="167" t="s">
        <v>393</v>
      </c>
      <c r="N306" s="167" t="s">
        <v>393</v>
      </c>
      <c r="O306" s="167" t="s">
        <v>393</v>
      </c>
      <c r="P306" s="167" t="s">
        <v>393</v>
      </c>
      <c r="Q306" s="167" t="s">
        <v>393</v>
      </c>
      <c r="R306" s="167" t="s">
        <v>393</v>
      </c>
      <c r="S306" s="167" t="s">
        <v>393</v>
      </c>
      <c r="T306" s="167" t="s">
        <v>393</v>
      </c>
      <c r="U306" s="167" t="s">
        <v>393</v>
      </c>
      <c r="V306" s="167" t="s">
        <v>393</v>
      </c>
      <c r="W306" s="167" t="s">
        <v>393</v>
      </c>
      <c r="X306" s="167" t="s">
        <v>393</v>
      </c>
      <c r="Y306" s="167" t="s">
        <v>393</v>
      </c>
      <c r="Z306" s="167" t="str">
        <f>_xlfn.IFNA(VLOOKUP(C306,'INFORM Severity - hidden'!$C$5:$G$155,5,FALSE),"-")</f>
        <v>x</v>
      </c>
      <c r="AA306" s="167" t="s">
        <v>3015</v>
      </c>
      <c r="AB306" s="167" t="s">
        <v>3015</v>
      </c>
    </row>
    <row r="307" spans="1:28" x14ac:dyDescent="0.3">
      <c r="A307" s="11" t="s">
        <v>332</v>
      </c>
      <c r="B307" s="11" t="s">
        <v>914</v>
      </c>
      <c r="C307" s="11" t="s">
        <v>3137</v>
      </c>
      <c r="D307" s="166" t="str">
        <f t="shared" si="4"/>
        <v>-</v>
      </c>
      <c r="E307" s="167" t="s">
        <v>3015</v>
      </c>
      <c r="F307" s="167" t="s">
        <v>3015</v>
      </c>
      <c r="G307" s="167" t="s">
        <v>3015</v>
      </c>
      <c r="H307" s="167" t="s">
        <v>3015</v>
      </c>
      <c r="I307" s="167" t="s">
        <v>3015</v>
      </c>
      <c r="J307" s="167" t="s">
        <v>3015</v>
      </c>
      <c r="K307" s="167" t="s">
        <v>3015</v>
      </c>
      <c r="L307" s="167" t="s">
        <v>3015</v>
      </c>
      <c r="M307" s="167" t="s">
        <v>3015</v>
      </c>
      <c r="N307" s="167" t="s">
        <v>3015</v>
      </c>
      <c r="O307" s="167" t="s">
        <v>3015</v>
      </c>
      <c r="P307" s="167" t="s">
        <v>3015</v>
      </c>
      <c r="Q307" s="167" t="s">
        <v>3015</v>
      </c>
      <c r="R307" s="167" t="s">
        <v>3015</v>
      </c>
      <c r="S307" s="167" t="s">
        <v>3015</v>
      </c>
      <c r="T307" s="167" t="s">
        <v>3015</v>
      </c>
      <c r="U307" s="167" t="s">
        <v>3015</v>
      </c>
      <c r="V307" s="167" t="s">
        <v>3015</v>
      </c>
      <c r="W307" s="167" t="s">
        <v>3015</v>
      </c>
      <c r="X307" s="167" t="s">
        <v>3015</v>
      </c>
      <c r="Y307" s="167" t="s">
        <v>3015</v>
      </c>
      <c r="Z307" s="167" t="str">
        <f>_xlfn.IFNA(VLOOKUP(C307,'INFORM Severity - hidden'!$C$5:$G$155,5,FALSE),"-")</f>
        <v>-</v>
      </c>
      <c r="AA307" s="167" t="s">
        <v>3015</v>
      </c>
      <c r="AB307" s="167" t="s">
        <v>3015</v>
      </c>
    </row>
    <row r="308" spans="1:28" x14ac:dyDescent="0.3">
      <c r="A308" s="11" t="s">
        <v>389</v>
      </c>
      <c r="B308" s="11" t="s">
        <v>914</v>
      </c>
      <c r="C308" s="11" t="s">
        <v>3127</v>
      </c>
      <c r="D308" s="166" t="str">
        <f t="shared" si="4"/>
        <v>-</v>
      </c>
      <c r="E308" s="167" t="s">
        <v>3015</v>
      </c>
      <c r="F308" s="167" t="s">
        <v>3015</v>
      </c>
      <c r="G308" s="167" t="s">
        <v>3015</v>
      </c>
      <c r="H308" s="167" t="s">
        <v>3015</v>
      </c>
      <c r="I308" s="167" t="s">
        <v>3015</v>
      </c>
      <c r="J308" s="167" t="s">
        <v>3015</v>
      </c>
      <c r="K308" s="167" t="s">
        <v>3015</v>
      </c>
      <c r="L308" s="167" t="s">
        <v>3015</v>
      </c>
      <c r="M308" s="167" t="s">
        <v>3015</v>
      </c>
      <c r="N308" s="167" t="s">
        <v>3015</v>
      </c>
      <c r="O308" s="167" t="s">
        <v>3015</v>
      </c>
      <c r="P308" s="167" t="s">
        <v>3015</v>
      </c>
      <c r="Q308" s="167" t="s">
        <v>3015</v>
      </c>
      <c r="R308" s="167" t="s">
        <v>3015</v>
      </c>
      <c r="S308" s="167" t="s">
        <v>3015</v>
      </c>
      <c r="T308" s="167" t="s">
        <v>3015</v>
      </c>
      <c r="U308" s="167" t="s">
        <v>3015</v>
      </c>
      <c r="V308" s="167" t="s">
        <v>3015</v>
      </c>
      <c r="W308" s="167" t="s">
        <v>3015</v>
      </c>
      <c r="X308" s="167" t="s">
        <v>3015</v>
      </c>
      <c r="Y308" s="167" t="s">
        <v>3015</v>
      </c>
      <c r="Z308" s="167" t="str">
        <f>_xlfn.IFNA(VLOOKUP(C308,'INFORM Severity - hidden'!$C$5:$G$155,5,FALSE),"-")</f>
        <v>-</v>
      </c>
      <c r="AA308" s="167" t="s">
        <v>3015</v>
      </c>
      <c r="AB308" s="167" t="s">
        <v>3015</v>
      </c>
    </row>
    <row r="309" spans="1:28" x14ac:dyDescent="0.3">
      <c r="A309" s="11" t="s">
        <v>389</v>
      </c>
      <c r="B309" s="11" t="s">
        <v>791</v>
      </c>
      <c r="C309" s="11" t="s">
        <v>683</v>
      </c>
      <c r="D309" s="166" t="str">
        <f t="shared" si="4"/>
        <v>Increasing</v>
      </c>
      <c r="E309" s="167" t="s">
        <v>3015</v>
      </c>
      <c r="F309" s="167" t="s">
        <v>3015</v>
      </c>
      <c r="G309" s="167" t="s">
        <v>3015</v>
      </c>
      <c r="H309" s="167">
        <v>2.2000000000000002</v>
      </c>
      <c r="I309" s="167">
        <v>2.2000000000000002</v>
      </c>
      <c r="J309" s="167">
        <v>2.1</v>
      </c>
      <c r="K309" s="167">
        <v>1.8</v>
      </c>
      <c r="L309" s="167">
        <v>1.8</v>
      </c>
      <c r="M309" s="167">
        <v>1.9</v>
      </c>
      <c r="N309" s="167">
        <v>1.8</v>
      </c>
      <c r="O309" s="167">
        <v>1.8</v>
      </c>
      <c r="P309" s="167">
        <v>1.8</v>
      </c>
      <c r="Q309" s="167">
        <v>1.8</v>
      </c>
      <c r="R309" s="167">
        <v>1.9</v>
      </c>
      <c r="S309" s="167">
        <v>1.8</v>
      </c>
      <c r="T309" s="167">
        <v>1.8</v>
      </c>
      <c r="U309" s="167">
        <v>1.8</v>
      </c>
      <c r="V309" s="167">
        <v>1.8</v>
      </c>
      <c r="W309" s="167">
        <v>1.8</v>
      </c>
      <c r="X309" s="167">
        <v>2.5</v>
      </c>
      <c r="Y309" s="167">
        <v>1.7</v>
      </c>
      <c r="Z309" s="167">
        <f>_xlfn.IFNA(VLOOKUP(C309,'INFORM Severity - hidden'!$C$5:$G$155,5,FALSE),"-")</f>
        <v>1.7</v>
      </c>
      <c r="AA309" s="167" t="s">
        <v>3015</v>
      </c>
      <c r="AB309" s="167" t="s">
        <v>3015</v>
      </c>
    </row>
    <row r="310" spans="1:28" x14ac:dyDescent="0.3">
      <c r="A310" s="11" t="s">
        <v>334</v>
      </c>
      <c r="B310" s="11" t="s">
        <v>1170</v>
      </c>
      <c r="C310" s="11" t="s">
        <v>2919</v>
      </c>
      <c r="D310" s="166" t="str">
        <f t="shared" si="4"/>
        <v>Stable</v>
      </c>
      <c r="E310" s="167" t="s">
        <v>3015</v>
      </c>
      <c r="F310" s="167">
        <v>2.9</v>
      </c>
      <c r="G310" s="167">
        <v>2.9</v>
      </c>
      <c r="H310" s="167">
        <v>3.1</v>
      </c>
      <c r="I310" s="167">
        <v>3.1</v>
      </c>
      <c r="J310" s="167">
        <v>3</v>
      </c>
      <c r="K310" s="167">
        <v>2.9</v>
      </c>
      <c r="L310" s="167">
        <v>2.9</v>
      </c>
      <c r="M310" s="167">
        <v>2.9</v>
      </c>
      <c r="N310" s="167">
        <v>2.9</v>
      </c>
      <c r="O310" s="167" t="s">
        <v>3015</v>
      </c>
      <c r="P310" s="167" t="s">
        <v>3015</v>
      </c>
      <c r="Q310" s="167" t="s">
        <v>3015</v>
      </c>
      <c r="R310" s="167" t="s">
        <v>3015</v>
      </c>
      <c r="S310" s="167" t="s">
        <v>3015</v>
      </c>
      <c r="T310" s="167" t="s">
        <v>3015</v>
      </c>
      <c r="U310" s="167">
        <v>2.9</v>
      </c>
      <c r="V310" s="167">
        <v>2.9</v>
      </c>
      <c r="W310" s="167">
        <v>2.9</v>
      </c>
      <c r="X310" s="167">
        <v>2.9</v>
      </c>
      <c r="Y310" s="167">
        <v>2.9</v>
      </c>
      <c r="Z310" s="167">
        <f>_xlfn.IFNA(VLOOKUP(C310,'INFORM Severity - hidden'!$C$5:$G$155,5,FALSE),"-")</f>
        <v>2.9</v>
      </c>
      <c r="AA310" s="167" t="s">
        <v>3015</v>
      </c>
      <c r="AB310" s="167" t="s">
        <v>3015</v>
      </c>
    </row>
    <row r="311" spans="1:28" x14ac:dyDescent="0.3">
      <c r="A311" s="11" t="s">
        <v>334</v>
      </c>
      <c r="B311" s="11" t="s">
        <v>1171</v>
      </c>
      <c r="C311" s="11" t="s">
        <v>3176</v>
      </c>
      <c r="D311" s="166" t="str">
        <f t="shared" si="4"/>
        <v>-</v>
      </c>
      <c r="E311" s="167" t="s">
        <v>3015</v>
      </c>
      <c r="F311" s="167">
        <v>2.8</v>
      </c>
      <c r="G311" s="167">
        <v>2.8</v>
      </c>
      <c r="H311" s="167">
        <v>2.6</v>
      </c>
      <c r="I311" s="167">
        <v>2.6</v>
      </c>
      <c r="J311" s="167">
        <v>2.5</v>
      </c>
      <c r="K311" s="167">
        <v>2.5</v>
      </c>
      <c r="L311" s="167">
        <v>2.5</v>
      </c>
      <c r="M311" s="167">
        <v>2.5</v>
      </c>
      <c r="N311" s="167">
        <v>2.5</v>
      </c>
      <c r="O311" s="167" t="s">
        <v>3015</v>
      </c>
      <c r="P311" s="167" t="s">
        <v>3015</v>
      </c>
      <c r="Q311" s="167" t="s">
        <v>3015</v>
      </c>
      <c r="R311" s="167" t="s">
        <v>3015</v>
      </c>
      <c r="S311" s="167" t="s">
        <v>3015</v>
      </c>
      <c r="T311" s="167" t="s">
        <v>3015</v>
      </c>
      <c r="U311" s="167" t="s">
        <v>3015</v>
      </c>
      <c r="V311" s="167" t="s">
        <v>3015</v>
      </c>
      <c r="W311" s="167" t="s">
        <v>3015</v>
      </c>
      <c r="X311" s="167" t="s">
        <v>3015</v>
      </c>
      <c r="Y311" s="167" t="s">
        <v>3015</v>
      </c>
      <c r="Z311" s="167" t="str">
        <f>_xlfn.IFNA(VLOOKUP(C311,'INFORM Severity - hidden'!$C$5:$G$155,5,FALSE),"-")</f>
        <v>-</v>
      </c>
      <c r="AA311" s="167" t="s">
        <v>3015</v>
      </c>
      <c r="AB311" s="167" t="s">
        <v>3015</v>
      </c>
    </row>
    <row r="312" spans="1:28" x14ac:dyDescent="0.3">
      <c r="A312" s="11" t="s">
        <v>334</v>
      </c>
      <c r="B312" s="11" t="s">
        <v>1110</v>
      </c>
      <c r="C312" s="11" t="s">
        <v>3177</v>
      </c>
      <c r="D312" s="166" t="str">
        <f t="shared" si="4"/>
        <v>-</v>
      </c>
      <c r="E312" s="167" t="s">
        <v>3015</v>
      </c>
      <c r="F312" s="167">
        <v>2.2999999999999998</v>
      </c>
      <c r="G312" s="167">
        <v>2.2999999999999998</v>
      </c>
      <c r="H312" s="167">
        <v>2.4</v>
      </c>
      <c r="I312" s="167">
        <v>2.4</v>
      </c>
      <c r="J312" s="167">
        <v>2.2999999999999998</v>
      </c>
      <c r="K312" s="167">
        <v>2.2999999999999998</v>
      </c>
      <c r="L312" s="167">
        <v>2.2999999999999998</v>
      </c>
      <c r="M312" s="167">
        <v>1.6</v>
      </c>
      <c r="N312" s="167">
        <v>1.6</v>
      </c>
      <c r="O312" s="167" t="s">
        <v>3015</v>
      </c>
      <c r="P312" s="167" t="s">
        <v>3015</v>
      </c>
      <c r="Q312" s="167" t="s">
        <v>3015</v>
      </c>
      <c r="R312" s="167" t="s">
        <v>3015</v>
      </c>
      <c r="S312" s="167" t="s">
        <v>3015</v>
      </c>
      <c r="T312" s="167" t="s">
        <v>3015</v>
      </c>
      <c r="U312" s="167" t="s">
        <v>3015</v>
      </c>
      <c r="V312" s="167" t="s">
        <v>3015</v>
      </c>
      <c r="W312" s="167" t="s">
        <v>3015</v>
      </c>
      <c r="X312" s="167" t="s">
        <v>3015</v>
      </c>
      <c r="Y312" s="167" t="s">
        <v>3015</v>
      </c>
      <c r="Z312" s="167" t="str">
        <f>_xlfn.IFNA(VLOOKUP(C312,'INFORM Severity - hidden'!$C$5:$G$155,5,FALSE),"-")</f>
        <v>-</v>
      </c>
      <c r="AA312" s="167" t="s">
        <v>3015</v>
      </c>
      <c r="AB312" s="167" t="s">
        <v>3015</v>
      </c>
    </row>
    <row r="313" spans="1:28" x14ac:dyDescent="0.3">
      <c r="A313" s="11" t="s">
        <v>334</v>
      </c>
      <c r="B313" s="11" t="s">
        <v>1420</v>
      </c>
      <c r="C313" s="11" t="s">
        <v>3178</v>
      </c>
      <c r="D313" s="166" t="str">
        <f t="shared" si="4"/>
        <v>-</v>
      </c>
      <c r="E313" s="167" t="s">
        <v>3015</v>
      </c>
      <c r="F313" s="167">
        <v>2</v>
      </c>
      <c r="G313" s="167">
        <v>2.2000000000000002</v>
      </c>
      <c r="H313" s="167">
        <v>2.4</v>
      </c>
      <c r="I313" s="167">
        <v>2.4</v>
      </c>
      <c r="J313" s="167">
        <v>2.2999999999999998</v>
      </c>
      <c r="K313" s="167">
        <v>2.2999999999999998</v>
      </c>
      <c r="L313" s="167">
        <v>2.2999999999999998</v>
      </c>
      <c r="M313" s="167">
        <v>2.2999999999999998</v>
      </c>
      <c r="N313" s="167">
        <v>2.2999999999999998</v>
      </c>
      <c r="O313" s="167" t="s">
        <v>3015</v>
      </c>
      <c r="P313" s="167" t="s">
        <v>3015</v>
      </c>
      <c r="Q313" s="167" t="s">
        <v>3015</v>
      </c>
      <c r="R313" s="167" t="s">
        <v>3015</v>
      </c>
      <c r="S313" s="167" t="s">
        <v>3015</v>
      </c>
      <c r="T313" s="167" t="s">
        <v>3015</v>
      </c>
      <c r="U313" s="167" t="s">
        <v>3015</v>
      </c>
      <c r="V313" s="167" t="s">
        <v>3015</v>
      </c>
      <c r="W313" s="167" t="s">
        <v>3015</v>
      </c>
      <c r="X313" s="167" t="s">
        <v>3015</v>
      </c>
      <c r="Y313" s="167" t="s">
        <v>3015</v>
      </c>
      <c r="Z313" s="167" t="str">
        <f>_xlfn.IFNA(VLOOKUP(C313,'INFORM Severity - hidden'!$C$5:$G$155,5,FALSE),"-")</f>
        <v>-</v>
      </c>
      <c r="AA313" s="167" t="s">
        <v>3015</v>
      </c>
      <c r="AB313" s="167" t="s">
        <v>3015</v>
      </c>
    </row>
    <row r="314" spans="1:28" x14ac:dyDescent="0.3">
      <c r="A314" s="11" t="s">
        <v>334</v>
      </c>
      <c r="B314" s="11" t="s">
        <v>1680</v>
      </c>
      <c r="C314" s="11" t="s">
        <v>1681</v>
      </c>
      <c r="D314" s="166" t="str">
        <f t="shared" si="4"/>
        <v>Stable</v>
      </c>
      <c r="E314" s="167" t="s">
        <v>3015</v>
      </c>
      <c r="F314" s="167" t="s">
        <v>3015</v>
      </c>
      <c r="G314" s="167" t="s">
        <v>3015</v>
      </c>
      <c r="H314" s="167" t="s">
        <v>3015</v>
      </c>
      <c r="I314" s="167" t="s">
        <v>3015</v>
      </c>
      <c r="J314" s="167" t="s">
        <v>3015</v>
      </c>
      <c r="K314" s="167" t="s">
        <v>3015</v>
      </c>
      <c r="L314" s="167" t="s">
        <v>3015</v>
      </c>
      <c r="M314" s="167" t="s">
        <v>3015</v>
      </c>
      <c r="N314" s="167" t="s">
        <v>3015</v>
      </c>
      <c r="O314" s="167">
        <v>3</v>
      </c>
      <c r="P314" s="167">
        <v>2.8</v>
      </c>
      <c r="Q314" s="167">
        <v>3</v>
      </c>
      <c r="R314" s="167">
        <v>3</v>
      </c>
      <c r="S314" s="167">
        <v>3</v>
      </c>
      <c r="T314" s="167">
        <v>3</v>
      </c>
      <c r="U314" s="167">
        <v>2.9</v>
      </c>
      <c r="V314" s="167">
        <v>2.9</v>
      </c>
      <c r="W314" s="167">
        <v>2.9</v>
      </c>
      <c r="X314" s="167">
        <v>2.9</v>
      </c>
      <c r="Y314" s="167">
        <v>2.9</v>
      </c>
      <c r="Z314" s="167">
        <f>_xlfn.IFNA(VLOOKUP(C314,'INFORM Severity - hidden'!$C$5:$G$155,5,FALSE),"-")</f>
        <v>2.9</v>
      </c>
      <c r="AA314" s="167" t="s">
        <v>3015</v>
      </c>
      <c r="AB314" s="167" t="s">
        <v>3015</v>
      </c>
    </row>
    <row r="315" spans="1:28" x14ac:dyDescent="0.3">
      <c r="A315" s="11" t="s">
        <v>334</v>
      </c>
      <c r="B315" s="11" t="s">
        <v>2419</v>
      </c>
      <c r="C315" s="11" t="s">
        <v>2420</v>
      </c>
      <c r="D315" s="166" t="str">
        <f t="shared" si="4"/>
        <v>-</v>
      </c>
      <c r="E315" s="167" t="s">
        <v>3015</v>
      </c>
      <c r="F315" s="167" t="s">
        <v>3015</v>
      </c>
      <c r="G315" s="167" t="s">
        <v>3015</v>
      </c>
      <c r="H315" s="167" t="s">
        <v>3015</v>
      </c>
      <c r="I315" s="167" t="s">
        <v>3015</v>
      </c>
      <c r="J315" s="167" t="s">
        <v>3015</v>
      </c>
      <c r="K315" s="167" t="s">
        <v>3015</v>
      </c>
      <c r="L315" s="167" t="s">
        <v>3015</v>
      </c>
      <c r="M315" s="167" t="s">
        <v>3015</v>
      </c>
      <c r="N315" s="167" t="s">
        <v>3015</v>
      </c>
      <c r="O315" s="167" t="s">
        <v>3015</v>
      </c>
      <c r="P315" s="167" t="s">
        <v>3015</v>
      </c>
      <c r="Q315" s="167" t="s">
        <v>3015</v>
      </c>
      <c r="R315" s="167" t="s">
        <v>3015</v>
      </c>
      <c r="S315" s="167" t="s">
        <v>3015</v>
      </c>
      <c r="T315" s="167" t="s">
        <v>3015</v>
      </c>
      <c r="U315" s="167" t="s">
        <v>393</v>
      </c>
      <c r="V315" s="167" t="s">
        <v>393</v>
      </c>
      <c r="W315" s="167" t="s">
        <v>393</v>
      </c>
      <c r="X315" s="167" t="s">
        <v>393</v>
      </c>
      <c r="Y315" s="167" t="s">
        <v>393</v>
      </c>
      <c r="Z315" s="167" t="str">
        <f>_xlfn.IFNA(VLOOKUP(C315,'INFORM Severity - hidden'!$C$5:$G$155,5,FALSE),"-")</f>
        <v>x</v>
      </c>
      <c r="AA315" s="167" t="s">
        <v>3015</v>
      </c>
      <c r="AB315" s="167" t="s">
        <v>3015</v>
      </c>
    </row>
    <row r="316" spans="1:28" x14ac:dyDescent="0.3">
      <c r="A316" s="11" t="s">
        <v>336</v>
      </c>
      <c r="B316" s="11" t="s">
        <v>914</v>
      </c>
      <c r="C316" s="11" t="s">
        <v>3138</v>
      </c>
      <c r="D316" s="166" t="str">
        <f t="shared" si="4"/>
        <v>-</v>
      </c>
      <c r="E316" s="167" t="s">
        <v>3015</v>
      </c>
      <c r="F316" s="167" t="s">
        <v>3015</v>
      </c>
      <c r="G316" s="167" t="s">
        <v>3015</v>
      </c>
      <c r="H316" s="167" t="s">
        <v>3015</v>
      </c>
      <c r="I316" s="167" t="s">
        <v>3015</v>
      </c>
      <c r="J316" s="167" t="s">
        <v>3015</v>
      </c>
      <c r="K316" s="167" t="s">
        <v>3015</v>
      </c>
      <c r="L316" s="167" t="s">
        <v>3015</v>
      </c>
      <c r="M316" s="167" t="s">
        <v>3015</v>
      </c>
      <c r="N316" s="167" t="s">
        <v>3015</v>
      </c>
      <c r="O316" s="167" t="s">
        <v>3015</v>
      </c>
      <c r="P316" s="167" t="s">
        <v>3015</v>
      </c>
      <c r="Q316" s="167" t="s">
        <v>3015</v>
      </c>
      <c r="R316" s="167" t="s">
        <v>3015</v>
      </c>
      <c r="S316" s="167" t="s">
        <v>3015</v>
      </c>
      <c r="T316" s="167" t="s">
        <v>3015</v>
      </c>
      <c r="U316" s="167" t="s">
        <v>3015</v>
      </c>
      <c r="V316" s="167" t="s">
        <v>3015</v>
      </c>
      <c r="W316" s="167" t="s">
        <v>3015</v>
      </c>
      <c r="X316" s="167" t="s">
        <v>3015</v>
      </c>
      <c r="Y316" s="167" t="s">
        <v>3015</v>
      </c>
      <c r="Z316" s="167" t="str">
        <f>_xlfn.IFNA(VLOOKUP(C316,'INFORM Severity - hidden'!$C$5:$G$155,5,FALSE),"-")</f>
        <v>-</v>
      </c>
      <c r="AA316" s="167" t="s">
        <v>3015</v>
      </c>
      <c r="AB316" s="167" t="s">
        <v>3015</v>
      </c>
    </row>
    <row r="317" spans="1:28" x14ac:dyDescent="0.3">
      <c r="A317" s="11" t="s">
        <v>336</v>
      </c>
      <c r="B317" s="11" t="s">
        <v>795</v>
      </c>
      <c r="C317" s="11" t="s">
        <v>687</v>
      </c>
      <c r="D317" s="166" t="str">
        <f t="shared" si="4"/>
        <v>Stable</v>
      </c>
      <c r="E317" s="167" t="s">
        <v>3015</v>
      </c>
      <c r="F317" s="167">
        <v>3.3</v>
      </c>
      <c r="G317" s="167">
        <v>3.3</v>
      </c>
      <c r="H317" s="167">
        <v>3.6</v>
      </c>
      <c r="I317" s="167">
        <v>3.6</v>
      </c>
      <c r="J317" s="167">
        <v>3.6</v>
      </c>
      <c r="K317" s="167">
        <v>3.6</v>
      </c>
      <c r="L317" s="167">
        <v>3.6</v>
      </c>
      <c r="M317" s="167">
        <v>3.5</v>
      </c>
      <c r="N317" s="167">
        <v>3.5</v>
      </c>
      <c r="O317" s="167">
        <v>3.5</v>
      </c>
      <c r="P317" s="167">
        <v>3.5</v>
      </c>
      <c r="Q317" s="167">
        <v>3.5</v>
      </c>
      <c r="R317" s="167">
        <v>3.5</v>
      </c>
      <c r="S317" s="167">
        <v>3.5</v>
      </c>
      <c r="T317" s="167">
        <v>3.5</v>
      </c>
      <c r="U317" s="167">
        <v>3.5</v>
      </c>
      <c r="V317" s="167">
        <v>3.5</v>
      </c>
      <c r="W317" s="167">
        <v>3.5</v>
      </c>
      <c r="X317" s="167">
        <v>3.5</v>
      </c>
      <c r="Y317" s="167">
        <v>3.5</v>
      </c>
      <c r="Z317" s="167">
        <f>_xlfn.IFNA(VLOOKUP(C317,'INFORM Severity - hidden'!$C$5:$G$155,5,FALSE),"-")</f>
        <v>3.5</v>
      </c>
      <c r="AA317" s="167" t="s">
        <v>3015</v>
      </c>
      <c r="AB317" s="167" t="s">
        <v>3015</v>
      </c>
    </row>
    <row r="318" spans="1:28" x14ac:dyDescent="0.3">
      <c r="A318" s="11" t="s">
        <v>343</v>
      </c>
      <c r="B318" s="11" t="s">
        <v>914</v>
      </c>
      <c r="C318" s="11" t="s">
        <v>3139</v>
      </c>
      <c r="D318" s="166" t="str">
        <f t="shared" si="4"/>
        <v>-</v>
      </c>
      <c r="E318" s="167" t="s">
        <v>3015</v>
      </c>
      <c r="F318" s="167" t="s">
        <v>3015</v>
      </c>
      <c r="G318" s="167" t="s">
        <v>3015</v>
      </c>
      <c r="H318" s="167" t="s">
        <v>3015</v>
      </c>
      <c r="I318" s="167" t="s">
        <v>3015</v>
      </c>
      <c r="J318" s="167" t="s">
        <v>3015</v>
      </c>
      <c r="K318" s="167" t="s">
        <v>3015</v>
      </c>
      <c r="L318" s="167" t="s">
        <v>3015</v>
      </c>
      <c r="M318" s="167" t="s">
        <v>3015</v>
      </c>
      <c r="N318" s="167" t="s">
        <v>3015</v>
      </c>
      <c r="O318" s="167" t="s">
        <v>3015</v>
      </c>
      <c r="P318" s="167" t="s">
        <v>3015</v>
      </c>
      <c r="Q318" s="167" t="s">
        <v>3015</v>
      </c>
      <c r="R318" s="167" t="s">
        <v>3015</v>
      </c>
      <c r="S318" s="167" t="s">
        <v>3015</v>
      </c>
      <c r="T318" s="167" t="s">
        <v>3015</v>
      </c>
      <c r="U318" s="167" t="s">
        <v>3015</v>
      </c>
      <c r="V318" s="167" t="s">
        <v>3015</v>
      </c>
      <c r="W318" s="167" t="s">
        <v>3015</v>
      </c>
      <c r="X318" s="167" t="s">
        <v>3015</v>
      </c>
      <c r="Y318" s="167" t="s">
        <v>3015</v>
      </c>
      <c r="Z318" s="167" t="str">
        <f>_xlfn.IFNA(VLOOKUP(C318,'INFORM Severity - hidden'!$C$5:$G$155,5,FALSE),"-")</f>
        <v>-</v>
      </c>
      <c r="AA318" s="167" t="s">
        <v>3015</v>
      </c>
      <c r="AB318" s="167" t="s">
        <v>3015</v>
      </c>
    </row>
    <row r="319" spans="1:28" x14ac:dyDescent="0.3">
      <c r="A319" s="11" t="s">
        <v>345</v>
      </c>
      <c r="B319" s="11" t="s">
        <v>914</v>
      </c>
      <c r="C319" s="11" t="s">
        <v>3140</v>
      </c>
      <c r="D319" s="166" t="str">
        <f t="shared" si="4"/>
        <v>-</v>
      </c>
      <c r="E319" s="167" t="s">
        <v>3015</v>
      </c>
      <c r="F319" s="167" t="s">
        <v>3015</v>
      </c>
      <c r="G319" s="167" t="s">
        <v>3015</v>
      </c>
      <c r="H319" s="167" t="s">
        <v>3015</v>
      </c>
      <c r="I319" s="167" t="s">
        <v>3015</v>
      </c>
      <c r="J319" s="167" t="s">
        <v>3015</v>
      </c>
      <c r="K319" s="167" t="s">
        <v>3015</v>
      </c>
      <c r="L319" s="167" t="s">
        <v>3015</v>
      </c>
      <c r="M319" s="167" t="s">
        <v>3015</v>
      </c>
      <c r="N319" s="167" t="s">
        <v>3015</v>
      </c>
      <c r="O319" s="167" t="s">
        <v>3015</v>
      </c>
      <c r="P319" s="167" t="s">
        <v>3015</v>
      </c>
      <c r="Q319" s="167" t="s">
        <v>3015</v>
      </c>
      <c r="R319" s="167" t="s">
        <v>3015</v>
      </c>
      <c r="S319" s="167" t="s">
        <v>3015</v>
      </c>
      <c r="T319" s="167" t="s">
        <v>3015</v>
      </c>
      <c r="U319" s="167" t="s">
        <v>3015</v>
      </c>
      <c r="V319" s="167" t="s">
        <v>3015</v>
      </c>
      <c r="W319" s="167" t="s">
        <v>3015</v>
      </c>
      <c r="X319" s="167" t="s">
        <v>3015</v>
      </c>
      <c r="Y319" s="167" t="s">
        <v>3015</v>
      </c>
      <c r="Z319" s="167" t="str">
        <f>_xlfn.IFNA(VLOOKUP(C319,'INFORM Severity - hidden'!$C$5:$G$155,5,FALSE),"-")</f>
        <v>-</v>
      </c>
      <c r="AA319" s="167" t="s">
        <v>3015</v>
      </c>
      <c r="AB319" s="167" t="s">
        <v>3015</v>
      </c>
    </row>
    <row r="320" spans="1:28" x14ac:dyDescent="0.3">
      <c r="A320" s="11" t="s">
        <v>3122</v>
      </c>
      <c r="B320" s="11" t="s">
        <v>914</v>
      </c>
      <c r="C320" s="11" t="s">
        <v>3123</v>
      </c>
      <c r="D320" s="166" t="str">
        <f t="shared" si="4"/>
        <v>-</v>
      </c>
      <c r="E320" s="167" t="s">
        <v>3015</v>
      </c>
      <c r="F320" s="167" t="s">
        <v>3015</v>
      </c>
      <c r="G320" s="167" t="s">
        <v>3015</v>
      </c>
      <c r="H320" s="167" t="s">
        <v>3015</v>
      </c>
      <c r="I320" s="167" t="s">
        <v>3015</v>
      </c>
      <c r="J320" s="167" t="s">
        <v>3015</v>
      </c>
      <c r="K320" s="167" t="s">
        <v>3015</v>
      </c>
      <c r="L320" s="167" t="s">
        <v>3015</v>
      </c>
      <c r="M320" s="167" t="s">
        <v>3015</v>
      </c>
      <c r="N320" s="167" t="s">
        <v>3015</v>
      </c>
      <c r="O320" s="167" t="s">
        <v>3015</v>
      </c>
      <c r="P320" s="167" t="s">
        <v>3015</v>
      </c>
      <c r="Q320" s="167" t="s">
        <v>3015</v>
      </c>
      <c r="R320" s="167" t="s">
        <v>3015</v>
      </c>
      <c r="S320" s="167" t="s">
        <v>3015</v>
      </c>
      <c r="T320" s="167" t="s">
        <v>3015</v>
      </c>
      <c r="U320" s="167" t="s">
        <v>3015</v>
      </c>
      <c r="V320" s="167" t="s">
        <v>3015</v>
      </c>
      <c r="W320" s="167" t="s">
        <v>3015</v>
      </c>
      <c r="X320" s="167" t="s">
        <v>3015</v>
      </c>
      <c r="Y320" s="167" t="s">
        <v>3015</v>
      </c>
      <c r="Z320" s="167" t="str">
        <f>_xlfn.IFNA(VLOOKUP(C320,'INFORM Severity - hidden'!$C$5:$G$155,5,FALSE),"-")</f>
        <v>-</v>
      </c>
      <c r="AA320" s="167" t="s">
        <v>3015</v>
      </c>
      <c r="AB320" s="167" t="s">
        <v>3015</v>
      </c>
    </row>
    <row r="321" spans="1:28" x14ac:dyDescent="0.3">
      <c r="A321" s="11" t="s">
        <v>391</v>
      </c>
      <c r="B321" s="11" t="s">
        <v>1111</v>
      </c>
      <c r="C321" s="11" t="s">
        <v>597</v>
      </c>
      <c r="D321" s="166" t="str">
        <f t="shared" si="4"/>
        <v>Stable</v>
      </c>
      <c r="E321" s="167">
        <v>4.2</v>
      </c>
      <c r="F321" s="167">
        <v>4.2</v>
      </c>
      <c r="G321" s="167">
        <v>4.2</v>
      </c>
      <c r="H321" s="167">
        <v>3.9</v>
      </c>
      <c r="I321" s="167">
        <v>3.9</v>
      </c>
      <c r="J321" s="167">
        <v>4</v>
      </c>
      <c r="K321" s="167">
        <v>4</v>
      </c>
      <c r="L321" s="167">
        <v>4</v>
      </c>
      <c r="M321" s="167">
        <v>4</v>
      </c>
      <c r="N321" s="167">
        <v>4</v>
      </c>
      <c r="O321" s="167">
        <v>4</v>
      </c>
      <c r="P321" s="167">
        <v>4</v>
      </c>
      <c r="Q321" s="167">
        <v>4.0999999999999996</v>
      </c>
      <c r="R321" s="167">
        <v>4.0999999999999996</v>
      </c>
      <c r="S321" s="167">
        <v>4.0999999999999996</v>
      </c>
      <c r="T321" s="167">
        <v>4.0999999999999996</v>
      </c>
      <c r="U321" s="167">
        <v>4.0999999999999996</v>
      </c>
      <c r="V321" s="167">
        <v>4.0999999999999996</v>
      </c>
      <c r="W321" s="167">
        <v>4.0999999999999996</v>
      </c>
      <c r="X321" s="167">
        <v>4.0999999999999996</v>
      </c>
      <c r="Y321" s="167">
        <v>4.0999999999999996</v>
      </c>
      <c r="Z321" s="167">
        <f>_xlfn.IFNA(VLOOKUP(C321,'INFORM Severity - hidden'!$C$5:$G$155,5,FALSE),"-")</f>
        <v>4.0999999999999996</v>
      </c>
      <c r="AA321" s="167" t="s">
        <v>3015</v>
      </c>
      <c r="AB321" s="167" t="s">
        <v>3015</v>
      </c>
    </row>
    <row r="322" spans="1:28" x14ac:dyDescent="0.3">
      <c r="A322" s="11" t="s">
        <v>3142</v>
      </c>
      <c r="B322" s="11" t="s">
        <v>914</v>
      </c>
      <c r="C322" s="11" t="s">
        <v>3143</v>
      </c>
      <c r="D322" s="166" t="str">
        <f t="shared" si="4"/>
        <v>-</v>
      </c>
      <c r="E322" s="167" t="s">
        <v>3015</v>
      </c>
      <c r="F322" s="167" t="s">
        <v>3015</v>
      </c>
      <c r="G322" s="167" t="s">
        <v>3015</v>
      </c>
      <c r="H322" s="167" t="s">
        <v>3015</v>
      </c>
      <c r="I322" s="167" t="s">
        <v>3015</v>
      </c>
      <c r="J322" s="167" t="s">
        <v>3015</v>
      </c>
      <c r="K322" s="167" t="s">
        <v>3015</v>
      </c>
      <c r="L322" s="167" t="s">
        <v>3015</v>
      </c>
      <c r="M322" s="167" t="s">
        <v>3015</v>
      </c>
      <c r="N322" s="167" t="s">
        <v>3015</v>
      </c>
      <c r="O322" s="167" t="s">
        <v>3015</v>
      </c>
      <c r="P322" s="167" t="s">
        <v>3015</v>
      </c>
      <c r="Q322" s="167" t="s">
        <v>3015</v>
      </c>
      <c r="R322" s="167" t="s">
        <v>3015</v>
      </c>
      <c r="S322" s="167" t="s">
        <v>3015</v>
      </c>
      <c r="T322" s="167" t="s">
        <v>3015</v>
      </c>
      <c r="U322" s="167" t="s">
        <v>3015</v>
      </c>
      <c r="V322" s="167" t="s">
        <v>3015</v>
      </c>
      <c r="W322" s="167" t="s">
        <v>3015</v>
      </c>
      <c r="X322" s="167" t="s">
        <v>3015</v>
      </c>
      <c r="Y322" s="167" t="s">
        <v>3015</v>
      </c>
      <c r="Z322" s="167" t="str">
        <f>_xlfn.IFNA(VLOOKUP(C322,'INFORM Severity - hidden'!$C$5:$G$155,5,FALSE),"-")</f>
        <v>-</v>
      </c>
      <c r="AA322" s="167" t="s">
        <v>3015</v>
      </c>
      <c r="AB322" s="167" t="s">
        <v>3015</v>
      </c>
    </row>
    <row r="323" spans="1:28" x14ac:dyDescent="0.3">
      <c r="A323" s="11" t="s">
        <v>3142</v>
      </c>
      <c r="B323" s="11" t="s">
        <v>4005</v>
      </c>
      <c r="C323" s="11" t="s">
        <v>4006</v>
      </c>
      <c r="D323" s="166" t="str">
        <f t="shared" si="4"/>
        <v>-</v>
      </c>
      <c r="E323" s="167" t="s">
        <v>3015</v>
      </c>
      <c r="F323" s="167" t="s">
        <v>3015</v>
      </c>
      <c r="G323" s="167" t="s">
        <v>3015</v>
      </c>
      <c r="H323" s="167" t="s">
        <v>3015</v>
      </c>
      <c r="I323" s="167" t="s">
        <v>3015</v>
      </c>
      <c r="J323" s="167" t="s">
        <v>3015</v>
      </c>
      <c r="K323" s="167" t="s">
        <v>3015</v>
      </c>
      <c r="L323" s="167" t="s">
        <v>3015</v>
      </c>
      <c r="M323" s="167" t="s">
        <v>3015</v>
      </c>
      <c r="N323" s="167" t="s">
        <v>3015</v>
      </c>
      <c r="O323" s="167" t="s">
        <v>3015</v>
      </c>
      <c r="P323" s="167" t="s">
        <v>3015</v>
      </c>
      <c r="Q323" s="167" t="s">
        <v>3015</v>
      </c>
      <c r="R323" s="167" t="s">
        <v>3015</v>
      </c>
      <c r="S323" s="167" t="s">
        <v>3015</v>
      </c>
      <c r="T323" s="167" t="s">
        <v>3015</v>
      </c>
      <c r="U323" s="167" t="s">
        <v>3015</v>
      </c>
      <c r="V323" s="167" t="s">
        <v>3015</v>
      </c>
      <c r="W323" s="167" t="s">
        <v>3015</v>
      </c>
      <c r="X323" s="167" t="s">
        <v>3015</v>
      </c>
      <c r="Y323" s="167" t="s">
        <v>3015</v>
      </c>
      <c r="Z323" s="167">
        <f>_xlfn.IFNA(VLOOKUP(C323,'INFORM Severity - hidden'!$C$5:$G$155,5,FALSE),"-")</f>
        <v>2.4</v>
      </c>
      <c r="AA323" s="167" t="s">
        <v>3015</v>
      </c>
      <c r="AB323" s="167" t="s">
        <v>3015</v>
      </c>
    </row>
    <row r="324" spans="1:28" x14ac:dyDescent="0.3">
      <c r="A324" s="11" t="s">
        <v>347</v>
      </c>
      <c r="B324" s="11" t="s">
        <v>914</v>
      </c>
      <c r="C324" s="11" t="s">
        <v>3141</v>
      </c>
      <c r="D324" s="166" t="str">
        <f t="shared" ref="D324:D334" si="5">IFERROR(IF(ROUND(AVERAGE(X324:Z324),1)=ROUND(AVERAGE(U324:W324),1),"Stable",IF(ROUND(AVERAGE(X324:Z324),1)&lt;ROUND(AVERAGE(U324:W324),1),"Decreasing",IF(ROUND(AVERAGE(X324:Z324),1)&gt;ROUND(AVERAGE(U324:W324),1),"Increasing"))),"-")</f>
        <v>-</v>
      </c>
      <c r="E324" s="167" t="s">
        <v>3015</v>
      </c>
      <c r="F324" s="167" t="s">
        <v>3015</v>
      </c>
      <c r="G324" s="167" t="s">
        <v>3015</v>
      </c>
      <c r="H324" s="167" t="s">
        <v>3015</v>
      </c>
      <c r="I324" s="167" t="s">
        <v>3015</v>
      </c>
      <c r="J324" s="167" t="s">
        <v>3015</v>
      </c>
      <c r="K324" s="167" t="s">
        <v>3015</v>
      </c>
      <c r="L324" s="167" t="s">
        <v>3015</v>
      </c>
      <c r="M324" s="167" t="s">
        <v>3015</v>
      </c>
      <c r="N324" s="167" t="s">
        <v>3015</v>
      </c>
      <c r="O324" s="167" t="s">
        <v>3015</v>
      </c>
      <c r="P324" s="167" t="s">
        <v>3015</v>
      </c>
      <c r="Q324" s="167" t="s">
        <v>3015</v>
      </c>
      <c r="R324" s="167" t="s">
        <v>3015</v>
      </c>
      <c r="S324" s="167" t="s">
        <v>3015</v>
      </c>
      <c r="T324" s="167" t="s">
        <v>3015</v>
      </c>
      <c r="U324" s="167" t="s">
        <v>3015</v>
      </c>
      <c r="V324" s="167" t="s">
        <v>3015</v>
      </c>
      <c r="W324" s="167" t="s">
        <v>3015</v>
      </c>
      <c r="X324" s="167" t="s">
        <v>3015</v>
      </c>
      <c r="Y324" s="167" t="s">
        <v>3015</v>
      </c>
      <c r="Z324" s="167" t="str">
        <f>_xlfn.IFNA(VLOOKUP(C324,'INFORM Severity - hidden'!$C$5:$G$155,5,FALSE),"-")</f>
        <v>-</v>
      </c>
      <c r="AA324" s="167" t="s">
        <v>3015</v>
      </c>
      <c r="AB324" s="167" t="s">
        <v>3015</v>
      </c>
    </row>
    <row r="325" spans="1:28" x14ac:dyDescent="0.3">
      <c r="A325" s="11" t="s">
        <v>347</v>
      </c>
      <c r="B325" s="11" t="s">
        <v>2265</v>
      </c>
      <c r="C325" s="11" t="s">
        <v>2244</v>
      </c>
      <c r="D325" s="166" t="str">
        <f t="shared" si="5"/>
        <v>Stable</v>
      </c>
      <c r="E325" s="167" t="s">
        <v>3015</v>
      </c>
      <c r="F325" s="167" t="s">
        <v>3015</v>
      </c>
      <c r="G325" s="167" t="s">
        <v>3015</v>
      </c>
      <c r="H325" s="167" t="s">
        <v>3015</v>
      </c>
      <c r="I325" s="167" t="s">
        <v>3015</v>
      </c>
      <c r="J325" s="167" t="s">
        <v>3015</v>
      </c>
      <c r="K325" s="167" t="s">
        <v>3015</v>
      </c>
      <c r="L325" s="167" t="s">
        <v>3015</v>
      </c>
      <c r="M325" s="167" t="s">
        <v>3015</v>
      </c>
      <c r="N325" s="167" t="s">
        <v>3015</v>
      </c>
      <c r="O325" s="167" t="s">
        <v>3015</v>
      </c>
      <c r="P325" s="167" t="s">
        <v>3015</v>
      </c>
      <c r="Q325" s="167" t="s">
        <v>3015</v>
      </c>
      <c r="R325" s="167" t="s">
        <v>3015</v>
      </c>
      <c r="S325" s="167" t="s">
        <v>3015</v>
      </c>
      <c r="T325" s="167">
        <v>1.9</v>
      </c>
      <c r="U325" s="167">
        <v>2</v>
      </c>
      <c r="V325" s="167">
        <v>2</v>
      </c>
      <c r="W325" s="167">
        <v>2</v>
      </c>
      <c r="X325" s="167">
        <v>2</v>
      </c>
      <c r="Y325" s="167">
        <v>2</v>
      </c>
      <c r="Z325" s="167">
        <f>_xlfn.IFNA(VLOOKUP(C325,'INFORM Severity - hidden'!$C$5:$G$155,5,FALSE),"-")</f>
        <v>2</v>
      </c>
      <c r="AA325" s="167" t="s">
        <v>3015</v>
      </c>
      <c r="AB325" s="167" t="s">
        <v>3015</v>
      </c>
    </row>
    <row r="326" spans="1:28" x14ac:dyDescent="0.3">
      <c r="A326" s="11" t="s">
        <v>272</v>
      </c>
      <c r="B326" s="11" t="s">
        <v>914</v>
      </c>
      <c r="C326" s="11" t="s">
        <v>3109</v>
      </c>
      <c r="D326" s="166" t="str">
        <f t="shared" si="5"/>
        <v>-</v>
      </c>
      <c r="E326" s="167" t="s">
        <v>3015</v>
      </c>
      <c r="F326" s="167" t="s">
        <v>3015</v>
      </c>
      <c r="G326" s="167" t="s">
        <v>3015</v>
      </c>
      <c r="H326" s="167" t="s">
        <v>3015</v>
      </c>
      <c r="I326" s="167" t="s">
        <v>3015</v>
      </c>
      <c r="J326" s="167" t="s">
        <v>3015</v>
      </c>
      <c r="K326" s="167" t="s">
        <v>3015</v>
      </c>
      <c r="L326" s="167" t="s">
        <v>3015</v>
      </c>
      <c r="M326" s="167" t="s">
        <v>3015</v>
      </c>
      <c r="N326" s="167" t="s">
        <v>3015</v>
      </c>
      <c r="O326" s="167" t="s">
        <v>3015</v>
      </c>
      <c r="P326" s="167" t="s">
        <v>3015</v>
      </c>
      <c r="Q326" s="167" t="s">
        <v>3015</v>
      </c>
      <c r="R326" s="167" t="s">
        <v>3015</v>
      </c>
      <c r="S326" s="167" t="s">
        <v>3015</v>
      </c>
      <c r="T326" s="167" t="s">
        <v>3015</v>
      </c>
      <c r="U326" s="167" t="s">
        <v>3015</v>
      </c>
      <c r="V326" s="167" t="s">
        <v>3015</v>
      </c>
      <c r="W326" s="167" t="s">
        <v>3015</v>
      </c>
      <c r="X326" s="167" t="s">
        <v>3015</v>
      </c>
      <c r="Y326" s="167" t="s">
        <v>3015</v>
      </c>
      <c r="Z326" s="167" t="str">
        <f>_xlfn.IFNA(VLOOKUP(C326,'INFORM Severity - hidden'!$C$5:$G$155,5,FALSE),"-")</f>
        <v>-</v>
      </c>
      <c r="AA326" s="167" t="s">
        <v>3015</v>
      </c>
      <c r="AB326" s="167" t="s">
        <v>3015</v>
      </c>
    </row>
    <row r="327" spans="1:28" x14ac:dyDescent="0.3">
      <c r="A327" s="11" t="s">
        <v>351</v>
      </c>
      <c r="B327" s="11" t="s">
        <v>1112</v>
      </c>
      <c r="C327" s="11" t="s">
        <v>598</v>
      </c>
      <c r="D327" s="166" t="str">
        <f t="shared" si="5"/>
        <v>Decreasing</v>
      </c>
      <c r="E327" s="167" t="s">
        <v>3015</v>
      </c>
      <c r="F327" s="167" t="s">
        <v>3015</v>
      </c>
      <c r="G327" s="167" t="s">
        <v>3015</v>
      </c>
      <c r="H327" s="167">
        <v>4.7</v>
      </c>
      <c r="I327" s="167">
        <v>4.7</v>
      </c>
      <c r="J327" s="167">
        <v>4.7</v>
      </c>
      <c r="K327" s="167">
        <v>4.7</v>
      </c>
      <c r="L327" s="167">
        <v>4.7</v>
      </c>
      <c r="M327" s="167">
        <v>4.7</v>
      </c>
      <c r="N327" s="167">
        <v>4.7</v>
      </c>
      <c r="O327" s="167">
        <v>4.7</v>
      </c>
      <c r="P327" s="167">
        <v>4.7</v>
      </c>
      <c r="Q327" s="167">
        <v>4.7</v>
      </c>
      <c r="R327" s="167">
        <v>4.7</v>
      </c>
      <c r="S327" s="167">
        <v>4.7</v>
      </c>
      <c r="T327" s="167">
        <v>4.7</v>
      </c>
      <c r="U327" s="167">
        <v>4.7</v>
      </c>
      <c r="V327" s="167">
        <v>4.7</v>
      </c>
      <c r="W327" s="167">
        <v>4.7</v>
      </c>
      <c r="X327" s="167">
        <v>4.7</v>
      </c>
      <c r="Y327" s="167">
        <v>4.5999999999999996</v>
      </c>
      <c r="Z327" s="167">
        <f>_xlfn.IFNA(VLOOKUP(C327,'INFORM Severity - hidden'!$C$5:$G$155,5,FALSE),"-")</f>
        <v>4.5999999999999996</v>
      </c>
      <c r="AA327" s="167" t="s">
        <v>3015</v>
      </c>
      <c r="AB327" s="167" t="s">
        <v>3015</v>
      </c>
    </row>
    <row r="328" spans="1:28" x14ac:dyDescent="0.3">
      <c r="A328" s="11" t="s">
        <v>351</v>
      </c>
      <c r="B328" s="11" t="s">
        <v>1113</v>
      </c>
      <c r="C328" s="11" t="s">
        <v>1115</v>
      </c>
      <c r="D328" s="166" t="str">
        <f t="shared" si="5"/>
        <v>Decreasing</v>
      </c>
      <c r="E328" s="167" t="s">
        <v>3015</v>
      </c>
      <c r="F328" s="167" t="s">
        <v>3015</v>
      </c>
      <c r="G328" s="167" t="s">
        <v>3015</v>
      </c>
      <c r="H328" s="167">
        <v>3</v>
      </c>
      <c r="I328" s="167">
        <v>3</v>
      </c>
      <c r="J328" s="167">
        <v>3</v>
      </c>
      <c r="K328" s="167">
        <v>3</v>
      </c>
      <c r="L328" s="167">
        <v>2.9</v>
      </c>
      <c r="M328" s="167">
        <v>2.9</v>
      </c>
      <c r="N328" s="167">
        <v>3</v>
      </c>
      <c r="O328" s="167">
        <v>3</v>
      </c>
      <c r="P328" s="167">
        <v>3</v>
      </c>
      <c r="Q328" s="167">
        <v>3</v>
      </c>
      <c r="R328" s="167">
        <v>2.9</v>
      </c>
      <c r="S328" s="167">
        <v>2.9</v>
      </c>
      <c r="T328" s="167">
        <v>2.9</v>
      </c>
      <c r="U328" s="167">
        <v>3.1</v>
      </c>
      <c r="V328" s="167">
        <v>2.9</v>
      </c>
      <c r="W328" s="167">
        <v>2.9</v>
      </c>
      <c r="X328" s="167">
        <v>2.9</v>
      </c>
      <c r="Y328" s="167">
        <v>2.9</v>
      </c>
      <c r="Z328" s="167">
        <f>_xlfn.IFNA(VLOOKUP(C328,'INFORM Severity - hidden'!$C$5:$G$155,5,FALSE),"-")</f>
        <v>2.9</v>
      </c>
      <c r="AA328" s="167" t="s">
        <v>3015</v>
      </c>
      <c r="AB328" s="167" t="s">
        <v>3015</v>
      </c>
    </row>
    <row r="329" spans="1:28" x14ac:dyDescent="0.3">
      <c r="A329" s="11" t="s">
        <v>296</v>
      </c>
      <c r="B329" s="11" t="s">
        <v>914</v>
      </c>
      <c r="C329" s="11" t="s">
        <v>3117</v>
      </c>
      <c r="D329" s="166" t="str">
        <f t="shared" si="5"/>
        <v>-</v>
      </c>
      <c r="E329" s="167" t="s">
        <v>3015</v>
      </c>
      <c r="F329" s="167" t="s">
        <v>3015</v>
      </c>
      <c r="G329" s="167" t="s">
        <v>3015</v>
      </c>
      <c r="H329" s="167" t="s">
        <v>3015</v>
      </c>
      <c r="I329" s="167" t="s">
        <v>3015</v>
      </c>
      <c r="J329" s="167" t="s">
        <v>3015</v>
      </c>
      <c r="K329" s="167" t="s">
        <v>3015</v>
      </c>
      <c r="L329" s="167" t="s">
        <v>3015</v>
      </c>
      <c r="M329" s="167" t="s">
        <v>3015</v>
      </c>
      <c r="N329" s="167" t="s">
        <v>3015</v>
      </c>
      <c r="O329" s="167" t="s">
        <v>3015</v>
      </c>
      <c r="P329" s="167" t="s">
        <v>3015</v>
      </c>
      <c r="Q329" s="167" t="s">
        <v>3015</v>
      </c>
      <c r="R329" s="167" t="s">
        <v>3015</v>
      </c>
      <c r="S329" s="167" t="s">
        <v>3015</v>
      </c>
      <c r="T329" s="167" t="s">
        <v>3015</v>
      </c>
      <c r="U329" s="167" t="s">
        <v>3015</v>
      </c>
      <c r="V329" s="167" t="s">
        <v>3015</v>
      </c>
      <c r="W329" s="167" t="s">
        <v>3015</v>
      </c>
      <c r="X329" s="167" t="s">
        <v>3015</v>
      </c>
      <c r="Y329" s="167" t="s">
        <v>3015</v>
      </c>
      <c r="Z329" s="167" t="str">
        <f>_xlfn.IFNA(VLOOKUP(C329,'INFORM Severity - hidden'!$C$5:$G$155,5,FALSE),"-")</f>
        <v>-</v>
      </c>
      <c r="AA329" s="167" t="s">
        <v>3015</v>
      </c>
      <c r="AB329" s="167" t="s">
        <v>3015</v>
      </c>
    </row>
    <row r="330" spans="1:28" x14ac:dyDescent="0.3">
      <c r="A330" s="11" t="s">
        <v>353</v>
      </c>
      <c r="B330" s="11" t="s">
        <v>914</v>
      </c>
      <c r="C330" s="11" t="s">
        <v>3146</v>
      </c>
      <c r="D330" s="166" t="str">
        <f t="shared" si="5"/>
        <v>-</v>
      </c>
      <c r="E330" s="167" t="s">
        <v>3015</v>
      </c>
      <c r="F330" s="167" t="s">
        <v>3015</v>
      </c>
      <c r="G330" s="167" t="s">
        <v>3015</v>
      </c>
      <c r="H330" s="167" t="s">
        <v>3015</v>
      </c>
      <c r="I330" s="167" t="s">
        <v>3015</v>
      </c>
      <c r="J330" s="167" t="s">
        <v>3015</v>
      </c>
      <c r="K330" s="167" t="s">
        <v>3015</v>
      </c>
      <c r="L330" s="167" t="s">
        <v>3015</v>
      </c>
      <c r="M330" s="167" t="s">
        <v>3015</v>
      </c>
      <c r="N330" s="167" t="s">
        <v>3015</v>
      </c>
      <c r="O330" s="167" t="s">
        <v>3015</v>
      </c>
      <c r="P330" s="167" t="s">
        <v>3015</v>
      </c>
      <c r="Q330" s="167" t="s">
        <v>3015</v>
      </c>
      <c r="R330" s="167" t="s">
        <v>3015</v>
      </c>
      <c r="S330" s="167" t="s">
        <v>3015</v>
      </c>
      <c r="T330" s="167" t="s">
        <v>3015</v>
      </c>
      <c r="U330" s="167" t="s">
        <v>3015</v>
      </c>
      <c r="V330" s="167" t="s">
        <v>3015</v>
      </c>
      <c r="W330" s="167" t="s">
        <v>3015</v>
      </c>
      <c r="X330" s="167" t="s">
        <v>3015</v>
      </c>
      <c r="Y330" s="167" t="s">
        <v>3015</v>
      </c>
      <c r="Z330" s="167" t="str">
        <f>_xlfn.IFNA(VLOOKUP(C330,'INFORM Severity - hidden'!$C$5:$G$155,5,FALSE),"-")</f>
        <v>-</v>
      </c>
      <c r="AA330" s="167" t="s">
        <v>3015</v>
      </c>
      <c r="AB330" s="167" t="s">
        <v>3015</v>
      </c>
    </row>
    <row r="331" spans="1:28" x14ac:dyDescent="0.3">
      <c r="A331" s="11" t="s">
        <v>353</v>
      </c>
      <c r="B331" s="11" t="s">
        <v>788</v>
      </c>
      <c r="C331" s="11" t="s">
        <v>682</v>
      </c>
      <c r="D331" s="166" t="str">
        <f t="shared" si="5"/>
        <v>Stable</v>
      </c>
      <c r="E331" s="167" t="s">
        <v>3015</v>
      </c>
      <c r="F331" s="167">
        <v>2.7</v>
      </c>
      <c r="G331" s="167">
        <v>2.7</v>
      </c>
      <c r="H331" s="167">
        <v>2.7</v>
      </c>
      <c r="I331" s="167">
        <v>2.7</v>
      </c>
      <c r="J331" s="167">
        <v>2.7</v>
      </c>
      <c r="K331" s="167">
        <v>2.7</v>
      </c>
      <c r="L331" s="167">
        <v>2.7</v>
      </c>
      <c r="M331" s="167">
        <v>2.7</v>
      </c>
      <c r="N331" s="167">
        <v>2.7</v>
      </c>
      <c r="O331" s="167">
        <v>2.7</v>
      </c>
      <c r="P331" s="167">
        <v>2.7</v>
      </c>
      <c r="Q331" s="167">
        <v>2.7</v>
      </c>
      <c r="R331" s="167">
        <v>2.9</v>
      </c>
      <c r="S331" s="167">
        <v>2.7</v>
      </c>
      <c r="T331" s="167">
        <v>2.7</v>
      </c>
      <c r="U331" s="167">
        <v>2.7</v>
      </c>
      <c r="V331" s="167">
        <v>2.8</v>
      </c>
      <c r="W331" s="167">
        <v>2.8</v>
      </c>
      <c r="X331" s="167">
        <v>2.8</v>
      </c>
      <c r="Y331" s="167">
        <v>2.8</v>
      </c>
      <c r="Z331" s="167">
        <f>_xlfn.IFNA(VLOOKUP(C331,'INFORM Severity - hidden'!$C$5:$G$155,5,FALSE),"-")</f>
        <v>2.7</v>
      </c>
      <c r="AA331" s="167" t="s">
        <v>3015</v>
      </c>
      <c r="AB331" s="167" t="s">
        <v>3015</v>
      </c>
    </row>
    <row r="332" spans="1:28" x14ac:dyDescent="0.3">
      <c r="A332" s="11" t="s">
        <v>355</v>
      </c>
      <c r="B332" s="11" t="s">
        <v>1114</v>
      </c>
      <c r="C332" s="11" t="s">
        <v>2920</v>
      </c>
      <c r="D332" s="166" t="str">
        <f t="shared" si="5"/>
        <v>Decreasing</v>
      </c>
      <c r="E332" s="167" t="s">
        <v>3015</v>
      </c>
      <c r="F332" s="167">
        <v>3.6</v>
      </c>
      <c r="G332" s="167">
        <v>3.8</v>
      </c>
      <c r="H332" s="167">
        <v>3.9</v>
      </c>
      <c r="I332" s="167">
        <v>3.9</v>
      </c>
      <c r="J332" s="167">
        <v>3.9</v>
      </c>
      <c r="K332" s="167">
        <v>3.9</v>
      </c>
      <c r="L332" s="167">
        <v>3.9</v>
      </c>
      <c r="M332" s="167">
        <v>3.7</v>
      </c>
      <c r="N332" s="167">
        <v>3.7</v>
      </c>
      <c r="O332" s="167">
        <v>3.7</v>
      </c>
      <c r="P332" s="167">
        <v>3.7</v>
      </c>
      <c r="Q332" s="167">
        <v>3.9</v>
      </c>
      <c r="R332" s="167">
        <v>3.7</v>
      </c>
      <c r="S332" s="167">
        <v>3.9</v>
      </c>
      <c r="T332" s="167">
        <v>3.7</v>
      </c>
      <c r="U332" s="167">
        <v>3.7</v>
      </c>
      <c r="V332" s="167">
        <v>3.7</v>
      </c>
      <c r="W332" s="167">
        <v>3.7</v>
      </c>
      <c r="X332" s="167">
        <v>3.7</v>
      </c>
      <c r="Y332" s="167">
        <v>3.7</v>
      </c>
      <c r="Z332" s="167">
        <f>_xlfn.IFNA(VLOOKUP(C332,'INFORM Severity - hidden'!$C$5:$G$155,5,FALSE),"-")</f>
        <v>3.5</v>
      </c>
      <c r="AA332" s="167" t="s">
        <v>3015</v>
      </c>
      <c r="AB332" s="167" t="s">
        <v>3015</v>
      </c>
    </row>
    <row r="333" spans="1:28" x14ac:dyDescent="0.3">
      <c r="A333" s="11" t="s">
        <v>355</v>
      </c>
      <c r="B333" s="11" t="s">
        <v>1178</v>
      </c>
      <c r="C333" s="11" t="s">
        <v>3179</v>
      </c>
      <c r="D333" s="166" t="str">
        <f t="shared" si="5"/>
        <v>-</v>
      </c>
      <c r="E333" s="167" t="s">
        <v>3015</v>
      </c>
      <c r="F333" s="167" t="s">
        <v>3015</v>
      </c>
      <c r="G333" s="167">
        <v>2.7</v>
      </c>
      <c r="H333" s="167">
        <v>3.2</v>
      </c>
      <c r="I333" s="167">
        <v>3.2</v>
      </c>
      <c r="J333" s="167">
        <v>3.2</v>
      </c>
      <c r="K333" s="167" t="s">
        <v>3015</v>
      </c>
      <c r="L333" s="167" t="s">
        <v>3015</v>
      </c>
      <c r="M333" s="167" t="s">
        <v>3015</v>
      </c>
      <c r="N333" s="167" t="s">
        <v>3015</v>
      </c>
      <c r="O333" s="167" t="s">
        <v>3015</v>
      </c>
      <c r="P333" s="167" t="s">
        <v>3015</v>
      </c>
      <c r="Q333" s="167" t="s">
        <v>3015</v>
      </c>
      <c r="R333" s="167" t="s">
        <v>3015</v>
      </c>
      <c r="S333" s="167" t="s">
        <v>3015</v>
      </c>
      <c r="T333" s="167" t="s">
        <v>3015</v>
      </c>
      <c r="U333" s="167" t="s">
        <v>3015</v>
      </c>
      <c r="V333" s="167" t="s">
        <v>3015</v>
      </c>
      <c r="W333" s="167" t="s">
        <v>3015</v>
      </c>
      <c r="X333" s="167" t="s">
        <v>3015</v>
      </c>
      <c r="Y333" s="167" t="s">
        <v>3015</v>
      </c>
      <c r="Z333" s="167" t="str">
        <f>_xlfn.IFNA(VLOOKUP(C333,'INFORM Severity - hidden'!$C$5:$G$155,5,FALSE),"-")</f>
        <v>-</v>
      </c>
      <c r="AA333" s="167" t="s">
        <v>3015</v>
      </c>
      <c r="AB333" s="167" t="s">
        <v>3015</v>
      </c>
    </row>
    <row r="334" spans="1:28" x14ac:dyDescent="0.3">
      <c r="A334" s="11" t="s">
        <v>355</v>
      </c>
      <c r="B334" s="11" t="s">
        <v>2514</v>
      </c>
      <c r="C334" s="11" t="s">
        <v>2515</v>
      </c>
      <c r="D334" s="166" t="str">
        <f t="shared" si="5"/>
        <v>Stable</v>
      </c>
      <c r="E334" s="167" t="s">
        <v>3015</v>
      </c>
      <c r="F334" s="167" t="s">
        <v>3015</v>
      </c>
      <c r="G334" s="167" t="s">
        <v>3015</v>
      </c>
      <c r="H334" s="167" t="s">
        <v>3015</v>
      </c>
      <c r="I334" s="167" t="s">
        <v>3015</v>
      </c>
      <c r="J334" s="167" t="s">
        <v>3015</v>
      </c>
      <c r="K334" s="167" t="s">
        <v>3015</v>
      </c>
      <c r="L334" s="167" t="s">
        <v>3015</v>
      </c>
      <c r="M334" s="167" t="s">
        <v>3015</v>
      </c>
      <c r="N334" s="167" t="s">
        <v>3015</v>
      </c>
      <c r="O334" s="167" t="s">
        <v>3015</v>
      </c>
      <c r="P334" s="167" t="s">
        <v>3015</v>
      </c>
      <c r="Q334" s="167" t="s">
        <v>3015</v>
      </c>
      <c r="R334" s="167" t="s">
        <v>3015</v>
      </c>
      <c r="S334" s="167" t="s">
        <v>3015</v>
      </c>
      <c r="T334" s="167" t="s">
        <v>3015</v>
      </c>
      <c r="U334" s="167" t="s">
        <v>3015</v>
      </c>
      <c r="V334" s="167">
        <v>2.6</v>
      </c>
      <c r="W334" s="167">
        <v>2.6</v>
      </c>
      <c r="X334" s="167">
        <v>2.6</v>
      </c>
      <c r="Y334" s="167">
        <v>2.6</v>
      </c>
      <c r="Z334" s="167">
        <f>_xlfn.IFNA(VLOOKUP(C334,'INFORM Severity - hidden'!$C$5:$G$155,5,FALSE),"-")</f>
        <v>2.6</v>
      </c>
      <c r="AA334" s="167" t="s">
        <v>3015</v>
      </c>
      <c r="AB334" s="167" t="s">
        <v>3015</v>
      </c>
    </row>
  </sheetData>
  <sortState xmlns:xlrd2="http://schemas.microsoft.com/office/spreadsheetml/2017/richdata2" ref="A3:X326">
    <sortCondition ref="A3"/>
  </sortState>
  <phoneticPr fontId="94" type="noConversion"/>
  <conditionalFormatting sqref="E3:AB334">
    <cfRule type="cellIs" priority="4" stopIfTrue="1" operator="equal">
      <formula>"-"</formula>
    </cfRule>
    <cfRule type="cellIs" dxfId="7" priority="5" stopIfTrue="1" operator="greaterThanOrEqual">
      <formula>4</formula>
    </cfRule>
    <cfRule type="cellIs" dxfId="6" priority="6" stopIfTrue="1" operator="between">
      <formula>3</formula>
      <formula>4</formula>
    </cfRule>
    <cfRule type="cellIs" dxfId="5" priority="7" stopIfTrue="1" operator="between">
      <formula>2</formula>
      <formula>3</formula>
    </cfRule>
    <cfRule type="cellIs" dxfId="4" priority="8" stopIfTrue="1" operator="between">
      <formula>1</formula>
      <formula>2</formula>
    </cfRule>
    <cfRule type="cellIs" dxfId="3" priority="9" stopIfTrue="1" operator="between">
      <formula>0.1</formula>
      <formula>1</formula>
    </cfRule>
  </conditionalFormatting>
  <conditionalFormatting sqref="D3:D334">
    <cfRule type="cellIs" dxfId="2" priority="1" operator="equal">
      <formula>"Increasing"</formula>
    </cfRule>
    <cfRule type="cellIs" dxfId="1" priority="2" operator="equal">
      <formula>"Stable"</formula>
    </cfRule>
    <cfRule type="cellIs" dxfId="0" priority="3" operator="equal">
      <formula>"Decreasing"</formula>
    </cfRule>
  </conditionalFormatting>
  <pageMargins left="0.7" right="0.7" top="0.75" bottom="0.75" header="0.3" footer="0.3"/>
  <pageSetup orientation="portrait" horizontalDpi="1200" verticalDpi="1200" r:id="rId1"/>
  <ignoredErrors>
    <ignoredError sqref="D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s>
  <sheetFormatPr defaultColWidth="9.44140625" defaultRowHeight="14.4" x14ac:dyDescent="0.3"/>
  <cols>
    <col min="1" max="1" width="16.5546875" style="29" customWidth="1"/>
    <col min="2" max="2" width="18.21875" style="29" customWidth="1"/>
    <col min="3" max="3" width="17.44140625" style="29" customWidth="1"/>
    <col min="4" max="4" width="25.77734375" style="29" customWidth="1"/>
    <col min="5" max="5" width="57.44140625" style="29" customWidth="1"/>
    <col min="6" max="6" width="74.44140625" style="29" customWidth="1"/>
    <col min="7" max="7" width="32.44140625" style="29" hidden="1" customWidth="1"/>
    <col min="8" max="9" width="33.44140625" style="29" customWidth="1"/>
    <col min="10" max="10" width="64.44140625" style="29" customWidth="1"/>
    <col min="11" max="16384" width="9.44140625" style="29"/>
  </cols>
  <sheetData>
    <row r="1" spans="1:10" s="1" customFormat="1" ht="15" customHeight="1" x14ac:dyDescent="0.4">
      <c r="A1" s="297"/>
      <c r="B1" s="297"/>
      <c r="C1" s="297"/>
      <c r="D1" s="297"/>
      <c r="E1" s="297"/>
      <c r="F1" s="297"/>
      <c r="G1" s="297"/>
      <c r="H1" s="297"/>
      <c r="I1" s="297"/>
      <c r="J1" s="297"/>
    </row>
    <row r="2" spans="1:10" ht="15" thickBot="1" x14ac:dyDescent="0.35">
      <c r="A2" s="145" t="s">
        <v>434</v>
      </c>
      <c r="B2" s="145" t="s">
        <v>435</v>
      </c>
      <c r="C2" s="145" t="s">
        <v>436</v>
      </c>
      <c r="D2" s="145" t="s">
        <v>437</v>
      </c>
      <c r="E2" s="145" t="s">
        <v>438</v>
      </c>
      <c r="F2" s="145" t="s">
        <v>439</v>
      </c>
      <c r="G2" s="145" t="s">
        <v>440</v>
      </c>
      <c r="H2" s="145" t="s">
        <v>463</v>
      </c>
      <c r="I2" s="145" t="s">
        <v>521</v>
      </c>
      <c r="J2" s="145" t="s">
        <v>441</v>
      </c>
    </row>
    <row r="3" spans="1:10" ht="66" x14ac:dyDescent="0.3">
      <c r="A3" s="141" t="s">
        <v>420</v>
      </c>
      <c r="B3" s="30" t="s">
        <v>419</v>
      </c>
      <c r="C3" s="30" t="s">
        <v>450</v>
      </c>
      <c r="D3" s="30" t="s">
        <v>2993</v>
      </c>
      <c r="E3" s="30" t="s">
        <v>452</v>
      </c>
      <c r="F3" s="30" t="s">
        <v>2986</v>
      </c>
      <c r="G3" s="30"/>
      <c r="H3" s="30" t="s">
        <v>464</v>
      </c>
      <c r="I3" s="30"/>
      <c r="J3" s="146"/>
    </row>
    <row r="4" spans="1:10" ht="66" x14ac:dyDescent="0.3">
      <c r="A4" s="141" t="s">
        <v>420</v>
      </c>
      <c r="B4" s="30" t="s">
        <v>419</v>
      </c>
      <c r="C4" s="30" t="s">
        <v>450</v>
      </c>
      <c r="D4" s="30" t="s">
        <v>2994</v>
      </c>
      <c r="E4" s="146" t="s">
        <v>2998</v>
      </c>
      <c r="F4" s="30" t="s">
        <v>2986</v>
      </c>
      <c r="G4" s="30"/>
      <c r="H4" s="30" t="s">
        <v>464</v>
      </c>
      <c r="I4" s="30"/>
      <c r="J4" s="146"/>
    </row>
    <row r="5" spans="1:10" ht="66" x14ac:dyDescent="0.3">
      <c r="A5" s="141" t="s">
        <v>420</v>
      </c>
      <c r="B5" s="30" t="s">
        <v>419</v>
      </c>
      <c r="C5" s="30" t="s">
        <v>451</v>
      </c>
      <c r="D5" s="146" t="s">
        <v>398</v>
      </c>
      <c r="E5" s="146" t="s">
        <v>453</v>
      </c>
      <c r="F5" s="30" t="s">
        <v>2986</v>
      </c>
      <c r="G5" s="30"/>
      <c r="H5" s="30" t="s">
        <v>465</v>
      </c>
      <c r="I5" s="30"/>
      <c r="J5" s="146"/>
    </row>
    <row r="6" spans="1:10" ht="66" x14ac:dyDescent="0.3">
      <c r="A6" s="141" t="s">
        <v>420</v>
      </c>
      <c r="B6" s="30" t="s">
        <v>419</v>
      </c>
      <c r="C6" s="30" t="s">
        <v>451</v>
      </c>
      <c r="D6" s="146" t="s">
        <v>447</v>
      </c>
      <c r="E6" s="146" t="s">
        <v>2999</v>
      </c>
      <c r="F6" s="30" t="s">
        <v>2986</v>
      </c>
      <c r="G6" s="30"/>
      <c r="H6" s="30" t="s">
        <v>465</v>
      </c>
      <c r="I6" s="30"/>
      <c r="J6" s="146"/>
    </row>
    <row r="7" spans="1:10" ht="66" x14ac:dyDescent="0.3">
      <c r="A7" s="141" t="s">
        <v>420</v>
      </c>
      <c r="B7" s="146" t="s">
        <v>416</v>
      </c>
      <c r="C7" s="146" t="s">
        <v>448</v>
      </c>
      <c r="D7" s="146" t="s">
        <v>448</v>
      </c>
      <c r="E7" s="146" t="s">
        <v>411</v>
      </c>
      <c r="F7" s="30" t="s">
        <v>2986</v>
      </c>
      <c r="G7" s="30"/>
      <c r="H7" s="30" t="s">
        <v>457</v>
      </c>
      <c r="I7" s="30"/>
      <c r="J7" s="146"/>
    </row>
    <row r="8" spans="1:10" ht="66" x14ac:dyDescent="0.3">
      <c r="A8" s="141" t="s">
        <v>420</v>
      </c>
      <c r="B8" s="146" t="s">
        <v>416</v>
      </c>
      <c r="C8" s="146" t="s">
        <v>448</v>
      </c>
      <c r="D8" s="146" t="s">
        <v>449</v>
      </c>
      <c r="E8" s="146" t="s">
        <v>2995</v>
      </c>
      <c r="F8" s="30" t="s">
        <v>2986</v>
      </c>
      <c r="G8" s="30"/>
      <c r="H8" s="30" t="s">
        <v>457</v>
      </c>
      <c r="I8" s="30"/>
      <c r="J8" s="146"/>
    </row>
    <row r="9" spans="1:10" ht="66" x14ac:dyDescent="0.3">
      <c r="A9" s="141" t="s">
        <v>420</v>
      </c>
      <c r="B9" s="146" t="s">
        <v>416</v>
      </c>
      <c r="C9" s="146" t="s">
        <v>2958</v>
      </c>
      <c r="D9" s="146" t="s">
        <v>547</v>
      </c>
      <c r="E9" s="146" t="s">
        <v>412</v>
      </c>
      <c r="F9" s="30" t="s">
        <v>2986</v>
      </c>
      <c r="G9" s="30"/>
      <c r="H9" s="30" t="s">
        <v>458</v>
      </c>
      <c r="I9" s="30"/>
      <c r="J9" s="146"/>
    </row>
    <row r="10" spans="1:10" ht="66" x14ac:dyDescent="0.3">
      <c r="A10" s="141" t="s">
        <v>420</v>
      </c>
      <c r="B10" s="146" t="s">
        <v>416</v>
      </c>
      <c r="C10" s="146" t="s">
        <v>2958</v>
      </c>
      <c r="D10" s="146" t="s">
        <v>2973</v>
      </c>
      <c r="E10" s="146" t="s">
        <v>2996</v>
      </c>
      <c r="F10" s="30" t="s">
        <v>2986</v>
      </c>
      <c r="G10" s="30"/>
      <c r="H10" s="30" t="s">
        <v>458</v>
      </c>
      <c r="I10" s="30"/>
      <c r="J10" s="146"/>
    </row>
    <row r="11" spans="1:10" ht="26.4" hidden="1" x14ac:dyDescent="0.3">
      <c r="A11" s="141" t="s">
        <v>420</v>
      </c>
      <c r="B11" s="146" t="s">
        <v>416</v>
      </c>
      <c r="C11" s="146" t="s">
        <v>2958</v>
      </c>
      <c r="D11" s="146" t="s">
        <v>417</v>
      </c>
      <c r="E11" s="146" t="s">
        <v>454</v>
      </c>
      <c r="F11" s="146"/>
      <c r="G11" s="30"/>
      <c r="H11" s="30" t="s">
        <v>459</v>
      </c>
      <c r="I11" s="30"/>
      <c r="J11" s="146"/>
    </row>
    <row r="12" spans="1:10" ht="66" x14ac:dyDescent="0.3">
      <c r="A12" s="141" t="s">
        <v>420</v>
      </c>
      <c r="B12" s="146" t="s">
        <v>416</v>
      </c>
      <c r="C12" s="146" t="s">
        <v>2958</v>
      </c>
      <c r="D12" s="146" t="s">
        <v>2972</v>
      </c>
      <c r="E12" s="146" t="s">
        <v>413</v>
      </c>
      <c r="F12" s="30" t="s">
        <v>2986</v>
      </c>
      <c r="G12" s="30"/>
      <c r="H12" s="30" t="s">
        <v>459</v>
      </c>
      <c r="I12" s="30"/>
      <c r="J12" s="146"/>
    </row>
    <row r="13" spans="1:10" ht="66" x14ac:dyDescent="0.3">
      <c r="A13" s="141" t="s">
        <v>420</v>
      </c>
      <c r="B13" s="146" t="s">
        <v>416</v>
      </c>
      <c r="C13" s="146" t="s">
        <v>2958</v>
      </c>
      <c r="D13" s="146" t="s">
        <v>2971</v>
      </c>
      <c r="E13" s="146" t="s">
        <v>2997</v>
      </c>
      <c r="F13" s="30" t="s">
        <v>2986</v>
      </c>
      <c r="G13" s="30"/>
      <c r="H13" s="30" t="s">
        <v>459</v>
      </c>
      <c r="I13" s="30"/>
      <c r="J13" s="146"/>
    </row>
    <row r="14" spans="1:10" ht="26.4" hidden="1" x14ac:dyDescent="0.3">
      <c r="A14" s="141" t="s">
        <v>420</v>
      </c>
      <c r="B14" s="146" t="s">
        <v>493</v>
      </c>
      <c r="C14" s="146" t="s">
        <v>395</v>
      </c>
      <c r="D14" s="146" t="s">
        <v>401</v>
      </c>
      <c r="E14" s="146" t="s">
        <v>455</v>
      </c>
      <c r="F14" s="146"/>
      <c r="G14" s="30"/>
      <c r="H14" s="30" t="s">
        <v>460</v>
      </c>
      <c r="I14" s="30"/>
      <c r="J14" s="146"/>
    </row>
    <row r="15" spans="1:10" ht="26.4" hidden="1" x14ac:dyDescent="0.3">
      <c r="A15" s="141" t="s">
        <v>420</v>
      </c>
      <c r="B15" s="146" t="s">
        <v>493</v>
      </c>
      <c r="C15" s="146" t="s">
        <v>395</v>
      </c>
      <c r="D15" s="146" t="s">
        <v>402</v>
      </c>
      <c r="E15" s="146" t="s">
        <v>456</v>
      </c>
      <c r="F15" s="146"/>
      <c r="G15" s="30"/>
      <c r="H15" s="30" t="s">
        <v>460</v>
      </c>
      <c r="I15" s="30"/>
      <c r="J15" s="146"/>
    </row>
    <row r="16" spans="1:10" ht="26.4" hidden="1" x14ac:dyDescent="0.3">
      <c r="A16" s="141" t="s">
        <v>420</v>
      </c>
      <c r="B16" s="146" t="s">
        <v>493</v>
      </c>
      <c r="C16" s="146" t="s">
        <v>495</v>
      </c>
      <c r="D16" s="146" t="s">
        <v>502</v>
      </c>
      <c r="E16" s="146" t="s">
        <v>503</v>
      </c>
      <c r="F16" s="146"/>
      <c r="G16" s="30"/>
      <c r="H16" s="30"/>
      <c r="I16" s="30"/>
      <c r="J16" s="146"/>
    </row>
    <row r="17" spans="1:10" ht="26.4" x14ac:dyDescent="0.3">
      <c r="A17" s="147" t="s">
        <v>2955</v>
      </c>
      <c r="B17" s="146" t="s">
        <v>1355</v>
      </c>
      <c r="C17" s="146"/>
      <c r="D17" s="146" t="s">
        <v>2985</v>
      </c>
      <c r="E17" s="146"/>
      <c r="F17" s="146" t="s">
        <v>498</v>
      </c>
      <c r="G17" s="146"/>
      <c r="H17" s="146" t="s">
        <v>461</v>
      </c>
      <c r="I17" s="146"/>
      <c r="J17" s="146"/>
    </row>
    <row r="18" spans="1:10" ht="52.8" x14ac:dyDescent="0.3">
      <c r="A18" s="147" t="s">
        <v>2955</v>
      </c>
      <c r="B18" s="146" t="s">
        <v>2954</v>
      </c>
      <c r="C18" s="146" t="s">
        <v>2979</v>
      </c>
      <c r="D18" s="146" t="s">
        <v>2948</v>
      </c>
      <c r="E18" s="146" t="s">
        <v>2991</v>
      </c>
      <c r="F18" s="146" t="s">
        <v>498</v>
      </c>
      <c r="G18" s="146"/>
      <c r="H18" s="146" t="s">
        <v>461</v>
      </c>
      <c r="I18" s="146"/>
      <c r="J18" s="146"/>
    </row>
    <row r="19" spans="1:10" ht="79.2" x14ac:dyDescent="0.3">
      <c r="A19" s="147" t="s">
        <v>2955</v>
      </c>
      <c r="B19" s="146" t="s">
        <v>2954</v>
      </c>
      <c r="C19" s="146" t="s">
        <v>2980</v>
      </c>
      <c r="D19" s="146" t="s">
        <v>2949</v>
      </c>
      <c r="E19" s="146" t="s">
        <v>2990</v>
      </c>
      <c r="F19" s="146" t="s">
        <v>498</v>
      </c>
      <c r="G19" s="146"/>
      <c r="H19" s="146" t="s">
        <v>461</v>
      </c>
      <c r="I19" s="146"/>
      <c r="J19" s="146"/>
    </row>
    <row r="20" spans="1:10" ht="132" x14ac:dyDescent="0.3">
      <c r="A20" s="147" t="s">
        <v>2955</v>
      </c>
      <c r="B20" s="146" t="s">
        <v>2954</v>
      </c>
      <c r="C20" s="146" t="s">
        <v>2981</v>
      </c>
      <c r="D20" s="146" t="s">
        <v>2950</v>
      </c>
      <c r="E20" s="146" t="s">
        <v>2989</v>
      </c>
      <c r="F20" s="146" t="s">
        <v>498</v>
      </c>
      <c r="G20" s="146"/>
      <c r="H20" s="146" t="s">
        <v>461</v>
      </c>
      <c r="I20" s="146"/>
      <c r="J20" s="146"/>
    </row>
    <row r="21" spans="1:10" ht="118.8" x14ac:dyDescent="0.3">
      <c r="A21" s="147" t="s">
        <v>2955</v>
      </c>
      <c r="B21" s="146" t="s">
        <v>2954</v>
      </c>
      <c r="C21" s="146" t="s">
        <v>2982</v>
      </c>
      <c r="D21" s="146" t="s">
        <v>2951</v>
      </c>
      <c r="E21" s="146" t="s">
        <v>2988</v>
      </c>
      <c r="F21" s="146" t="s">
        <v>498</v>
      </c>
      <c r="G21" s="146"/>
      <c r="H21" s="146" t="s">
        <v>461</v>
      </c>
      <c r="I21" s="146"/>
      <c r="J21" s="146"/>
    </row>
    <row r="22" spans="1:10" ht="92.4" x14ac:dyDescent="0.3">
      <c r="A22" s="147" t="s">
        <v>2955</v>
      </c>
      <c r="B22" s="146" t="s">
        <v>2954</v>
      </c>
      <c r="C22" s="146" t="s">
        <v>2983</v>
      </c>
      <c r="D22" s="146" t="s">
        <v>2952</v>
      </c>
      <c r="E22" s="146" t="s">
        <v>2987</v>
      </c>
      <c r="F22" s="146" t="s">
        <v>498</v>
      </c>
      <c r="G22" s="146"/>
      <c r="H22" s="146" t="s">
        <v>461</v>
      </c>
      <c r="I22" s="146"/>
      <c r="J22" s="146"/>
    </row>
    <row r="23" spans="1:10" ht="105.6" x14ac:dyDescent="0.3">
      <c r="A23" s="148" t="s">
        <v>444</v>
      </c>
      <c r="B23" s="146" t="s">
        <v>445</v>
      </c>
      <c r="C23" s="146" t="s">
        <v>515</v>
      </c>
      <c r="D23" s="146" t="s">
        <v>466</v>
      </c>
      <c r="E23" s="146" t="s">
        <v>3700</v>
      </c>
      <c r="F23" s="146"/>
      <c r="G23" s="146"/>
      <c r="H23" s="146" t="s">
        <v>488</v>
      </c>
      <c r="I23" s="146" t="s">
        <v>3702</v>
      </c>
      <c r="J23" s="146" t="s">
        <v>3701</v>
      </c>
    </row>
    <row r="24" spans="1:10" ht="92.4" x14ac:dyDescent="0.3">
      <c r="A24" s="148" t="s">
        <v>444</v>
      </c>
      <c r="B24" s="146" t="s">
        <v>445</v>
      </c>
      <c r="C24" s="146" t="s">
        <v>515</v>
      </c>
      <c r="D24" s="146" t="s">
        <v>501</v>
      </c>
      <c r="E24" s="146" t="s">
        <v>525</v>
      </c>
      <c r="F24" s="146"/>
      <c r="G24" s="146"/>
      <c r="H24" s="146" t="s">
        <v>517</v>
      </c>
      <c r="I24" s="146" t="s">
        <v>522</v>
      </c>
      <c r="J24" s="149" t="s">
        <v>518</v>
      </c>
    </row>
    <row r="25" spans="1:10" ht="79.2" x14ac:dyDescent="0.3">
      <c r="A25" s="148" t="s">
        <v>444</v>
      </c>
      <c r="B25" s="146" t="s">
        <v>445</v>
      </c>
      <c r="C25" s="146" t="s">
        <v>516</v>
      </c>
      <c r="D25" s="146" t="s">
        <v>511</v>
      </c>
      <c r="E25" s="146" t="s">
        <v>512</v>
      </c>
      <c r="F25" s="146"/>
      <c r="G25" s="146"/>
      <c r="H25" s="146" t="s">
        <v>524</v>
      </c>
      <c r="I25" s="146" t="s">
        <v>523</v>
      </c>
      <c r="J25" s="146" t="s">
        <v>513</v>
      </c>
    </row>
    <row r="26" spans="1:10" ht="105.6" x14ac:dyDescent="0.3">
      <c r="A26" s="148" t="s">
        <v>444</v>
      </c>
      <c r="B26" s="146" t="s">
        <v>445</v>
      </c>
      <c r="C26" s="146" t="s">
        <v>516</v>
      </c>
      <c r="D26" s="146" t="s">
        <v>491</v>
      </c>
      <c r="E26" s="146" t="s">
        <v>482</v>
      </c>
      <c r="F26" s="146"/>
      <c r="G26" s="146"/>
      <c r="H26" s="146" t="s">
        <v>484</v>
      </c>
      <c r="I26" s="146"/>
      <c r="J26" s="146" t="s">
        <v>483</v>
      </c>
    </row>
    <row r="27" spans="1:10" ht="79.2" x14ac:dyDescent="0.3">
      <c r="A27" s="148" t="s">
        <v>444</v>
      </c>
      <c r="B27" s="146" t="s">
        <v>445</v>
      </c>
      <c r="C27" s="146" t="s">
        <v>514</v>
      </c>
      <c r="D27" s="146" t="s">
        <v>368</v>
      </c>
      <c r="E27" s="146" t="s">
        <v>504</v>
      </c>
      <c r="F27" s="146" t="s">
        <v>505</v>
      </c>
      <c r="G27" s="146"/>
      <c r="H27" s="146" t="s">
        <v>508</v>
      </c>
      <c r="I27" s="146"/>
      <c r="J27" s="146" t="s">
        <v>509</v>
      </c>
    </row>
    <row r="28" spans="1:10" ht="66" x14ac:dyDescent="0.3">
      <c r="A28" s="148" t="s">
        <v>444</v>
      </c>
      <c r="B28" s="146" t="s">
        <v>445</v>
      </c>
      <c r="C28" s="146" t="s">
        <v>514</v>
      </c>
      <c r="D28" s="146" t="s">
        <v>376</v>
      </c>
      <c r="E28" s="146" t="s">
        <v>506</v>
      </c>
      <c r="F28" s="146" t="s">
        <v>507</v>
      </c>
      <c r="G28" s="146"/>
      <c r="H28" s="146" t="s">
        <v>442</v>
      </c>
      <c r="I28" s="146"/>
      <c r="J28" s="146" t="s">
        <v>510</v>
      </c>
    </row>
    <row r="29" spans="1:10" ht="39.6" x14ac:dyDescent="0.3">
      <c r="A29" s="148" t="s">
        <v>444</v>
      </c>
      <c r="B29" s="146" t="s">
        <v>445</v>
      </c>
      <c r="C29" s="146" t="s">
        <v>433</v>
      </c>
      <c r="D29" s="146" t="s">
        <v>469</v>
      </c>
      <c r="E29" s="146" t="s">
        <v>470</v>
      </c>
      <c r="F29" s="146"/>
      <c r="G29" s="146"/>
      <c r="H29" s="146" t="s">
        <v>467</v>
      </c>
      <c r="I29" s="146" t="s">
        <v>2992</v>
      </c>
      <c r="J29" s="146" t="s">
        <v>520</v>
      </c>
    </row>
    <row r="30" spans="1:10" ht="26.4" x14ac:dyDescent="0.3">
      <c r="A30" s="148" t="s">
        <v>444</v>
      </c>
      <c r="B30" s="146" t="s">
        <v>445</v>
      </c>
      <c r="C30" s="146" t="s">
        <v>433</v>
      </c>
      <c r="D30" s="146" t="s">
        <v>418</v>
      </c>
      <c r="E30" s="146" t="s">
        <v>406</v>
      </c>
      <c r="F30" s="146"/>
      <c r="G30" s="146"/>
      <c r="H30" s="146" t="s">
        <v>468</v>
      </c>
      <c r="I30" s="146"/>
      <c r="J30" s="146"/>
    </row>
    <row r="31" spans="1:10" ht="66" x14ac:dyDescent="0.3">
      <c r="A31" s="148" t="s">
        <v>444</v>
      </c>
      <c r="B31" s="146" t="s">
        <v>445</v>
      </c>
      <c r="C31" s="146" t="s">
        <v>404</v>
      </c>
      <c r="D31" s="146" t="s">
        <v>499</v>
      </c>
      <c r="E31" s="146" t="s">
        <v>471</v>
      </c>
      <c r="F31" s="146"/>
      <c r="G31" s="146"/>
      <c r="H31" s="146" t="s">
        <v>478</v>
      </c>
      <c r="I31" s="146"/>
      <c r="J31" s="146" t="s">
        <v>477</v>
      </c>
    </row>
    <row r="32" spans="1:10" ht="105.6" x14ac:dyDescent="0.3">
      <c r="A32" s="148" t="s">
        <v>444</v>
      </c>
      <c r="B32" s="146" t="s">
        <v>445</v>
      </c>
      <c r="C32" s="146" t="s">
        <v>404</v>
      </c>
      <c r="D32" s="146" t="s">
        <v>500</v>
      </c>
      <c r="E32" s="146" t="s">
        <v>482</v>
      </c>
      <c r="F32" s="146"/>
      <c r="G32" s="146"/>
      <c r="H32" s="146" t="s">
        <v>484</v>
      </c>
      <c r="I32" s="146"/>
      <c r="J32" s="146" t="s">
        <v>483</v>
      </c>
    </row>
    <row r="33" spans="1:10" ht="52.8" x14ac:dyDescent="0.3">
      <c r="A33" s="148" t="s">
        <v>444</v>
      </c>
      <c r="B33" s="146" t="s">
        <v>445</v>
      </c>
      <c r="C33" s="146" t="s">
        <v>404</v>
      </c>
      <c r="D33" s="146" t="s">
        <v>427</v>
      </c>
      <c r="E33" s="146" t="s">
        <v>481</v>
      </c>
      <c r="F33" s="146"/>
      <c r="G33" s="146"/>
      <c r="H33" s="146" t="s">
        <v>479</v>
      </c>
      <c r="I33" s="146"/>
      <c r="J33" s="146" t="s">
        <v>480</v>
      </c>
    </row>
    <row r="34" spans="1:10" ht="52.8" x14ac:dyDescent="0.3">
      <c r="A34" s="148" t="s">
        <v>444</v>
      </c>
      <c r="B34" s="146" t="s">
        <v>445</v>
      </c>
      <c r="C34" s="146" t="s">
        <v>404</v>
      </c>
      <c r="D34" s="146" t="s">
        <v>476</v>
      </c>
      <c r="E34" s="146" t="s">
        <v>472</v>
      </c>
      <c r="F34" s="146" t="s">
        <v>475</v>
      </c>
      <c r="G34" s="146"/>
      <c r="H34" s="146" t="s">
        <v>474</v>
      </c>
      <c r="I34" s="146"/>
      <c r="J34" s="146" t="s">
        <v>473</v>
      </c>
    </row>
    <row r="35" spans="1:10" ht="52.8" x14ac:dyDescent="0.3">
      <c r="A35" s="148" t="s">
        <v>444</v>
      </c>
      <c r="B35" s="146" t="s">
        <v>446</v>
      </c>
      <c r="C35" s="146" t="s">
        <v>2956</v>
      </c>
      <c r="D35" s="146" t="s">
        <v>485</v>
      </c>
      <c r="E35" s="146" t="s">
        <v>486</v>
      </c>
      <c r="F35" s="146" t="s">
        <v>487</v>
      </c>
      <c r="G35" s="146"/>
      <c r="H35" s="146" t="s">
        <v>462</v>
      </c>
      <c r="I35" s="146"/>
      <c r="J35" s="146" t="s">
        <v>519</v>
      </c>
    </row>
    <row r="36" spans="1:10" ht="92.4" x14ac:dyDescent="0.3">
      <c r="A36" s="148" t="s">
        <v>444</v>
      </c>
      <c r="B36" s="146" t="s">
        <v>446</v>
      </c>
      <c r="C36" s="146" t="s">
        <v>432</v>
      </c>
      <c r="D36" s="146" t="s">
        <v>530</v>
      </c>
      <c r="E36" s="146" t="s">
        <v>3003</v>
      </c>
      <c r="F36" s="146"/>
      <c r="G36" s="146"/>
      <c r="H36" s="146" t="s">
        <v>519</v>
      </c>
      <c r="I36" s="146" t="s">
        <v>3004</v>
      </c>
      <c r="J36" s="146" t="s">
        <v>3005</v>
      </c>
    </row>
    <row r="37" spans="1:10" ht="79.2" x14ac:dyDescent="0.3">
      <c r="A37" s="148" t="s">
        <v>444</v>
      </c>
      <c r="B37" s="146" t="s">
        <v>446</v>
      </c>
      <c r="C37" s="146" t="s">
        <v>432</v>
      </c>
      <c r="D37" s="146" t="s">
        <v>531</v>
      </c>
      <c r="E37" s="146" t="s">
        <v>3006</v>
      </c>
      <c r="F37" s="146"/>
      <c r="G37" s="146"/>
      <c r="H37" s="146" t="s">
        <v>519</v>
      </c>
      <c r="I37" s="146" t="s">
        <v>3004</v>
      </c>
      <c r="J37" s="146" t="s">
        <v>3005</v>
      </c>
    </row>
    <row r="38" spans="1:10" ht="52.8" x14ac:dyDescent="0.3">
      <c r="A38" s="148" t="s">
        <v>444</v>
      </c>
      <c r="B38" s="146" t="s">
        <v>446</v>
      </c>
      <c r="C38" s="146" t="s">
        <v>432</v>
      </c>
      <c r="D38" s="146" t="s">
        <v>532</v>
      </c>
      <c r="E38" s="146" t="s">
        <v>3007</v>
      </c>
      <c r="F38" s="146"/>
      <c r="G38" s="146"/>
      <c r="H38" s="146" t="s">
        <v>519</v>
      </c>
      <c r="I38" s="146" t="s">
        <v>3004</v>
      </c>
      <c r="J38" s="146" t="s">
        <v>3005</v>
      </c>
    </row>
    <row r="39" spans="1:10" ht="66" x14ac:dyDescent="0.3">
      <c r="A39" s="148" t="s">
        <v>444</v>
      </c>
      <c r="B39" s="146" t="s">
        <v>446</v>
      </c>
      <c r="C39" s="146" t="s">
        <v>432</v>
      </c>
      <c r="D39" s="146" t="s">
        <v>533</v>
      </c>
      <c r="E39" s="146" t="s">
        <v>3008</v>
      </c>
      <c r="F39" s="146"/>
      <c r="G39" s="146"/>
      <c r="H39" s="146" t="s">
        <v>519</v>
      </c>
      <c r="I39" s="146" t="s">
        <v>3004</v>
      </c>
      <c r="J39" s="146" t="s">
        <v>3005</v>
      </c>
    </row>
    <row r="40" spans="1:10" ht="52.8" x14ac:dyDescent="0.3">
      <c r="A40" s="148" t="s">
        <v>444</v>
      </c>
      <c r="B40" s="146" t="s">
        <v>446</v>
      </c>
      <c r="C40" s="146" t="s">
        <v>432</v>
      </c>
      <c r="D40" s="146" t="s">
        <v>534</v>
      </c>
      <c r="E40" s="146" t="s">
        <v>3009</v>
      </c>
      <c r="F40" s="146"/>
      <c r="G40" s="146"/>
      <c r="H40" s="146" t="s">
        <v>519</v>
      </c>
      <c r="I40" s="146" t="s">
        <v>3004</v>
      </c>
      <c r="J40" s="146" t="s">
        <v>3005</v>
      </c>
    </row>
    <row r="41" spans="1:10" ht="79.2" x14ac:dyDescent="0.3">
      <c r="A41" s="148" t="s">
        <v>444</v>
      </c>
      <c r="B41" s="146" t="s">
        <v>446</v>
      </c>
      <c r="C41" s="146" t="s">
        <v>432</v>
      </c>
      <c r="D41" s="146" t="s">
        <v>535</v>
      </c>
      <c r="E41" s="146" t="s">
        <v>3010</v>
      </c>
      <c r="F41" s="146"/>
      <c r="G41" s="146"/>
      <c r="H41" s="146" t="s">
        <v>519</v>
      </c>
      <c r="I41" s="146" t="s">
        <v>3004</v>
      </c>
      <c r="J41" s="146" t="s">
        <v>3005</v>
      </c>
    </row>
    <row r="42" spans="1:10" ht="52.8" x14ac:dyDescent="0.3">
      <c r="A42" s="148" t="s">
        <v>444</v>
      </c>
      <c r="B42" s="146" t="s">
        <v>446</v>
      </c>
      <c r="C42" s="146" t="s">
        <v>432</v>
      </c>
      <c r="D42" s="146" t="s">
        <v>536</v>
      </c>
      <c r="E42" s="146" t="s">
        <v>3011</v>
      </c>
      <c r="F42" s="146"/>
      <c r="G42" s="146"/>
      <c r="H42" s="146" t="s">
        <v>519</v>
      </c>
      <c r="I42" s="146" t="s">
        <v>3004</v>
      </c>
      <c r="J42" s="146" t="s">
        <v>3005</v>
      </c>
    </row>
    <row r="43" spans="1:10" ht="39.6" x14ac:dyDescent="0.3">
      <c r="A43" s="148" t="s">
        <v>444</v>
      </c>
      <c r="B43" s="146" t="s">
        <v>446</v>
      </c>
      <c r="C43" s="146" t="s">
        <v>432</v>
      </c>
      <c r="D43" s="146" t="s">
        <v>537</v>
      </c>
      <c r="E43" s="146" t="s">
        <v>3012</v>
      </c>
      <c r="F43" s="146"/>
      <c r="G43" s="146"/>
      <c r="H43" s="146" t="s">
        <v>519</v>
      </c>
      <c r="I43" s="146" t="s">
        <v>3004</v>
      </c>
      <c r="J43" s="146" t="s">
        <v>3005</v>
      </c>
    </row>
    <row r="44" spans="1:10" ht="79.2" x14ac:dyDescent="0.3">
      <c r="A44" s="148" t="s">
        <v>444</v>
      </c>
      <c r="B44" s="146" t="s">
        <v>446</v>
      </c>
      <c r="C44" s="146" t="s">
        <v>432</v>
      </c>
      <c r="D44" s="146" t="s">
        <v>538</v>
      </c>
      <c r="E44" s="146" t="s">
        <v>3013</v>
      </c>
      <c r="F44" s="146"/>
      <c r="G44" s="146"/>
      <c r="H44" s="146" t="s">
        <v>519</v>
      </c>
      <c r="I44" s="146" t="s">
        <v>3004</v>
      </c>
      <c r="J44" s="146" t="s">
        <v>3005</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301"/>
  <sheetViews>
    <sheetView zoomScale="85" zoomScaleNormal="85" workbookViewId="0">
      <pane ySplit="1" topLeftCell="A2" activePane="bottomLeft" state="frozen"/>
      <selection pane="bottomLeft" activeCell="C1" sqref="C1:C1048576"/>
    </sheetView>
  </sheetViews>
  <sheetFormatPr defaultColWidth="9.44140625" defaultRowHeight="14.4" x14ac:dyDescent="0.3"/>
  <cols>
    <col min="1" max="1" width="9.44140625" style="79"/>
    <col min="2" max="2" width="20" style="79" bestFit="1" customWidth="1"/>
    <col min="3" max="3" width="33.5546875" style="79" hidden="1" customWidth="1"/>
    <col min="4" max="4" width="29.44140625" style="79" customWidth="1"/>
    <col min="5" max="5" width="40.44140625" style="79" bestFit="1" customWidth="1"/>
    <col min="6" max="6" width="18.44140625" style="79" customWidth="1"/>
    <col min="7" max="7" width="11.5546875" style="79" customWidth="1"/>
    <col min="8" max="8" width="25.44140625" style="79" bestFit="1" customWidth="1"/>
    <col min="9" max="9" width="14.77734375" style="79" hidden="1" customWidth="1"/>
    <col min="10" max="10" width="39.5546875" style="79" hidden="1" customWidth="1"/>
    <col min="11" max="11" width="81.5546875" style="79" bestFit="1" customWidth="1"/>
    <col min="12" max="12" width="12.5546875" style="79" bestFit="1" customWidth="1"/>
    <col min="13" max="13" width="14.44140625" style="79" customWidth="1"/>
    <col min="14" max="14" width="16.44140625" style="79" bestFit="1" customWidth="1"/>
    <col min="15" max="16384" width="9.44140625" style="79"/>
  </cols>
  <sheetData>
    <row r="1" spans="1:14" x14ac:dyDescent="0.3">
      <c r="A1" s="215" t="s">
        <v>566</v>
      </c>
      <c r="B1" s="215" t="s">
        <v>3229</v>
      </c>
      <c r="C1" s="215" t="s">
        <v>3230</v>
      </c>
      <c r="D1" s="215" t="s">
        <v>567</v>
      </c>
      <c r="E1" s="215" t="s">
        <v>569</v>
      </c>
      <c r="F1" s="215" t="s">
        <v>1278</v>
      </c>
      <c r="G1" s="215" t="s">
        <v>1503</v>
      </c>
      <c r="H1" s="215" t="s">
        <v>647</v>
      </c>
      <c r="I1" s="215" t="s">
        <v>3235</v>
      </c>
      <c r="J1" s="215" t="s">
        <v>3236</v>
      </c>
      <c r="K1" s="215" t="s">
        <v>2967</v>
      </c>
      <c r="L1" s="215" t="s">
        <v>2966</v>
      </c>
      <c r="M1" s="215" t="s">
        <v>3232</v>
      </c>
      <c r="N1" s="215" t="s">
        <v>3703</v>
      </c>
    </row>
    <row r="2" spans="1:14" x14ac:dyDescent="0.3">
      <c r="A2" s="283" t="s">
        <v>572</v>
      </c>
      <c r="B2" s="283"/>
      <c r="C2" s="283" t="s">
        <v>3231</v>
      </c>
      <c r="D2" s="283" t="s">
        <v>1</v>
      </c>
      <c r="E2" s="283" t="s">
        <v>1154</v>
      </c>
      <c r="F2" s="283" t="s">
        <v>0</v>
      </c>
      <c r="G2" s="283" t="s">
        <v>1504</v>
      </c>
      <c r="H2" s="283" t="s">
        <v>691</v>
      </c>
      <c r="I2" s="283" t="s">
        <v>1</v>
      </c>
      <c r="J2" s="283" t="s">
        <v>691</v>
      </c>
      <c r="K2" s="11" t="str">
        <f>"https://www.acaps.org/country/"&amp;I2&amp;"/crisis/"&amp;SUBSTITUTE(J2," ","-")</f>
        <v>https://www.acaps.org/country/Afghanistan/crisis/Complex-crisis</v>
      </c>
      <c r="L2" s="11"/>
      <c r="M2" s="284" t="s">
        <v>3233</v>
      </c>
      <c r="N2" s="11" t="str">
        <f>IF(ISNONTEXT(M2),_xlfn.DAYS(About!$A$3,'Crisis info'!M2),"More than 2 years")</f>
        <v>More than 2 years</v>
      </c>
    </row>
    <row r="3" spans="1:14" x14ac:dyDescent="0.3">
      <c r="A3" s="283" t="s">
        <v>4010</v>
      </c>
      <c r="B3" s="283"/>
      <c r="C3" s="283"/>
      <c r="D3" s="283" t="s">
        <v>13</v>
      </c>
      <c r="E3" s="283" t="s">
        <v>4009</v>
      </c>
      <c r="F3" s="283" t="s">
        <v>12</v>
      </c>
      <c r="G3" s="283" t="s">
        <v>1508</v>
      </c>
      <c r="H3" s="283" t="s">
        <v>650</v>
      </c>
      <c r="I3" s="283" t="s">
        <v>13</v>
      </c>
      <c r="J3" s="283" t="s">
        <v>650</v>
      </c>
      <c r="K3" s="11" t="str">
        <f t="shared" ref="K3:K5" si="0">"https://www.acaps.org/country/"&amp;I3&amp;"/crisis/"&amp;SUBSTITUTE(J3," ","-")</f>
        <v>https://www.acaps.org/country/Armenia/crisis/Conflict</v>
      </c>
      <c r="L3" s="11" t="s">
        <v>4014</v>
      </c>
      <c r="M3" s="284">
        <v>44139</v>
      </c>
      <c r="N3" s="11">
        <f>IF(ISNONTEXT(M3),_xlfn.DAYS(About!$A$3,'Crisis info'!M3),"More than 2 years")</f>
        <v>1</v>
      </c>
    </row>
    <row r="4" spans="1:14" x14ac:dyDescent="0.3">
      <c r="A4" s="283" t="s">
        <v>4014</v>
      </c>
      <c r="B4" s="283"/>
      <c r="C4" s="283"/>
      <c r="D4" s="283" t="s">
        <v>19</v>
      </c>
      <c r="E4" s="283" t="s">
        <v>4013</v>
      </c>
      <c r="F4" s="283" t="s">
        <v>18</v>
      </c>
      <c r="G4" s="283" t="s">
        <v>1508</v>
      </c>
      <c r="H4" s="283" t="s">
        <v>650</v>
      </c>
      <c r="I4" s="283" t="s">
        <v>19</v>
      </c>
      <c r="J4" s="283" t="s">
        <v>650</v>
      </c>
      <c r="K4" s="11" t="str">
        <f t="shared" si="0"/>
        <v>https://www.acaps.org/country/Azerbaijan/crisis/Conflict</v>
      </c>
      <c r="L4" s="11" t="s">
        <v>4010</v>
      </c>
      <c r="M4" s="284">
        <v>44139</v>
      </c>
      <c r="N4" s="11">
        <f>IF(ISNONTEXT(M4),_xlfn.DAYS(About!$A$3,'Crisis info'!M4),"More than 2 years")</f>
        <v>1</v>
      </c>
    </row>
    <row r="5" spans="1:14" x14ac:dyDescent="0.3">
      <c r="A5" s="283" t="s">
        <v>4114</v>
      </c>
      <c r="B5" s="283"/>
      <c r="C5" s="283"/>
      <c r="D5" s="283" t="s">
        <v>3817</v>
      </c>
      <c r="E5" s="283" t="s">
        <v>4011</v>
      </c>
      <c r="F5" s="283" t="s">
        <v>3823</v>
      </c>
      <c r="G5" s="283" t="s">
        <v>1504</v>
      </c>
      <c r="H5" s="283" t="s">
        <v>1281</v>
      </c>
      <c r="I5" s="283"/>
      <c r="J5" s="283" t="s">
        <v>4012</v>
      </c>
      <c r="K5" s="11" t="str">
        <f t="shared" si="0"/>
        <v>https://www.acaps.org/country//crisis/Regional-conflict</v>
      </c>
      <c r="L5" s="11"/>
      <c r="M5" s="284">
        <v>44133</v>
      </c>
      <c r="N5" s="11">
        <f>IF(ISNONTEXT(M5),_xlfn.DAYS(About!$A$3,'Crisis info'!M5),"More than 2 years")</f>
        <v>7</v>
      </c>
    </row>
    <row r="6" spans="1:14" x14ac:dyDescent="0.3">
      <c r="A6" s="283" t="s">
        <v>685</v>
      </c>
      <c r="B6" s="283"/>
      <c r="C6" s="283" t="s">
        <v>3253</v>
      </c>
      <c r="D6" s="283" t="s">
        <v>5</v>
      </c>
      <c r="E6" s="283" t="s">
        <v>793</v>
      </c>
      <c r="F6" s="283" t="s">
        <v>4</v>
      </c>
      <c r="G6" s="283" t="s">
        <v>1505</v>
      </c>
      <c r="H6" s="283" t="s">
        <v>1280</v>
      </c>
      <c r="I6" s="283" t="s">
        <v>5</v>
      </c>
      <c r="J6" s="283" t="s">
        <v>1389</v>
      </c>
      <c r="K6" s="11" t="str">
        <f t="shared" ref="K6:K74" si="1">"https://www.acaps.org/country/"&amp;I6&amp;"/crisis/"&amp;SUBSTITUTE(J6," ","-")</f>
        <v>https://www.acaps.org/country/Algeria/crisis/Mixed-Migration</v>
      </c>
      <c r="L6" s="11"/>
      <c r="M6" s="284" t="s">
        <v>3233</v>
      </c>
      <c r="N6" s="11" t="str">
        <f>IF(ISNONTEXT(M6),_xlfn.DAYS(About!$A$3,'Crisis info'!M6),"More than 2 years")</f>
        <v>More than 2 years</v>
      </c>
    </row>
    <row r="7" spans="1:14" x14ac:dyDescent="0.3">
      <c r="A7" s="283" t="s">
        <v>864</v>
      </c>
      <c r="B7" s="283"/>
      <c r="C7" s="283" t="s">
        <v>3252</v>
      </c>
      <c r="D7" s="283" t="s">
        <v>5</v>
      </c>
      <c r="E7" s="283" t="s">
        <v>862</v>
      </c>
      <c r="F7" s="283" t="s">
        <v>4</v>
      </c>
      <c r="G7" s="283" t="s">
        <v>1505</v>
      </c>
      <c r="H7" s="283" t="s">
        <v>1280</v>
      </c>
      <c r="I7" s="283" t="s">
        <v>5</v>
      </c>
      <c r="J7" s="283" t="s">
        <v>980</v>
      </c>
      <c r="K7" s="11" t="str">
        <f t="shared" si="1"/>
        <v>https://www.acaps.org/country/Algeria/crisis/Sahrawi-refugees</v>
      </c>
      <c r="L7" s="11"/>
      <c r="M7" s="284" t="s">
        <v>3233</v>
      </c>
      <c r="N7" s="11" t="str">
        <f>IF(ISNONTEXT(M7),_xlfn.DAYS(About!$A$3,'Crisis info'!M7),"More than 2 years")</f>
        <v>More than 2 years</v>
      </c>
    </row>
    <row r="8" spans="1:14" x14ac:dyDescent="0.3">
      <c r="A8" s="283" t="s">
        <v>2586</v>
      </c>
      <c r="B8" s="283"/>
      <c r="C8" s="283"/>
      <c r="D8" s="283" t="s">
        <v>5</v>
      </c>
      <c r="E8" s="283" t="s">
        <v>1155</v>
      </c>
      <c r="F8" s="283" t="s">
        <v>4</v>
      </c>
      <c r="G8" s="283" t="s">
        <v>1505</v>
      </c>
      <c r="H8" s="283" t="s">
        <v>2959</v>
      </c>
      <c r="I8" s="283" t="s">
        <v>5</v>
      </c>
      <c r="J8" s="283" t="s">
        <v>1392</v>
      </c>
      <c r="K8" s="11" t="str">
        <f t="shared" si="1"/>
        <v>https://www.acaps.org/country/Algeria/crisis/Country-level</v>
      </c>
      <c r="L8" s="11"/>
      <c r="M8" s="284">
        <v>44005</v>
      </c>
      <c r="N8" s="11">
        <f>IF(ISNONTEXT(M8),_xlfn.DAYS(About!$A$3,'Crisis info'!M8),"More than 2 years")</f>
        <v>135</v>
      </c>
    </row>
    <row r="9" spans="1:14" x14ac:dyDescent="0.3">
      <c r="A9" s="283" t="s">
        <v>1252</v>
      </c>
      <c r="B9" s="283"/>
      <c r="C9" s="283"/>
      <c r="D9" s="283" t="s">
        <v>1256</v>
      </c>
      <c r="E9" s="283" t="s">
        <v>1248</v>
      </c>
      <c r="F9" s="283" t="s">
        <v>1260</v>
      </c>
      <c r="G9" s="283" t="s">
        <v>1506</v>
      </c>
      <c r="H9" s="283" t="s">
        <v>1281</v>
      </c>
      <c r="I9" s="283" t="s">
        <v>5</v>
      </c>
      <c r="J9" s="283" t="s">
        <v>1248</v>
      </c>
      <c r="K9" s="11" t="str">
        <f t="shared" si="1"/>
        <v>https://www.acaps.org/country/Algeria/crisis/Western-Mediterranean-Route</v>
      </c>
      <c r="L9" s="11"/>
      <c r="M9" s="284" t="s">
        <v>3233</v>
      </c>
      <c r="N9" s="11" t="str">
        <f>IF(ISNONTEXT(M9),_xlfn.DAYS(About!$A$3,'Crisis info'!M9),"More than 2 years")</f>
        <v>More than 2 years</v>
      </c>
    </row>
    <row r="10" spans="1:14" x14ac:dyDescent="0.3">
      <c r="A10" s="283" t="s">
        <v>1253</v>
      </c>
      <c r="B10" s="283"/>
      <c r="C10" s="283"/>
      <c r="D10" s="283" t="s">
        <v>1257</v>
      </c>
      <c r="E10" s="283" t="s">
        <v>1249</v>
      </c>
      <c r="F10" s="283" t="s">
        <v>1261</v>
      </c>
      <c r="G10" s="283" t="s">
        <v>1506</v>
      </c>
      <c r="H10" s="283" t="s">
        <v>1281</v>
      </c>
      <c r="I10" s="283" t="s">
        <v>5</v>
      </c>
      <c r="J10" s="283" t="s">
        <v>1249</v>
      </c>
      <c r="K10" s="11" t="str">
        <f t="shared" si="1"/>
        <v>https://www.acaps.org/country/Algeria/crisis/Central-Mediterranean-Route</v>
      </c>
      <c r="L10" s="11"/>
      <c r="M10" s="284" t="s">
        <v>3233</v>
      </c>
      <c r="N10" s="11" t="str">
        <f>IF(ISNONTEXT(M10),_xlfn.DAYS(About!$A$3,'Crisis info'!M10),"More than 2 years")</f>
        <v>More than 2 years</v>
      </c>
    </row>
    <row r="11" spans="1:14" x14ac:dyDescent="0.3">
      <c r="A11" s="283" t="s">
        <v>2412</v>
      </c>
      <c r="B11" s="283"/>
      <c r="C11" s="283"/>
      <c r="D11" s="283" t="s">
        <v>25</v>
      </c>
      <c r="E11" s="283" t="s">
        <v>2411</v>
      </c>
      <c r="F11" s="283" t="s">
        <v>24</v>
      </c>
      <c r="G11" s="283" t="s">
        <v>1504</v>
      </c>
      <c r="H11" s="283" t="s">
        <v>2959</v>
      </c>
      <c r="I11" s="283" t="s">
        <v>25</v>
      </c>
      <c r="J11" s="283" t="s">
        <v>1749</v>
      </c>
      <c r="K11" s="11" t="str">
        <f t="shared" si="1"/>
        <v>https://www.acaps.org/country/Bangladesh/crisis/Country-Level</v>
      </c>
      <c r="L11" s="11"/>
      <c r="M11" s="284">
        <v>43987</v>
      </c>
      <c r="N11" s="11">
        <f>IF(ISNONTEXT(M11),_xlfn.DAYS(About!$A$3,'Crisis info'!M11),"More than 2 years")</f>
        <v>153</v>
      </c>
    </row>
    <row r="12" spans="1:14" x14ac:dyDescent="0.3">
      <c r="A12" s="283" t="s">
        <v>663</v>
      </c>
      <c r="B12" s="283"/>
      <c r="C12" s="283" t="s">
        <v>3254</v>
      </c>
      <c r="D12" s="283" t="s">
        <v>25</v>
      </c>
      <c r="E12" s="283" t="s">
        <v>652</v>
      </c>
      <c r="F12" s="283" t="s">
        <v>24</v>
      </c>
      <c r="G12" s="283" t="s">
        <v>1504</v>
      </c>
      <c r="H12" s="283" t="s">
        <v>1280</v>
      </c>
      <c r="I12" s="283" t="s">
        <v>25</v>
      </c>
      <c r="J12" s="283" t="s">
        <v>1390</v>
      </c>
      <c r="K12" s="11" t="str">
        <f t="shared" si="1"/>
        <v>https://www.acaps.org/country/Bangladesh/crisis/Rohingya-Refugees</v>
      </c>
      <c r="L12" s="283" t="s">
        <v>664</v>
      </c>
      <c r="M12" s="284" t="s">
        <v>3233</v>
      </c>
      <c r="N12" s="11" t="str">
        <f>IF(ISNONTEXT(M12),_xlfn.DAYS(About!$A$3,'Crisis info'!M12),"More than 2 years")</f>
        <v>More than 2 years</v>
      </c>
    </row>
    <row r="13" spans="1:14" x14ac:dyDescent="0.3">
      <c r="A13" s="283" t="s">
        <v>3198</v>
      </c>
      <c r="B13" s="283"/>
      <c r="C13" s="283"/>
      <c r="D13" s="283" t="s">
        <v>25</v>
      </c>
      <c r="E13" s="283" t="s">
        <v>1510</v>
      </c>
      <c r="F13" s="283" t="s">
        <v>24</v>
      </c>
      <c r="G13" s="283" t="s">
        <v>1504</v>
      </c>
      <c r="H13" s="283" t="s">
        <v>1279</v>
      </c>
      <c r="I13" s="283" t="s">
        <v>25</v>
      </c>
      <c r="J13" s="283" t="s">
        <v>1672</v>
      </c>
      <c r="K13" s="11" t="str">
        <f t="shared" si="1"/>
        <v>https://www.acaps.org/country/Bangladesh/crisis/Floods</v>
      </c>
      <c r="L13" s="283"/>
      <c r="M13" s="284">
        <v>44081</v>
      </c>
      <c r="N13" s="11">
        <f>IF(ISNONTEXT(M13),_xlfn.DAYS(About!$A$3,'Crisis info'!M13),"More than 2 years")</f>
        <v>59</v>
      </c>
    </row>
    <row r="14" spans="1:14" x14ac:dyDescent="0.3">
      <c r="A14" s="283" t="s">
        <v>2929</v>
      </c>
      <c r="B14" s="283" t="s">
        <v>3237</v>
      </c>
      <c r="C14" s="283" t="s">
        <v>3237</v>
      </c>
      <c r="D14" s="283" t="s">
        <v>25</v>
      </c>
      <c r="E14" s="283" t="s">
        <v>2413</v>
      </c>
      <c r="F14" s="283" t="s">
        <v>24</v>
      </c>
      <c r="G14" s="283" t="s">
        <v>1504</v>
      </c>
      <c r="H14" s="283" t="s">
        <v>1549</v>
      </c>
      <c r="I14" s="283" t="s">
        <v>25</v>
      </c>
      <c r="J14" s="283" t="s">
        <v>2414</v>
      </c>
      <c r="K14" s="11" t="str">
        <f t="shared" si="1"/>
        <v>https://www.acaps.org/country/Bangladesh/crisis/Cyclone-Amphan</v>
      </c>
      <c r="L14" s="11"/>
      <c r="M14" s="284">
        <v>43987</v>
      </c>
      <c r="N14" s="11">
        <f>IF(ISNONTEXT(M14),_xlfn.DAYS(About!$A$3,'Crisis info'!M14),"More than 2 years")</f>
        <v>153</v>
      </c>
    </row>
    <row r="15" spans="1:14" x14ac:dyDescent="0.3">
      <c r="A15" s="283" t="s">
        <v>1268</v>
      </c>
      <c r="B15" s="283"/>
      <c r="C15" s="283"/>
      <c r="D15" s="283" t="s">
        <v>1270</v>
      </c>
      <c r="E15" s="283" t="s">
        <v>1265</v>
      </c>
      <c r="F15" s="283" t="s">
        <v>1271</v>
      </c>
      <c r="G15" s="283" t="s">
        <v>1504</v>
      </c>
      <c r="H15" s="283" t="s">
        <v>1281</v>
      </c>
      <c r="I15" s="283" t="s">
        <v>25</v>
      </c>
      <c r="J15" s="283" t="s">
        <v>1265</v>
      </c>
      <c r="K15" s="11" t="str">
        <f t="shared" si="1"/>
        <v>https://www.acaps.org/country/Bangladesh/crisis/Rohingya-Regional-Crisis</v>
      </c>
      <c r="L15" s="283" t="s">
        <v>664</v>
      </c>
      <c r="M15" s="284" t="s">
        <v>3233</v>
      </c>
      <c r="N15" s="11" t="str">
        <f>IF(ISNONTEXT(M15),_xlfn.DAYS(About!$A$3,'Crisis info'!M15),"More than 2 years")</f>
        <v>More than 2 years</v>
      </c>
    </row>
    <row r="16" spans="1:14" x14ac:dyDescent="0.3">
      <c r="A16" s="283" t="s">
        <v>669</v>
      </c>
      <c r="B16" s="283"/>
      <c r="C16" s="283" t="s">
        <v>3255</v>
      </c>
      <c r="D16" s="283" t="s">
        <v>44</v>
      </c>
      <c r="E16" s="283" t="s">
        <v>772</v>
      </c>
      <c r="F16" s="283" t="s">
        <v>43</v>
      </c>
      <c r="G16" s="283" t="s">
        <v>1507</v>
      </c>
      <c r="H16" s="283" t="s">
        <v>1280</v>
      </c>
      <c r="I16" s="283" t="s">
        <v>44</v>
      </c>
      <c r="J16" s="283" t="s">
        <v>1391</v>
      </c>
      <c r="K16" s="11" t="str">
        <f t="shared" si="1"/>
        <v>https://www.acaps.org/country/Brazil/crisis/Venezuelan-refugees</v>
      </c>
      <c r="L16" s="283" t="s">
        <v>597</v>
      </c>
      <c r="M16" s="284" t="s">
        <v>3233</v>
      </c>
      <c r="N16" s="11" t="str">
        <f>IF(ISNONTEXT(M16),_xlfn.DAYS(About!$A$3,'Crisis info'!M16),"More than 2 years")</f>
        <v>More than 2 years</v>
      </c>
    </row>
    <row r="17" spans="1:14" x14ac:dyDescent="0.3">
      <c r="A17" s="283" t="s">
        <v>805</v>
      </c>
      <c r="B17" s="283"/>
      <c r="C17" s="283" t="s">
        <v>3256</v>
      </c>
      <c r="D17" s="283" t="s">
        <v>49</v>
      </c>
      <c r="E17" s="283" t="s">
        <v>801</v>
      </c>
      <c r="F17" s="283" t="s">
        <v>48</v>
      </c>
      <c r="G17" s="283" t="s">
        <v>1505</v>
      </c>
      <c r="H17" s="283" t="s">
        <v>650</v>
      </c>
      <c r="I17" s="283" t="s">
        <v>49</v>
      </c>
      <c r="J17" s="283" t="s">
        <v>650</v>
      </c>
      <c r="K17" s="11" t="str">
        <f t="shared" si="1"/>
        <v>https://www.acaps.org/country/Burkina Faso/crisis/Conflict</v>
      </c>
      <c r="L17" s="11"/>
      <c r="M17" s="284" t="s">
        <v>3233</v>
      </c>
      <c r="N17" s="11" t="str">
        <f>IF(ISNONTEXT(M17),_xlfn.DAYS(About!$A$3,'Crisis info'!M17),"More than 2 years")</f>
        <v>More than 2 years</v>
      </c>
    </row>
    <row r="18" spans="1:14" x14ac:dyDescent="0.3">
      <c r="A18" s="283" t="s">
        <v>3261</v>
      </c>
      <c r="B18" s="283"/>
      <c r="C18" s="283"/>
      <c r="D18" s="283" t="s">
        <v>49</v>
      </c>
      <c r="E18" s="283" t="s">
        <v>3260</v>
      </c>
      <c r="F18" s="283" t="s">
        <v>48</v>
      </c>
      <c r="G18" s="283" t="s">
        <v>1505</v>
      </c>
      <c r="H18" s="283" t="s">
        <v>1279</v>
      </c>
      <c r="I18" s="283" t="s">
        <v>49</v>
      </c>
      <c r="J18" s="283" t="s">
        <v>1672</v>
      </c>
      <c r="K18" s="11" t="str">
        <f t="shared" si="1"/>
        <v>https://www.acaps.org/country/Burkina Faso/crisis/Floods</v>
      </c>
      <c r="L18" s="11"/>
      <c r="M18" s="284">
        <v>44103</v>
      </c>
      <c r="N18" s="11">
        <f>IF(ISNONTEXT(M18),_xlfn.DAYS(About!$A$3,'Crisis info'!M18),"More than 2 years")</f>
        <v>37</v>
      </c>
    </row>
    <row r="19" spans="1:14" x14ac:dyDescent="0.3">
      <c r="A19" s="283" t="s">
        <v>3821</v>
      </c>
      <c r="B19" s="283"/>
      <c r="C19" s="283"/>
      <c r="D19" s="283" t="s">
        <v>49</v>
      </c>
      <c r="E19" s="283" t="s">
        <v>3819</v>
      </c>
      <c r="F19" s="283" t="s">
        <v>48</v>
      </c>
      <c r="G19" s="283" t="s">
        <v>1505</v>
      </c>
      <c r="H19" s="283" t="s">
        <v>2959</v>
      </c>
      <c r="I19" s="283" t="s">
        <v>49</v>
      </c>
      <c r="J19" s="283" t="s">
        <v>1392</v>
      </c>
      <c r="K19" s="11" t="str">
        <f>"https://www.acaps.org/country/"&amp;I19&amp;"/crisis/"&amp;SUBSTITUTE(J19," ","-")</f>
        <v>https://www.acaps.org/country/Burkina Faso/crisis/Country-level</v>
      </c>
      <c r="L19" s="11"/>
      <c r="M19" s="284">
        <v>44131</v>
      </c>
      <c r="N19" s="11">
        <f>IF(ISNONTEXT(M19),_xlfn.DAYS(About!$A$3,'Crisis info'!M19),"More than 2 years")</f>
        <v>9</v>
      </c>
    </row>
    <row r="20" spans="1:14" x14ac:dyDescent="0.3">
      <c r="A20" s="283" t="s">
        <v>2914</v>
      </c>
      <c r="B20" s="283"/>
      <c r="C20" s="283"/>
      <c r="D20" s="283" t="s">
        <v>51</v>
      </c>
      <c r="E20" s="283" t="s">
        <v>1320</v>
      </c>
      <c r="F20" s="283" t="s">
        <v>50</v>
      </c>
      <c r="G20" s="283" t="s">
        <v>1505</v>
      </c>
      <c r="H20" s="283" t="s">
        <v>691</v>
      </c>
      <c r="I20" s="283" t="s">
        <v>51</v>
      </c>
      <c r="J20" s="283" t="s">
        <v>691</v>
      </c>
      <c r="K20" s="11" t="str">
        <f t="shared" si="1"/>
        <v>https://www.acaps.org/country/Burundi/crisis/Complex-crisis</v>
      </c>
      <c r="L20" s="11"/>
      <c r="M20" s="284" t="s">
        <v>3233</v>
      </c>
      <c r="N20" s="11" t="str">
        <f>IF(ISNONTEXT(M20),_xlfn.DAYS(About!$A$3,'Crisis info'!M20),"More than 2 years")</f>
        <v>More than 2 years</v>
      </c>
    </row>
    <row r="21" spans="1:14" x14ac:dyDescent="0.3">
      <c r="A21" s="283" t="s">
        <v>576</v>
      </c>
      <c r="B21" s="283"/>
      <c r="C21" s="283"/>
      <c r="D21" s="283" t="s">
        <v>55</v>
      </c>
      <c r="E21" s="283" t="s">
        <v>1156</v>
      </c>
      <c r="F21" s="283" t="s">
        <v>54</v>
      </c>
      <c r="G21" s="283" t="s">
        <v>1505</v>
      </c>
      <c r="H21" s="283" t="s">
        <v>2959</v>
      </c>
      <c r="I21" s="283" t="s">
        <v>55</v>
      </c>
      <c r="J21" s="283" t="s">
        <v>1392</v>
      </c>
      <c r="K21" s="11" t="str">
        <f t="shared" si="1"/>
        <v>https://www.acaps.org/country/Cameroon/crisis/Country-level</v>
      </c>
      <c r="L21" s="11"/>
      <c r="M21" s="284" t="s">
        <v>3233</v>
      </c>
      <c r="N21" s="11" t="str">
        <f>IF(ISNONTEXT(M21),_xlfn.DAYS(About!$A$3,'Crisis info'!M21),"More than 2 years")</f>
        <v>More than 2 years</v>
      </c>
    </row>
    <row r="22" spans="1:14" x14ac:dyDescent="0.3">
      <c r="A22" s="283" t="s">
        <v>670</v>
      </c>
      <c r="B22" s="283"/>
      <c r="C22" s="283"/>
      <c r="D22" s="283" t="s">
        <v>55</v>
      </c>
      <c r="E22" s="283" t="s">
        <v>775</v>
      </c>
      <c r="F22" s="283" t="s">
        <v>54</v>
      </c>
      <c r="G22" s="283" t="s">
        <v>1505</v>
      </c>
      <c r="H22" s="283" t="s">
        <v>650</v>
      </c>
      <c r="I22" s="283" t="s">
        <v>55</v>
      </c>
      <c r="J22" s="283" t="s">
        <v>1393</v>
      </c>
      <c r="K22" s="11" t="str">
        <f t="shared" si="1"/>
        <v>https://www.acaps.org/country/Cameroon/crisis/Boko-Haram</v>
      </c>
      <c r="L22" s="283" t="s">
        <v>675</v>
      </c>
      <c r="M22" s="284" t="s">
        <v>3233</v>
      </c>
      <c r="N22" s="11" t="str">
        <f>IF(ISNONTEXT(M22),_xlfn.DAYS(About!$A$3,'Crisis info'!M22),"More than 2 years")</f>
        <v>More than 2 years</v>
      </c>
    </row>
    <row r="23" spans="1:14" x14ac:dyDescent="0.3">
      <c r="A23" s="283" t="s">
        <v>671</v>
      </c>
      <c r="B23" s="283"/>
      <c r="C23" s="283"/>
      <c r="D23" s="283" t="s">
        <v>55</v>
      </c>
      <c r="E23" s="283" t="s">
        <v>776</v>
      </c>
      <c r="F23" s="283" t="s">
        <v>54</v>
      </c>
      <c r="G23" s="283" t="s">
        <v>1505</v>
      </c>
      <c r="H23" s="283" t="s">
        <v>650</v>
      </c>
      <c r="I23" s="283" t="s">
        <v>55</v>
      </c>
      <c r="J23" s="283" t="s">
        <v>1394</v>
      </c>
      <c r="K23" s="11" t="str">
        <f t="shared" si="1"/>
        <v>https://www.acaps.org/country/Cameroon/crisis/Anglophone-crisis</v>
      </c>
      <c r="L23" s="11"/>
      <c r="M23" s="284" t="s">
        <v>3233</v>
      </c>
      <c r="N23" s="11" t="str">
        <f>IF(ISNONTEXT(M23),_xlfn.DAYS(About!$A$3,'Crisis info'!M23),"More than 2 years")</f>
        <v>More than 2 years</v>
      </c>
    </row>
    <row r="24" spans="1:14" x14ac:dyDescent="0.3">
      <c r="A24" s="283" t="s">
        <v>672</v>
      </c>
      <c r="B24" s="283"/>
      <c r="C24" s="283"/>
      <c r="D24" s="283" t="s">
        <v>55</v>
      </c>
      <c r="E24" s="283" t="s">
        <v>777</v>
      </c>
      <c r="F24" s="283" t="s">
        <v>54</v>
      </c>
      <c r="G24" s="283" t="s">
        <v>1505</v>
      </c>
      <c r="H24" s="283" t="s">
        <v>1280</v>
      </c>
      <c r="I24" s="283" t="s">
        <v>55</v>
      </c>
      <c r="J24" s="283" t="s">
        <v>1395</v>
      </c>
      <c r="K24" s="11" t="str">
        <f t="shared" si="1"/>
        <v>https://www.acaps.org/country/Cameroon/crisis/CAR-refugees</v>
      </c>
      <c r="L24" s="283" t="s">
        <v>2915</v>
      </c>
      <c r="M24" s="284" t="s">
        <v>3233</v>
      </c>
      <c r="N24" s="11" t="str">
        <f>IF(ISNONTEXT(M24),_xlfn.DAYS(About!$A$3,'Crisis info'!M24),"More than 2 years")</f>
        <v>More than 2 years</v>
      </c>
    </row>
    <row r="25" spans="1:14" x14ac:dyDescent="0.3">
      <c r="A25" s="283" t="s">
        <v>2915</v>
      </c>
      <c r="B25" s="283"/>
      <c r="C25" s="283"/>
      <c r="D25" s="283" t="s">
        <v>573</v>
      </c>
      <c r="E25" s="283" t="s">
        <v>1079</v>
      </c>
      <c r="F25" s="283" t="s">
        <v>59</v>
      </c>
      <c r="G25" s="283" t="s">
        <v>1505</v>
      </c>
      <c r="H25" s="283" t="s">
        <v>691</v>
      </c>
      <c r="I25" s="283" t="s">
        <v>573</v>
      </c>
      <c r="J25" s="283" t="s">
        <v>691</v>
      </c>
      <c r="K25" s="11" t="str">
        <f t="shared" si="1"/>
        <v>https://www.acaps.org/country/CAR/crisis/Complex-crisis</v>
      </c>
      <c r="L25" s="11"/>
      <c r="M25" s="284" t="s">
        <v>3233</v>
      </c>
      <c r="N25" s="11" t="str">
        <f>IF(ISNONTEXT(M25),_xlfn.DAYS(About!$A$3,'Crisis info'!M25),"More than 2 years")</f>
        <v>More than 2 years</v>
      </c>
    </row>
    <row r="26" spans="1:14" x14ac:dyDescent="0.3">
      <c r="A26" s="283" t="s">
        <v>577</v>
      </c>
      <c r="B26" s="283"/>
      <c r="C26" s="283"/>
      <c r="D26" s="283" t="s">
        <v>62</v>
      </c>
      <c r="E26" s="283" t="s">
        <v>1419</v>
      </c>
      <c r="F26" s="283" t="s">
        <v>61</v>
      </c>
      <c r="G26" s="283" t="s">
        <v>1505</v>
      </c>
      <c r="H26" s="283" t="s">
        <v>2959</v>
      </c>
      <c r="I26" s="283" t="s">
        <v>62</v>
      </c>
      <c r="J26" s="283" t="s">
        <v>691</v>
      </c>
      <c r="K26" s="11" t="str">
        <f t="shared" si="1"/>
        <v>https://www.acaps.org/country/Chad/crisis/Complex-crisis</v>
      </c>
      <c r="L26" s="11"/>
      <c r="M26" s="284" t="s">
        <v>3233</v>
      </c>
      <c r="N26" s="11" t="str">
        <f>IF(ISNONTEXT(M26),_xlfn.DAYS(About!$A$3,'Crisis info'!M26),"More than 2 years")</f>
        <v>More than 2 years</v>
      </c>
    </row>
    <row r="27" spans="1:14" x14ac:dyDescent="0.3">
      <c r="A27" s="283" t="s">
        <v>678</v>
      </c>
      <c r="B27" s="283"/>
      <c r="C27" s="283"/>
      <c r="D27" s="283" t="s">
        <v>62</v>
      </c>
      <c r="E27" s="283" t="s">
        <v>784</v>
      </c>
      <c r="F27" s="283" t="s">
        <v>61</v>
      </c>
      <c r="G27" s="283" t="s">
        <v>1505</v>
      </c>
      <c r="H27" s="283" t="s">
        <v>650</v>
      </c>
      <c r="I27" s="283" t="s">
        <v>62</v>
      </c>
      <c r="J27" s="283" t="s">
        <v>1393</v>
      </c>
      <c r="K27" s="11" t="str">
        <f t="shared" si="1"/>
        <v>https://www.acaps.org/country/Chad/crisis/Boko-Haram</v>
      </c>
      <c r="L27" s="283" t="s">
        <v>675</v>
      </c>
      <c r="M27" s="284" t="s">
        <v>3233</v>
      </c>
      <c r="N27" s="11" t="str">
        <f>IF(ISNONTEXT(M27),_xlfn.DAYS(About!$A$3,'Crisis info'!M27),"More than 2 years")</f>
        <v>More than 2 years</v>
      </c>
    </row>
    <row r="28" spans="1:14" x14ac:dyDescent="0.3">
      <c r="A28" s="283" t="s">
        <v>679</v>
      </c>
      <c r="B28" s="283"/>
      <c r="C28" s="283"/>
      <c r="D28" s="283" t="s">
        <v>62</v>
      </c>
      <c r="E28" s="283" t="s">
        <v>785</v>
      </c>
      <c r="F28" s="283" t="s">
        <v>61</v>
      </c>
      <c r="G28" s="283" t="s">
        <v>1505</v>
      </c>
      <c r="H28" s="283" t="s">
        <v>1280</v>
      </c>
      <c r="I28" s="283" t="s">
        <v>62</v>
      </c>
      <c r="J28" s="283" t="s">
        <v>1395</v>
      </c>
      <c r="K28" s="11" t="str">
        <f t="shared" si="1"/>
        <v>https://www.acaps.org/country/Chad/crisis/CAR-refugees</v>
      </c>
      <c r="L28" s="283" t="s">
        <v>2915</v>
      </c>
      <c r="M28" s="284" t="s">
        <v>3233</v>
      </c>
      <c r="N28" s="11" t="str">
        <f>IF(ISNONTEXT(M28),_xlfn.DAYS(About!$A$3,'Crisis info'!M28),"More than 2 years")</f>
        <v>More than 2 years</v>
      </c>
    </row>
    <row r="29" spans="1:14" x14ac:dyDescent="0.3">
      <c r="A29" s="283" t="s">
        <v>1744</v>
      </c>
      <c r="B29" s="283"/>
      <c r="C29" s="283"/>
      <c r="D29" s="283" t="s">
        <v>62</v>
      </c>
      <c r="E29" s="283" t="s">
        <v>786</v>
      </c>
      <c r="F29" s="283" t="s">
        <v>61</v>
      </c>
      <c r="G29" s="283" t="s">
        <v>1505</v>
      </c>
      <c r="H29" s="283" t="s">
        <v>1280</v>
      </c>
      <c r="I29" s="283" t="s">
        <v>62</v>
      </c>
      <c r="J29" s="283" t="s">
        <v>1396</v>
      </c>
      <c r="K29" s="11" t="str">
        <f t="shared" si="1"/>
        <v>https://www.acaps.org/country/Chad/crisis/Darfur-refugees</v>
      </c>
      <c r="L29" s="283" t="s">
        <v>1924</v>
      </c>
      <c r="M29" s="284" t="s">
        <v>3233</v>
      </c>
      <c r="N29" s="11" t="str">
        <f>IF(ISNONTEXT(M29),_xlfn.DAYS(About!$A$3,'Crisis info'!M29),"More than 2 years")</f>
        <v>More than 2 years</v>
      </c>
    </row>
    <row r="30" spans="1:14" x14ac:dyDescent="0.3">
      <c r="A30" s="283" t="s">
        <v>804</v>
      </c>
      <c r="B30" s="283"/>
      <c r="C30" s="283"/>
      <c r="D30" s="283" t="s">
        <v>62</v>
      </c>
      <c r="E30" s="283" t="s">
        <v>1160</v>
      </c>
      <c r="F30" s="283" t="s">
        <v>61</v>
      </c>
      <c r="G30" s="283" t="s">
        <v>1505</v>
      </c>
      <c r="H30" s="283" t="s">
        <v>650</v>
      </c>
      <c r="I30" s="283" t="s">
        <v>62</v>
      </c>
      <c r="J30" s="283" t="s">
        <v>1397</v>
      </c>
      <c r="K30" s="11" t="str">
        <f t="shared" si="1"/>
        <v>https://www.acaps.org/country/Chad/crisis/Tibesti-conflict</v>
      </c>
      <c r="L30" s="11"/>
      <c r="M30" s="284" t="s">
        <v>3233</v>
      </c>
      <c r="N30" s="11" t="str">
        <f>IF(ISNONTEXT(M30),_xlfn.DAYS(About!$A$3,'Crisis info'!M30),"More than 2 years")</f>
        <v>More than 2 years</v>
      </c>
    </row>
    <row r="31" spans="1:14" x14ac:dyDescent="0.3">
      <c r="A31" s="283" t="s">
        <v>3264</v>
      </c>
      <c r="B31" s="283"/>
      <c r="C31" s="283"/>
      <c r="D31" s="283" t="s">
        <v>62</v>
      </c>
      <c r="E31" s="283" t="s">
        <v>1697</v>
      </c>
      <c r="F31" s="283" t="s">
        <v>61</v>
      </c>
      <c r="G31" s="283" t="s">
        <v>1505</v>
      </c>
      <c r="H31" s="283" t="s">
        <v>1279</v>
      </c>
      <c r="I31" s="283" t="s">
        <v>62</v>
      </c>
      <c r="J31" s="283" t="s">
        <v>1672</v>
      </c>
      <c r="K31" s="11" t="str">
        <f t="shared" si="1"/>
        <v>https://www.acaps.org/country/Chad/crisis/Floods</v>
      </c>
      <c r="L31" s="11"/>
      <c r="M31" s="284">
        <v>44103</v>
      </c>
      <c r="N31" s="11">
        <f>IF(ISNONTEXT(M31),_xlfn.DAYS(About!$A$3,'Crisis info'!M31),"More than 2 years")</f>
        <v>37</v>
      </c>
    </row>
    <row r="32" spans="1:14" x14ac:dyDescent="0.3">
      <c r="A32" s="283" t="s">
        <v>2687</v>
      </c>
      <c r="B32" s="283" t="s">
        <v>3238</v>
      </c>
      <c r="C32" s="283" t="s">
        <v>3238</v>
      </c>
      <c r="D32" s="283" t="s">
        <v>363</v>
      </c>
      <c r="E32" s="283" t="s">
        <v>2686</v>
      </c>
      <c r="F32" s="283" t="s">
        <v>65</v>
      </c>
      <c r="G32" s="283" t="s">
        <v>1504</v>
      </c>
      <c r="H32" s="283" t="s">
        <v>1279</v>
      </c>
      <c r="I32" s="283" t="s">
        <v>363</v>
      </c>
      <c r="J32" s="283" t="s">
        <v>1672</v>
      </c>
      <c r="K32" s="11" t="str">
        <f t="shared" si="1"/>
        <v>https://www.acaps.org/country/China/crisis/Floods</v>
      </c>
      <c r="L32" s="11"/>
      <c r="M32" s="284">
        <v>44015</v>
      </c>
      <c r="N32" s="11">
        <f>IF(ISNONTEXT(M32),_xlfn.DAYS(About!$A$3,'Crisis info'!M32),"More than 2 years")</f>
        <v>125</v>
      </c>
    </row>
    <row r="33" spans="1:14" x14ac:dyDescent="0.3">
      <c r="A33" s="283" t="s">
        <v>578</v>
      </c>
      <c r="B33" s="283"/>
      <c r="C33" s="283"/>
      <c r="D33" s="283" t="s">
        <v>67</v>
      </c>
      <c r="E33" s="283" t="s">
        <v>1080</v>
      </c>
      <c r="F33" s="283" t="s">
        <v>66</v>
      </c>
      <c r="G33" s="283" t="s">
        <v>1507</v>
      </c>
      <c r="H33" s="283" t="s">
        <v>691</v>
      </c>
      <c r="I33" s="283" t="s">
        <v>67</v>
      </c>
      <c r="J33" s="283" t="s">
        <v>691</v>
      </c>
      <c r="K33" s="11" t="str">
        <f t="shared" si="1"/>
        <v>https://www.acaps.org/country/Colombia/crisis/Complex-crisis</v>
      </c>
      <c r="L33" s="11"/>
      <c r="M33" s="284" t="s">
        <v>3233</v>
      </c>
      <c r="N33" s="11" t="str">
        <f>IF(ISNONTEXT(M33),_xlfn.DAYS(About!$A$3,'Crisis info'!M33),"More than 2 years")</f>
        <v>More than 2 years</v>
      </c>
    </row>
    <row r="34" spans="1:14" x14ac:dyDescent="0.3">
      <c r="A34" s="283" t="s">
        <v>667</v>
      </c>
      <c r="B34" s="283"/>
      <c r="C34" s="283"/>
      <c r="D34" s="283" t="s">
        <v>67</v>
      </c>
      <c r="E34" s="283" t="s">
        <v>770</v>
      </c>
      <c r="F34" s="283" t="s">
        <v>66</v>
      </c>
      <c r="G34" s="283" t="s">
        <v>1507</v>
      </c>
      <c r="H34" s="283" t="s">
        <v>1280</v>
      </c>
      <c r="I34" s="283" t="s">
        <v>67</v>
      </c>
      <c r="J34" s="283" t="s">
        <v>1391</v>
      </c>
      <c r="K34" s="11" t="str">
        <f t="shared" si="1"/>
        <v>https://www.acaps.org/country/Colombia/crisis/Venezuelan-refugees</v>
      </c>
      <c r="L34" s="283" t="s">
        <v>597</v>
      </c>
      <c r="M34" s="284" t="s">
        <v>3233</v>
      </c>
      <c r="N34" s="11" t="str">
        <f>IF(ISNONTEXT(M34),_xlfn.DAYS(About!$A$3,'Crisis info'!M34),"More than 2 years")</f>
        <v>More than 2 years</v>
      </c>
    </row>
    <row r="35" spans="1:14" x14ac:dyDescent="0.3">
      <c r="A35" s="283" t="s">
        <v>2921</v>
      </c>
      <c r="B35" s="283"/>
      <c r="C35" s="283"/>
      <c r="D35" s="283" t="s">
        <v>361</v>
      </c>
      <c r="E35" s="283" t="s">
        <v>863</v>
      </c>
      <c r="F35" s="283" t="s">
        <v>71</v>
      </c>
      <c r="G35" s="283" t="s">
        <v>1505</v>
      </c>
      <c r="H35" s="283" t="s">
        <v>650</v>
      </c>
      <c r="I35" s="283" t="s">
        <v>361</v>
      </c>
      <c r="J35" s="283" t="s">
        <v>650</v>
      </c>
      <c r="K35" s="11" t="str">
        <f t="shared" si="1"/>
        <v>https://www.acaps.org/country/Congo/crisis/Conflict</v>
      </c>
      <c r="L35" s="11"/>
      <c r="M35" s="284" t="s">
        <v>3233</v>
      </c>
      <c r="N35" s="11" t="str">
        <f>IF(ISNONTEXT(M35),_xlfn.DAYS(About!$A$3,'Crisis info'!M35),"More than 2 years")</f>
        <v>More than 2 years</v>
      </c>
    </row>
    <row r="36" spans="1:14" x14ac:dyDescent="0.3">
      <c r="A36" s="283" t="s">
        <v>3822</v>
      </c>
      <c r="B36" s="283"/>
      <c r="C36" s="283"/>
      <c r="D36" s="283" t="s">
        <v>361</v>
      </c>
      <c r="E36" s="283" t="s">
        <v>1815</v>
      </c>
      <c r="F36" s="283" t="s">
        <v>71</v>
      </c>
      <c r="G36" s="283" t="s">
        <v>1505</v>
      </c>
      <c r="H36" s="283" t="s">
        <v>1279</v>
      </c>
      <c r="I36" s="283" t="s">
        <v>361</v>
      </c>
      <c r="J36" s="283" t="s">
        <v>1672</v>
      </c>
      <c r="K36" s="11" t="str">
        <f t="shared" si="1"/>
        <v>https://www.acaps.org/country/Congo/crisis/Floods</v>
      </c>
      <c r="L36" s="11"/>
      <c r="M36" s="284">
        <v>44133</v>
      </c>
      <c r="N36" s="11">
        <f>IF(ISNONTEXT(M36),_xlfn.DAYS(About!$A$3,'Crisis info'!M36),"More than 2 years")</f>
        <v>7</v>
      </c>
    </row>
    <row r="37" spans="1:14" x14ac:dyDescent="0.3">
      <c r="A37" s="283" t="s">
        <v>1189</v>
      </c>
      <c r="B37" s="283"/>
      <c r="C37" s="283"/>
      <c r="D37" s="283" t="s">
        <v>73</v>
      </c>
      <c r="E37" s="283" t="s">
        <v>1188</v>
      </c>
      <c r="F37" s="283" t="s">
        <v>72</v>
      </c>
      <c r="G37" s="283" t="s">
        <v>1507</v>
      </c>
      <c r="H37" s="283" t="s">
        <v>1280</v>
      </c>
      <c r="I37" s="283" t="s">
        <v>73</v>
      </c>
      <c r="J37" s="283" t="s">
        <v>1398</v>
      </c>
      <c r="K37" s="11" t="str">
        <f t="shared" si="1"/>
        <v>https://www.acaps.org/country/Costa Rica/crisis/Nicaraguan-refugees</v>
      </c>
      <c r="L37" s="283" t="s">
        <v>590</v>
      </c>
      <c r="M37" s="284" t="s">
        <v>3233</v>
      </c>
      <c r="N37" s="11" t="str">
        <f>IF(ISNONTEXT(M37),_xlfn.DAYS(About!$A$3,'Crisis info'!M37),"More than 2 years")</f>
        <v>More than 2 years</v>
      </c>
    </row>
    <row r="38" spans="1:14" x14ac:dyDescent="0.3">
      <c r="A38" s="283" t="s">
        <v>1816</v>
      </c>
      <c r="B38" s="283"/>
      <c r="C38" s="283"/>
      <c r="D38" s="283" t="s">
        <v>86</v>
      </c>
      <c r="E38" s="283" t="s">
        <v>1161</v>
      </c>
      <c r="F38" s="283" t="s">
        <v>85</v>
      </c>
      <c r="G38" s="283" t="s">
        <v>1505</v>
      </c>
      <c r="H38" s="283" t="s">
        <v>2959</v>
      </c>
      <c r="I38" s="283" t="s">
        <v>86</v>
      </c>
      <c r="J38" s="283" t="s">
        <v>1392</v>
      </c>
      <c r="K38" s="11" t="str">
        <f t="shared" si="1"/>
        <v>https://www.acaps.org/country/Djibouti/crisis/Country-level</v>
      </c>
      <c r="L38" s="11"/>
      <c r="M38" s="284">
        <v>43815</v>
      </c>
      <c r="N38" s="11">
        <f>IF(ISNONTEXT(M38),_xlfn.DAYS(About!$A$3,'Crisis info'!M38),"More than 2 years")</f>
        <v>325</v>
      </c>
    </row>
    <row r="39" spans="1:14" x14ac:dyDescent="0.3">
      <c r="A39" s="283" t="s">
        <v>806</v>
      </c>
      <c r="B39" s="283"/>
      <c r="C39" s="283"/>
      <c r="D39" s="283" t="s">
        <v>86</v>
      </c>
      <c r="E39" s="283" t="s">
        <v>1162</v>
      </c>
      <c r="F39" s="283" t="s">
        <v>85</v>
      </c>
      <c r="G39" s="283" t="s">
        <v>1505</v>
      </c>
      <c r="H39" s="283" t="s">
        <v>1280</v>
      </c>
      <c r="I39" s="283" t="s">
        <v>86</v>
      </c>
      <c r="J39" s="283" t="s">
        <v>1389</v>
      </c>
      <c r="K39" s="11" t="str">
        <f t="shared" si="1"/>
        <v>https://www.acaps.org/country/Djibouti/crisis/Mixed-Migration</v>
      </c>
      <c r="L39" s="11"/>
      <c r="M39" s="284" t="s">
        <v>3233</v>
      </c>
      <c r="N39" s="11" t="str">
        <f>IF(ISNONTEXT(M39),_xlfn.DAYS(About!$A$3,'Crisis info'!M39),"More than 2 years")</f>
        <v>More than 2 years</v>
      </c>
    </row>
    <row r="40" spans="1:14" x14ac:dyDescent="0.3">
      <c r="A40" s="283" t="s">
        <v>2922</v>
      </c>
      <c r="B40" s="283"/>
      <c r="C40" s="283"/>
      <c r="D40" s="283" t="s">
        <v>86</v>
      </c>
      <c r="E40" s="283" t="s">
        <v>802</v>
      </c>
      <c r="F40" s="283" t="s">
        <v>85</v>
      </c>
      <c r="G40" s="283" t="s">
        <v>1505</v>
      </c>
      <c r="H40" s="283" t="s">
        <v>651</v>
      </c>
      <c r="I40" s="283" t="s">
        <v>86</v>
      </c>
      <c r="J40" s="283" t="s">
        <v>651</v>
      </c>
      <c r="K40" s="11" t="str">
        <f t="shared" si="1"/>
        <v>https://www.acaps.org/country/Djibouti/crisis/Drought</v>
      </c>
      <c r="L40" s="11"/>
      <c r="M40" s="284" t="s">
        <v>3233</v>
      </c>
      <c r="N40" s="11" t="str">
        <f>IF(ISNONTEXT(M40),_xlfn.DAYS(About!$A$3,'Crisis info'!M40),"More than 2 years")</f>
        <v>More than 2 years</v>
      </c>
    </row>
    <row r="41" spans="1:14" x14ac:dyDescent="0.3">
      <c r="A41" s="283" t="s">
        <v>580</v>
      </c>
      <c r="B41" s="283"/>
      <c r="C41" s="283"/>
      <c r="D41" s="283" t="s">
        <v>574</v>
      </c>
      <c r="E41" s="283" t="s">
        <v>1081</v>
      </c>
      <c r="F41" s="283" t="s">
        <v>166</v>
      </c>
      <c r="G41" s="283" t="s">
        <v>1504</v>
      </c>
      <c r="H41" s="283" t="s">
        <v>691</v>
      </c>
      <c r="I41" s="283" t="s">
        <v>574</v>
      </c>
      <c r="J41" s="283" t="s">
        <v>691</v>
      </c>
      <c r="K41" s="11" t="str">
        <f t="shared" si="1"/>
        <v>https://www.acaps.org/country/DPRK/crisis/Complex-crisis</v>
      </c>
      <c r="L41" s="11"/>
      <c r="M41" s="284" t="s">
        <v>3233</v>
      </c>
      <c r="N41" s="11" t="str">
        <f>IF(ISNONTEXT(M41),_xlfn.DAYS(About!$A$3,'Crisis info'!M41),"More than 2 years")</f>
        <v>More than 2 years</v>
      </c>
    </row>
    <row r="42" spans="1:14" x14ac:dyDescent="0.3">
      <c r="A42" s="283" t="s">
        <v>579</v>
      </c>
      <c r="B42" s="283"/>
      <c r="C42" s="283"/>
      <c r="D42" s="283" t="s">
        <v>575</v>
      </c>
      <c r="E42" s="283" t="s">
        <v>1082</v>
      </c>
      <c r="F42" s="283" t="s">
        <v>70</v>
      </c>
      <c r="G42" s="283" t="s">
        <v>1505</v>
      </c>
      <c r="H42" s="283" t="s">
        <v>691</v>
      </c>
      <c r="I42" s="283" t="s">
        <v>575</v>
      </c>
      <c r="J42" s="283" t="s">
        <v>691</v>
      </c>
      <c r="K42" s="11" t="str">
        <f t="shared" si="1"/>
        <v>https://www.acaps.org/country/DRC/crisis/Complex-crisis</v>
      </c>
      <c r="L42" s="11"/>
      <c r="M42" s="284" t="s">
        <v>3233</v>
      </c>
      <c r="N42" s="11" t="str">
        <f>IF(ISNONTEXT(M42),_xlfn.DAYS(About!$A$3,'Crisis info'!M42),"More than 2 years")</f>
        <v>More than 2 years</v>
      </c>
    </row>
    <row r="43" spans="1:14" x14ac:dyDescent="0.3">
      <c r="A43" s="283" t="s">
        <v>2587</v>
      </c>
      <c r="B43" s="283" t="s">
        <v>3239</v>
      </c>
      <c r="C43" s="283" t="s">
        <v>3239</v>
      </c>
      <c r="D43" s="283" t="s">
        <v>575</v>
      </c>
      <c r="E43" s="283" t="s">
        <v>2585</v>
      </c>
      <c r="F43" s="283" t="s">
        <v>70</v>
      </c>
      <c r="G43" s="283" t="s">
        <v>1505</v>
      </c>
      <c r="H43" s="283" t="s">
        <v>1279</v>
      </c>
      <c r="I43" s="283" t="s">
        <v>575</v>
      </c>
      <c r="J43" s="283" t="s">
        <v>1672</v>
      </c>
      <c r="K43" s="11" t="str">
        <f t="shared" si="1"/>
        <v>https://www.acaps.org/country/DRC/crisis/Floods</v>
      </c>
      <c r="L43" s="11"/>
      <c r="M43" s="284">
        <v>44005</v>
      </c>
      <c r="N43" s="11">
        <f>IF(ISNONTEXT(M43),_xlfn.DAYS(About!$A$3,'Crisis info'!M43),"More than 2 years")</f>
        <v>135</v>
      </c>
    </row>
    <row r="44" spans="1:14" x14ac:dyDescent="0.3">
      <c r="A44" s="283" t="s">
        <v>666</v>
      </c>
      <c r="B44" s="283"/>
      <c r="C44" s="283"/>
      <c r="D44" s="283" t="s">
        <v>93</v>
      </c>
      <c r="E44" s="283" t="s">
        <v>769</v>
      </c>
      <c r="F44" s="283" t="s">
        <v>92</v>
      </c>
      <c r="G44" s="283" t="s">
        <v>1507</v>
      </c>
      <c r="H44" s="283" t="s">
        <v>1280</v>
      </c>
      <c r="I44" s="283" t="s">
        <v>93</v>
      </c>
      <c r="J44" s="283" t="s">
        <v>1391</v>
      </c>
      <c r="K44" s="11" t="str">
        <f t="shared" si="1"/>
        <v>https://www.acaps.org/country/Ecuador/crisis/Venezuelan-refugees</v>
      </c>
      <c r="L44" s="283" t="s">
        <v>597</v>
      </c>
      <c r="M44" s="284" t="s">
        <v>3233</v>
      </c>
      <c r="N44" s="11" t="str">
        <f>IF(ISNONTEXT(M44),_xlfn.DAYS(About!$A$3,'Crisis info'!M44),"More than 2 years")</f>
        <v>More than 2 years</v>
      </c>
    </row>
    <row r="45" spans="1:14" x14ac:dyDescent="0.3">
      <c r="A45" s="283" t="s">
        <v>689</v>
      </c>
      <c r="B45" s="283"/>
      <c r="C45" s="283"/>
      <c r="D45" s="283" t="s">
        <v>95</v>
      </c>
      <c r="E45" s="283" t="s">
        <v>799</v>
      </c>
      <c r="F45" s="283" t="s">
        <v>94</v>
      </c>
      <c r="G45" s="283" t="s">
        <v>1505</v>
      </c>
      <c r="H45" s="283" t="s">
        <v>1280</v>
      </c>
      <c r="I45" s="283" t="s">
        <v>95</v>
      </c>
      <c r="J45" s="283" t="s">
        <v>1399</v>
      </c>
      <c r="K45" s="11" t="str">
        <f t="shared" si="1"/>
        <v>https://www.acaps.org/country/Egypt/crisis/Syrian-refugees</v>
      </c>
      <c r="L45" s="283" t="s">
        <v>594</v>
      </c>
      <c r="M45" s="284" t="s">
        <v>3233</v>
      </c>
      <c r="N45" s="11" t="str">
        <f>IF(ISNONTEXT(M45),_xlfn.DAYS(About!$A$3,'Crisis info'!M45),"More than 2 years")</f>
        <v>More than 2 years</v>
      </c>
    </row>
    <row r="46" spans="1:14" x14ac:dyDescent="0.3">
      <c r="A46" s="283" t="s">
        <v>581</v>
      </c>
      <c r="B46" s="283"/>
      <c r="C46" s="283"/>
      <c r="D46" s="283" t="s">
        <v>97</v>
      </c>
      <c r="E46" s="283" t="s">
        <v>1083</v>
      </c>
      <c r="F46" s="283" t="s">
        <v>96</v>
      </c>
      <c r="G46" s="283" t="s">
        <v>1507</v>
      </c>
      <c r="H46" s="283" t="s">
        <v>691</v>
      </c>
      <c r="I46" s="283" t="s">
        <v>97</v>
      </c>
      <c r="J46" s="283" t="s">
        <v>691</v>
      </c>
      <c r="K46" s="11" t="str">
        <f t="shared" si="1"/>
        <v>https://www.acaps.org/country/El Salvador/crisis/Complex-crisis</v>
      </c>
      <c r="L46" s="11"/>
      <c r="M46" s="284" t="s">
        <v>3233</v>
      </c>
      <c r="N46" s="11" t="str">
        <f>IF(ISNONTEXT(M46),_xlfn.DAYS(About!$A$3,'Crisis info'!M46),"More than 2 years")</f>
        <v>More than 2 years</v>
      </c>
    </row>
    <row r="47" spans="1:14" x14ac:dyDescent="0.3">
      <c r="A47" s="283" t="s">
        <v>2916</v>
      </c>
      <c r="B47" s="283"/>
      <c r="C47" s="283"/>
      <c r="D47" s="283" t="s">
        <v>101</v>
      </c>
      <c r="E47" s="283" t="s">
        <v>1084</v>
      </c>
      <c r="F47" s="283" t="s">
        <v>100</v>
      </c>
      <c r="G47" s="283" t="s">
        <v>1505</v>
      </c>
      <c r="H47" s="283" t="s">
        <v>691</v>
      </c>
      <c r="I47" s="283" t="s">
        <v>101</v>
      </c>
      <c r="J47" s="283" t="s">
        <v>691</v>
      </c>
      <c r="K47" s="11" t="str">
        <f t="shared" si="1"/>
        <v>https://www.acaps.org/country/Eritrea/crisis/Complex-crisis</v>
      </c>
      <c r="L47" s="11"/>
      <c r="M47" s="284" t="s">
        <v>3233</v>
      </c>
      <c r="N47" s="11" t="str">
        <f>IF(ISNONTEXT(M47),_xlfn.DAYS(About!$A$3,'Crisis info'!M47),"More than 2 years")</f>
        <v>More than 2 years</v>
      </c>
    </row>
    <row r="48" spans="1:14" x14ac:dyDescent="0.3">
      <c r="A48" s="283" t="s">
        <v>582</v>
      </c>
      <c r="B48" s="283"/>
      <c r="C48" s="283"/>
      <c r="D48" s="283" t="s">
        <v>105</v>
      </c>
      <c r="E48" s="283" t="s">
        <v>1085</v>
      </c>
      <c r="F48" s="283" t="s">
        <v>104</v>
      </c>
      <c r="G48" s="283" t="s">
        <v>1505</v>
      </c>
      <c r="H48" s="283" t="s">
        <v>691</v>
      </c>
      <c r="I48" s="283" t="s">
        <v>105</v>
      </c>
      <c r="J48" s="283" t="s">
        <v>691</v>
      </c>
      <c r="K48" s="11" t="str">
        <f t="shared" si="1"/>
        <v>https://www.acaps.org/country/Ethiopia/crisis/Complex-crisis</v>
      </c>
      <c r="L48" s="11"/>
      <c r="M48" s="284" t="s">
        <v>3233</v>
      </c>
      <c r="N48" s="11" t="str">
        <f>IF(ISNONTEXT(M48),_xlfn.DAYS(About!$A$3,'Crisis info'!M48),"More than 2 years")</f>
        <v>More than 2 years</v>
      </c>
    </row>
    <row r="49" spans="1:14" x14ac:dyDescent="0.3">
      <c r="A49" s="283" t="s">
        <v>2513</v>
      </c>
      <c r="B49" s="283" t="s">
        <v>3240</v>
      </c>
      <c r="C49" s="283" t="s">
        <v>3240</v>
      </c>
      <c r="D49" s="283" t="s">
        <v>105</v>
      </c>
      <c r="E49" s="283" t="s">
        <v>2512</v>
      </c>
      <c r="F49" s="283" t="s">
        <v>104</v>
      </c>
      <c r="G49" s="283" t="s">
        <v>1505</v>
      </c>
      <c r="H49" s="283" t="s">
        <v>1279</v>
      </c>
      <c r="I49" s="283" t="s">
        <v>105</v>
      </c>
      <c r="J49" s="283" t="s">
        <v>1672</v>
      </c>
      <c r="K49" s="11" t="str">
        <f t="shared" si="1"/>
        <v>https://www.acaps.org/country/Ethiopia/crisis/Floods</v>
      </c>
      <c r="L49" s="11"/>
      <c r="M49" s="284">
        <v>43990</v>
      </c>
      <c r="N49" s="11">
        <f>IF(ISNONTEXT(M49),_xlfn.DAYS(About!$A$3,'Crisis info'!M49),"More than 2 years")</f>
        <v>150</v>
      </c>
    </row>
    <row r="50" spans="1:14" x14ac:dyDescent="0.3">
      <c r="A50" s="283" t="s">
        <v>2644</v>
      </c>
      <c r="B50" s="283"/>
      <c r="C50" s="283"/>
      <c r="D50" s="283" t="s">
        <v>105</v>
      </c>
      <c r="E50" s="283" t="s">
        <v>2643</v>
      </c>
      <c r="F50" s="283" t="s">
        <v>104</v>
      </c>
      <c r="G50" s="283" t="s">
        <v>1505</v>
      </c>
      <c r="H50" s="283" t="s">
        <v>1280</v>
      </c>
      <c r="I50" s="283" t="s">
        <v>105</v>
      </c>
      <c r="J50" s="283" t="s">
        <v>2643</v>
      </c>
      <c r="K50" s="11" t="str">
        <f t="shared" si="1"/>
        <v>https://www.acaps.org/country/Ethiopia/crisis/International-Displacement</v>
      </c>
      <c r="L50" s="11"/>
      <c r="M50" s="284">
        <v>43837</v>
      </c>
      <c r="N50" s="11">
        <f>IF(ISNONTEXT(M50),_xlfn.DAYS(About!$A$3,'Crisis info'!M50),"More than 2 years")</f>
        <v>303</v>
      </c>
    </row>
    <row r="51" spans="1:14" x14ac:dyDescent="0.3">
      <c r="A51" s="283" t="s">
        <v>688</v>
      </c>
      <c r="B51" s="283"/>
      <c r="C51" s="283"/>
      <c r="D51" s="283" t="s">
        <v>123</v>
      </c>
      <c r="E51" s="283" t="s">
        <v>796</v>
      </c>
      <c r="F51" s="283" t="s">
        <v>122</v>
      </c>
      <c r="G51" s="283" t="s">
        <v>1506</v>
      </c>
      <c r="H51" s="283" t="s">
        <v>1280</v>
      </c>
      <c r="I51" s="283" t="s">
        <v>123</v>
      </c>
      <c r="J51" s="283" t="s">
        <v>1389</v>
      </c>
      <c r="K51" s="11" t="str">
        <f t="shared" si="1"/>
        <v>https://www.acaps.org/country/Greece/crisis/Mixed-Migration</v>
      </c>
      <c r="L51" s="11"/>
      <c r="M51" s="284" t="s">
        <v>3233</v>
      </c>
      <c r="N51" s="11" t="str">
        <f>IF(ISNONTEXT(M51),_xlfn.DAYS(About!$A$3,'Crisis info'!M51),"More than 2 years")</f>
        <v>More than 2 years</v>
      </c>
    </row>
    <row r="52" spans="1:14" x14ac:dyDescent="0.3">
      <c r="A52" s="283" t="s">
        <v>1745</v>
      </c>
      <c r="B52" s="283"/>
      <c r="C52" s="283"/>
      <c r="D52" s="283" t="s">
        <v>127</v>
      </c>
      <c r="E52" s="283" t="s">
        <v>1086</v>
      </c>
      <c r="F52" s="283" t="s">
        <v>126</v>
      </c>
      <c r="G52" s="283" t="s">
        <v>1507</v>
      </c>
      <c r="H52" s="283" t="s">
        <v>691</v>
      </c>
      <c r="I52" s="283" t="s">
        <v>127</v>
      </c>
      <c r="J52" s="283" t="s">
        <v>691</v>
      </c>
      <c r="K52" s="11" t="str">
        <f t="shared" si="1"/>
        <v>https://www.acaps.org/country/Guatemala/crisis/Complex-crisis</v>
      </c>
      <c r="L52" s="11"/>
      <c r="M52" s="284" t="s">
        <v>3233</v>
      </c>
      <c r="N52" s="11" t="str">
        <f>IF(ISNONTEXT(M52),_xlfn.DAYS(About!$A$3,'Crisis info'!M52),"More than 2 years")</f>
        <v>More than 2 years</v>
      </c>
    </row>
    <row r="53" spans="1:14" x14ac:dyDescent="0.3">
      <c r="A53" s="283" t="s">
        <v>583</v>
      </c>
      <c r="B53" s="283"/>
      <c r="C53" s="283"/>
      <c r="D53" s="283" t="s">
        <v>134</v>
      </c>
      <c r="E53" s="283" t="s">
        <v>1087</v>
      </c>
      <c r="F53" s="283" t="s">
        <v>133</v>
      </c>
      <c r="G53" s="283" t="s">
        <v>1507</v>
      </c>
      <c r="H53" s="283" t="s">
        <v>691</v>
      </c>
      <c r="I53" s="283" t="s">
        <v>134</v>
      </c>
      <c r="J53" s="283" t="s">
        <v>691</v>
      </c>
      <c r="K53" s="11" t="str">
        <f t="shared" si="1"/>
        <v>https://www.acaps.org/country/Haiti/crisis/Complex-crisis</v>
      </c>
      <c r="L53" s="11"/>
      <c r="M53" s="284" t="s">
        <v>3233</v>
      </c>
      <c r="N53" s="11" t="str">
        <f>IF(ISNONTEXT(M53),_xlfn.DAYS(About!$A$3,'Crisis info'!M53),"More than 2 years")</f>
        <v>More than 2 years</v>
      </c>
    </row>
    <row r="54" spans="1:14" x14ac:dyDescent="0.3">
      <c r="A54" s="283" t="s">
        <v>584</v>
      </c>
      <c r="B54" s="283"/>
      <c r="C54" s="283"/>
      <c r="D54" s="283" t="s">
        <v>136</v>
      </c>
      <c r="E54" s="283" t="s">
        <v>1088</v>
      </c>
      <c r="F54" s="283" t="s">
        <v>135</v>
      </c>
      <c r="G54" s="283" t="s">
        <v>1507</v>
      </c>
      <c r="H54" s="283" t="s">
        <v>691</v>
      </c>
      <c r="I54" s="283" t="s">
        <v>136</v>
      </c>
      <c r="J54" s="283" t="s">
        <v>691</v>
      </c>
      <c r="K54" s="11" t="str">
        <f t="shared" si="1"/>
        <v>https://www.acaps.org/country/Honduras/crisis/Complex-crisis</v>
      </c>
      <c r="L54" s="11"/>
      <c r="M54" s="284" t="s">
        <v>3233</v>
      </c>
      <c r="N54" s="11" t="str">
        <f>IF(ISNONTEXT(M54),_xlfn.DAYS(About!$A$3,'Crisis info'!M54),"More than 2 years")</f>
        <v>More than 2 years</v>
      </c>
    </row>
    <row r="55" spans="1:14" x14ac:dyDescent="0.3">
      <c r="A55" s="283" t="s">
        <v>2416</v>
      </c>
      <c r="B55" s="283"/>
      <c r="C55" s="283"/>
      <c r="D55" s="283" t="s">
        <v>142</v>
      </c>
      <c r="E55" s="283" t="s">
        <v>2415</v>
      </c>
      <c r="F55" s="283" t="s">
        <v>141</v>
      </c>
      <c r="G55" s="283" t="s">
        <v>1504</v>
      </c>
      <c r="H55" s="283" t="s">
        <v>2959</v>
      </c>
      <c r="I55" s="283" t="s">
        <v>142</v>
      </c>
      <c r="J55" s="283" t="s">
        <v>1749</v>
      </c>
      <c r="K55" s="11" t="str">
        <f t="shared" si="1"/>
        <v>https://www.acaps.org/country/India/crisis/Country-Level</v>
      </c>
      <c r="L55" s="11"/>
      <c r="M55" s="284">
        <v>43987</v>
      </c>
      <c r="N55" s="11">
        <f>IF(ISNONTEXT(M55),_xlfn.DAYS(About!$A$3,'Crisis info'!M55),"More than 2 years")</f>
        <v>153</v>
      </c>
    </row>
    <row r="56" spans="1:14" x14ac:dyDescent="0.3">
      <c r="A56" s="283" t="s">
        <v>1203</v>
      </c>
      <c r="B56" s="283"/>
      <c r="C56" s="283"/>
      <c r="D56" s="283" t="s">
        <v>142</v>
      </c>
      <c r="E56" s="283" t="s">
        <v>1201</v>
      </c>
      <c r="F56" s="283" t="s">
        <v>141</v>
      </c>
      <c r="G56" s="283" t="s">
        <v>1504</v>
      </c>
      <c r="H56" s="283" t="s">
        <v>650</v>
      </c>
      <c r="I56" s="283" t="s">
        <v>142</v>
      </c>
      <c r="J56" s="283" t="s">
        <v>1408</v>
      </c>
      <c r="K56" s="11" t="str">
        <f t="shared" si="1"/>
        <v>https://www.acaps.org/country/India/crisis/Kashmir-conflict</v>
      </c>
      <c r="L56" s="283" t="s">
        <v>1235</v>
      </c>
      <c r="M56" s="284" t="s">
        <v>3233</v>
      </c>
      <c r="N56" s="11" t="str">
        <f>IF(ISNONTEXT(M56),_xlfn.DAYS(About!$A$3,'Crisis info'!M56),"More than 2 years")</f>
        <v>More than 2 years</v>
      </c>
    </row>
    <row r="57" spans="1:14" x14ac:dyDescent="0.3">
      <c r="A57" s="283" t="s">
        <v>2418</v>
      </c>
      <c r="B57" s="283" t="s">
        <v>3242</v>
      </c>
      <c r="C57" s="283" t="s">
        <v>3242</v>
      </c>
      <c r="D57" s="283" t="s">
        <v>142</v>
      </c>
      <c r="E57" s="283" t="s">
        <v>2417</v>
      </c>
      <c r="F57" s="283" t="s">
        <v>141</v>
      </c>
      <c r="G57" s="283" t="s">
        <v>1504</v>
      </c>
      <c r="H57" s="283" t="s">
        <v>1549</v>
      </c>
      <c r="I57" s="283" t="s">
        <v>142</v>
      </c>
      <c r="J57" s="283" t="s">
        <v>2414</v>
      </c>
      <c r="K57" s="11" t="str">
        <f t="shared" si="1"/>
        <v>https://www.acaps.org/country/India/crisis/Cyclone-Amphan</v>
      </c>
      <c r="L57" s="11"/>
      <c r="M57" s="284">
        <v>43987</v>
      </c>
      <c r="N57" s="11">
        <f>IF(ISNONTEXT(M57),_xlfn.DAYS(About!$A$3,'Crisis info'!M57),"More than 2 years")</f>
        <v>153</v>
      </c>
    </row>
    <row r="58" spans="1:14" x14ac:dyDescent="0.3">
      <c r="A58" s="283" t="s">
        <v>2747</v>
      </c>
      <c r="B58" s="283" t="s">
        <v>3241</v>
      </c>
      <c r="C58" s="283" t="s">
        <v>3241</v>
      </c>
      <c r="D58" s="283" t="s">
        <v>142</v>
      </c>
      <c r="E58" s="283" t="s">
        <v>2746</v>
      </c>
      <c r="F58" s="283" t="s">
        <v>141</v>
      </c>
      <c r="G58" s="283" t="s">
        <v>1504</v>
      </c>
      <c r="H58" s="283" t="s">
        <v>1279</v>
      </c>
      <c r="I58" s="283" t="s">
        <v>142</v>
      </c>
      <c r="J58" s="283" t="s">
        <v>2746</v>
      </c>
      <c r="K58" s="11" t="str">
        <f t="shared" si="1"/>
        <v>https://www.acaps.org/country/India/crisis/Floods-in-Assam</v>
      </c>
      <c r="L58" s="11"/>
      <c r="M58" s="284">
        <v>44020</v>
      </c>
      <c r="N58" s="11">
        <f>IF(ISNONTEXT(M58),_xlfn.DAYS(About!$A$3,'Crisis info'!M58),"More than 2 years")</f>
        <v>120</v>
      </c>
    </row>
    <row r="59" spans="1:14" x14ac:dyDescent="0.3">
      <c r="A59" s="283" t="s">
        <v>1235</v>
      </c>
      <c r="B59" s="283"/>
      <c r="C59" s="283"/>
      <c r="D59" s="283" t="s">
        <v>1236</v>
      </c>
      <c r="E59" s="283" t="s">
        <v>1234</v>
      </c>
      <c r="F59" s="283" t="s">
        <v>1237</v>
      </c>
      <c r="G59" s="283" t="s">
        <v>1504</v>
      </c>
      <c r="H59" s="283" t="s">
        <v>1281</v>
      </c>
      <c r="I59" s="283" t="s">
        <v>142</v>
      </c>
      <c r="J59" s="283" t="s">
        <v>1234</v>
      </c>
      <c r="K59" s="11" t="str">
        <f t="shared" si="1"/>
        <v>https://www.acaps.org/country/India/crisis/Regional-Kashmir-conflict</v>
      </c>
      <c r="L59" s="283"/>
      <c r="M59" s="284" t="s">
        <v>3233</v>
      </c>
      <c r="N59" s="11" t="str">
        <f>IF(ISNONTEXT(M59),_xlfn.DAYS(About!$A$3,'Crisis info'!M59),"More than 2 years")</f>
        <v>More than 2 years</v>
      </c>
    </row>
    <row r="60" spans="1:14" x14ac:dyDescent="0.3">
      <c r="A60" s="283" t="s">
        <v>1453</v>
      </c>
      <c r="B60" s="283"/>
      <c r="C60" s="283"/>
      <c r="D60" s="283" t="s">
        <v>144</v>
      </c>
      <c r="E60" s="283" t="s">
        <v>1452</v>
      </c>
      <c r="F60" s="283" t="s">
        <v>143</v>
      </c>
      <c r="G60" s="283" t="s">
        <v>1504</v>
      </c>
      <c r="H60" s="283" t="s">
        <v>650</v>
      </c>
      <c r="I60" s="283" t="s">
        <v>144</v>
      </c>
      <c r="J60" s="283" t="s">
        <v>1452</v>
      </c>
      <c r="K60" s="11" t="str">
        <f t="shared" si="1"/>
        <v>https://www.acaps.org/country/Indonesia/crisis/Papua-Conflict</v>
      </c>
      <c r="L60" s="11"/>
      <c r="M60" s="284">
        <v>43647</v>
      </c>
      <c r="N60" s="11">
        <f>IF(ISNONTEXT(M60),_xlfn.DAYS(About!$A$3,'Crisis info'!M60),"More than 2 years")</f>
        <v>493</v>
      </c>
    </row>
    <row r="61" spans="1:14" x14ac:dyDescent="0.3">
      <c r="A61" s="283" t="s">
        <v>2588</v>
      </c>
      <c r="B61" s="283"/>
      <c r="C61" s="283"/>
      <c r="D61" s="283" t="s">
        <v>385</v>
      </c>
      <c r="E61" s="283" t="s">
        <v>2262</v>
      </c>
      <c r="F61" s="283" t="s">
        <v>145</v>
      </c>
      <c r="G61" s="283" t="s">
        <v>1508</v>
      </c>
      <c r="H61" s="283" t="s">
        <v>1280</v>
      </c>
      <c r="I61" s="283" t="s">
        <v>385</v>
      </c>
      <c r="J61" s="283" t="s">
        <v>2138</v>
      </c>
      <c r="K61" s="11" t="str">
        <f t="shared" si="1"/>
        <v>https://www.acaps.org/country/Iran/crisis/Afghan-Refugees</v>
      </c>
      <c r="L61" s="283" t="s">
        <v>572</v>
      </c>
      <c r="M61" s="284">
        <v>43920</v>
      </c>
      <c r="N61" s="11">
        <f>IF(ISNONTEXT(M61),_xlfn.DAYS(About!$A$3,'Crisis info'!M61),"More than 2 years")</f>
        <v>220</v>
      </c>
    </row>
    <row r="62" spans="1:14" x14ac:dyDescent="0.3">
      <c r="A62" s="283" t="s">
        <v>586</v>
      </c>
      <c r="B62" s="283"/>
      <c r="C62" s="283"/>
      <c r="D62" s="283" t="s">
        <v>147</v>
      </c>
      <c r="E62" s="283" t="s">
        <v>1163</v>
      </c>
      <c r="F62" s="283" t="s">
        <v>146</v>
      </c>
      <c r="G62" s="283" t="s">
        <v>1508</v>
      </c>
      <c r="H62" s="283" t="s">
        <v>2959</v>
      </c>
      <c r="I62" s="283" t="s">
        <v>147</v>
      </c>
      <c r="J62" s="283" t="s">
        <v>1392</v>
      </c>
      <c r="K62" s="11" t="str">
        <f t="shared" si="1"/>
        <v>https://www.acaps.org/country/Iraq/crisis/Country-level</v>
      </c>
      <c r="L62" s="11"/>
      <c r="M62" s="284" t="s">
        <v>3233</v>
      </c>
      <c r="N62" s="11" t="str">
        <f>IF(ISNONTEXT(M62),_xlfn.DAYS(About!$A$3,'Crisis info'!M62),"More than 2 years")</f>
        <v>More than 2 years</v>
      </c>
    </row>
    <row r="63" spans="1:14" x14ac:dyDescent="0.3">
      <c r="A63" s="283" t="s">
        <v>659</v>
      </c>
      <c r="B63" s="283"/>
      <c r="C63" s="283"/>
      <c r="D63" s="283" t="s">
        <v>147</v>
      </c>
      <c r="E63" s="283" t="s">
        <v>766</v>
      </c>
      <c r="F63" s="283" t="s">
        <v>146</v>
      </c>
      <c r="G63" s="283" t="s">
        <v>1508</v>
      </c>
      <c r="H63" s="283" t="s">
        <v>650</v>
      </c>
      <c r="I63" s="283" t="s">
        <v>147</v>
      </c>
      <c r="J63" s="283" t="s">
        <v>650</v>
      </c>
      <c r="K63" s="11" t="str">
        <f t="shared" si="1"/>
        <v>https://www.acaps.org/country/Iraq/crisis/Conflict</v>
      </c>
      <c r="L63" s="11"/>
      <c r="M63" s="284" t="s">
        <v>3233</v>
      </c>
      <c r="N63" s="11" t="str">
        <f>IF(ISNONTEXT(M63),_xlfn.DAYS(About!$A$3,'Crisis info'!M63),"More than 2 years")</f>
        <v>More than 2 years</v>
      </c>
    </row>
    <row r="64" spans="1:14" x14ac:dyDescent="0.3">
      <c r="A64" s="283" t="s">
        <v>660</v>
      </c>
      <c r="B64" s="283"/>
      <c r="C64" s="283"/>
      <c r="D64" s="283" t="s">
        <v>147</v>
      </c>
      <c r="E64" s="283" t="s">
        <v>1089</v>
      </c>
      <c r="F64" s="283" t="s">
        <v>146</v>
      </c>
      <c r="G64" s="283" t="s">
        <v>1508</v>
      </c>
      <c r="H64" s="283" t="s">
        <v>1280</v>
      </c>
      <c r="I64" s="283" t="s">
        <v>147</v>
      </c>
      <c r="J64" s="283" t="s">
        <v>1400</v>
      </c>
      <c r="K64" s="11" t="str">
        <f t="shared" si="1"/>
        <v>https://www.acaps.org/country/Iraq/crisis/Syrian-Refugees</v>
      </c>
      <c r="L64" s="283" t="s">
        <v>594</v>
      </c>
      <c r="M64" s="284" t="s">
        <v>3233</v>
      </c>
      <c r="N64" s="11" t="str">
        <f>IF(ISNONTEXT(M64),_xlfn.DAYS(About!$A$3,'Crisis info'!M64),"More than 2 years")</f>
        <v>More than 2 years</v>
      </c>
    </row>
    <row r="65" spans="1:14" x14ac:dyDescent="0.3">
      <c r="A65" s="283" t="s">
        <v>2923</v>
      </c>
      <c r="B65" s="283"/>
      <c r="C65" s="283"/>
      <c r="D65" s="283" t="s">
        <v>159</v>
      </c>
      <c r="E65" s="283" t="s">
        <v>1116</v>
      </c>
      <c r="F65" s="283" t="s">
        <v>158</v>
      </c>
      <c r="G65" s="283" t="s">
        <v>1508</v>
      </c>
      <c r="H65" s="283" t="s">
        <v>1280</v>
      </c>
      <c r="I65" s="283" t="s">
        <v>159</v>
      </c>
      <c r="J65" s="283" t="s">
        <v>1399</v>
      </c>
      <c r="K65" s="11" t="str">
        <f t="shared" si="1"/>
        <v>https://www.acaps.org/country/Jordan/crisis/Syrian-refugees</v>
      </c>
      <c r="L65" s="283" t="s">
        <v>594</v>
      </c>
      <c r="M65" s="284" t="s">
        <v>3233</v>
      </c>
      <c r="N65" s="11" t="str">
        <f>IF(ISNONTEXT(M65),_xlfn.DAYS(About!$A$3,'Crisis info'!M65),"More than 2 years")</f>
        <v>More than 2 years</v>
      </c>
    </row>
    <row r="66" spans="1:14" x14ac:dyDescent="0.3">
      <c r="A66" s="283" t="s">
        <v>1387</v>
      </c>
      <c r="B66" s="283"/>
      <c r="C66" s="283"/>
      <c r="D66" s="283" t="s">
        <v>163</v>
      </c>
      <c r="E66" s="283" t="s">
        <v>1386</v>
      </c>
      <c r="F66" s="283" t="s">
        <v>162</v>
      </c>
      <c r="G66" s="283" t="s">
        <v>1505</v>
      </c>
      <c r="H66" s="283" t="s">
        <v>2959</v>
      </c>
      <c r="I66" s="283" t="s">
        <v>163</v>
      </c>
      <c r="J66" s="283" t="s">
        <v>1392</v>
      </c>
      <c r="K66" s="11" t="str">
        <f t="shared" si="1"/>
        <v>https://www.acaps.org/country/Kenya/crisis/Country-level</v>
      </c>
      <c r="L66" s="11"/>
      <c r="M66" s="284">
        <v>43617</v>
      </c>
      <c r="N66" s="11">
        <f>IF(ISNONTEXT(M66),_xlfn.DAYS(About!$A$3,'Crisis info'!M66),"More than 2 years")</f>
        <v>523</v>
      </c>
    </row>
    <row r="67" spans="1:14" x14ac:dyDescent="0.3">
      <c r="A67" s="283" t="s">
        <v>690</v>
      </c>
      <c r="B67" s="283"/>
      <c r="C67" s="283"/>
      <c r="D67" s="283" t="s">
        <v>163</v>
      </c>
      <c r="E67" s="283" t="s">
        <v>1090</v>
      </c>
      <c r="F67" s="283" t="s">
        <v>162</v>
      </c>
      <c r="G67" s="283" t="s">
        <v>1505</v>
      </c>
      <c r="H67" s="283" t="s">
        <v>1280</v>
      </c>
      <c r="I67" s="283" t="s">
        <v>163</v>
      </c>
      <c r="J67" s="283" t="s">
        <v>1401</v>
      </c>
      <c r="K67" s="11" t="str">
        <f t="shared" si="1"/>
        <v>https://www.acaps.org/country/Kenya/crisis/Refugee-situation</v>
      </c>
      <c r="L67" s="11"/>
      <c r="M67" s="284" t="s">
        <v>3233</v>
      </c>
      <c r="N67" s="11" t="str">
        <f>IF(ISNONTEXT(M67),_xlfn.DAYS(About!$A$3,'Crisis info'!M67),"More than 2 years")</f>
        <v>More than 2 years</v>
      </c>
    </row>
    <row r="68" spans="1:14" x14ac:dyDescent="0.3">
      <c r="A68" s="283" t="s">
        <v>1388</v>
      </c>
      <c r="B68" s="283" t="s">
        <v>3243</v>
      </c>
      <c r="C68" s="283" t="s">
        <v>3243</v>
      </c>
      <c r="D68" s="283" t="s">
        <v>163</v>
      </c>
      <c r="E68" s="283" t="s">
        <v>1418</v>
      </c>
      <c r="F68" s="283" t="s">
        <v>162</v>
      </c>
      <c r="G68" s="283" t="s">
        <v>1505</v>
      </c>
      <c r="H68" s="283" t="s">
        <v>651</v>
      </c>
      <c r="I68" s="283" t="s">
        <v>163</v>
      </c>
      <c r="J68" s="283" t="s">
        <v>651</v>
      </c>
      <c r="K68" s="11" t="str">
        <f t="shared" si="1"/>
        <v>https://www.acaps.org/country/Kenya/crisis/Drought</v>
      </c>
      <c r="L68" s="11"/>
      <c r="M68" s="284">
        <v>43647</v>
      </c>
      <c r="N68" s="11">
        <f>IF(ISNONTEXT(M68),_xlfn.DAYS(About!$A$3,'Crisis info'!M68),"More than 2 years")</f>
        <v>493</v>
      </c>
    </row>
    <row r="69" spans="1:14" x14ac:dyDescent="0.3">
      <c r="A69" s="283" t="s">
        <v>2589</v>
      </c>
      <c r="B69" s="283"/>
      <c r="C69" s="283"/>
      <c r="D69" s="283" t="s">
        <v>163</v>
      </c>
      <c r="E69" s="283" t="s">
        <v>2263</v>
      </c>
      <c r="F69" s="283" t="s">
        <v>162</v>
      </c>
      <c r="G69" s="283" t="s">
        <v>1505</v>
      </c>
      <c r="H69" s="283" t="s">
        <v>1279</v>
      </c>
      <c r="I69" s="283" t="s">
        <v>163</v>
      </c>
      <c r="J69" s="283" t="s">
        <v>2264</v>
      </c>
      <c r="K69" s="11" t="str">
        <f t="shared" si="1"/>
        <v>https://www.acaps.org/country/Kenya/crisis/Flooding-and-Landslides</v>
      </c>
      <c r="L69" s="11"/>
      <c r="M69" s="284">
        <v>43949</v>
      </c>
      <c r="N69" s="11">
        <f>IF(ISNONTEXT(M69),_xlfn.DAYS(About!$A$3,'Crisis info'!M69),"More than 2 years")</f>
        <v>191</v>
      </c>
    </row>
    <row r="70" spans="1:14" x14ac:dyDescent="0.3">
      <c r="A70" s="283" t="s">
        <v>1746</v>
      </c>
      <c r="B70" s="283"/>
      <c r="C70" s="283"/>
      <c r="D70" s="283" t="s">
        <v>174</v>
      </c>
      <c r="E70" s="283" t="s">
        <v>1092</v>
      </c>
      <c r="F70" s="283" t="s">
        <v>173</v>
      </c>
      <c r="G70" s="283" t="s">
        <v>1508</v>
      </c>
      <c r="H70" s="283" t="s">
        <v>1280</v>
      </c>
      <c r="I70" s="283" t="s">
        <v>174</v>
      </c>
      <c r="J70" s="283" t="s">
        <v>1399</v>
      </c>
      <c r="K70" s="11" t="str">
        <f t="shared" si="1"/>
        <v>https://www.acaps.org/country/Lebanon/crisis/Syrian-refugees</v>
      </c>
      <c r="L70" s="283" t="s">
        <v>594</v>
      </c>
      <c r="M70" s="284" t="s">
        <v>3233</v>
      </c>
      <c r="N70" s="11" t="str">
        <f>IF(ISNONTEXT(M70),_xlfn.DAYS(About!$A$3,'Crisis info'!M70),"More than 2 years")</f>
        <v>More than 2 years</v>
      </c>
    </row>
    <row r="71" spans="1:14" x14ac:dyDescent="0.3">
      <c r="A71" s="283" t="s">
        <v>2590</v>
      </c>
      <c r="B71" s="283"/>
      <c r="C71" s="283"/>
      <c r="D71" s="283" t="s">
        <v>174</v>
      </c>
      <c r="E71" s="283" t="s">
        <v>2266</v>
      </c>
      <c r="F71" s="283" t="s">
        <v>173</v>
      </c>
      <c r="G71" s="283" t="s">
        <v>1508</v>
      </c>
      <c r="H71" s="283" t="s">
        <v>1282</v>
      </c>
      <c r="I71" s="283" t="s">
        <v>174</v>
      </c>
      <c r="J71" s="283" t="s">
        <v>1406</v>
      </c>
      <c r="K71" s="11" t="str">
        <f t="shared" si="1"/>
        <v>https://www.acaps.org/country/Lebanon/crisis/Socioeconomic-crisis</v>
      </c>
      <c r="L71" s="11"/>
      <c r="M71" s="284">
        <v>43950</v>
      </c>
      <c r="N71" s="11">
        <f>IF(ISNONTEXT(M71),_xlfn.DAYS(About!$A$3,'Crisis info'!M71),"More than 2 years")</f>
        <v>190</v>
      </c>
    </row>
    <row r="72" spans="1:14" x14ac:dyDescent="0.3">
      <c r="A72" s="283" t="s">
        <v>2931</v>
      </c>
      <c r="B72" s="283" t="s">
        <v>3251</v>
      </c>
      <c r="C72" s="283" t="s">
        <v>3251</v>
      </c>
      <c r="D72" s="283" t="s">
        <v>174</v>
      </c>
      <c r="E72" s="283" t="s">
        <v>2808</v>
      </c>
      <c r="F72" s="283" t="s">
        <v>173</v>
      </c>
      <c r="G72" s="283" t="s">
        <v>1508</v>
      </c>
      <c r="H72" s="283" t="s">
        <v>2960</v>
      </c>
      <c r="I72" s="283" t="s">
        <v>174</v>
      </c>
      <c r="J72" s="283" t="s">
        <v>2932</v>
      </c>
      <c r="K72" s="11" t="str">
        <f t="shared" si="1"/>
        <v>https://www.acaps.org/country/Lebanon/crisis/Beirut-Explosion</v>
      </c>
      <c r="L72" s="11"/>
      <c r="M72" s="284">
        <v>44064</v>
      </c>
      <c r="N72" s="11">
        <f>IF(ISNONTEXT(M72),_xlfn.DAYS(About!$A$3,'Crisis info'!M72),"More than 2 years")</f>
        <v>76</v>
      </c>
    </row>
    <row r="73" spans="1:14" x14ac:dyDescent="0.3">
      <c r="A73" s="283" t="s">
        <v>684</v>
      </c>
      <c r="B73" s="283"/>
      <c r="C73" s="283"/>
      <c r="D73" s="283" t="s">
        <v>176</v>
      </c>
      <c r="E73" s="283" t="s">
        <v>792</v>
      </c>
      <c r="F73" s="283" t="s">
        <v>175</v>
      </c>
      <c r="G73" s="283" t="s">
        <v>1505</v>
      </c>
      <c r="H73" s="283" t="s">
        <v>651</v>
      </c>
      <c r="I73" s="283" t="s">
        <v>176</v>
      </c>
      <c r="J73" s="283" t="s">
        <v>651</v>
      </c>
      <c r="K73" s="11" t="str">
        <f t="shared" si="1"/>
        <v>https://www.acaps.org/country/Lesotho/crisis/Drought</v>
      </c>
      <c r="L73" s="283" t="s">
        <v>2135</v>
      </c>
      <c r="M73" s="284" t="s">
        <v>3233</v>
      </c>
      <c r="N73" s="11" t="str">
        <f>IF(ISNONTEXT(M73),_xlfn.DAYS(About!$A$3,'Crisis info'!M73),"More than 2 years")</f>
        <v>More than 2 years</v>
      </c>
    </row>
    <row r="74" spans="1:14" ht="39.6" x14ac:dyDescent="0.3">
      <c r="A74" s="283" t="s">
        <v>2135</v>
      </c>
      <c r="B74" s="283"/>
      <c r="C74" s="283"/>
      <c r="D74" s="283" t="s">
        <v>2134</v>
      </c>
      <c r="E74" s="283" t="s">
        <v>2100</v>
      </c>
      <c r="F74" s="283" t="s">
        <v>2136</v>
      </c>
      <c r="G74" s="283" t="s">
        <v>1505</v>
      </c>
      <c r="H74" s="283" t="s">
        <v>1281</v>
      </c>
      <c r="I74" s="283" t="s">
        <v>176</v>
      </c>
      <c r="J74" s="283" t="s">
        <v>2100</v>
      </c>
      <c r="K74" s="11" t="str">
        <f t="shared" si="1"/>
        <v>https://www.acaps.org/country/Lesotho/crisis/Southern-Africa-Regional-Food-Security-Crisis</v>
      </c>
      <c r="L74" s="11"/>
      <c r="M74" s="284">
        <v>44014</v>
      </c>
      <c r="N74" s="11">
        <f>IF(ISNONTEXT(M74),_xlfn.DAYS(About!$A$3,'Crisis info'!M74),"More than 2 years")</f>
        <v>126</v>
      </c>
    </row>
    <row r="75" spans="1:14" x14ac:dyDescent="0.3">
      <c r="A75" s="283" t="s">
        <v>587</v>
      </c>
      <c r="B75" s="283"/>
      <c r="C75" s="283"/>
      <c r="D75" s="283" t="s">
        <v>180</v>
      </c>
      <c r="E75" s="283" t="s">
        <v>1094</v>
      </c>
      <c r="F75" s="283" t="s">
        <v>179</v>
      </c>
      <c r="G75" s="283" t="s">
        <v>1505</v>
      </c>
      <c r="H75" s="283" t="s">
        <v>2959</v>
      </c>
      <c r="I75" s="283" t="s">
        <v>180</v>
      </c>
      <c r="J75" s="283" t="s">
        <v>691</v>
      </c>
      <c r="K75" s="11" t="str">
        <f t="shared" ref="K75:K139" si="2">"https://www.acaps.org/country/"&amp;I75&amp;"/crisis/"&amp;SUBSTITUTE(J75," ","-")</f>
        <v>https://www.acaps.org/country/Libya/crisis/Complex-crisis</v>
      </c>
      <c r="L75" s="11"/>
      <c r="M75" s="284" t="s">
        <v>3233</v>
      </c>
      <c r="N75" s="11" t="str">
        <f>IF(ISNONTEXT(M75),_xlfn.DAYS(About!$A$3,'Crisis info'!M75),"More than 2 years")</f>
        <v>More than 2 years</v>
      </c>
    </row>
    <row r="76" spans="1:14" x14ac:dyDescent="0.3">
      <c r="A76" s="283" t="s">
        <v>865</v>
      </c>
      <c r="B76" s="283"/>
      <c r="C76" s="283"/>
      <c r="D76" s="283" t="s">
        <v>180</v>
      </c>
      <c r="E76" s="283" t="s">
        <v>800</v>
      </c>
      <c r="F76" s="283" t="s">
        <v>179</v>
      </c>
      <c r="G76" s="283" t="s">
        <v>1505</v>
      </c>
      <c r="H76" s="283" t="s">
        <v>1280</v>
      </c>
      <c r="I76" s="283" t="s">
        <v>180</v>
      </c>
      <c r="J76" s="283" t="s">
        <v>1389</v>
      </c>
      <c r="K76" s="11" t="str">
        <f t="shared" si="2"/>
        <v>https://www.acaps.org/country/Libya/crisis/Mixed-Migration</v>
      </c>
      <c r="L76" s="11"/>
      <c r="M76" s="284" t="s">
        <v>3233</v>
      </c>
      <c r="N76" s="11" t="str">
        <f>IF(ISNONTEXT(M76),_xlfn.DAYS(About!$A$3,'Crisis info'!M76),"More than 2 years")</f>
        <v>More than 2 years</v>
      </c>
    </row>
    <row r="77" spans="1:14" x14ac:dyDescent="0.3">
      <c r="A77" s="283" t="s">
        <v>2924</v>
      </c>
      <c r="B77" s="283"/>
      <c r="C77" s="283"/>
      <c r="D77" s="283" t="s">
        <v>189</v>
      </c>
      <c r="E77" s="283" t="s">
        <v>789</v>
      </c>
      <c r="F77" s="283" t="s">
        <v>188</v>
      </c>
      <c r="G77" s="283" t="s">
        <v>1505</v>
      </c>
      <c r="H77" s="283" t="s">
        <v>651</v>
      </c>
      <c r="I77" s="283" t="s">
        <v>189</v>
      </c>
      <c r="J77" s="283" t="s">
        <v>651</v>
      </c>
      <c r="K77" s="11" t="str">
        <f t="shared" si="2"/>
        <v>https://www.acaps.org/country/Madagascar/crisis/Drought</v>
      </c>
      <c r="L77" s="283" t="s">
        <v>2135</v>
      </c>
      <c r="M77" s="284" t="s">
        <v>3233</v>
      </c>
      <c r="N77" s="11" t="str">
        <f>IF(ISNONTEXT(M77),_xlfn.DAYS(About!$A$3,'Crisis info'!M77),"More than 2 years")</f>
        <v>More than 2 years</v>
      </c>
    </row>
    <row r="78" spans="1:14" x14ac:dyDescent="0.3">
      <c r="A78" s="283" t="s">
        <v>2101</v>
      </c>
      <c r="B78" s="283" t="s">
        <v>3244</v>
      </c>
      <c r="C78" s="283" t="s">
        <v>3244</v>
      </c>
      <c r="D78" s="283" t="s">
        <v>189</v>
      </c>
      <c r="E78" s="283" t="s">
        <v>2026</v>
      </c>
      <c r="F78" s="283" t="s">
        <v>188</v>
      </c>
      <c r="G78" s="283" t="s">
        <v>1505</v>
      </c>
      <c r="H78" s="283" t="s">
        <v>1279</v>
      </c>
      <c r="I78" s="283" t="s">
        <v>189</v>
      </c>
      <c r="J78" s="283" t="s">
        <v>2026</v>
      </c>
      <c r="K78" s="11" t="str">
        <f t="shared" si="2"/>
        <v>https://www.acaps.org/country/Madagascar/crisis/Floods-in-Madagascar</v>
      </c>
      <c r="L78" s="11"/>
      <c r="M78" s="289">
        <v>43852</v>
      </c>
      <c r="N78" s="11">
        <f>IF(ISNONTEXT(M78),_xlfn.DAYS(About!$A$3,'Crisis info'!M78),"More than 2 years")</f>
        <v>288</v>
      </c>
    </row>
    <row r="79" spans="1:14" x14ac:dyDescent="0.3">
      <c r="A79" s="283" t="s">
        <v>2102</v>
      </c>
      <c r="B79" s="283"/>
      <c r="C79" s="283"/>
      <c r="D79" s="283" t="s">
        <v>189</v>
      </c>
      <c r="E79" s="283" t="s">
        <v>2045</v>
      </c>
      <c r="F79" s="283" t="s">
        <v>188</v>
      </c>
      <c r="G79" s="283" t="s">
        <v>1505</v>
      </c>
      <c r="H79" s="283" t="s">
        <v>691</v>
      </c>
      <c r="I79" s="283" t="s">
        <v>189</v>
      </c>
      <c r="J79" s="283" t="s">
        <v>2045</v>
      </c>
      <c r="K79" s="11" t="str">
        <f t="shared" si="2"/>
        <v>https://www.acaps.org/country/Madagascar/crisis/Complex-Country-Crisis-in-Madagascar</v>
      </c>
      <c r="L79" s="11"/>
      <c r="M79" s="284">
        <v>44014</v>
      </c>
      <c r="N79" s="11">
        <f>IF(ISNONTEXT(M79),_xlfn.DAYS(About!$A$3,'Crisis info'!M79),"More than 2 years")</f>
        <v>126</v>
      </c>
    </row>
    <row r="80" spans="1:14" x14ac:dyDescent="0.3">
      <c r="A80" s="283" t="s">
        <v>2925</v>
      </c>
      <c r="B80" s="283"/>
      <c r="C80" s="283"/>
      <c r="D80" s="283" t="s">
        <v>191</v>
      </c>
      <c r="E80" s="283" t="s">
        <v>1456</v>
      </c>
      <c r="F80" s="283" t="s">
        <v>190</v>
      </c>
      <c r="G80" s="283" t="s">
        <v>1505</v>
      </c>
      <c r="H80" s="283" t="s">
        <v>691</v>
      </c>
      <c r="I80" s="283" t="s">
        <v>191</v>
      </c>
      <c r="J80" s="283" t="s">
        <v>1409</v>
      </c>
      <c r="K80" s="11" t="str">
        <f t="shared" si="2"/>
        <v>https://www.acaps.org/country/Malawi/crisis/Complex</v>
      </c>
      <c r="L80" s="283" t="s">
        <v>2135</v>
      </c>
      <c r="M80" s="284" t="s">
        <v>3233</v>
      </c>
      <c r="N80" s="11" t="str">
        <f>IF(ISNONTEXT(M80),_xlfn.DAYS(About!$A$3,'Crisis info'!M80),"More than 2 years")</f>
        <v>More than 2 years</v>
      </c>
    </row>
    <row r="81" spans="1:14" x14ac:dyDescent="0.3">
      <c r="A81" s="283" t="s">
        <v>588</v>
      </c>
      <c r="B81" s="283"/>
      <c r="C81" s="283"/>
      <c r="D81" s="283" t="s">
        <v>197</v>
      </c>
      <c r="E81" s="283" t="s">
        <v>1096</v>
      </c>
      <c r="F81" s="283" t="s">
        <v>196</v>
      </c>
      <c r="G81" s="283" t="s">
        <v>1505</v>
      </c>
      <c r="H81" s="283" t="s">
        <v>691</v>
      </c>
      <c r="I81" s="283" t="s">
        <v>197</v>
      </c>
      <c r="J81" s="283" t="s">
        <v>691</v>
      </c>
      <c r="K81" s="11" t="str">
        <f t="shared" si="2"/>
        <v>https://www.acaps.org/country/Mali/crisis/Complex-crisis</v>
      </c>
      <c r="L81" s="11"/>
      <c r="M81" s="284" t="s">
        <v>3233</v>
      </c>
      <c r="N81" s="11" t="str">
        <f>IF(ISNONTEXT(M81),_xlfn.DAYS(About!$A$3,'Crisis info'!M81),"More than 2 years")</f>
        <v>More than 2 years</v>
      </c>
    </row>
    <row r="82" spans="1:14" x14ac:dyDescent="0.3">
      <c r="A82" s="283" t="s">
        <v>676</v>
      </c>
      <c r="B82" s="283"/>
      <c r="C82" s="283"/>
      <c r="D82" s="283" t="s">
        <v>203</v>
      </c>
      <c r="E82" s="283" t="s">
        <v>1069</v>
      </c>
      <c r="F82" s="283" t="s">
        <v>202</v>
      </c>
      <c r="G82" s="283" t="s">
        <v>1505</v>
      </c>
      <c r="H82" s="283" t="s">
        <v>1280</v>
      </c>
      <c r="I82" s="283" t="s">
        <v>203</v>
      </c>
      <c r="J82" s="283" t="s">
        <v>1402</v>
      </c>
      <c r="K82" s="11" t="str">
        <f t="shared" si="2"/>
        <v>https://www.acaps.org/country/Mauritania/crisis/Malian-refugees</v>
      </c>
      <c r="L82" s="283" t="s">
        <v>588</v>
      </c>
      <c r="M82" s="284" t="s">
        <v>3233</v>
      </c>
      <c r="N82" s="11" t="str">
        <f>IF(ISNONTEXT(M82),_xlfn.DAYS(About!$A$3,'Crisis info'!M82),"More than 2 years")</f>
        <v>More than 2 years</v>
      </c>
    </row>
    <row r="83" spans="1:14" x14ac:dyDescent="0.3">
      <c r="A83" s="283" t="s">
        <v>677</v>
      </c>
      <c r="B83" s="283"/>
      <c r="C83" s="283"/>
      <c r="D83" s="283" t="s">
        <v>203</v>
      </c>
      <c r="E83" s="283" t="s">
        <v>2859</v>
      </c>
      <c r="F83" s="283" t="s">
        <v>202</v>
      </c>
      <c r="G83" s="283" t="s">
        <v>1505</v>
      </c>
      <c r="H83" s="283" t="s">
        <v>651</v>
      </c>
      <c r="I83" s="283" t="s">
        <v>203</v>
      </c>
      <c r="J83" s="283" t="s">
        <v>1283</v>
      </c>
      <c r="K83" s="11" t="str">
        <f t="shared" si="2"/>
        <v>https://www.acaps.org/country/Mauritania/crisis/Food-security</v>
      </c>
      <c r="L83" s="11"/>
      <c r="M83" s="284" t="s">
        <v>3233</v>
      </c>
      <c r="N83" s="11" t="str">
        <f>IF(ISNONTEXT(M83),_xlfn.DAYS(About!$A$3,'Crisis info'!M83),"More than 2 years")</f>
        <v>More than 2 years</v>
      </c>
    </row>
    <row r="84" spans="1:14" x14ac:dyDescent="0.3">
      <c r="A84" s="283" t="s">
        <v>1748</v>
      </c>
      <c r="B84" s="283"/>
      <c r="C84" s="283"/>
      <c r="D84" s="283" t="s">
        <v>207</v>
      </c>
      <c r="E84" s="283" t="s">
        <v>1747</v>
      </c>
      <c r="F84" s="283" t="s">
        <v>206</v>
      </c>
      <c r="G84" s="283" t="s">
        <v>1507</v>
      </c>
      <c r="H84" s="283" t="s">
        <v>2959</v>
      </c>
      <c r="I84" s="283" t="s">
        <v>207</v>
      </c>
      <c r="J84" s="283" t="s">
        <v>1749</v>
      </c>
      <c r="K84" s="11" t="str">
        <f t="shared" si="2"/>
        <v>https://www.acaps.org/country/Mexico/crisis/Country-Level</v>
      </c>
      <c r="L84" s="11"/>
      <c r="M84" s="284">
        <v>43801</v>
      </c>
      <c r="N84" s="11">
        <f>IF(ISNONTEXT(M84),_xlfn.DAYS(About!$A$3,'Crisis info'!M84),"More than 2 years")</f>
        <v>339</v>
      </c>
    </row>
    <row r="85" spans="1:14" x14ac:dyDescent="0.3">
      <c r="A85" s="283" t="s">
        <v>1638</v>
      </c>
      <c r="B85" s="283"/>
      <c r="C85" s="283"/>
      <c r="D85" s="283" t="s">
        <v>207</v>
      </c>
      <c r="E85" s="283" t="s">
        <v>1750</v>
      </c>
      <c r="F85" s="283" t="s">
        <v>206</v>
      </c>
      <c r="G85" s="283" t="s">
        <v>1507</v>
      </c>
      <c r="H85" s="283" t="s">
        <v>1284</v>
      </c>
      <c r="I85" s="283" t="s">
        <v>207</v>
      </c>
      <c r="J85" s="283" t="s">
        <v>1639</v>
      </c>
      <c r="K85" s="11" t="str">
        <f t="shared" si="2"/>
        <v>https://www.acaps.org/country/Mexico/crisis/Criminal-Violence</v>
      </c>
      <c r="L85" s="11"/>
      <c r="M85" s="284">
        <v>43801</v>
      </c>
      <c r="N85" s="11">
        <f>IF(ISNONTEXT(M85),_xlfn.DAYS(About!$A$3,'Crisis info'!M85),"More than 2 years")</f>
        <v>339</v>
      </c>
    </row>
    <row r="86" spans="1:14" x14ac:dyDescent="0.3">
      <c r="A86" s="283" t="s">
        <v>1640</v>
      </c>
      <c r="B86" s="283"/>
      <c r="C86" s="283"/>
      <c r="D86" s="283" t="s">
        <v>207</v>
      </c>
      <c r="E86" s="283" t="s">
        <v>1751</v>
      </c>
      <c r="F86" s="283" t="s">
        <v>206</v>
      </c>
      <c r="G86" s="283" t="s">
        <v>1507</v>
      </c>
      <c r="H86" s="283" t="s">
        <v>1280</v>
      </c>
      <c r="I86" s="283" t="s">
        <v>207</v>
      </c>
      <c r="J86" s="283" t="s">
        <v>1389</v>
      </c>
      <c r="K86" s="11" t="str">
        <f t="shared" si="2"/>
        <v>https://www.acaps.org/country/Mexico/crisis/Mixed-Migration</v>
      </c>
      <c r="L86" s="11"/>
      <c r="M86" s="284">
        <v>43801</v>
      </c>
      <c r="N86" s="11">
        <f>IF(ISNONTEXT(M86),_xlfn.DAYS(About!$A$3,'Crisis info'!M86),"More than 2 years")</f>
        <v>339</v>
      </c>
    </row>
    <row r="87" spans="1:14" x14ac:dyDescent="0.3">
      <c r="A87" s="283" t="s">
        <v>686</v>
      </c>
      <c r="B87" s="283"/>
      <c r="C87" s="283"/>
      <c r="D87" s="283" t="s">
        <v>215</v>
      </c>
      <c r="E87" s="283" t="s">
        <v>794</v>
      </c>
      <c r="F87" s="283" t="s">
        <v>214</v>
      </c>
      <c r="G87" s="283" t="s">
        <v>1505</v>
      </c>
      <c r="H87" s="283" t="s">
        <v>1280</v>
      </c>
      <c r="I87" s="283" t="s">
        <v>215</v>
      </c>
      <c r="J87" s="283" t="s">
        <v>1389</v>
      </c>
      <c r="K87" s="11" t="str">
        <f t="shared" si="2"/>
        <v>https://www.acaps.org/country/Morocco/crisis/Mixed-Migration</v>
      </c>
      <c r="L87" s="11"/>
      <c r="M87" s="284" t="s">
        <v>3233</v>
      </c>
      <c r="N87" s="11" t="str">
        <f>IF(ISNONTEXT(M87),_xlfn.DAYS(About!$A$3,'Crisis info'!M87),"More than 2 years")</f>
        <v>More than 2 years</v>
      </c>
    </row>
    <row r="88" spans="1:14" x14ac:dyDescent="0.3">
      <c r="A88" s="283" t="s">
        <v>2917</v>
      </c>
      <c r="B88" s="283"/>
      <c r="C88" s="283"/>
      <c r="D88" s="283" t="s">
        <v>217</v>
      </c>
      <c r="E88" s="283" t="s">
        <v>1482</v>
      </c>
      <c r="F88" s="283" t="s">
        <v>216</v>
      </c>
      <c r="G88" s="283" t="s">
        <v>1505</v>
      </c>
      <c r="H88" s="283" t="s">
        <v>691</v>
      </c>
      <c r="I88" s="283" t="s">
        <v>217</v>
      </c>
      <c r="J88" s="283" t="s">
        <v>1482</v>
      </c>
      <c r="K88" s="11" t="str">
        <f t="shared" si="2"/>
        <v>https://www.acaps.org/country/Mozambique/crisis/Complex-crisis-in-Mozambique</v>
      </c>
      <c r="L88" s="11"/>
      <c r="M88" s="284">
        <v>44014</v>
      </c>
      <c r="N88" s="11">
        <f>IF(ISNONTEXT(M88),_xlfn.DAYS(About!$A$3,'Crisis info'!M88),"More than 2 years")</f>
        <v>126</v>
      </c>
    </row>
    <row r="89" spans="1:14" x14ac:dyDescent="0.3">
      <c r="A89" s="283" t="s">
        <v>2926</v>
      </c>
      <c r="B89" s="283"/>
      <c r="C89" s="283"/>
      <c r="D89" s="283" t="s">
        <v>217</v>
      </c>
      <c r="E89" s="283" t="s">
        <v>1157</v>
      </c>
      <c r="F89" s="283" t="s">
        <v>216</v>
      </c>
      <c r="G89" s="283" t="s">
        <v>1505</v>
      </c>
      <c r="H89" s="283" t="s">
        <v>1284</v>
      </c>
      <c r="I89" s="283" t="s">
        <v>217</v>
      </c>
      <c r="J89" s="283" t="s">
        <v>1403</v>
      </c>
      <c r="K89" s="11" t="str">
        <f t="shared" si="2"/>
        <v>https://www.acaps.org/country/Mozambique/crisis/Violent-Insurgency-in-Cabo-Delgado</v>
      </c>
      <c r="L89" s="11"/>
      <c r="M89" s="284">
        <v>44014</v>
      </c>
      <c r="N89" s="11">
        <f>IF(ISNONTEXT(M89),_xlfn.DAYS(About!$A$3,'Crisis info'!M89),"More than 2 years")</f>
        <v>126</v>
      </c>
    </row>
    <row r="90" spans="1:14" x14ac:dyDescent="0.3">
      <c r="A90" s="283" t="s">
        <v>2591</v>
      </c>
      <c r="B90" s="283"/>
      <c r="C90" s="283"/>
      <c r="D90" s="283" t="s">
        <v>217</v>
      </c>
      <c r="E90" s="283" t="s">
        <v>2051</v>
      </c>
      <c r="F90" s="283" t="s">
        <v>216</v>
      </c>
      <c r="G90" s="283" t="s">
        <v>1505</v>
      </c>
      <c r="H90" s="283" t="s">
        <v>2103</v>
      </c>
      <c r="I90" s="283" t="s">
        <v>217</v>
      </c>
      <c r="J90" s="283" t="s">
        <v>2051</v>
      </c>
      <c r="K90" s="11" t="str">
        <f t="shared" si="2"/>
        <v>https://www.acaps.org/country/Mozambique/crisis/Food-Security-Crisis-in-Mozambique</v>
      </c>
      <c r="L90" s="283" t="s">
        <v>2135</v>
      </c>
      <c r="M90" s="284">
        <v>44014</v>
      </c>
      <c r="N90" s="11">
        <f>IF(ISNONTEXT(M90),_xlfn.DAYS(About!$A$3,'Crisis info'!M90),"More than 2 years")</f>
        <v>126</v>
      </c>
    </row>
    <row r="91" spans="1:14" x14ac:dyDescent="0.3">
      <c r="A91" s="283" t="s">
        <v>589</v>
      </c>
      <c r="B91" s="283"/>
      <c r="C91" s="283"/>
      <c r="D91" s="283" t="s">
        <v>357</v>
      </c>
      <c r="E91" s="283" t="s">
        <v>1164</v>
      </c>
      <c r="F91" s="283" t="s">
        <v>218</v>
      </c>
      <c r="G91" s="283" t="s">
        <v>1504</v>
      </c>
      <c r="H91" s="283" t="s">
        <v>2959</v>
      </c>
      <c r="I91" s="283" t="s">
        <v>357</v>
      </c>
      <c r="J91" s="283" t="s">
        <v>1392</v>
      </c>
      <c r="K91" s="11" t="str">
        <f t="shared" si="2"/>
        <v>https://www.acaps.org/country/Myanmar/crisis/Country-level</v>
      </c>
      <c r="L91" s="11"/>
      <c r="M91" s="284" t="s">
        <v>3233</v>
      </c>
      <c r="N91" s="11" t="str">
        <f>IF(ISNONTEXT(M91),_xlfn.DAYS(About!$A$3,'Crisis info'!M91),"More than 2 years")</f>
        <v>More than 2 years</v>
      </c>
    </row>
    <row r="92" spans="1:14" x14ac:dyDescent="0.3">
      <c r="A92" s="283" t="s">
        <v>664</v>
      </c>
      <c r="B92" s="283"/>
      <c r="C92" s="283"/>
      <c r="D92" s="283" t="s">
        <v>357</v>
      </c>
      <c r="E92" s="283" t="s">
        <v>653</v>
      </c>
      <c r="F92" s="283" t="s">
        <v>218</v>
      </c>
      <c r="G92" s="283" t="s">
        <v>1504</v>
      </c>
      <c r="H92" s="283" t="s">
        <v>650</v>
      </c>
      <c r="I92" s="283" t="s">
        <v>357</v>
      </c>
      <c r="J92" s="283" t="s">
        <v>1404</v>
      </c>
      <c r="K92" s="11" t="str">
        <f t="shared" si="2"/>
        <v>https://www.acaps.org/country/Myanmar/crisis/Rakhine-conflict</v>
      </c>
      <c r="L92" s="11"/>
      <c r="M92" s="284" t="s">
        <v>3233</v>
      </c>
      <c r="N92" s="11" t="str">
        <f>IF(ISNONTEXT(M92),_xlfn.DAYS(About!$A$3,'Crisis info'!M92),"More than 2 years")</f>
        <v>More than 2 years</v>
      </c>
    </row>
    <row r="93" spans="1:14" x14ac:dyDescent="0.3">
      <c r="A93" s="283" t="s">
        <v>665</v>
      </c>
      <c r="B93" s="283"/>
      <c r="C93" s="283"/>
      <c r="D93" s="283" t="s">
        <v>357</v>
      </c>
      <c r="E93" s="283" t="s">
        <v>654</v>
      </c>
      <c r="F93" s="283" t="s">
        <v>218</v>
      </c>
      <c r="G93" s="283" t="s">
        <v>1504</v>
      </c>
      <c r="H93" s="283" t="s">
        <v>650</v>
      </c>
      <c r="I93" s="283" t="s">
        <v>357</v>
      </c>
      <c r="J93" s="283" t="s">
        <v>1405</v>
      </c>
      <c r="K93" s="11" t="str">
        <f t="shared" si="2"/>
        <v>https://www.acaps.org/country/Myanmar/crisis/Kachin-and-Shan-conflict</v>
      </c>
      <c r="L93" s="11"/>
      <c r="M93" s="284" t="s">
        <v>3233</v>
      </c>
      <c r="N93" s="11" t="str">
        <f>IF(ISNONTEXT(M93),_xlfn.DAYS(About!$A$3,'Crisis info'!M93),"More than 2 years")</f>
        <v>More than 2 years</v>
      </c>
    </row>
    <row r="94" spans="1:14" x14ac:dyDescent="0.3">
      <c r="A94" s="283" t="s">
        <v>2104</v>
      </c>
      <c r="B94" s="283"/>
      <c r="C94" s="283"/>
      <c r="D94" s="283" t="s">
        <v>220</v>
      </c>
      <c r="E94" s="283" t="s">
        <v>2057</v>
      </c>
      <c r="F94" s="283" t="s">
        <v>219</v>
      </c>
      <c r="G94" s="283" t="s">
        <v>1505</v>
      </c>
      <c r="H94" s="283" t="s">
        <v>2103</v>
      </c>
      <c r="I94" s="283" t="s">
        <v>220</v>
      </c>
      <c r="J94" s="283" t="s">
        <v>2057</v>
      </c>
      <c r="K94" s="11" t="str">
        <f t="shared" si="2"/>
        <v>https://www.acaps.org/country/Namibia/crisis/Food-Security-Crisis-in-Namibia</v>
      </c>
      <c r="L94" s="283" t="s">
        <v>2135</v>
      </c>
      <c r="M94" s="284">
        <v>44014</v>
      </c>
      <c r="N94" s="11">
        <f>IF(ISNONTEXT(M94),_xlfn.DAYS(About!$A$3,'Crisis info'!M94),"More than 2 years")</f>
        <v>126</v>
      </c>
    </row>
    <row r="95" spans="1:14" x14ac:dyDescent="0.3">
      <c r="A95" s="283" t="s">
        <v>590</v>
      </c>
      <c r="B95" s="283"/>
      <c r="C95" s="283"/>
      <c r="D95" s="283" t="s">
        <v>230</v>
      </c>
      <c r="E95" s="283" t="s">
        <v>1098</v>
      </c>
      <c r="F95" s="283" t="s">
        <v>229</v>
      </c>
      <c r="G95" s="283" t="s">
        <v>1507</v>
      </c>
      <c r="H95" s="283" t="s">
        <v>1282</v>
      </c>
      <c r="I95" s="283" t="s">
        <v>230</v>
      </c>
      <c r="J95" s="283" t="s">
        <v>1406</v>
      </c>
      <c r="K95" s="11" t="str">
        <f t="shared" si="2"/>
        <v>https://www.acaps.org/country/Nicaragua/crisis/Socioeconomic-crisis</v>
      </c>
      <c r="L95" s="11"/>
      <c r="M95" s="284" t="s">
        <v>3233</v>
      </c>
      <c r="N95" s="11" t="str">
        <f>IF(ISNONTEXT(M95),_xlfn.DAYS(About!$A$3,'Crisis info'!M95),"More than 2 years")</f>
        <v>More than 2 years</v>
      </c>
    </row>
    <row r="96" spans="1:14" x14ac:dyDescent="0.3">
      <c r="A96" s="283" t="s">
        <v>591</v>
      </c>
      <c r="B96" s="283"/>
      <c r="C96" s="283"/>
      <c r="D96" s="283" t="s">
        <v>232</v>
      </c>
      <c r="E96" s="283" t="s">
        <v>1165</v>
      </c>
      <c r="F96" s="283" t="s">
        <v>231</v>
      </c>
      <c r="G96" s="283" t="s">
        <v>1505</v>
      </c>
      <c r="H96" s="283" t="s">
        <v>2959</v>
      </c>
      <c r="I96" s="283" t="s">
        <v>232</v>
      </c>
      <c r="J96" s="283" t="s">
        <v>1392</v>
      </c>
      <c r="K96" s="11" t="str">
        <f t="shared" si="2"/>
        <v>https://www.acaps.org/country/Niger/crisis/Country-level</v>
      </c>
      <c r="L96" s="11"/>
      <c r="M96" s="284" t="s">
        <v>3233</v>
      </c>
      <c r="N96" s="11" t="str">
        <f>IF(ISNONTEXT(M96),_xlfn.DAYS(About!$A$3,'Crisis info'!M96),"More than 2 years")</f>
        <v>More than 2 years</v>
      </c>
    </row>
    <row r="97" spans="1:14" x14ac:dyDescent="0.3">
      <c r="A97" s="283" t="s">
        <v>680</v>
      </c>
      <c r="B97" s="283"/>
      <c r="C97" s="283"/>
      <c r="D97" s="283" t="s">
        <v>232</v>
      </c>
      <c r="E97" s="283" t="s">
        <v>1099</v>
      </c>
      <c r="F97" s="283" t="s">
        <v>231</v>
      </c>
      <c r="G97" s="283" t="s">
        <v>1505</v>
      </c>
      <c r="H97" s="283" t="s">
        <v>650</v>
      </c>
      <c r="I97" s="283" t="s">
        <v>232</v>
      </c>
      <c r="J97" s="283" t="s">
        <v>1393</v>
      </c>
      <c r="K97" s="11" t="str">
        <f t="shared" si="2"/>
        <v>https://www.acaps.org/country/Niger/crisis/Boko-Haram</v>
      </c>
      <c r="L97" s="283" t="s">
        <v>675</v>
      </c>
      <c r="M97" s="284" t="s">
        <v>3233</v>
      </c>
      <c r="N97" s="11" t="str">
        <f>IF(ISNONTEXT(M97),_xlfn.DAYS(About!$A$3,'Crisis info'!M97),"More than 2 years")</f>
        <v>More than 2 years</v>
      </c>
    </row>
    <row r="98" spans="1:14" x14ac:dyDescent="0.3">
      <c r="A98" s="283" t="s">
        <v>681</v>
      </c>
      <c r="B98" s="283"/>
      <c r="C98" s="283"/>
      <c r="D98" s="283" t="s">
        <v>232</v>
      </c>
      <c r="E98" s="283" t="s">
        <v>655</v>
      </c>
      <c r="F98" s="283" t="s">
        <v>231</v>
      </c>
      <c r="G98" s="283" t="s">
        <v>1505</v>
      </c>
      <c r="H98" s="283" t="s">
        <v>650</v>
      </c>
      <c r="I98" s="283" t="s">
        <v>232</v>
      </c>
      <c r="J98" s="283" t="s">
        <v>2927</v>
      </c>
      <c r="K98" s="11" t="str">
        <f t="shared" si="2"/>
        <v>https://www.acaps.org/country/Niger/crisis/Cross-border-violence</v>
      </c>
      <c r="L98" s="11"/>
      <c r="M98" s="284" t="s">
        <v>3233</v>
      </c>
      <c r="N98" s="11" t="str">
        <f>IF(ISNONTEXT(M98),_xlfn.DAYS(About!$A$3,'Crisis info'!M98),"More than 2 years")</f>
        <v>More than 2 years</v>
      </c>
    </row>
    <row r="99" spans="1:14" x14ac:dyDescent="0.3">
      <c r="A99" s="283" t="s">
        <v>1820</v>
      </c>
      <c r="B99" s="283"/>
      <c r="C99" s="283"/>
      <c r="D99" s="283" t="s">
        <v>232</v>
      </c>
      <c r="E99" s="283" t="s">
        <v>1819</v>
      </c>
      <c r="F99" s="283" t="s">
        <v>231</v>
      </c>
      <c r="G99" s="283" t="s">
        <v>1505</v>
      </c>
      <c r="H99" s="283" t="s">
        <v>1280</v>
      </c>
      <c r="I99" s="283" t="s">
        <v>232</v>
      </c>
      <c r="J99" s="283" t="s">
        <v>1819</v>
      </c>
      <c r="K99" s="11" t="str">
        <f t="shared" si="2"/>
        <v>https://www.acaps.org/country/Niger/crisis/Nigerian-Refugees</v>
      </c>
      <c r="L99" s="283" t="s">
        <v>2918</v>
      </c>
      <c r="M99" s="284" t="s">
        <v>3234</v>
      </c>
      <c r="N99" s="11" t="str">
        <f>IF(ISNONTEXT(M99),_xlfn.DAYS(About!$A$3,'Crisis info'!M99),"More than 2 years")</f>
        <v>More than 2 years</v>
      </c>
    </row>
    <row r="100" spans="1:14" x14ac:dyDescent="0.3">
      <c r="A100" s="283" t="s">
        <v>3271</v>
      </c>
      <c r="B100" s="283"/>
      <c r="C100" s="283"/>
      <c r="D100" s="283" t="s">
        <v>232</v>
      </c>
      <c r="E100" s="283" t="s">
        <v>3270</v>
      </c>
      <c r="F100" s="283" t="s">
        <v>231</v>
      </c>
      <c r="G100" s="283" t="s">
        <v>1505</v>
      </c>
      <c r="H100" s="283" t="s">
        <v>1279</v>
      </c>
      <c r="I100" s="283" t="s">
        <v>232</v>
      </c>
      <c r="J100" s="283" t="s">
        <v>1672</v>
      </c>
      <c r="K100" s="11" t="str">
        <f t="shared" si="2"/>
        <v>https://www.acaps.org/country/Niger/crisis/Floods</v>
      </c>
      <c r="L100" s="283"/>
      <c r="M100" s="284">
        <v>44103</v>
      </c>
      <c r="N100" s="11"/>
    </row>
    <row r="101" spans="1:14" x14ac:dyDescent="0.3">
      <c r="A101" s="283" t="s">
        <v>2918</v>
      </c>
      <c r="B101" s="283"/>
      <c r="C101" s="283"/>
      <c r="D101" s="283" t="s">
        <v>234</v>
      </c>
      <c r="E101" s="283" t="s">
        <v>1417</v>
      </c>
      <c r="F101" s="283" t="s">
        <v>233</v>
      </c>
      <c r="G101" s="283" t="s">
        <v>1505</v>
      </c>
      <c r="H101" s="283" t="s">
        <v>691</v>
      </c>
      <c r="I101" s="283" t="s">
        <v>234</v>
      </c>
      <c r="J101" s="283" t="s">
        <v>691</v>
      </c>
      <c r="K101" s="11" t="str">
        <f t="shared" si="2"/>
        <v>https://www.acaps.org/country/Nigeria/crisis/Complex-crisis</v>
      </c>
      <c r="L101" s="11"/>
      <c r="M101" s="284" t="s">
        <v>3233</v>
      </c>
      <c r="N101" s="11" t="str">
        <f>IF(ISNONTEXT(M101),_xlfn.DAYS(About!$A$3,'Crisis info'!M101),"More than 2 years")</f>
        <v>More than 2 years</v>
      </c>
    </row>
    <row r="102" spans="1:14" x14ac:dyDescent="0.3">
      <c r="A102" s="283" t="s">
        <v>674</v>
      </c>
      <c r="B102" s="283"/>
      <c r="C102" s="283"/>
      <c r="D102" s="283" t="s">
        <v>234</v>
      </c>
      <c r="E102" s="283" t="s">
        <v>780</v>
      </c>
      <c r="F102" s="283" t="s">
        <v>233</v>
      </c>
      <c r="G102" s="283" t="s">
        <v>1505</v>
      </c>
      <c r="H102" s="283" t="s">
        <v>650</v>
      </c>
      <c r="I102" s="283" t="s">
        <v>234</v>
      </c>
      <c r="J102" s="283" t="s">
        <v>1821</v>
      </c>
      <c r="K102" s="11" t="str">
        <f t="shared" si="2"/>
        <v>https://www.acaps.org/country/Nigeria/crisis/Middle-Belt</v>
      </c>
      <c r="L102" s="11"/>
      <c r="M102" s="284" t="s">
        <v>3233</v>
      </c>
      <c r="N102" s="11" t="str">
        <f>IF(ISNONTEXT(M102),_xlfn.DAYS(About!$A$3,'Crisis info'!M102),"More than 2 years")</f>
        <v>More than 2 years</v>
      </c>
    </row>
    <row r="103" spans="1:14" x14ac:dyDescent="0.3">
      <c r="A103" s="283" t="s">
        <v>675</v>
      </c>
      <c r="B103" s="283"/>
      <c r="C103" s="283"/>
      <c r="D103" s="283" t="s">
        <v>234</v>
      </c>
      <c r="E103" s="283" t="s">
        <v>1100</v>
      </c>
      <c r="F103" s="283" t="s">
        <v>233</v>
      </c>
      <c r="G103" s="283" t="s">
        <v>1505</v>
      </c>
      <c r="H103" s="283" t="s">
        <v>650</v>
      </c>
      <c r="I103" s="283" t="s">
        <v>234</v>
      </c>
      <c r="J103" s="283" t="s">
        <v>1393</v>
      </c>
      <c r="K103" s="11" t="str">
        <f t="shared" si="2"/>
        <v>https://www.acaps.org/country/Nigeria/crisis/Boko-Haram</v>
      </c>
      <c r="L103" s="11"/>
      <c r="M103" s="284" t="s">
        <v>3233</v>
      </c>
      <c r="N103" s="11" t="str">
        <f>IF(ISNONTEXT(M103),_xlfn.DAYS(About!$A$3,'Crisis info'!M103),"More than 2 years")</f>
        <v>More than 2 years</v>
      </c>
    </row>
    <row r="104" spans="1:14" x14ac:dyDescent="0.3">
      <c r="A104" s="283" t="s">
        <v>2834</v>
      </c>
      <c r="B104" s="283"/>
      <c r="C104" s="283"/>
      <c r="D104" s="283" t="s">
        <v>234</v>
      </c>
      <c r="E104" s="283" t="s">
        <v>1822</v>
      </c>
      <c r="F104" s="283" t="s">
        <v>233</v>
      </c>
      <c r="G104" s="283" t="s">
        <v>1505</v>
      </c>
      <c r="H104" s="283" t="s">
        <v>1284</v>
      </c>
      <c r="I104" s="283" t="s">
        <v>234</v>
      </c>
      <c r="J104" s="283" t="s">
        <v>1822</v>
      </c>
      <c r="K104" s="11" t="str">
        <f t="shared" si="2"/>
        <v>https://www.acaps.org/country/Nigeria/crisis/Northwest-Banditry</v>
      </c>
      <c r="L104" s="11"/>
      <c r="M104" s="284" t="s">
        <v>3234</v>
      </c>
      <c r="N104" s="11" t="str">
        <f>IF(ISNONTEXT(M104),_xlfn.DAYS(About!$A$3,'Crisis info'!M104),"More than 2 years")</f>
        <v>More than 2 years</v>
      </c>
    </row>
    <row r="105" spans="1:14" x14ac:dyDescent="0.3">
      <c r="A105" s="283" t="s">
        <v>2592</v>
      </c>
      <c r="B105" s="283"/>
      <c r="C105" s="283"/>
      <c r="D105" s="283" t="s">
        <v>234</v>
      </c>
      <c r="E105" s="283" t="s">
        <v>1917</v>
      </c>
      <c r="F105" s="283" t="s">
        <v>233</v>
      </c>
      <c r="G105" s="283" t="s">
        <v>1505</v>
      </c>
      <c r="H105" s="283" t="s">
        <v>1280</v>
      </c>
      <c r="I105" s="283" t="s">
        <v>234</v>
      </c>
      <c r="J105" s="283" t="s">
        <v>1917</v>
      </c>
      <c r="K105" s="11" t="str">
        <f t="shared" si="2"/>
        <v>https://www.acaps.org/country/Nigeria/crisis/Cameroonian-Refugees-in-Nigeria</v>
      </c>
      <c r="L105" s="283" t="s">
        <v>671</v>
      </c>
      <c r="M105" s="284">
        <v>43840</v>
      </c>
      <c r="N105" s="11">
        <f>IF(ISNONTEXT(M105),_xlfn.DAYS(About!$A$3,'Crisis info'!M105),"More than 2 years")</f>
        <v>300</v>
      </c>
    </row>
    <row r="106" spans="1:14" ht="26.4" x14ac:dyDescent="0.3">
      <c r="A106" s="283" t="s">
        <v>1172</v>
      </c>
      <c r="B106" s="283"/>
      <c r="C106" s="283"/>
      <c r="D106" s="283" t="s">
        <v>1173</v>
      </c>
      <c r="E106" s="283" t="s">
        <v>1166</v>
      </c>
      <c r="F106" s="283" t="s">
        <v>1205</v>
      </c>
      <c r="G106" s="283" t="s">
        <v>1505</v>
      </c>
      <c r="H106" s="283" t="s">
        <v>1281</v>
      </c>
      <c r="I106" s="283" t="s">
        <v>234</v>
      </c>
      <c r="J106" s="283" t="s">
        <v>1407</v>
      </c>
      <c r="K106" s="11" t="str">
        <f t="shared" si="2"/>
        <v>https://www.acaps.org/country/Nigeria/crisis/Regional-Boko-Haram</v>
      </c>
      <c r="L106" s="283" t="s">
        <v>675</v>
      </c>
      <c r="M106" s="284" t="s">
        <v>3233</v>
      </c>
      <c r="N106" s="11" t="str">
        <f>IF(ISNONTEXT(M106),_xlfn.DAYS(About!$A$3,'Crisis info'!M106),"More than 2 years")</f>
        <v>More than 2 years</v>
      </c>
    </row>
    <row r="107" spans="1:14" x14ac:dyDescent="0.3">
      <c r="A107" s="283" t="s">
        <v>1922</v>
      </c>
      <c r="B107" s="283"/>
      <c r="C107" s="283"/>
      <c r="D107" s="283" t="s">
        <v>241</v>
      </c>
      <c r="E107" s="283" t="s">
        <v>1366</v>
      </c>
      <c r="F107" s="283" t="s">
        <v>240</v>
      </c>
      <c r="G107" s="283" t="s">
        <v>1504</v>
      </c>
      <c r="H107" s="283" t="s">
        <v>691</v>
      </c>
      <c r="I107" s="283" t="s">
        <v>241</v>
      </c>
      <c r="J107" s="283" t="s">
        <v>691</v>
      </c>
      <c r="K107" s="11" t="str">
        <f t="shared" si="2"/>
        <v>https://www.acaps.org/country/Pakistan/crisis/Complex-crisis</v>
      </c>
      <c r="L107" s="11"/>
      <c r="M107" s="284" t="s">
        <v>3233</v>
      </c>
      <c r="N107" s="11" t="str">
        <f>IF(ISNONTEXT(M107),_xlfn.DAYS(About!$A$3,'Crisis info'!M107),"More than 2 years")</f>
        <v>More than 2 years</v>
      </c>
    </row>
    <row r="108" spans="1:14" x14ac:dyDescent="0.3">
      <c r="A108" s="283" t="s">
        <v>1122</v>
      </c>
      <c r="B108" s="283"/>
      <c r="C108" s="283"/>
      <c r="D108" s="283" t="s">
        <v>241</v>
      </c>
      <c r="E108" s="283" t="s">
        <v>1121</v>
      </c>
      <c r="F108" s="283" t="s">
        <v>240</v>
      </c>
      <c r="G108" s="283" t="s">
        <v>1504</v>
      </c>
      <c r="H108" s="283" t="s">
        <v>650</v>
      </c>
      <c r="I108" s="283" t="s">
        <v>241</v>
      </c>
      <c r="J108" s="283" t="s">
        <v>1408</v>
      </c>
      <c r="K108" s="11" t="str">
        <f t="shared" si="2"/>
        <v>https://www.acaps.org/country/Pakistan/crisis/Kashmir-conflict</v>
      </c>
      <c r="L108" s="283" t="s">
        <v>1235</v>
      </c>
      <c r="M108" s="284" t="s">
        <v>3233</v>
      </c>
      <c r="N108" s="11" t="str">
        <f>IF(ISNONTEXT(M108),_xlfn.DAYS(About!$A$3,'Crisis info'!M108),"More than 2 years")</f>
        <v>More than 2 years</v>
      </c>
    </row>
    <row r="109" spans="1:14" x14ac:dyDescent="0.3">
      <c r="A109" s="283" t="s">
        <v>658</v>
      </c>
      <c r="B109" s="283"/>
      <c r="C109" s="283"/>
      <c r="D109" s="283" t="s">
        <v>372</v>
      </c>
      <c r="E109" s="283" t="s">
        <v>765</v>
      </c>
      <c r="F109" s="283" t="s">
        <v>237</v>
      </c>
      <c r="G109" s="283" t="s">
        <v>1508</v>
      </c>
      <c r="H109" s="283" t="s">
        <v>650</v>
      </c>
      <c r="I109" s="283" t="s">
        <v>372</v>
      </c>
      <c r="J109" s="283" t="s">
        <v>1409</v>
      </c>
      <c r="K109" s="11" t="str">
        <f t="shared" si="2"/>
        <v>https://www.acaps.org/country/Palestine/crisis/Complex</v>
      </c>
      <c r="L109" s="11"/>
      <c r="M109" s="284" t="s">
        <v>3233</v>
      </c>
      <c r="N109" s="11" t="str">
        <f>IF(ISNONTEXT(M109),_xlfn.DAYS(About!$A$3,'Crisis info'!M109),"More than 2 years")</f>
        <v>More than 2 years</v>
      </c>
    </row>
    <row r="110" spans="1:14" x14ac:dyDescent="0.3">
      <c r="A110" s="283" t="s">
        <v>668</v>
      </c>
      <c r="B110" s="283"/>
      <c r="C110" s="283"/>
      <c r="D110" s="283" t="s">
        <v>251</v>
      </c>
      <c r="E110" s="283" t="s">
        <v>771</v>
      </c>
      <c r="F110" s="283" t="s">
        <v>250</v>
      </c>
      <c r="G110" s="283" t="s">
        <v>1507</v>
      </c>
      <c r="H110" s="283" t="s">
        <v>1280</v>
      </c>
      <c r="I110" s="283" t="s">
        <v>251</v>
      </c>
      <c r="J110" s="283" t="s">
        <v>1391</v>
      </c>
      <c r="K110" s="11" t="str">
        <f t="shared" si="2"/>
        <v>https://www.acaps.org/country/Peru/crisis/Venezuelan-refugees</v>
      </c>
      <c r="L110" s="283" t="s">
        <v>597</v>
      </c>
      <c r="M110" s="284" t="s">
        <v>3233</v>
      </c>
      <c r="N110" s="11" t="str">
        <f>IF(ISNONTEXT(M110),_xlfn.DAYS(About!$A$3,'Crisis info'!M110),"More than 2 years")</f>
        <v>More than 2 years</v>
      </c>
    </row>
    <row r="111" spans="1:14" x14ac:dyDescent="0.3">
      <c r="A111" s="283" t="s">
        <v>1923</v>
      </c>
      <c r="B111" s="283"/>
      <c r="C111" s="283"/>
      <c r="D111" s="283" t="s">
        <v>253</v>
      </c>
      <c r="E111" s="283" t="s">
        <v>1823</v>
      </c>
      <c r="F111" s="283" t="s">
        <v>252</v>
      </c>
      <c r="G111" s="283" t="s">
        <v>1504</v>
      </c>
      <c r="H111" s="283" t="s">
        <v>2959</v>
      </c>
      <c r="I111" s="283" t="s">
        <v>253</v>
      </c>
      <c r="J111" s="283" t="s">
        <v>1392</v>
      </c>
      <c r="K111" s="11" t="str">
        <f t="shared" si="2"/>
        <v>https://www.acaps.org/country/Philippines/crisis/Country-level</v>
      </c>
      <c r="L111" s="11"/>
      <c r="M111" s="284" t="s">
        <v>3234</v>
      </c>
      <c r="N111" s="11" t="str">
        <f>IF(ISNONTEXT(M111),_xlfn.DAYS(About!$A$3,'Crisis info'!M111),"More than 2 years")</f>
        <v>More than 2 years</v>
      </c>
    </row>
    <row r="112" spans="1:14" x14ac:dyDescent="0.3">
      <c r="A112" s="283" t="s">
        <v>1179</v>
      </c>
      <c r="B112" s="283"/>
      <c r="C112" s="283"/>
      <c r="D112" s="283" t="s">
        <v>253</v>
      </c>
      <c r="E112" s="283" t="s">
        <v>908</v>
      </c>
      <c r="F112" s="283" t="s">
        <v>252</v>
      </c>
      <c r="G112" s="283" t="s">
        <v>1504</v>
      </c>
      <c r="H112" s="283" t="s">
        <v>650</v>
      </c>
      <c r="I112" s="283" t="s">
        <v>253</v>
      </c>
      <c r="J112" s="283" t="s">
        <v>1675</v>
      </c>
      <c r="K112" s="11" t="str">
        <f t="shared" si="2"/>
        <v>https://www.acaps.org/country/Philippines/crisis/Mindanao-Conflict</v>
      </c>
      <c r="L112" s="11"/>
      <c r="M112" s="284" t="s">
        <v>3233</v>
      </c>
      <c r="N112" s="11" t="str">
        <f>IF(ISNONTEXT(M112),_xlfn.DAYS(About!$A$3,'Crisis info'!M112),"More than 2 years")</f>
        <v>More than 2 years</v>
      </c>
    </row>
    <row r="113" spans="1:14" x14ac:dyDescent="0.3">
      <c r="A113" s="283" t="s">
        <v>1825</v>
      </c>
      <c r="B113" s="283" t="s">
        <v>3246</v>
      </c>
      <c r="C113" s="283" t="s">
        <v>3246</v>
      </c>
      <c r="D113" s="283" t="s">
        <v>253</v>
      </c>
      <c r="E113" s="283" t="s">
        <v>1824</v>
      </c>
      <c r="F113" s="283" t="s">
        <v>252</v>
      </c>
      <c r="G113" s="283" t="s">
        <v>1504</v>
      </c>
      <c r="H113" s="283" t="s">
        <v>1826</v>
      </c>
      <c r="I113" s="283" t="s">
        <v>253</v>
      </c>
      <c r="J113" s="283" t="s">
        <v>1824</v>
      </c>
      <c r="K113" s="11" t="str">
        <f t="shared" si="2"/>
        <v>https://www.acaps.org/country/Philippines/crisis/Mindanao-Earthquake</v>
      </c>
      <c r="L113" s="11"/>
      <c r="M113" s="284">
        <v>43815</v>
      </c>
      <c r="N113" s="11">
        <f>IF(ISNONTEXT(M113),_xlfn.DAYS(About!$A$3,'Crisis info'!M113),"More than 2 years")</f>
        <v>325</v>
      </c>
    </row>
    <row r="114" spans="1:14" x14ac:dyDescent="0.3">
      <c r="A114" s="283" t="s">
        <v>2593</v>
      </c>
      <c r="B114" s="283" t="s">
        <v>3245</v>
      </c>
      <c r="C114" s="283" t="s">
        <v>3245</v>
      </c>
      <c r="D114" s="283" t="s">
        <v>253</v>
      </c>
      <c r="E114" s="283" t="s">
        <v>2511</v>
      </c>
      <c r="F114" s="283" t="s">
        <v>252</v>
      </c>
      <c r="G114" s="283" t="s">
        <v>1504</v>
      </c>
      <c r="H114" s="283" t="s">
        <v>1549</v>
      </c>
      <c r="I114" s="283" t="s">
        <v>253</v>
      </c>
      <c r="J114" s="283" t="s">
        <v>2930</v>
      </c>
      <c r="K114" s="11" t="str">
        <f t="shared" si="2"/>
        <v>https://www.acaps.org/country/Philippines/crisis/Typhoon-Vongfong-(Ambo)</v>
      </c>
      <c r="L114" s="11"/>
      <c r="M114" s="284">
        <v>43987</v>
      </c>
      <c r="N114" s="11">
        <f>IF(ISNONTEXT(M114),_xlfn.DAYS(About!$A$3,'Crisis info'!M114),"More than 2 years")</f>
        <v>153</v>
      </c>
    </row>
    <row r="115" spans="1:14" x14ac:dyDescent="0.3">
      <c r="A115" s="283" t="s">
        <v>807</v>
      </c>
      <c r="B115" s="283"/>
      <c r="C115" s="283"/>
      <c r="D115" s="283" t="s">
        <v>264</v>
      </c>
      <c r="E115" s="283" t="s">
        <v>1101</v>
      </c>
      <c r="F115" s="283" t="s">
        <v>263</v>
      </c>
      <c r="G115" s="283" t="s">
        <v>1505</v>
      </c>
      <c r="H115" s="283" t="s">
        <v>1280</v>
      </c>
      <c r="I115" s="283" t="s">
        <v>264</v>
      </c>
      <c r="J115" s="283" t="s">
        <v>977</v>
      </c>
      <c r="K115" s="11" t="str">
        <f t="shared" si="2"/>
        <v>https://www.acaps.org/country/Rwanda/crisis/Refugees</v>
      </c>
      <c r="L115" s="11"/>
      <c r="M115" s="284" t="s">
        <v>3233</v>
      </c>
      <c r="N115" s="11" t="str">
        <f>IF(ISNONTEXT(M115),_xlfn.DAYS(About!$A$3,'Crisis info'!M115),"More than 2 years")</f>
        <v>More than 2 years</v>
      </c>
    </row>
    <row r="116" spans="1:14" x14ac:dyDescent="0.3">
      <c r="A116" s="283" t="s">
        <v>673</v>
      </c>
      <c r="B116" s="283"/>
      <c r="C116" s="283"/>
      <c r="D116" s="283" t="s">
        <v>278</v>
      </c>
      <c r="E116" s="283" t="s">
        <v>778</v>
      </c>
      <c r="F116" s="283" t="s">
        <v>277</v>
      </c>
      <c r="G116" s="283" t="s">
        <v>1505</v>
      </c>
      <c r="H116" s="283" t="s">
        <v>651</v>
      </c>
      <c r="I116" s="283" t="s">
        <v>278</v>
      </c>
      <c r="J116" s="283" t="s">
        <v>651</v>
      </c>
      <c r="K116" s="11" t="str">
        <f t="shared" si="2"/>
        <v>https://www.acaps.org/country/Senegal/crisis/Drought</v>
      </c>
      <c r="L116" s="11"/>
      <c r="M116" s="284" t="s">
        <v>3233</v>
      </c>
      <c r="N116" s="11" t="str">
        <f>IF(ISNONTEXT(M116),_xlfn.DAYS(About!$A$3,'Crisis info'!M116),"More than 2 years")</f>
        <v>More than 2 years</v>
      </c>
    </row>
    <row r="117" spans="1:14" x14ac:dyDescent="0.3">
      <c r="A117" s="283" t="s">
        <v>592</v>
      </c>
      <c r="B117" s="283"/>
      <c r="C117" s="283"/>
      <c r="D117" s="283" t="s">
        <v>294</v>
      </c>
      <c r="E117" s="283" t="s">
        <v>1102</v>
      </c>
      <c r="F117" s="283" t="s">
        <v>293</v>
      </c>
      <c r="G117" s="283" t="s">
        <v>1505</v>
      </c>
      <c r="H117" s="283" t="s">
        <v>691</v>
      </c>
      <c r="I117" s="283" t="s">
        <v>294</v>
      </c>
      <c r="J117" s="283" t="s">
        <v>691</v>
      </c>
      <c r="K117" s="11" t="str">
        <f t="shared" si="2"/>
        <v>https://www.acaps.org/country/Somalia/crisis/Complex-crisis</v>
      </c>
      <c r="L117" s="11"/>
      <c r="M117" s="284" t="s">
        <v>3233</v>
      </c>
      <c r="N117" s="11" t="str">
        <f>IF(ISNONTEXT(M117),_xlfn.DAYS(About!$A$3,'Crisis info'!M117),"More than 2 years")</f>
        <v>More than 2 years</v>
      </c>
    </row>
    <row r="118" spans="1:14" x14ac:dyDescent="0.3">
      <c r="A118" s="283" t="s">
        <v>1269</v>
      </c>
      <c r="B118" s="283"/>
      <c r="C118" s="283"/>
      <c r="D118" s="283" t="s">
        <v>294</v>
      </c>
      <c r="E118" s="283" t="s">
        <v>1266</v>
      </c>
      <c r="F118" s="283" t="s">
        <v>293</v>
      </c>
      <c r="G118" s="283" t="s">
        <v>1505</v>
      </c>
      <c r="H118" s="283" t="s">
        <v>1280</v>
      </c>
      <c r="I118" s="283" t="s">
        <v>294</v>
      </c>
      <c r="J118" s="283" t="s">
        <v>1389</v>
      </c>
      <c r="K118" s="11" t="str">
        <f t="shared" si="2"/>
        <v>https://www.acaps.org/country/Somalia/crisis/Mixed-Migration</v>
      </c>
      <c r="L118" s="11"/>
      <c r="M118" s="284" t="s">
        <v>3233</v>
      </c>
      <c r="N118" s="11" t="str">
        <f>IF(ISNONTEXT(M118),_xlfn.DAYS(About!$A$3,'Crisis info'!M118),"More than 2 years")</f>
        <v>More than 2 years</v>
      </c>
    </row>
    <row r="119" spans="1:14" x14ac:dyDescent="0.3">
      <c r="A119" s="283" t="s">
        <v>2388</v>
      </c>
      <c r="B119" s="283"/>
      <c r="C119" s="283"/>
      <c r="D119" s="283" t="s">
        <v>294</v>
      </c>
      <c r="E119" s="283" t="s">
        <v>1676</v>
      </c>
      <c r="F119" s="283" t="s">
        <v>293</v>
      </c>
      <c r="G119" s="283" t="s">
        <v>1505</v>
      </c>
      <c r="H119" s="283" t="s">
        <v>1279</v>
      </c>
      <c r="I119" s="283" t="s">
        <v>294</v>
      </c>
      <c r="J119" s="283" t="s">
        <v>1672</v>
      </c>
      <c r="K119" s="11" t="str">
        <f t="shared" si="2"/>
        <v>https://www.acaps.org/country/Somalia/crisis/Floods</v>
      </c>
      <c r="L119" s="11"/>
      <c r="M119" s="284">
        <v>43951</v>
      </c>
      <c r="N119" s="11">
        <f>IF(ISNONTEXT(M119),_xlfn.DAYS(About!$A$3,'Crisis info'!M119),"More than 2 years")</f>
        <v>189</v>
      </c>
    </row>
    <row r="120" spans="1:14" x14ac:dyDescent="0.3">
      <c r="A120" s="283" t="s">
        <v>593</v>
      </c>
      <c r="B120" s="283"/>
      <c r="C120" s="283"/>
      <c r="D120" s="283" t="s">
        <v>299</v>
      </c>
      <c r="E120" s="283" t="s">
        <v>1103</v>
      </c>
      <c r="F120" s="283" t="s">
        <v>298</v>
      </c>
      <c r="G120" s="283" t="s">
        <v>1505</v>
      </c>
      <c r="H120" s="283" t="s">
        <v>691</v>
      </c>
      <c r="I120" s="283" t="s">
        <v>299</v>
      </c>
      <c r="J120" s="283" t="s">
        <v>691</v>
      </c>
      <c r="K120" s="11" t="str">
        <f t="shared" si="2"/>
        <v>https://www.acaps.org/country/South Sudan/crisis/Complex-crisis</v>
      </c>
      <c r="L120" s="11"/>
      <c r="M120" s="284" t="s">
        <v>3233</v>
      </c>
      <c r="N120" s="11" t="str">
        <f>IF(ISNONTEXT(M120),_xlfn.DAYS(About!$A$3,'Crisis info'!M120),"More than 2 years")</f>
        <v>More than 2 years</v>
      </c>
    </row>
    <row r="121" spans="1:14" x14ac:dyDescent="0.3">
      <c r="A121" s="283" t="s">
        <v>1924</v>
      </c>
      <c r="B121" s="283"/>
      <c r="C121" s="283"/>
      <c r="D121" s="283" t="s">
        <v>305</v>
      </c>
      <c r="E121" s="283" t="s">
        <v>1104</v>
      </c>
      <c r="F121" s="283" t="s">
        <v>304</v>
      </c>
      <c r="G121" s="283" t="s">
        <v>1505</v>
      </c>
      <c r="H121" s="283" t="s">
        <v>691</v>
      </c>
      <c r="I121" s="283" t="s">
        <v>305</v>
      </c>
      <c r="J121" s="283" t="s">
        <v>691</v>
      </c>
      <c r="K121" s="11" t="str">
        <f t="shared" si="2"/>
        <v>https://www.acaps.org/country/Sudan/crisis/Complex-crisis</v>
      </c>
      <c r="L121" s="11"/>
      <c r="M121" s="284" t="s">
        <v>3233</v>
      </c>
      <c r="N121" s="11" t="str">
        <f>IF(ISNONTEXT(M121),_xlfn.DAYS(About!$A$3,'Crisis info'!M121),"More than 2 years")</f>
        <v>More than 2 years</v>
      </c>
    </row>
    <row r="122" spans="1:14" x14ac:dyDescent="0.3">
      <c r="A122" s="283" t="s">
        <v>1928</v>
      </c>
      <c r="B122" s="283"/>
      <c r="C122" s="283"/>
      <c r="D122" s="283" t="s">
        <v>305</v>
      </c>
      <c r="E122" s="283" t="s">
        <v>1927</v>
      </c>
      <c r="F122" s="283" t="s">
        <v>304</v>
      </c>
      <c r="G122" s="283" t="s">
        <v>1505</v>
      </c>
      <c r="H122" s="283" t="s">
        <v>1280</v>
      </c>
      <c r="I122" s="283" t="s">
        <v>305</v>
      </c>
      <c r="J122" s="283" t="s">
        <v>977</v>
      </c>
      <c r="K122" s="11" t="str">
        <f t="shared" si="2"/>
        <v>https://www.acaps.org/country/Sudan/crisis/Refugees</v>
      </c>
      <c r="L122" s="11"/>
      <c r="M122" s="284">
        <v>43857</v>
      </c>
      <c r="N122" s="11">
        <f>IF(ISNONTEXT(M122),_xlfn.DAYS(About!$A$3,'Crisis info'!M122),"More than 2 years")</f>
        <v>283</v>
      </c>
    </row>
    <row r="123" spans="1:14" x14ac:dyDescent="0.3">
      <c r="A123" s="283" t="s">
        <v>2933</v>
      </c>
      <c r="B123" s="283" t="s">
        <v>3247</v>
      </c>
      <c r="C123" s="283" t="s">
        <v>3247</v>
      </c>
      <c r="D123" s="283" t="s">
        <v>305</v>
      </c>
      <c r="E123" s="283" t="s">
        <v>2807</v>
      </c>
      <c r="F123" s="283" t="s">
        <v>304</v>
      </c>
      <c r="G123" s="283" t="s">
        <v>1505</v>
      </c>
      <c r="H123" s="283" t="s">
        <v>1279</v>
      </c>
      <c r="I123" s="283" t="s">
        <v>305</v>
      </c>
      <c r="J123" s="283" t="s">
        <v>1672</v>
      </c>
      <c r="K123" s="11" t="str">
        <f t="shared" si="2"/>
        <v>https://www.acaps.org/country/Sudan/crisis/Floods</v>
      </c>
      <c r="L123" s="11"/>
      <c r="M123" s="284">
        <v>44064</v>
      </c>
      <c r="N123" s="11">
        <f>IF(ISNONTEXT(M123),_xlfn.DAYS(About!$A$3,'Crisis info'!M123),"More than 2 years")</f>
        <v>76</v>
      </c>
    </row>
    <row r="124" spans="1:14" x14ac:dyDescent="0.3">
      <c r="A124" s="283" t="s">
        <v>2105</v>
      </c>
      <c r="B124" s="283"/>
      <c r="C124" s="283"/>
      <c r="D124" s="283" t="s">
        <v>3649</v>
      </c>
      <c r="E124" s="283" t="s">
        <v>3651</v>
      </c>
      <c r="F124" s="283" t="s">
        <v>308</v>
      </c>
      <c r="G124" s="283" t="s">
        <v>1505</v>
      </c>
      <c r="H124" s="283" t="s">
        <v>2103</v>
      </c>
      <c r="I124" s="283" t="s">
        <v>3649</v>
      </c>
      <c r="J124" s="283" t="s">
        <v>2064</v>
      </c>
      <c r="K124" s="11" t="str">
        <f t="shared" si="2"/>
        <v>https://www.acaps.org/country/Eswatini/crisis/Food-Security-Crisis-in-Swaziland</v>
      </c>
      <c r="L124" s="283" t="s">
        <v>2135</v>
      </c>
      <c r="M124" s="284">
        <v>44014</v>
      </c>
      <c r="N124" s="11">
        <f>IF(ISNONTEXT(M124),_xlfn.DAYS(About!$A$3,'Crisis info'!M124),"More than 2 years")</f>
        <v>126</v>
      </c>
    </row>
    <row r="125" spans="1:14" x14ac:dyDescent="0.3">
      <c r="A125" s="283" t="s">
        <v>594</v>
      </c>
      <c r="B125" s="283"/>
      <c r="C125" s="283"/>
      <c r="D125" s="283" t="s">
        <v>388</v>
      </c>
      <c r="E125" s="283" t="s">
        <v>761</v>
      </c>
      <c r="F125" s="283" t="s">
        <v>313</v>
      </c>
      <c r="G125" s="283" t="s">
        <v>1508</v>
      </c>
      <c r="H125" s="283" t="s">
        <v>691</v>
      </c>
      <c r="I125" s="283" t="s">
        <v>388</v>
      </c>
      <c r="J125" s="283" t="s">
        <v>650</v>
      </c>
      <c r="K125" s="11" t="str">
        <f t="shared" si="2"/>
        <v>https://www.acaps.org/country/Syria/crisis/Conflict</v>
      </c>
      <c r="L125" s="11"/>
      <c r="M125" s="284" t="s">
        <v>3233</v>
      </c>
      <c r="N125" s="11" t="str">
        <f>IF(ISNONTEXT(M125),_xlfn.DAYS(About!$A$3,'Crisis info'!M125),"More than 2 years")</f>
        <v>More than 2 years</v>
      </c>
    </row>
    <row r="126" spans="1:14" ht="26.4" x14ac:dyDescent="0.3">
      <c r="A126" s="283" t="s">
        <v>1254</v>
      </c>
      <c r="B126" s="283"/>
      <c r="C126" s="283"/>
      <c r="D126" s="283" t="s">
        <v>1258</v>
      </c>
      <c r="E126" s="283" t="s">
        <v>1250</v>
      </c>
      <c r="F126" s="283" t="s">
        <v>1262</v>
      </c>
      <c r="G126" s="283" t="s">
        <v>1508</v>
      </c>
      <c r="H126" s="283" t="s">
        <v>1281</v>
      </c>
      <c r="I126" s="283" t="s">
        <v>388</v>
      </c>
      <c r="J126" s="283" t="s">
        <v>1250</v>
      </c>
      <c r="K126" s="11" t="str">
        <f t="shared" si="2"/>
        <v>https://www.acaps.org/country/Syria/crisis/Syrian-Regional-Crisis</v>
      </c>
      <c r="L126" s="283" t="s">
        <v>594</v>
      </c>
      <c r="M126" s="284" t="s">
        <v>3233</v>
      </c>
      <c r="N126" s="11" t="str">
        <f>IF(ISNONTEXT(M126),_xlfn.DAYS(About!$A$3,'Crisis info'!M126),"More than 2 years")</f>
        <v>More than 2 years</v>
      </c>
    </row>
    <row r="127" spans="1:14" x14ac:dyDescent="0.3">
      <c r="A127" s="283" t="s">
        <v>683</v>
      </c>
      <c r="B127" s="283"/>
      <c r="C127" s="283"/>
      <c r="D127" s="283" t="s">
        <v>389</v>
      </c>
      <c r="E127" s="283" t="s">
        <v>791</v>
      </c>
      <c r="F127" s="283" t="s">
        <v>316</v>
      </c>
      <c r="G127" s="283" t="s">
        <v>1505</v>
      </c>
      <c r="H127" s="283" t="s">
        <v>1280</v>
      </c>
      <c r="I127" s="283" t="s">
        <v>389</v>
      </c>
      <c r="J127" s="283" t="s">
        <v>977</v>
      </c>
      <c r="K127" s="11" t="str">
        <f t="shared" si="2"/>
        <v>https://www.acaps.org/country/Tanzania/crisis/Refugees</v>
      </c>
      <c r="L127" s="11"/>
      <c r="M127" s="284" t="s">
        <v>3233</v>
      </c>
      <c r="N127" s="11" t="str">
        <f>IF(ISNONTEXT(M127),_xlfn.DAYS(About!$A$3,'Crisis info'!M127),"More than 2 years")</f>
        <v>More than 2 years</v>
      </c>
    </row>
    <row r="128" spans="1:14" x14ac:dyDescent="0.3">
      <c r="A128" s="283" t="s">
        <v>595</v>
      </c>
      <c r="B128" s="283"/>
      <c r="C128" s="283"/>
      <c r="D128" s="283" t="s">
        <v>318</v>
      </c>
      <c r="E128" s="283" t="s">
        <v>1168</v>
      </c>
      <c r="F128" s="283" t="s">
        <v>317</v>
      </c>
      <c r="G128" s="283" t="s">
        <v>1504</v>
      </c>
      <c r="H128" s="283" t="s">
        <v>2959</v>
      </c>
      <c r="I128" s="283" t="s">
        <v>318</v>
      </c>
      <c r="J128" s="283" t="s">
        <v>1392</v>
      </c>
      <c r="K128" s="11" t="str">
        <f t="shared" si="2"/>
        <v>https://www.acaps.org/country/Thailand/crisis/Country-level</v>
      </c>
      <c r="L128" s="11"/>
      <c r="M128" s="284" t="s">
        <v>3233</v>
      </c>
      <c r="N128" s="11" t="str">
        <f>IF(ISNONTEXT(M128),_xlfn.DAYS(About!$A$3,'Crisis info'!M128),"More than 2 years")</f>
        <v>More than 2 years</v>
      </c>
    </row>
    <row r="129" spans="1:14" x14ac:dyDescent="0.3">
      <c r="A129" s="283" t="s">
        <v>661</v>
      </c>
      <c r="B129" s="283"/>
      <c r="C129" s="283"/>
      <c r="D129" s="283" t="s">
        <v>318</v>
      </c>
      <c r="E129" s="283" t="s">
        <v>1169</v>
      </c>
      <c r="F129" s="283" t="s">
        <v>317</v>
      </c>
      <c r="G129" s="283" t="s">
        <v>1504</v>
      </c>
      <c r="H129" s="283" t="s">
        <v>650</v>
      </c>
      <c r="I129" s="283" t="s">
        <v>318</v>
      </c>
      <c r="J129" s="283" t="s">
        <v>650</v>
      </c>
      <c r="K129" s="11" t="str">
        <f t="shared" si="2"/>
        <v>https://www.acaps.org/country/Thailand/crisis/Conflict</v>
      </c>
      <c r="L129" s="11"/>
      <c r="M129" s="284" t="s">
        <v>3233</v>
      </c>
      <c r="N129" s="11" t="str">
        <f>IF(ISNONTEXT(M129),_xlfn.DAYS(About!$A$3,'Crisis info'!M129),"More than 2 years")</f>
        <v>More than 2 years</v>
      </c>
    </row>
    <row r="130" spans="1:14" x14ac:dyDescent="0.3">
      <c r="A130" s="283" t="s">
        <v>662</v>
      </c>
      <c r="B130" s="283"/>
      <c r="C130" s="283"/>
      <c r="D130" s="283" t="s">
        <v>318</v>
      </c>
      <c r="E130" s="283" t="s">
        <v>1107</v>
      </c>
      <c r="F130" s="283" t="s">
        <v>317</v>
      </c>
      <c r="G130" s="283" t="s">
        <v>1504</v>
      </c>
      <c r="H130" s="283" t="s">
        <v>1280</v>
      </c>
      <c r="I130" s="283" t="s">
        <v>318</v>
      </c>
      <c r="J130" s="283" t="s">
        <v>977</v>
      </c>
      <c r="K130" s="11" t="str">
        <f t="shared" si="2"/>
        <v>https://www.acaps.org/country/Thailand/crisis/Refugees</v>
      </c>
      <c r="L130" s="283" t="s">
        <v>589</v>
      </c>
      <c r="M130" s="284" t="s">
        <v>3233</v>
      </c>
      <c r="N130" s="11" t="str">
        <f>IF(ISNONTEXT(M130),_xlfn.DAYS(About!$A$3,'Crisis info'!M130),"More than 2 years")</f>
        <v>More than 2 years</v>
      </c>
    </row>
    <row r="131" spans="1:14" ht="26.4" x14ac:dyDescent="0.3">
      <c r="A131" s="283" t="s">
        <v>1120</v>
      </c>
      <c r="B131" s="283"/>
      <c r="C131" s="283"/>
      <c r="D131" s="283" t="s">
        <v>324</v>
      </c>
      <c r="E131" s="283" t="s">
        <v>1119</v>
      </c>
      <c r="F131" s="283" t="s">
        <v>323</v>
      </c>
      <c r="G131" s="283" t="s">
        <v>1507</v>
      </c>
      <c r="H131" s="283" t="s">
        <v>1280</v>
      </c>
      <c r="I131" s="283" t="s">
        <v>324</v>
      </c>
      <c r="J131" s="283" t="s">
        <v>1391</v>
      </c>
      <c r="K131" s="11" t="str">
        <f t="shared" si="2"/>
        <v>https://www.acaps.org/country/Trinidad and Tobago/crisis/Venezuelan-refugees</v>
      </c>
      <c r="L131" s="283" t="s">
        <v>597</v>
      </c>
      <c r="M131" s="284" t="s">
        <v>3233</v>
      </c>
      <c r="N131" s="11" t="str">
        <f>IF(ISNONTEXT(M131),_xlfn.DAYS(About!$A$3,'Crisis info'!M131),"More than 2 years")</f>
        <v>More than 2 years</v>
      </c>
    </row>
    <row r="132" spans="1:14" x14ac:dyDescent="0.3">
      <c r="A132" s="283" t="s">
        <v>808</v>
      </c>
      <c r="B132" s="283"/>
      <c r="C132" s="283"/>
      <c r="D132" s="283" t="s">
        <v>326</v>
      </c>
      <c r="E132" s="283" t="s">
        <v>1108</v>
      </c>
      <c r="F132" s="283" t="s">
        <v>325</v>
      </c>
      <c r="G132" s="283" t="s">
        <v>1505</v>
      </c>
      <c r="H132" s="283" t="s">
        <v>1280</v>
      </c>
      <c r="I132" s="283" t="s">
        <v>326</v>
      </c>
      <c r="J132" s="283" t="s">
        <v>1389</v>
      </c>
      <c r="K132" s="11" t="str">
        <f t="shared" si="2"/>
        <v>https://www.acaps.org/country/Tunisia/crisis/Mixed-Migration</v>
      </c>
      <c r="L132" s="11"/>
      <c r="M132" s="284" t="s">
        <v>3233</v>
      </c>
      <c r="N132" s="11" t="str">
        <f>IF(ISNONTEXT(M132),_xlfn.DAYS(About!$A$3,'Crisis info'!M132),"More than 2 years")</f>
        <v>More than 2 years</v>
      </c>
    </row>
    <row r="133" spans="1:14" x14ac:dyDescent="0.3">
      <c r="A133" s="283" t="s">
        <v>596</v>
      </c>
      <c r="B133" s="283"/>
      <c r="C133" s="283"/>
      <c r="D133" s="283" t="s">
        <v>328</v>
      </c>
      <c r="E133" s="283" t="s">
        <v>1109</v>
      </c>
      <c r="F133" s="283" t="s">
        <v>327</v>
      </c>
      <c r="G133" s="283" t="s">
        <v>1508</v>
      </c>
      <c r="H133" s="283" t="s">
        <v>2959</v>
      </c>
      <c r="I133" s="283" t="s">
        <v>328</v>
      </c>
      <c r="J133" s="283" t="s">
        <v>1392</v>
      </c>
      <c r="K133" s="11" t="str">
        <f t="shared" si="2"/>
        <v>https://www.acaps.org/country/Turkey/crisis/Country-level</v>
      </c>
      <c r="L133" s="11"/>
      <c r="M133" s="284" t="s">
        <v>3233</v>
      </c>
      <c r="N133" s="11" t="str">
        <f>IF(ISNONTEXT(M133),_xlfn.DAYS(About!$A$3,'Crisis info'!M133),"More than 2 years")</f>
        <v>More than 2 years</v>
      </c>
    </row>
    <row r="134" spans="1:14" x14ac:dyDescent="0.3">
      <c r="A134" s="283" t="s">
        <v>656</v>
      </c>
      <c r="B134" s="283"/>
      <c r="C134" s="283"/>
      <c r="D134" s="283" t="s">
        <v>328</v>
      </c>
      <c r="E134" s="283" t="s">
        <v>762</v>
      </c>
      <c r="F134" s="283" t="s">
        <v>327</v>
      </c>
      <c r="G134" s="283" t="s">
        <v>1508</v>
      </c>
      <c r="H134" s="283" t="s">
        <v>1280</v>
      </c>
      <c r="I134" s="283" t="s">
        <v>328</v>
      </c>
      <c r="J134" s="283" t="s">
        <v>1399</v>
      </c>
      <c r="K134" s="11" t="str">
        <f t="shared" si="2"/>
        <v>https://www.acaps.org/country/Turkey/crisis/Syrian-refugees</v>
      </c>
      <c r="L134" s="283" t="s">
        <v>594</v>
      </c>
      <c r="M134" s="284" t="s">
        <v>3233</v>
      </c>
      <c r="N134" s="11" t="str">
        <f>IF(ISNONTEXT(M134),_xlfn.DAYS(About!$A$3,'Crisis info'!M134),"More than 2 years")</f>
        <v>More than 2 years</v>
      </c>
    </row>
    <row r="135" spans="1:14" x14ac:dyDescent="0.3">
      <c r="A135" s="283" t="s">
        <v>657</v>
      </c>
      <c r="B135" s="283"/>
      <c r="C135" s="283"/>
      <c r="D135" s="283" t="s">
        <v>328</v>
      </c>
      <c r="E135" s="283" t="s">
        <v>763</v>
      </c>
      <c r="F135" s="283" t="s">
        <v>327</v>
      </c>
      <c r="G135" s="283" t="s">
        <v>1508</v>
      </c>
      <c r="H135" s="283" t="s">
        <v>1280</v>
      </c>
      <c r="I135" s="283" t="s">
        <v>328</v>
      </c>
      <c r="J135" s="283" t="s">
        <v>1389</v>
      </c>
      <c r="K135" s="11" t="str">
        <f t="shared" si="2"/>
        <v>https://www.acaps.org/country/Turkey/crisis/Mixed-Migration</v>
      </c>
      <c r="L135" s="11"/>
      <c r="M135" s="284" t="s">
        <v>3233</v>
      </c>
      <c r="N135" s="11" t="str">
        <f>IF(ISNONTEXT(M135),_xlfn.DAYS(About!$A$3,'Crisis info'!M135),"More than 2 years")</f>
        <v>More than 2 years</v>
      </c>
    </row>
    <row r="136" spans="1:14" x14ac:dyDescent="0.3">
      <c r="A136" s="283" t="s">
        <v>803</v>
      </c>
      <c r="B136" s="283"/>
      <c r="C136" s="283"/>
      <c r="D136" s="283" t="s">
        <v>328</v>
      </c>
      <c r="E136" s="283" t="s">
        <v>764</v>
      </c>
      <c r="F136" s="283" t="s">
        <v>327</v>
      </c>
      <c r="G136" s="283" t="s">
        <v>1508</v>
      </c>
      <c r="H136" s="283" t="s">
        <v>650</v>
      </c>
      <c r="I136" s="283" t="s">
        <v>328</v>
      </c>
      <c r="J136" s="283" t="s">
        <v>1410</v>
      </c>
      <c r="K136" s="11" t="str">
        <f t="shared" si="2"/>
        <v>https://www.acaps.org/country/Turkey/crisis/Kurdish-conflict</v>
      </c>
      <c r="L136" s="11"/>
      <c r="M136" s="284" t="s">
        <v>3233</v>
      </c>
      <c r="N136" s="11" t="str">
        <f>IF(ISNONTEXT(M136),_xlfn.DAYS(About!$A$3,'Crisis info'!M136),"More than 2 years")</f>
        <v>More than 2 years</v>
      </c>
    </row>
    <row r="137" spans="1:14" x14ac:dyDescent="0.3">
      <c r="A137" s="283" t="s">
        <v>1255</v>
      </c>
      <c r="B137" s="283"/>
      <c r="C137" s="283"/>
      <c r="D137" s="283" t="s">
        <v>1259</v>
      </c>
      <c r="E137" s="283" t="s">
        <v>1251</v>
      </c>
      <c r="F137" s="283" t="s">
        <v>1263</v>
      </c>
      <c r="G137" s="283" t="s">
        <v>1506</v>
      </c>
      <c r="H137" s="283" t="s">
        <v>1281</v>
      </c>
      <c r="I137" s="283" t="s">
        <v>328</v>
      </c>
      <c r="J137" s="283" t="s">
        <v>2928</v>
      </c>
      <c r="K137" s="11" t="str">
        <f t="shared" si="2"/>
        <v>https://www.acaps.org/country/Turkey/crisis/Eastern-Mediterranean-Route</v>
      </c>
      <c r="L137" s="11"/>
      <c r="M137" s="284" t="s">
        <v>3233</v>
      </c>
      <c r="N137" s="11" t="str">
        <f>IF(ISNONTEXT(M137),_xlfn.DAYS(About!$A$3,'Crisis info'!M137),"More than 2 years")</f>
        <v>More than 2 years</v>
      </c>
    </row>
    <row r="138" spans="1:14" x14ac:dyDescent="0.3">
      <c r="A138" s="283" t="s">
        <v>2919</v>
      </c>
      <c r="B138" s="283"/>
      <c r="C138" s="283"/>
      <c r="D138" s="283" t="s">
        <v>334</v>
      </c>
      <c r="E138" s="283" t="s">
        <v>1170</v>
      </c>
      <c r="F138" s="283" t="s">
        <v>333</v>
      </c>
      <c r="G138" s="283" t="s">
        <v>1505</v>
      </c>
      <c r="H138" s="283" t="s">
        <v>2959</v>
      </c>
      <c r="I138" s="283" t="s">
        <v>334</v>
      </c>
      <c r="J138" s="283" t="s">
        <v>1392</v>
      </c>
      <c r="K138" s="11" t="str">
        <f t="shared" si="2"/>
        <v>https://www.acaps.org/country/Uganda/crisis/Country-level</v>
      </c>
      <c r="L138" s="11"/>
      <c r="M138" s="284">
        <v>43987</v>
      </c>
      <c r="N138" s="11">
        <f>IF(ISNONTEXT(M138),_xlfn.DAYS(About!$A$3,'Crisis info'!M138),"More than 2 years")</f>
        <v>153</v>
      </c>
    </row>
    <row r="139" spans="1:14" x14ac:dyDescent="0.3">
      <c r="A139" s="283" t="s">
        <v>1681</v>
      </c>
      <c r="B139" s="283"/>
      <c r="C139" s="283"/>
      <c r="D139" s="283" t="s">
        <v>334</v>
      </c>
      <c r="E139" s="283" t="s">
        <v>1680</v>
      </c>
      <c r="F139" s="283" t="s">
        <v>333</v>
      </c>
      <c r="G139" s="283" t="s">
        <v>1505</v>
      </c>
      <c r="H139" s="283" t="s">
        <v>1280</v>
      </c>
      <c r="I139" s="283" t="s">
        <v>334</v>
      </c>
      <c r="J139" s="283" t="s">
        <v>977</v>
      </c>
      <c r="K139" s="11" t="str">
        <f t="shared" si="2"/>
        <v>https://www.acaps.org/country/Uganda/crisis/Refugees</v>
      </c>
      <c r="L139" s="11"/>
      <c r="M139" s="284">
        <v>43801</v>
      </c>
      <c r="N139" s="11">
        <f>IF(ISNONTEXT(M139),_xlfn.DAYS(About!$A$3,'Crisis info'!M139),"More than 2 years")</f>
        <v>339</v>
      </c>
    </row>
    <row r="140" spans="1:14" x14ac:dyDescent="0.3">
      <c r="A140" s="283" t="s">
        <v>2420</v>
      </c>
      <c r="B140" s="283" t="s">
        <v>3248</v>
      </c>
      <c r="C140" s="283" t="s">
        <v>3248</v>
      </c>
      <c r="D140" s="283" t="s">
        <v>334</v>
      </c>
      <c r="E140" s="283" t="s">
        <v>2419</v>
      </c>
      <c r="F140" s="283" t="s">
        <v>333</v>
      </c>
      <c r="G140" s="283" t="s">
        <v>1505</v>
      </c>
      <c r="H140" s="283" t="s">
        <v>1279</v>
      </c>
      <c r="I140" s="283" t="s">
        <v>334</v>
      </c>
      <c r="J140" s="283" t="s">
        <v>2421</v>
      </c>
      <c r="K140" s="11" t="str">
        <f t="shared" ref="K140:K150" si="3">"https://www.acaps.org/country/"&amp;I140&amp;"/crisis/"&amp;SUBSTITUTE(J140," ","-")</f>
        <v>https://www.acaps.org/country/Uganda/crisis/Floods-and-Landslides</v>
      </c>
      <c r="L140" s="11"/>
      <c r="M140" s="284">
        <v>43987</v>
      </c>
      <c r="N140" s="11">
        <f>IF(ISNONTEXT(M140),_xlfn.DAYS(About!$A$3,'Crisis info'!M140),"More than 2 years")</f>
        <v>153</v>
      </c>
    </row>
    <row r="141" spans="1:14" x14ac:dyDescent="0.3">
      <c r="A141" s="283" t="s">
        <v>687</v>
      </c>
      <c r="B141" s="283"/>
      <c r="C141" s="283"/>
      <c r="D141" s="283" t="s">
        <v>336</v>
      </c>
      <c r="E141" s="283" t="s">
        <v>795</v>
      </c>
      <c r="F141" s="283" t="s">
        <v>335</v>
      </c>
      <c r="G141" s="283" t="s">
        <v>1506</v>
      </c>
      <c r="H141" s="283" t="s">
        <v>650</v>
      </c>
      <c r="I141" s="283" t="s">
        <v>336</v>
      </c>
      <c r="J141" s="283" t="s">
        <v>650</v>
      </c>
      <c r="K141" s="11" t="str">
        <f t="shared" si="3"/>
        <v>https://www.acaps.org/country/Ukraine/crisis/Conflict</v>
      </c>
      <c r="L141" s="11"/>
      <c r="M141" s="284" t="s">
        <v>3233</v>
      </c>
      <c r="N141" s="11" t="str">
        <f>IF(ISNONTEXT(M141),_xlfn.DAYS(About!$A$3,'Crisis info'!M141),"More than 2 years")</f>
        <v>More than 2 years</v>
      </c>
    </row>
    <row r="142" spans="1:14" x14ac:dyDescent="0.3">
      <c r="A142" s="283" t="s">
        <v>2244</v>
      </c>
      <c r="B142" s="283" t="s">
        <v>3249</v>
      </c>
      <c r="C142" s="283" t="s">
        <v>3249</v>
      </c>
      <c r="D142" s="283" t="s">
        <v>347</v>
      </c>
      <c r="E142" s="283" t="s">
        <v>2265</v>
      </c>
      <c r="F142" s="283" t="s">
        <v>346</v>
      </c>
      <c r="G142" s="283" t="s">
        <v>1509</v>
      </c>
      <c r="H142" s="283" t="s">
        <v>1549</v>
      </c>
      <c r="I142" s="283" t="s">
        <v>347</v>
      </c>
      <c r="J142" s="283" t="s">
        <v>2243</v>
      </c>
      <c r="K142" s="11" t="str">
        <f t="shared" si="3"/>
        <v>https://www.acaps.org/country/Vanuatu/crisis/Cyclone-Harold</v>
      </c>
      <c r="L142" s="11"/>
      <c r="M142" s="284">
        <v>43936</v>
      </c>
      <c r="N142" s="11">
        <f>IF(ISNONTEXT(M142),_xlfn.DAYS(About!$A$3,'Crisis info'!M142),"More than 2 years")</f>
        <v>204</v>
      </c>
    </row>
    <row r="143" spans="1:14" x14ac:dyDescent="0.3">
      <c r="A143" s="283" t="s">
        <v>597</v>
      </c>
      <c r="B143" s="283"/>
      <c r="C143" s="283"/>
      <c r="D143" s="283" t="s">
        <v>391</v>
      </c>
      <c r="E143" s="283" t="s">
        <v>1111</v>
      </c>
      <c r="F143" s="283" t="s">
        <v>348</v>
      </c>
      <c r="G143" s="283" t="s">
        <v>1507</v>
      </c>
      <c r="H143" s="283" t="s">
        <v>691</v>
      </c>
      <c r="I143" s="283" t="s">
        <v>391</v>
      </c>
      <c r="J143" s="283" t="s">
        <v>691</v>
      </c>
      <c r="K143" s="11" t="str">
        <f t="shared" si="3"/>
        <v>https://www.acaps.org/country/Venezuela/crisis/Complex-crisis</v>
      </c>
      <c r="L143" s="11"/>
      <c r="M143" s="284" t="s">
        <v>3233</v>
      </c>
      <c r="N143" s="11" t="str">
        <f>IF(ISNONTEXT(M143),_xlfn.DAYS(About!$A$3,'Crisis info'!M143),"More than 2 years")</f>
        <v>More than 2 years</v>
      </c>
    </row>
    <row r="144" spans="1:14" ht="39.6" x14ac:dyDescent="0.3">
      <c r="A144" s="283" t="s">
        <v>1204</v>
      </c>
      <c r="B144" s="283"/>
      <c r="C144" s="283"/>
      <c r="D144" s="283" t="s">
        <v>1362</v>
      </c>
      <c r="E144" s="283" t="s">
        <v>1202</v>
      </c>
      <c r="F144" s="283" t="s">
        <v>1363</v>
      </c>
      <c r="G144" s="283" t="s">
        <v>1507</v>
      </c>
      <c r="H144" s="283" t="s">
        <v>1281</v>
      </c>
      <c r="I144" s="283" t="s">
        <v>391</v>
      </c>
      <c r="J144" s="283" t="s">
        <v>1202</v>
      </c>
      <c r="K144" s="11" t="str">
        <f t="shared" si="3"/>
        <v>https://www.acaps.org/country/Venezuela/crisis/Venezuela-Regional-Crisis</v>
      </c>
      <c r="L144" s="283" t="s">
        <v>597</v>
      </c>
      <c r="M144" s="284" t="s">
        <v>3233</v>
      </c>
      <c r="N144" s="11" t="str">
        <f>IF(ISNONTEXT(M144),_xlfn.DAYS(About!$A$3,'Crisis info'!M144),"More than 2 years")</f>
        <v>More than 2 years</v>
      </c>
    </row>
    <row r="145" spans="1:14" x14ac:dyDescent="0.3">
      <c r="A145" s="283" t="s">
        <v>4006</v>
      </c>
      <c r="B145" s="283"/>
      <c r="C145" s="283"/>
      <c r="D145" s="283" t="s">
        <v>3142</v>
      </c>
      <c r="E145" s="283" t="s">
        <v>4005</v>
      </c>
      <c r="F145" s="283" t="s">
        <v>349</v>
      </c>
      <c r="G145" s="283" t="s">
        <v>1504</v>
      </c>
      <c r="H145" s="283" t="s">
        <v>1279</v>
      </c>
      <c r="I145" s="283" t="s">
        <v>3142</v>
      </c>
      <c r="J145" s="283" t="s">
        <v>1672</v>
      </c>
      <c r="K145" s="11" t="str">
        <f t="shared" si="3"/>
        <v>https://www.acaps.org/country/Vietnam/crisis/Floods</v>
      </c>
      <c r="L145" s="283"/>
      <c r="M145" s="284">
        <v>44137</v>
      </c>
      <c r="N145" s="11">
        <f>IF(ISNONTEXT(M145),_xlfn.DAYS(About!$A$3,'Crisis info'!M145),"More than 2 years")</f>
        <v>3</v>
      </c>
    </row>
    <row r="146" spans="1:14" x14ac:dyDescent="0.3">
      <c r="A146" s="283" t="s">
        <v>598</v>
      </c>
      <c r="B146" s="283"/>
      <c r="C146" s="283"/>
      <c r="D146" s="283" t="s">
        <v>351</v>
      </c>
      <c r="E146" s="283" t="s">
        <v>1112</v>
      </c>
      <c r="F146" s="283" t="s">
        <v>350</v>
      </c>
      <c r="G146" s="283" t="s">
        <v>1508</v>
      </c>
      <c r="H146" s="283" t="s">
        <v>691</v>
      </c>
      <c r="I146" s="283" t="s">
        <v>351</v>
      </c>
      <c r="J146" s="283" t="s">
        <v>691</v>
      </c>
      <c r="K146" s="11" t="str">
        <f t="shared" si="3"/>
        <v>https://www.acaps.org/country/Yemen/crisis/Complex-crisis</v>
      </c>
      <c r="L146" s="11"/>
      <c r="M146" s="284" t="s">
        <v>3233</v>
      </c>
      <c r="N146" s="11" t="str">
        <f>IF(ISNONTEXT(M146),_xlfn.DAYS(About!$A$3,'Crisis info'!M146),"More than 2 years")</f>
        <v>More than 2 years</v>
      </c>
    </row>
    <row r="147" spans="1:14" x14ac:dyDescent="0.3">
      <c r="A147" s="283" t="s">
        <v>1115</v>
      </c>
      <c r="B147" s="283"/>
      <c r="C147" s="283"/>
      <c r="D147" s="283" t="s">
        <v>351</v>
      </c>
      <c r="E147" s="283" t="s">
        <v>1113</v>
      </c>
      <c r="F147" s="283" t="s">
        <v>350</v>
      </c>
      <c r="G147" s="283" t="s">
        <v>1508</v>
      </c>
      <c r="H147" s="283" t="s">
        <v>1280</v>
      </c>
      <c r="I147" s="283" t="s">
        <v>351</v>
      </c>
      <c r="J147" s="283" t="s">
        <v>1389</v>
      </c>
      <c r="K147" s="11" t="str">
        <f t="shared" si="3"/>
        <v>https://www.acaps.org/country/Yemen/crisis/Mixed-Migration</v>
      </c>
      <c r="L147" s="11"/>
      <c r="M147" s="284" t="s">
        <v>3233</v>
      </c>
      <c r="N147" s="11" t="str">
        <f>IF(ISNONTEXT(M147),_xlfn.DAYS(About!$A$3,'Crisis info'!M147),"More than 2 years")</f>
        <v>More than 2 years</v>
      </c>
    </row>
    <row r="148" spans="1:14" x14ac:dyDescent="0.3">
      <c r="A148" s="283" t="s">
        <v>682</v>
      </c>
      <c r="B148" s="283"/>
      <c r="C148" s="283"/>
      <c r="D148" s="283" t="s">
        <v>353</v>
      </c>
      <c r="E148" s="283" t="s">
        <v>788</v>
      </c>
      <c r="F148" s="283" t="s">
        <v>352</v>
      </c>
      <c r="G148" s="283" t="s">
        <v>1505</v>
      </c>
      <c r="H148" s="283" t="s">
        <v>651</v>
      </c>
      <c r="I148" s="283" t="s">
        <v>353</v>
      </c>
      <c r="J148" s="283" t="s">
        <v>651</v>
      </c>
      <c r="K148" s="11" t="str">
        <f t="shared" si="3"/>
        <v>https://www.acaps.org/country/Zambia/crisis/Drought</v>
      </c>
      <c r="L148" s="283" t="s">
        <v>2135</v>
      </c>
      <c r="M148" s="284" t="s">
        <v>3233</v>
      </c>
      <c r="N148" s="11" t="str">
        <f>IF(ISNONTEXT(M148),_xlfn.DAYS(About!$A$3,'Crisis info'!M148),"More than 2 years")</f>
        <v>More than 2 years</v>
      </c>
    </row>
    <row r="149" spans="1:14" x14ac:dyDescent="0.3">
      <c r="A149" s="283" t="s">
        <v>2920</v>
      </c>
      <c r="B149" s="283"/>
      <c r="C149" s="283"/>
      <c r="D149" s="283" t="s">
        <v>355</v>
      </c>
      <c r="E149" s="283" t="s">
        <v>1114</v>
      </c>
      <c r="F149" s="283" t="s">
        <v>354</v>
      </c>
      <c r="G149" s="283" t="s">
        <v>1505</v>
      </c>
      <c r="H149" s="283" t="s">
        <v>691</v>
      </c>
      <c r="I149" s="283" t="s">
        <v>355</v>
      </c>
      <c r="J149" s="283" t="s">
        <v>691</v>
      </c>
      <c r="K149" s="11" t="str">
        <f t="shared" si="3"/>
        <v>https://www.acaps.org/country/Zimbabwe/crisis/Complex-crisis</v>
      </c>
      <c r="L149" s="283" t="s">
        <v>2135</v>
      </c>
      <c r="M149" s="284" t="s">
        <v>3233</v>
      </c>
      <c r="N149" s="11" t="str">
        <f>IF(ISNONTEXT(M149),_xlfn.DAYS(About!$A$3,'Crisis info'!M149),"More than 2 years")</f>
        <v>More than 2 years</v>
      </c>
    </row>
    <row r="150" spans="1:14" x14ac:dyDescent="0.3">
      <c r="A150" s="283" t="s">
        <v>2515</v>
      </c>
      <c r="B150" s="283" t="s">
        <v>3250</v>
      </c>
      <c r="C150" s="283" t="s">
        <v>3250</v>
      </c>
      <c r="D150" s="283" t="s">
        <v>355</v>
      </c>
      <c r="E150" s="283" t="s">
        <v>2514</v>
      </c>
      <c r="F150" s="283" t="s">
        <v>354</v>
      </c>
      <c r="G150" s="283" t="s">
        <v>1505</v>
      </c>
      <c r="H150" s="283" t="s">
        <v>2516</v>
      </c>
      <c r="I150" s="283" t="s">
        <v>355</v>
      </c>
      <c r="J150" s="283" t="s">
        <v>2517</v>
      </c>
      <c r="K150" s="11" t="str">
        <f t="shared" si="3"/>
        <v>https://www.acaps.org/country/Zimbabwe/crisis/Malaria-Epidemic</v>
      </c>
      <c r="L150" s="11"/>
      <c r="M150" s="284">
        <v>43990</v>
      </c>
      <c r="N150" s="11">
        <f>IF(ISNONTEXT(M150),_xlfn.DAYS(About!$A$3,'Crisis info'!M150),"More than 2 years")</f>
        <v>150</v>
      </c>
    </row>
    <row r="152" spans="1:14" x14ac:dyDescent="0.3">
      <c r="A152" s="78"/>
      <c r="B152" s="78"/>
      <c r="C152" s="78"/>
      <c r="D152" s="78"/>
      <c r="E152" s="78"/>
      <c r="F152" s="78"/>
      <c r="G152" s="78"/>
      <c r="H152" s="78"/>
      <c r="I152" s="78"/>
      <c r="J152" s="78"/>
    </row>
    <row r="153" spans="1:14" x14ac:dyDescent="0.3">
      <c r="A153" s="78"/>
      <c r="B153" s="78"/>
      <c r="C153" s="78"/>
      <c r="D153" s="78"/>
      <c r="E153" s="78"/>
      <c r="F153" s="78"/>
      <c r="G153" s="78"/>
      <c r="H153" s="78"/>
      <c r="I153" s="78"/>
      <c r="J153" s="78"/>
    </row>
    <row r="154" spans="1:14" x14ac:dyDescent="0.3">
      <c r="A154" s="78"/>
      <c r="B154" s="78"/>
      <c r="C154" s="78"/>
      <c r="D154" s="78"/>
      <c r="E154" s="78"/>
      <c r="F154" s="78"/>
      <c r="G154" s="78"/>
      <c r="H154" s="78"/>
      <c r="I154" s="78"/>
      <c r="J154" s="78"/>
    </row>
    <row r="155" spans="1:14" x14ac:dyDescent="0.3">
      <c r="A155" s="78"/>
      <c r="B155" s="78"/>
      <c r="C155" s="78"/>
      <c r="D155" s="78"/>
      <c r="E155" s="78"/>
      <c r="F155" s="78"/>
      <c r="G155" s="78"/>
      <c r="H155" s="78"/>
      <c r="I155" s="78"/>
      <c r="J155" s="78"/>
    </row>
    <row r="156" spans="1:14" x14ac:dyDescent="0.3">
      <c r="A156" s="78"/>
      <c r="B156" s="78"/>
      <c r="C156" s="78"/>
      <c r="D156" s="78"/>
      <c r="E156" s="78"/>
      <c r="F156" s="78"/>
      <c r="G156" s="78"/>
      <c r="H156" s="78"/>
      <c r="I156" s="78"/>
      <c r="J156" s="78"/>
    </row>
    <row r="157" spans="1:14" x14ac:dyDescent="0.3">
      <c r="A157" s="78"/>
      <c r="B157" s="78"/>
      <c r="C157" s="78"/>
      <c r="D157" s="78"/>
      <c r="E157" s="78"/>
      <c r="F157" s="78"/>
      <c r="G157" s="78"/>
      <c r="H157" s="78"/>
      <c r="I157" s="78"/>
      <c r="J157" s="78"/>
    </row>
    <row r="158" spans="1:14" x14ac:dyDescent="0.3">
      <c r="A158" s="78"/>
      <c r="B158" s="78"/>
      <c r="C158" s="78"/>
      <c r="D158" s="78"/>
      <c r="E158" s="78"/>
      <c r="F158" s="78"/>
      <c r="G158" s="78"/>
      <c r="H158" s="78"/>
      <c r="I158" s="78"/>
      <c r="J158" s="78"/>
    </row>
    <row r="159" spans="1:14" x14ac:dyDescent="0.3">
      <c r="A159" s="78"/>
      <c r="B159" s="78"/>
      <c r="C159" s="78"/>
      <c r="D159" s="78"/>
      <c r="E159" s="78"/>
      <c r="F159" s="78"/>
      <c r="G159" s="78"/>
      <c r="H159" s="78"/>
      <c r="I159" s="78"/>
      <c r="J159" s="78"/>
    </row>
    <row r="160" spans="1:14" x14ac:dyDescent="0.3">
      <c r="A160" s="78"/>
      <c r="B160" s="78"/>
      <c r="C160" s="78"/>
      <c r="D160" s="78"/>
      <c r="E160" s="78"/>
      <c r="F160" s="78"/>
      <c r="G160" s="78"/>
      <c r="H160" s="78"/>
      <c r="I160" s="78"/>
      <c r="J160" s="78"/>
    </row>
    <row r="161" spans="1:10" x14ac:dyDescent="0.3">
      <c r="A161" s="78"/>
      <c r="B161" s="78"/>
      <c r="C161" s="78"/>
      <c r="D161" s="78"/>
      <c r="E161" s="78"/>
      <c r="F161" s="78"/>
      <c r="G161" s="78"/>
      <c r="H161" s="78"/>
      <c r="I161" s="78"/>
      <c r="J161" s="78"/>
    </row>
    <row r="162" spans="1:10" x14ac:dyDescent="0.3">
      <c r="A162" s="78"/>
      <c r="B162" s="78"/>
      <c r="C162" s="78"/>
      <c r="D162" s="78"/>
      <c r="E162" s="78"/>
      <c r="F162" s="78"/>
      <c r="G162" s="78"/>
      <c r="H162" s="78"/>
      <c r="I162" s="78"/>
      <c r="J162" s="78"/>
    </row>
    <row r="163" spans="1:10" x14ac:dyDescent="0.3">
      <c r="A163" s="78"/>
      <c r="B163" s="78"/>
      <c r="C163" s="78"/>
      <c r="D163" s="78"/>
      <c r="E163" s="78"/>
      <c r="F163" s="78"/>
      <c r="G163" s="78"/>
      <c r="H163" s="78"/>
      <c r="I163" s="78"/>
      <c r="J163" s="78"/>
    </row>
    <row r="164" spans="1:10" x14ac:dyDescent="0.3">
      <c r="A164" s="78"/>
      <c r="B164" s="78"/>
      <c r="C164" s="78"/>
      <c r="D164" s="78"/>
      <c r="E164" s="78"/>
      <c r="F164" s="78"/>
      <c r="G164" s="78"/>
      <c r="H164" s="78"/>
      <c r="I164" s="78"/>
      <c r="J164" s="78"/>
    </row>
    <row r="165" spans="1:10" x14ac:dyDescent="0.3">
      <c r="A165" s="78"/>
      <c r="B165" s="78"/>
      <c r="C165" s="78"/>
      <c r="D165" s="78"/>
      <c r="E165" s="78"/>
      <c r="F165" s="78"/>
      <c r="G165" s="78"/>
      <c r="H165" s="78"/>
      <c r="I165" s="78"/>
      <c r="J165" s="78"/>
    </row>
    <row r="166" spans="1:10" x14ac:dyDescent="0.3">
      <c r="A166" s="78"/>
      <c r="B166" s="78"/>
      <c r="C166" s="78"/>
      <c r="D166" s="78"/>
      <c r="E166" s="78"/>
      <c r="F166" s="78"/>
      <c r="G166" s="78"/>
      <c r="H166" s="78"/>
      <c r="I166" s="78"/>
      <c r="J166" s="78"/>
    </row>
    <row r="167" spans="1:10" x14ac:dyDescent="0.3">
      <c r="A167" s="78"/>
      <c r="B167" s="78"/>
      <c r="C167" s="78"/>
      <c r="D167" s="78"/>
      <c r="E167" s="78"/>
      <c r="F167" s="78"/>
      <c r="G167" s="78"/>
      <c r="H167" s="78"/>
      <c r="I167" s="78"/>
      <c r="J167" s="78"/>
    </row>
    <row r="168" spans="1:10" x14ac:dyDescent="0.3">
      <c r="A168" s="78"/>
      <c r="B168" s="78"/>
      <c r="C168" s="78"/>
      <c r="D168" s="78"/>
      <c r="E168" s="78"/>
      <c r="F168" s="78"/>
      <c r="G168" s="78"/>
      <c r="H168" s="78"/>
      <c r="I168" s="78"/>
      <c r="J168" s="78"/>
    </row>
    <row r="169" spans="1:10" x14ac:dyDescent="0.3">
      <c r="A169" s="78"/>
      <c r="B169" s="78"/>
      <c r="C169" s="78"/>
      <c r="D169" s="78"/>
      <c r="E169" s="78"/>
      <c r="F169" s="78"/>
      <c r="G169" s="78"/>
      <c r="H169" s="78"/>
      <c r="I169" s="78"/>
      <c r="J169" s="78"/>
    </row>
    <row r="170" spans="1:10" x14ac:dyDescent="0.3">
      <c r="A170" s="78"/>
      <c r="B170" s="78"/>
      <c r="C170" s="78"/>
      <c r="D170" s="78"/>
      <c r="E170" s="78"/>
      <c r="F170" s="78"/>
      <c r="G170" s="78"/>
      <c r="H170" s="78"/>
      <c r="I170" s="78"/>
      <c r="J170" s="78"/>
    </row>
    <row r="171" spans="1:10" x14ac:dyDescent="0.3">
      <c r="A171" s="78"/>
      <c r="B171" s="78"/>
      <c r="C171" s="78"/>
      <c r="D171" s="78"/>
      <c r="E171" s="78"/>
      <c r="F171" s="78"/>
      <c r="G171" s="78"/>
      <c r="H171" s="78"/>
      <c r="I171" s="78"/>
      <c r="J171" s="78"/>
    </row>
    <row r="172" spans="1:10" x14ac:dyDescent="0.3">
      <c r="A172" s="78"/>
      <c r="B172" s="78"/>
      <c r="C172" s="78"/>
      <c r="D172" s="78"/>
      <c r="E172" s="78"/>
      <c r="F172" s="78"/>
      <c r="G172" s="78"/>
      <c r="H172" s="78"/>
      <c r="I172" s="78"/>
      <c r="J172" s="78"/>
    </row>
    <row r="173" spans="1:10" x14ac:dyDescent="0.3">
      <c r="A173" s="78"/>
      <c r="B173" s="78"/>
      <c r="C173" s="78"/>
      <c r="D173" s="78"/>
      <c r="E173" s="78"/>
      <c r="F173" s="78"/>
      <c r="G173" s="78"/>
      <c r="H173" s="78"/>
      <c r="I173" s="78"/>
      <c r="J173" s="78"/>
    </row>
    <row r="174" spans="1:10" x14ac:dyDescent="0.3">
      <c r="A174" s="78"/>
      <c r="B174" s="78"/>
      <c r="C174" s="78"/>
      <c r="D174" s="78"/>
      <c r="E174" s="78"/>
      <c r="F174" s="78"/>
      <c r="G174" s="78"/>
      <c r="H174" s="78"/>
      <c r="I174" s="78"/>
      <c r="J174" s="78"/>
    </row>
    <row r="175" spans="1:10" x14ac:dyDescent="0.3">
      <c r="A175" s="78"/>
      <c r="B175" s="78"/>
      <c r="C175" s="78"/>
      <c r="D175" s="78"/>
      <c r="E175" s="78"/>
      <c r="F175" s="78"/>
      <c r="G175" s="78"/>
      <c r="H175" s="78"/>
      <c r="I175" s="78"/>
      <c r="J175" s="78"/>
    </row>
    <row r="176" spans="1:10" x14ac:dyDescent="0.3">
      <c r="A176" s="78"/>
      <c r="B176" s="78"/>
      <c r="C176" s="78"/>
      <c r="D176" s="78"/>
      <c r="E176" s="78"/>
      <c r="F176" s="78"/>
      <c r="G176" s="78"/>
      <c r="H176" s="78"/>
      <c r="I176" s="78"/>
      <c r="J176" s="78"/>
    </row>
    <row r="177" spans="1:10" x14ac:dyDescent="0.3">
      <c r="A177" s="78"/>
      <c r="B177" s="78"/>
      <c r="C177" s="78"/>
      <c r="D177" s="78"/>
      <c r="E177" s="78"/>
      <c r="F177" s="78"/>
      <c r="G177" s="78"/>
      <c r="H177" s="78"/>
      <c r="I177" s="78"/>
      <c r="J177" s="78"/>
    </row>
    <row r="178" spans="1:10" x14ac:dyDescent="0.3">
      <c r="A178" s="78"/>
      <c r="B178" s="78"/>
      <c r="C178" s="78"/>
      <c r="D178" s="78"/>
      <c r="E178" s="78"/>
      <c r="F178" s="78"/>
      <c r="G178" s="78"/>
      <c r="H178" s="78"/>
      <c r="I178" s="78"/>
      <c r="J178" s="78"/>
    </row>
    <row r="179" spans="1:10" x14ac:dyDescent="0.3">
      <c r="A179" s="78"/>
      <c r="B179" s="78"/>
      <c r="C179" s="78"/>
      <c r="D179" s="78"/>
      <c r="E179" s="78"/>
      <c r="F179" s="78"/>
      <c r="G179" s="78"/>
      <c r="H179" s="78"/>
      <c r="I179" s="78"/>
      <c r="J179" s="78"/>
    </row>
    <row r="180" spans="1:10" x14ac:dyDescent="0.3">
      <c r="A180" s="78"/>
      <c r="B180" s="78"/>
      <c r="C180" s="78"/>
      <c r="D180" s="78"/>
      <c r="E180" s="78"/>
      <c r="F180" s="78"/>
      <c r="G180" s="78"/>
      <c r="H180" s="78"/>
      <c r="I180" s="78"/>
      <c r="J180" s="78"/>
    </row>
    <row r="181" spans="1:10" x14ac:dyDescent="0.3">
      <c r="A181" s="78"/>
      <c r="B181" s="78"/>
      <c r="C181" s="78"/>
      <c r="D181" s="78"/>
      <c r="E181" s="78"/>
      <c r="F181" s="78"/>
      <c r="G181" s="78"/>
      <c r="H181" s="78"/>
      <c r="I181" s="78"/>
      <c r="J181" s="78"/>
    </row>
    <row r="182" spans="1:10" x14ac:dyDescent="0.3">
      <c r="A182" s="78"/>
      <c r="B182" s="78"/>
      <c r="C182" s="78"/>
      <c r="D182" s="78"/>
      <c r="E182" s="78"/>
      <c r="F182" s="78"/>
      <c r="G182" s="78"/>
      <c r="H182" s="78"/>
      <c r="I182" s="78"/>
      <c r="J182" s="78"/>
    </row>
    <row r="183" spans="1:10" x14ac:dyDescent="0.3">
      <c r="A183" s="78"/>
      <c r="B183" s="78"/>
      <c r="C183" s="78"/>
      <c r="D183" s="78"/>
      <c r="E183" s="78"/>
      <c r="F183" s="78"/>
      <c r="G183" s="78"/>
      <c r="H183" s="78"/>
      <c r="I183" s="78"/>
      <c r="J183" s="78"/>
    </row>
    <row r="184" spans="1:10" x14ac:dyDescent="0.3">
      <c r="A184" s="78"/>
      <c r="B184" s="78"/>
      <c r="C184" s="78"/>
      <c r="D184" s="78"/>
      <c r="E184" s="78"/>
      <c r="F184" s="78"/>
      <c r="G184" s="78"/>
      <c r="H184" s="78"/>
      <c r="I184" s="78"/>
      <c r="J184" s="78"/>
    </row>
    <row r="185" spans="1:10" x14ac:dyDescent="0.3">
      <c r="A185" s="78"/>
      <c r="B185" s="78"/>
      <c r="C185" s="78"/>
      <c r="D185" s="78"/>
      <c r="E185" s="78"/>
      <c r="F185" s="78"/>
      <c r="G185" s="78"/>
      <c r="H185" s="78"/>
      <c r="I185" s="78"/>
      <c r="J185" s="78"/>
    </row>
    <row r="186" spans="1:10" x14ac:dyDescent="0.3">
      <c r="A186" s="78"/>
      <c r="B186" s="78"/>
      <c r="C186" s="78"/>
      <c r="D186" s="78"/>
      <c r="E186" s="78"/>
      <c r="F186" s="78"/>
      <c r="G186" s="78"/>
      <c r="H186" s="78"/>
      <c r="I186" s="78"/>
      <c r="J186" s="78"/>
    </row>
    <row r="187" spans="1:10" x14ac:dyDescent="0.3">
      <c r="A187" s="78"/>
      <c r="B187" s="78"/>
      <c r="C187" s="78"/>
      <c r="D187" s="78"/>
      <c r="E187" s="78"/>
      <c r="F187" s="78"/>
      <c r="G187" s="78"/>
      <c r="H187" s="78"/>
      <c r="I187" s="78"/>
      <c r="J187" s="78"/>
    </row>
    <row r="188" spans="1:10" x14ac:dyDescent="0.3">
      <c r="A188" s="78"/>
      <c r="B188" s="78"/>
      <c r="C188" s="78"/>
      <c r="D188" s="78"/>
      <c r="E188" s="78"/>
      <c r="F188" s="78"/>
      <c r="G188" s="78"/>
      <c r="H188" s="78"/>
      <c r="I188" s="78"/>
      <c r="J188" s="78"/>
    </row>
    <row r="189" spans="1:10" x14ac:dyDescent="0.3">
      <c r="A189" s="78"/>
      <c r="B189" s="78"/>
      <c r="C189" s="78"/>
      <c r="D189" s="78"/>
      <c r="E189" s="78"/>
      <c r="F189" s="78"/>
      <c r="G189" s="78"/>
      <c r="H189" s="78"/>
      <c r="I189" s="78"/>
      <c r="J189" s="78"/>
    </row>
    <row r="190" spans="1:10" x14ac:dyDescent="0.3">
      <c r="A190" s="78"/>
      <c r="B190" s="78"/>
      <c r="C190" s="78"/>
      <c r="D190" s="78"/>
      <c r="E190" s="78"/>
      <c r="F190" s="78"/>
      <c r="G190" s="78"/>
      <c r="H190" s="78"/>
      <c r="I190" s="78"/>
      <c r="J190" s="78"/>
    </row>
    <row r="191" spans="1:10" x14ac:dyDescent="0.3">
      <c r="A191" s="78"/>
      <c r="B191" s="78"/>
      <c r="C191" s="78"/>
      <c r="D191" s="78"/>
      <c r="E191" s="78"/>
      <c r="F191" s="78"/>
      <c r="G191" s="78"/>
      <c r="H191" s="78"/>
      <c r="I191" s="78"/>
      <c r="J191" s="78"/>
    </row>
    <row r="192" spans="1:10" x14ac:dyDescent="0.3">
      <c r="A192" s="78"/>
      <c r="B192" s="78"/>
      <c r="C192" s="78"/>
      <c r="D192" s="78"/>
      <c r="E192" s="78"/>
      <c r="F192" s="78"/>
      <c r="G192" s="78"/>
      <c r="H192" s="78"/>
      <c r="I192" s="78"/>
      <c r="J192" s="78"/>
    </row>
    <row r="193" spans="1:10" x14ac:dyDescent="0.3">
      <c r="A193" s="78"/>
      <c r="B193" s="78"/>
      <c r="C193" s="78"/>
      <c r="D193" s="78"/>
      <c r="E193" s="78"/>
      <c r="F193" s="78"/>
      <c r="G193" s="78"/>
      <c r="H193" s="78"/>
      <c r="I193" s="78"/>
      <c r="J193" s="78"/>
    </row>
    <row r="194" spans="1:10" x14ac:dyDescent="0.3">
      <c r="A194" s="78"/>
      <c r="B194" s="78"/>
      <c r="C194" s="78"/>
      <c r="D194" s="78"/>
      <c r="E194" s="78"/>
      <c r="F194" s="78"/>
      <c r="G194" s="78"/>
      <c r="H194" s="78"/>
      <c r="I194" s="78"/>
      <c r="J194" s="78"/>
    </row>
    <row r="195" spans="1:10" x14ac:dyDescent="0.3">
      <c r="A195" s="78"/>
      <c r="B195" s="78"/>
      <c r="C195" s="78"/>
      <c r="D195" s="78"/>
      <c r="E195" s="78"/>
      <c r="F195" s="78"/>
      <c r="G195" s="78"/>
      <c r="H195" s="78"/>
      <c r="I195" s="78"/>
      <c r="J195" s="78"/>
    </row>
    <row r="196" spans="1:10" x14ac:dyDescent="0.3">
      <c r="A196" s="78"/>
      <c r="B196" s="78"/>
      <c r="C196" s="78"/>
      <c r="D196" s="78"/>
      <c r="E196" s="78"/>
      <c r="F196" s="78"/>
      <c r="G196" s="78"/>
      <c r="H196" s="78"/>
      <c r="I196" s="78"/>
      <c r="J196" s="78"/>
    </row>
    <row r="197" spans="1:10" x14ac:dyDescent="0.3">
      <c r="A197" s="78"/>
      <c r="B197" s="78"/>
      <c r="C197" s="78"/>
      <c r="D197" s="78"/>
      <c r="E197" s="78"/>
      <c r="F197" s="78"/>
      <c r="G197" s="78"/>
      <c r="H197" s="78"/>
      <c r="I197" s="78"/>
      <c r="J197" s="78"/>
    </row>
    <row r="198" spans="1:10" x14ac:dyDescent="0.3">
      <c r="A198" s="78"/>
      <c r="B198" s="78"/>
      <c r="C198" s="78"/>
      <c r="D198" s="78"/>
      <c r="E198" s="78"/>
      <c r="F198" s="78"/>
      <c r="G198" s="78"/>
      <c r="H198" s="78"/>
      <c r="I198" s="78"/>
      <c r="J198" s="78"/>
    </row>
    <row r="199" spans="1:10" x14ac:dyDescent="0.3">
      <c r="A199" s="78"/>
      <c r="B199" s="78"/>
      <c r="C199" s="78"/>
      <c r="D199" s="78"/>
      <c r="E199" s="78"/>
      <c r="F199" s="78"/>
      <c r="G199" s="78"/>
      <c r="H199" s="78"/>
      <c r="I199" s="78"/>
      <c r="J199" s="78"/>
    </row>
    <row r="200" spans="1:10" x14ac:dyDescent="0.3">
      <c r="A200" s="78"/>
      <c r="B200" s="78"/>
      <c r="C200" s="78"/>
      <c r="D200" s="78"/>
      <c r="E200" s="78"/>
      <c r="F200" s="78"/>
      <c r="G200" s="78"/>
      <c r="H200" s="78"/>
      <c r="I200" s="78"/>
      <c r="J200" s="78"/>
    </row>
    <row r="201" spans="1:10" x14ac:dyDescent="0.3">
      <c r="A201" s="78"/>
      <c r="B201" s="78"/>
      <c r="C201" s="78"/>
      <c r="D201" s="78"/>
      <c r="E201" s="78"/>
      <c r="F201" s="78"/>
      <c r="G201" s="78"/>
      <c r="H201" s="78"/>
      <c r="I201" s="78"/>
      <c r="J201" s="78"/>
    </row>
    <row r="202" spans="1:10" x14ac:dyDescent="0.3">
      <c r="A202" s="78"/>
      <c r="B202" s="78"/>
      <c r="C202" s="78"/>
      <c r="D202" s="78"/>
      <c r="E202" s="78"/>
      <c r="F202" s="78"/>
      <c r="G202" s="78"/>
      <c r="H202" s="78"/>
      <c r="I202" s="78"/>
      <c r="J202" s="78"/>
    </row>
    <row r="203" spans="1:10" x14ac:dyDescent="0.3">
      <c r="A203" s="78"/>
      <c r="B203" s="78"/>
      <c r="C203" s="78"/>
      <c r="D203" s="78"/>
      <c r="E203" s="78"/>
      <c r="F203" s="78"/>
      <c r="G203" s="78"/>
      <c r="H203" s="78"/>
      <c r="I203" s="78"/>
      <c r="J203" s="78"/>
    </row>
    <row r="204" spans="1:10" x14ac:dyDescent="0.3">
      <c r="A204" s="78"/>
      <c r="B204" s="78"/>
      <c r="C204" s="78"/>
      <c r="D204" s="78"/>
      <c r="E204" s="78"/>
      <c r="F204" s="78"/>
      <c r="G204" s="78"/>
      <c r="H204" s="78"/>
      <c r="I204" s="78"/>
      <c r="J204" s="78"/>
    </row>
    <row r="205" spans="1:10" x14ac:dyDescent="0.3">
      <c r="A205" s="78"/>
      <c r="B205" s="78"/>
      <c r="C205" s="78"/>
      <c r="D205" s="78"/>
      <c r="E205" s="78"/>
      <c r="F205" s="78"/>
      <c r="G205" s="78"/>
      <c r="H205" s="78"/>
      <c r="I205" s="78"/>
      <c r="J205" s="78"/>
    </row>
    <row r="206" spans="1:10" x14ac:dyDescent="0.3">
      <c r="A206" s="78"/>
      <c r="B206" s="78"/>
      <c r="C206" s="78"/>
      <c r="D206" s="78"/>
      <c r="E206" s="78"/>
      <c r="F206" s="78"/>
      <c r="G206" s="78"/>
      <c r="H206" s="78"/>
      <c r="I206" s="78"/>
      <c r="J206" s="78"/>
    </row>
    <row r="207" spans="1:10" x14ac:dyDescent="0.3">
      <c r="A207" s="78"/>
      <c r="B207" s="78"/>
      <c r="C207" s="78"/>
      <c r="D207" s="78"/>
      <c r="E207" s="78"/>
      <c r="F207" s="78"/>
      <c r="G207" s="78"/>
      <c r="H207" s="78"/>
      <c r="I207" s="78"/>
      <c r="J207" s="78"/>
    </row>
    <row r="208" spans="1:10" x14ac:dyDescent="0.3">
      <c r="A208" s="78"/>
      <c r="B208" s="78"/>
      <c r="C208" s="78"/>
      <c r="D208" s="78"/>
      <c r="E208" s="78"/>
      <c r="F208" s="78"/>
      <c r="G208" s="78"/>
      <c r="H208" s="78"/>
      <c r="I208" s="78"/>
      <c r="J208" s="78"/>
    </row>
    <row r="209" spans="1:10" x14ac:dyDescent="0.3">
      <c r="A209" s="78"/>
      <c r="B209" s="78"/>
      <c r="C209" s="78"/>
      <c r="D209" s="78"/>
      <c r="E209" s="78"/>
      <c r="F209" s="78"/>
      <c r="G209" s="78"/>
      <c r="H209" s="78"/>
      <c r="I209" s="78"/>
      <c r="J209" s="78"/>
    </row>
    <row r="210" spans="1:10" x14ac:dyDescent="0.3">
      <c r="A210" s="78"/>
      <c r="B210" s="78"/>
      <c r="C210" s="78"/>
      <c r="D210" s="78"/>
      <c r="E210" s="78"/>
      <c r="F210" s="78"/>
      <c r="G210" s="78"/>
      <c r="H210" s="78"/>
      <c r="I210" s="78"/>
      <c r="J210" s="78"/>
    </row>
    <row r="211" spans="1:10" x14ac:dyDescent="0.3">
      <c r="A211" s="78"/>
      <c r="B211" s="78"/>
      <c r="C211" s="78"/>
      <c r="D211" s="78"/>
      <c r="E211" s="78"/>
      <c r="F211" s="78"/>
      <c r="G211" s="78"/>
      <c r="H211" s="78"/>
      <c r="I211" s="78"/>
      <c r="J211" s="78"/>
    </row>
    <row r="212" spans="1:10" x14ac:dyDescent="0.3">
      <c r="A212" s="78"/>
      <c r="B212" s="78"/>
      <c r="C212" s="78"/>
      <c r="D212" s="78"/>
      <c r="E212" s="78"/>
      <c r="F212" s="78"/>
      <c r="G212" s="78"/>
      <c r="H212" s="78"/>
      <c r="I212" s="78"/>
      <c r="J212" s="78"/>
    </row>
    <row r="213" spans="1:10" x14ac:dyDescent="0.3">
      <c r="A213" s="78"/>
      <c r="B213" s="78"/>
      <c r="C213" s="78"/>
      <c r="D213" s="78"/>
      <c r="E213" s="78"/>
      <c r="F213" s="78"/>
      <c r="G213" s="78"/>
      <c r="H213" s="78"/>
      <c r="I213" s="78"/>
      <c r="J213" s="78"/>
    </row>
    <row r="214" spans="1:10" x14ac:dyDescent="0.3">
      <c r="A214" s="78"/>
      <c r="B214" s="78"/>
      <c r="C214" s="78"/>
      <c r="D214" s="78"/>
      <c r="E214" s="78"/>
      <c r="F214" s="78"/>
      <c r="G214" s="78"/>
      <c r="H214" s="78"/>
      <c r="I214" s="78"/>
      <c r="J214" s="78"/>
    </row>
    <row r="215" spans="1:10" x14ac:dyDescent="0.3">
      <c r="A215" s="78"/>
      <c r="B215" s="78"/>
      <c r="C215" s="78"/>
      <c r="D215" s="78"/>
      <c r="E215" s="78"/>
      <c r="F215" s="78"/>
      <c r="G215" s="78"/>
      <c r="H215" s="78"/>
      <c r="I215" s="78"/>
      <c r="J215" s="78"/>
    </row>
    <row r="216" spans="1:10" x14ac:dyDescent="0.3">
      <c r="A216" s="78"/>
      <c r="B216" s="78"/>
      <c r="C216" s="78"/>
      <c r="D216" s="78"/>
      <c r="E216" s="78"/>
      <c r="F216" s="78"/>
      <c r="G216" s="78"/>
      <c r="H216" s="78"/>
      <c r="I216" s="78"/>
      <c r="J216" s="78"/>
    </row>
    <row r="217" spans="1:10" x14ac:dyDescent="0.3">
      <c r="A217" s="78"/>
      <c r="B217" s="78"/>
      <c r="C217" s="78"/>
      <c r="D217" s="78"/>
      <c r="E217" s="78"/>
      <c r="F217" s="78"/>
      <c r="G217" s="78"/>
      <c r="H217" s="78"/>
      <c r="I217" s="78"/>
      <c r="J217" s="78"/>
    </row>
    <row r="218" spans="1:10" x14ac:dyDescent="0.3">
      <c r="A218" s="78"/>
      <c r="B218" s="78"/>
      <c r="C218" s="78"/>
      <c r="D218" s="78"/>
      <c r="E218" s="78"/>
      <c r="F218" s="78"/>
      <c r="G218" s="78"/>
      <c r="H218" s="78"/>
      <c r="I218" s="78"/>
      <c r="J218" s="78"/>
    </row>
    <row r="219" spans="1:10" x14ac:dyDescent="0.3">
      <c r="A219" s="78"/>
      <c r="B219" s="78"/>
      <c r="C219" s="78"/>
      <c r="D219" s="78"/>
      <c r="E219" s="78"/>
      <c r="F219" s="78"/>
      <c r="G219" s="78"/>
      <c r="H219" s="78"/>
      <c r="I219" s="78"/>
      <c r="J219" s="78"/>
    </row>
    <row r="220" spans="1:10" x14ac:dyDescent="0.3">
      <c r="A220" s="78"/>
      <c r="B220" s="78"/>
      <c r="C220" s="78"/>
      <c r="D220" s="78"/>
      <c r="E220" s="78"/>
      <c r="F220" s="78"/>
      <c r="G220" s="78"/>
      <c r="H220" s="78"/>
      <c r="I220" s="78"/>
      <c r="J220" s="78"/>
    </row>
    <row r="221" spans="1:10" x14ac:dyDescent="0.3">
      <c r="A221" s="78"/>
      <c r="B221" s="78"/>
      <c r="C221" s="78"/>
      <c r="D221" s="78"/>
      <c r="E221" s="78"/>
      <c r="F221" s="78"/>
      <c r="G221" s="78"/>
      <c r="H221" s="78"/>
      <c r="I221" s="78"/>
      <c r="J221" s="78"/>
    </row>
    <row r="222" spans="1:10" x14ac:dyDescent="0.3">
      <c r="A222" s="78"/>
      <c r="B222" s="78"/>
      <c r="C222" s="78"/>
      <c r="D222" s="78"/>
      <c r="E222" s="78"/>
      <c r="F222" s="78"/>
      <c r="G222" s="78"/>
      <c r="H222" s="78"/>
      <c r="I222" s="78"/>
      <c r="J222" s="78"/>
    </row>
    <row r="223" spans="1:10" x14ac:dyDescent="0.3">
      <c r="A223" s="78"/>
      <c r="B223" s="78"/>
      <c r="C223" s="78"/>
      <c r="D223" s="78"/>
      <c r="E223" s="78"/>
      <c r="F223" s="78"/>
      <c r="G223" s="78"/>
      <c r="H223" s="78"/>
      <c r="I223" s="78"/>
      <c r="J223" s="78"/>
    </row>
    <row r="224" spans="1:10" x14ac:dyDescent="0.3">
      <c r="A224" s="78"/>
      <c r="B224" s="78"/>
      <c r="C224" s="78"/>
      <c r="D224" s="78"/>
      <c r="E224" s="78"/>
      <c r="F224" s="78"/>
      <c r="G224" s="78"/>
      <c r="H224" s="78"/>
      <c r="I224" s="78"/>
      <c r="J224" s="78"/>
    </row>
    <row r="225" spans="1:10" x14ac:dyDescent="0.3">
      <c r="A225" s="78"/>
      <c r="B225" s="78"/>
      <c r="C225" s="78"/>
      <c r="D225" s="78"/>
      <c r="E225" s="78"/>
      <c r="F225" s="78"/>
      <c r="G225" s="78"/>
      <c r="H225" s="78"/>
      <c r="I225" s="78"/>
      <c r="J225" s="78"/>
    </row>
    <row r="226" spans="1:10" x14ac:dyDescent="0.3">
      <c r="A226" s="78"/>
      <c r="B226" s="78"/>
      <c r="C226" s="78"/>
      <c r="D226" s="78"/>
      <c r="E226" s="78"/>
      <c r="F226" s="78"/>
      <c r="G226" s="78"/>
      <c r="H226" s="78"/>
      <c r="I226" s="78"/>
      <c r="J226" s="78"/>
    </row>
    <row r="227" spans="1:10" x14ac:dyDescent="0.3">
      <c r="A227" s="78"/>
      <c r="B227" s="78"/>
      <c r="C227" s="78"/>
      <c r="D227" s="78"/>
      <c r="E227" s="78"/>
      <c r="F227" s="78"/>
      <c r="G227" s="78"/>
      <c r="H227" s="78"/>
      <c r="I227" s="78"/>
      <c r="J227" s="78"/>
    </row>
    <row r="228" spans="1:10" x14ac:dyDescent="0.3">
      <c r="A228" s="78"/>
      <c r="B228" s="78"/>
      <c r="C228" s="78"/>
      <c r="D228" s="78"/>
      <c r="E228" s="78"/>
      <c r="F228" s="78"/>
      <c r="G228" s="78"/>
      <c r="H228" s="78"/>
      <c r="I228" s="78"/>
      <c r="J228" s="78"/>
    </row>
    <row r="229" spans="1:10" x14ac:dyDescent="0.3">
      <c r="A229" s="78"/>
      <c r="B229" s="78"/>
      <c r="C229" s="78"/>
      <c r="D229" s="78"/>
      <c r="E229" s="78"/>
      <c r="F229" s="78"/>
      <c r="G229" s="78"/>
      <c r="H229" s="78"/>
      <c r="I229" s="78"/>
      <c r="J229" s="78"/>
    </row>
    <row r="230" spans="1:10" x14ac:dyDescent="0.3">
      <c r="A230" s="78"/>
      <c r="B230" s="78"/>
      <c r="C230" s="78"/>
      <c r="D230" s="78"/>
      <c r="E230" s="78"/>
      <c r="F230" s="78"/>
      <c r="G230" s="78"/>
      <c r="H230" s="78"/>
      <c r="I230" s="78"/>
      <c r="J230" s="78"/>
    </row>
    <row r="231" spans="1:10" x14ac:dyDescent="0.3">
      <c r="A231" s="78"/>
      <c r="B231" s="78"/>
      <c r="C231" s="78"/>
      <c r="D231" s="78"/>
      <c r="E231" s="78"/>
      <c r="F231" s="78"/>
      <c r="G231" s="78"/>
      <c r="H231" s="78"/>
      <c r="I231" s="78"/>
      <c r="J231" s="78"/>
    </row>
    <row r="232" spans="1:10" x14ac:dyDescent="0.3">
      <c r="A232" s="78"/>
      <c r="B232" s="78"/>
      <c r="C232" s="78"/>
      <c r="D232" s="78"/>
      <c r="E232" s="78"/>
      <c r="F232" s="78"/>
      <c r="G232" s="78"/>
      <c r="H232" s="78"/>
      <c r="I232" s="78"/>
      <c r="J232" s="78"/>
    </row>
    <row r="233" spans="1:10" x14ac:dyDescent="0.3">
      <c r="A233" s="78"/>
      <c r="B233" s="78"/>
      <c r="C233" s="78"/>
      <c r="D233" s="78"/>
      <c r="E233" s="78"/>
      <c r="F233" s="78"/>
      <c r="G233" s="78"/>
      <c r="H233" s="78"/>
      <c r="I233" s="78"/>
      <c r="J233" s="78"/>
    </row>
    <row r="234" spans="1:10" x14ac:dyDescent="0.3">
      <c r="A234" s="78"/>
      <c r="B234" s="78"/>
      <c r="C234" s="78"/>
      <c r="D234" s="78"/>
      <c r="E234" s="78"/>
      <c r="F234" s="78"/>
      <c r="G234" s="78"/>
      <c r="H234" s="78"/>
      <c r="I234" s="78"/>
      <c r="J234" s="78"/>
    </row>
    <row r="235" spans="1:10" x14ac:dyDescent="0.3">
      <c r="A235" s="78"/>
      <c r="B235" s="78"/>
      <c r="C235" s="78"/>
      <c r="D235" s="78"/>
      <c r="E235" s="78"/>
      <c r="F235" s="78"/>
      <c r="G235" s="78"/>
      <c r="H235" s="78"/>
      <c r="I235" s="78"/>
      <c r="J235" s="78"/>
    </row>
    <row r="236" spans="1:10" x14ac:dyDescent="0.3">
      <c r="A236" s="78"/>
      <c r="B236" s="78"/>
      <c r="C236" s="78"/>
      <c r="D236" s="78"/>
      <c r="E236" s="78"/>
      <c r="F236" s="78"/>
      <c r="G236" s="78"/>
      <c r="H236" s="78"/>
      <c r="I236" s="78"/>
      <c r="J236" s="78"/>
    </row>
    <row r="237" spans="1:10" x14ac:dyDescent="0.3">
      <c r="A237" s="78"/>
      <c r="B237" s="78"/>
      <c r="C237" s="78"/>
      <c r="D237" s="78"/>
      <c r="E237" s="78"/>
      <c r="F237" s="78"/>
      <c r="G237" s="78"/>
      <c r="H237" s="78"/>
      <c r="I237" s="78"/>
      <c r="J237" s="78"/>
    </row>
    <row r="238" spans="1:10" x14ac:dyDescent="0.3">
      <c r="A238" s="78"/>
      <c r="B238" s="78"/>
      <c r="C238" s="78"/>
      <c r="D238" s="78"/>
      <c r="E238" s="78"/>
      <c r="F238" s="78"/>
      <c r="G238" s="78"/>
      <c r="H238" s="78"/>
      <c r="I238" s="78"/>
      <c r="J238" s="78"/>
    </row>
    <row r="239" spans="1:10" x14ac:dyDescent="0.3">
      <c r="A239" s="78"/>
      <c r="B239" s="78"/>
      <c r="C239" s="78"/>
      <c r="D239" s="78"/>
      <c r="E239" s="78"/>
      <c r="F239" s="78"/>
      <c r="G239" s="78"/>
      <c r="H239" s="78"/>
      <c r="I239" s="78"/>
      <c r="J239" s="78"/>
    </row>
    <row r="240" spans="1:10" x14ac:dyDescent="0.3">
      <c r="A240" s="78"/>
      <c r="B240" s="78"/>
      <c r="C240" s="78"/>
      <c r="D240" s="78"/>
      <c r="E240" s="78"/>
      <c r="F240" s="78"/>
      <c r="G240" s="78"/>
      <c r="H240" s="78"/>
      <c r="I240" s="78"/>
      <c r="J240" s="78"/>
    </row>
    <row r="241" spans="1:10" x14ac:dyDescent="0.3">
      <c r="A241" s="78"/>
      <c r="B241" s="78"/>
      <c r="C241" s="78"/>
      <c r="D241" s="78"/>
      <c r="E241" s="78"/>
      <c r="F241" s="78"/>
      <c r="G241" s="78"/>
      <c r="H241" s="78"/>
      <c r="I241" s="78"/>
      <c r="J241" s="78"/>
    </row>
    <row r="242" spans="1:10" x14ac:dyDescent="0.3">
      <c r="A242" s="78"/>
      <c r="B242" s="78"/>
      <c r="C242" s="78"/>
      <c r="D242" s="78"/>
      <c r="E242" s="78"/>
      <c r="F242" s="78"/>
      <c r="G242" s="78"/>
      <c r="H242" s="78"/>
      <c r="I242" s="78"/>
      <c r="J242" s="78"/>
    </row>
    <row r="243" spans="1:10" x14ac:dyDescent="0.3">
      <c r="A243" s="78"/>
      <c r="B243" s="78"/>
      <c r="C243" s="78"/>
      <c r="D243" s="78"/>
      <c r="E243" s="78"/>
      <c r="F243" s="78"/>
      <c r="G243" s="78"/>
      <c r="H243" s="78"/>
      <c r="I243" s="78"/>
      <c r="J243" s="78"/>
    </row>
    <row r="244" spans="1:10" x14ac:dyDescent="0.3">
      <c r="A244" s="78"/>
      <c r="B244" s="78"/>
      <c r="C244" s="78"/>
      <c r="D244" s="78"/>
      <c r="E244" s="78"/>
      <c r="F244" s="78"/>
      <c r="G244" s="78"/>
      <c r="H244" s="78"/>
      <c r="I244" s="78"/>
      <c r="J244" s="78"/>
    </row>
    <row r="245" spans="1:10" x14ac:dyDescent="0.3">
      <c r="A245" s="78"/>
      <c r="B245" s="78"/>
      <c r="C245" s="78"/>
      <c r="D245" s="78"/>
      <c r="E245" s="78"/>
      <c r="F245" s="78"/>
      <c r="G245" s="78"/>
      <c r="H245" s="78"/>
      <c r="I245" s="78"/>
      <c r="J245" s="78"/>
    </row>
    <row r="246" spans="1:10" x14ac:dyDescent="0.3">
      <c r="A246" s="78"/>
      <c r="B246" s="78"/>
      <c r="C246" s="78"/>
      <c r="D246" s="78"/>
      <c r="E246" s="78"/>
      <c r="F246" s="78"/>
      <c r="G246" s="78"/>
      <c r="H246" s="78"/>
      <c r="I246" s="78"/>
      <c r="J246" s="78"/>
    </row>
    <row r="247" spans="1:10" x14ac:dyDescent="0.3">
      <c r="A247" s="78"/>
      <c r="B247" s="78"/>
      <c r="C247" s="78"/>
      <c r="D247" s="78"/>
      <c r="E247" s="78"/>
      <c r="F247" s="78"/>
      <c r="G247" s="78"/>
      <c r="H247" s="78"/>
      <c r="I247" s="78"/>
      <c r="J247" s="78"/>
    </row>
    <row r="248" spans="1:10" x14ac:dyDescent="0.3">
      <c r="A248" s="78"/>
      <c r="B248" s="78"/>
      <c r="C248" s="78"/>
      <c r="D248" s="78"/>
      <c r="E248" s="78"/>
      <c r="F248" s="78"/>
      <c r="G248" s="78"/>
      <c r="H248" s="78"/>
      <c r="I248" s="78"/>
      <c r="J248" s="78"/>
    </row>
    <row r="249" spans="1:10" x14ac:dyDescent="0.3">
      <c r="A249" s="78"/>
      <c r="B249" s="78"/>
      <c r="C249" s="78"/>
      <c r="D249" s="78"/>
      <c r="E249" s="78"/>
      <c r="F249" s="78"/>
      <c r="G249" s="78"/>
      <c r="H249" s="78"/>
      <c r="I249" s="78"/>
      <c r="J249" s="78"/>
    </row>
    <row r="250" spans="1:10" x14ac:dyDescent="0.3">
      <c r="A250" s="78"/>
      <c r="B250" s="78"/>
      <c r="C250" s="78"/>
      <c r="D250" s="78"/>
      <c r="E250" s="78"/>
      <c r="F250" s="78"/>
      <c r="G250" s="78"/>
      <c r="H250" s="78"/>
      <c r="I250" s="78"/>
      <c r="J250" s="78"/>
    </row>
    <row r="251" spans="1:10" x14ac:dyDescent="0.3">
      <c r="A251" s="78"/>
      <c r="B251" s="78"/>
      <c r="C251" s="78"/>
      <c r="D251" s="78"/>
      <c r="E251" s="78"/>
      <c r="F251" s="78"/>
      <c r="G251" s="78"/>
      <c r="H251" s="78"/>
      <c r="I251" s="78"/>
      <c r="J251" s="78"/>
    </row>
    <row r="252" spans="1:10" x14ac:dyDescent="0.3">
      <c r="A252" s="78"/>
      <c r="B252" s="78"/>
      <c r="C252" s="78"/>
      <c r="D252" s="78"/>
      <c r="E252" s="78"/>
      <c r="F252" s="78"/>
      <c r="G252" s="78"/>
      <c r="H252" s="78"/>
      <c r="I252" s="78"/>
      <c r="J252" s="78"/>
    </row>
    <row r="253" spans="1:10" x14ac:dyDescent="0.3">
      <c r="A253" s="78"/>
      <c r="B253" s="78"/>
      <c r="C253" s="78"/>
      <c r="D253" s="78"/>
      <c r="E253" s="78"/>
      <c r="F253" s="78"/>
      <c r="G253" s="78"/>
      <c r="H253" s="78"/>
      <c r="I253" s="78"/>
      <c r="J253" s="78"/>
    </row>
    <row r="254" spans="1:10" x14ac:dyDescent="0.3">
      <c r="A254" s="78"/>
      <c r="B254" s="78"/>
      <c r="C254" s="78"/>
      <c r="D254" s="78"/>
      <c r="E254" s="78"/>
      <c r="F254" s="78"/>
      <c r="G254" s="78"/>
      <c r="H254" s="78"/>
      <c r="I254" s="78"/>
      <c r="J254" s="78"/>
    </row>
    <row r="255" spans="1:10" x14ac:dyDescent="0.3">
      <c r="A255" s="78"/>
      <c r="B255" s="78"/>
      <c r="C255" s="78"/>
      <c r="D255" s="78"/>
      <c r="E255" s="78"/>
      <c r="F255" s="78"/>
      <c r="G255" s="78"/>
      <c r="H255" s="78"/>
      <c r="I255" s="78"/>
      <c r="J255" s="78"/>
    </row>
    <row r="256" spans="1:10" x14ac:dyDescent="0.3">
      <c r="A256" s="78"/>
      <c r="B256" s="78"/>
      <c r="C256" s="78"/>
      <c r="D256" s="78"/>
      <c r="E256" s="78"/>
      <c r="F256" s="78"/>
      <c r="G256" s="78"/>
      <c r="H256" s="78"/>
      <c r="I256" s="78"/>
      <c r="J256" s="78"/>
    </row>
    <row r="257" spans="1:10" x14ac:dyDescent="0.3">
      <c r="A257" s="78"/>
      <c r="B257" s="78"/>
      <c r="C257" s="78"/>
      <c r="D257" s="78"/>
      <c r="E257" s="78"/>
      <c r="F257" s="78"/>
      <c r="G257" s="78"/>
      <c r="H257" s="78"/>
      <c r="I257" s="78"/>
      <c r="J257" s="78"/>
    </row>
    <row r="258" spans="1:10" x14ac:dyDescent="0.3">
      <c r="A258" s="78"/>
      <c r="B258" s="78"/>
      <c r="C258" s="78"/>
      <c r="D258" s="78"/>
      <c r="E258" s="78"/>
      <c r="F258" s="78"/>
      <c r="G258" s="78"/>
      <c r="H258" s="78"/>
      <c r="I258" s="78"/>
      <c r="J258" s="78"/>
    </row>
    <row r="259" spans="1:10" x14ac:dyDescent="0.3">
      <c r="A259" s="78"/>
      <c r="B259" s="78"/>
      <c r="C259" s="78"/>
      <c r="D259" s="78"/>
      <c r="E259" s="78"/>
      <c r="F259" s="78"/>
      <c r="G259" s="78"/>
      <c r="H259" s="78"/>
      <c r="I259" s="78"/>
      <c r="J259" s="78"/>
    </row>
    <row r="260" spans="1:10" x14ac:dyDescent="0.3">
      <c r="A260" s="78"/>
      <c r="B260" s="78"/>
      <c r="C260" s="78"/>
      <c r="D260" s="78"/>
      <c r="E260" s="78"/>
      <c r="F260" s="78"/>
      <c r="G260" s="78"/>
      <c r="H260" s="78"/>
      <c r="I260" s="78"/>
      <c r="J260" s="78"/>
    </row>
    <row r="261" spans="1:10" x14ac:dyDescent="0.3">
      <c r="A261" s="78"/>
      <c r="B261" s="78"/>
      <c r="C261" s="78"/>
      <c r="D261" s="78"/>
      <c r="E261" s="78"/>
      <c r="F261" s="78"/>
      <c r="G261" s="78"/>
      <c r="H261" s="78"/>
      <c r="I261" s="78"/>
      <c r="J261" s="78"/>
    </row>
    <row r="262" spans="1:10" x14ac:dyDescent="0.3">
      <c r="A262" s="78"/>
      <c r="B262" s="78"/>
      <c r="C262" s="78"/>
      <c r="D262" s="78"/>
      <c r="E262" s="78"/>
      <c r="F262" s="78"/>
      <c r="G262" s="78"/>
      <c r="H262" s="78"/>
      <c r="I262" s="78"/>
      <c r="J262" s="78"/>
    </row>
    <row r="263" spans="1:10" x14ac:dyDescent="0.3">
      <c r="A263" s="78"/>
      <c r="B263" s="78"/>
      <c r="C263" s="78"/>
      <c r="D263" s="78"/>
      <c r="E263" s="78"/>
      <c r="F263" s="78"/>
      <c r="G263" s="78"/>
      <c r="H263" s="78"/>
      <c r="I263" s="78"/>
      <c r="J263" s="78"/>
    </row>
    <row r="264" spans="1:10" x14ac:dyDescent="0.3">
      <c r="A264" s="78"/>
      <c r="B264" s="78"/>
      <c r="C264" s="78"/>
      <c r="D264" s="78"/>
      <c r="E264" s="78"/>
      <c r="F264" s="78"/>
      <c r="G264" s="78"/>
      <c r="H264" s="78"/>
      <c r="I264" s="78"/>
      <c r="J264" s="78"/>
    </row>
    <row r="265" spans="1:10" x14ac:dyDescent="0.3">
      <c r="A265" s="78"/>
      <c r="B265" s="78"/>
      <c r="C265" s="78"/>
      <c r="D265" s="78"/>
      <c r="E265" s="78"/>
      <c r="F265" s="78"/>
      <c r="G265" s="78"/>
      <c r="H265" s="78"/>
      <c r="I265" s="78"/>
      <c r="J265" s="78"/>
    </row>
    <row r="266" spans="1:10" x14ac:dyDescent="0.3">
      <c r="A266" s="78"/>
      <c r="B266" s="78"/>
      <c r="C266" s="78"/>
      <c r="D266" s="78"/>
      <c r="E266" s="78"/>
      <c r="F266" s="78"/>
      <c r="G266" s="78"/>
      <c r="H266" s="78"/>
      <c r="I266" s="78"/>
      <c r="J266" s="78"/>
    </row>
    <row r="267" spans="1:10" x14ac:dyDescent="0.3">
      <c r="A267" s="78"/>
      <c r="B267" s="78"/>
      <c r="C267" s="78"/>
      <c r="D267" s="78"/>
      <c r="E267" s="78"/>
      <c r="F267" s="78"/>
      <c r="G267" s="78"/>
      <c r="H267" s="78"/>
      <c r="I267" s="78"/>
      <c r="J267" s="78"/>
    </row>
    <row r="268" spans="1:10" x14ac:dyDescent="0.3">
      <c r="A268" s="78"/>
      <c r="B268" s="78"/>
      <c r="C268" s="78"/>
      <c r="D268" s="78"/>
      <c r="E268" s="78"/>
      <c r="F268" s="78"/>
      <c r="G268" s="78"/>
      <c r="H268" s="78"/>
      <c r="I268" s="78"/>
      <c r="J268" s="78"/>
    </row>
    <row r="269" spans="1:10" x14ac:dyDescent="0.3">
      <c r="A269" s="78"/>
      <c r="B269" s="78"/>
      <c r="C269" s="78"/>
      <c r="D269" s="78"/>
      <c r="E269" s="78"/>
      <c r="F269" s="78"/>
      <c r="G269" s="78"/>
      <c r="H269" s="78"/>
      <c r="I269" s="78"/>
      <c r="J269" s="78"/>
    </row>
    <row r="270" spans="1:10" x14ac:dyDescent="0.3">
      <c r="A270" s="78"/>
      <c r="B270" s="78"/>
      <c r="C270" s="78"/>
      <c r="D270" s="78"/>
      <c r="E270" s="78"/>
      <c r="F270" s="78"/>
      <c r="G270" s="78"/>
      <c r="H270" s="78"/>
      <c r="I270" s="78"/>
      <c r="J270" s="78"/>
    </row>
    <row r="271" spans="1:10" x14ac:dyDescent="0.3">
      <c r="A271" s="78"/>
      <c r="B271" s="78"/>
      <c r="C271" s="78"/>
      <c r="D271" s="78"/>
      <c r="E271" s="78"/>
      <c r="F271" s="78"/>
      <c r="G271" s="78"/>
      <c r="H271" s="78"/>
      <c r="I271" s="78"/>
      <c r="J271" s="78"/>
    </row>
    <row r="272" spans="1:10" x14ac:dyDescent="0.3">
      <c r="A272" s="78"/>
      <c r="B272" s="78"/>
      <c r="C272" s="78"/>
      <c r="D272" s="78"/>
      <c r="E272" s="78"/>
      <c r="F272" s="78"/>
      <c r="G272" s="78"/>
      <c r="H272" s="78"/>
      <c r="I272" s="78"/>
      <c r="J272" s="78"/>
    </row>
    <row r="273" spans="1:10" x14ac:dyDescent="0.3">
      <c r="A273" s="78"/>
      <c r="B273" s="78"/>
      <c r="C273" s="78"/>
      <c r="D273" s="78"/>
      <c r="E273" s="78"/>
      <c r="F273" s="78"/>
      <c r="G273" s="78"/>
      <c r="H273" s="78"/>
      <c r="I273" s="78"/>
      <c r="J273" s="78"/>
    </row>
    <row r="274" spans="1:10" x14ac:dyDescent="0.3">
      <c r="A274" s="78"/>
      <c r="B274" s="78"/>
      <c r="C274" s="78"/>
      <c r="D274" s="78"/>
      <c r="E274" s="78"/>
      <c r="F274" s="78"/>
      <c r="G274" s="78"/>
      <c r="H274" s="78"/>
      <c r="I274" s="78"/>
      <c r="J274" s="78"/>
    </row>
    <row r="275" spans="1:10" x14ac:dyDescent="0.3">
      <c r="A275" s="78"/>
      <c r="B275" s="78"/>
      <c r="C275" s="78"/>
      <c r="D275" s="78"/>
      <c r="E275" s="78"/>
      <c r="F275" s="78"/>
      <c r="G275" s="78"/>
      <c r="H275" s="78"/>
      <c r="I275" s="78"/>
      <c r="J275" s="78"/>
    </row>
    <row r="276" spans="1:10" x14ac:dyDescent="0.3">
      <c r="A276" s="78"/>
      <c r="B276" s="78"/>
      <c r="C276" s="78"/>
      <c r="D276" s="78"/>
      <c r="E276" s="78"/>
      <c r="F276" s="78"/>
      <c r="G276" s="78"/>
      <c r="H276" s="78"/>
      <c r="I276" s="78"/>
      <c r="J276" s="78"/>
    </row>
    <row r="277" spans="1:10" x14ac:dyDescent="0.3">
      <c r="A277" s="78"/>
      <c r="B277" s="78"/>
      <c r="C277" s="78"/>
      <c r="D277" s="78"/>
      <c r="E277" s="78"/>
      <c r="F277" s="78"/>
      <c r="G277" s="78"/>
      <c r="H277" s="78"/>
      <c r="I277" s="78"/>
      <c r="J277" s="78"/>
    </row>
    <row r="278" spans="1:10" x14ac:dyDescent="0.3">
      <c r="A278" s="78"/>
      <c r="B278" s="78"/>
      <c r="C278" s="78"/>
      <c r="D278" s="78"/>
      <c r="E278" s="78"/>
      <c r="F278" s="78"/>
      <c r="G278" s="78"/>
      <c r="H278" s="78"/>
      <c r="I278" s="78"/>
      <c r="J278" s="78"/>
    </row>
    <row r="279" spans="1:10" x14ac:dyDescent="0.3">
      <c r="A279" s="78"/>
      <c r="B279" s="78"/>
      <c r="C279" s="78"/>
      <c r="D279" s="78"/>
      <c r="E279" s="78"/>
      <c r="F279" s="78"/>
      <c r="G279" s="78"/>
      <c r="H279" s="78"/>
      <c r="I279" s="78"/>
      <c r="J279" s="78"/>
    </row>
    <row r="280" spans="1:10" x14ac:dyDescent="0.3">
      <c r="A280" s="78"/>
      <c r="B280" s="78"/>
      <c r="C280" s="78"/>
      <c r="D280" s="78"/>
      <c r="E280" s="78"/>
      <c r="F280" s="78"/>
      <c r="G280" s="78"/>
      <c r="H280" s="78"/>
      <c r="I280" s="78"/>
      <c r="J280" s="78"/>
    </row>
    <row r="281" spans="1:10" x14ac:dyDescent="0.3">
      <c r="A281" s="78"/>
      <c r="B281" s="78"/>
      <c r="C281" s="78"/>
      <c r="D281" s="78"/>
      <c r="E281" s="78"/>
      <c r="F281" s="78"/>
      <c r="G281" s="78"/>
      <c r="H281" s="78"/>
      <c r="I281" s="78"/>
      <c r="J281" s="78"/>
    </row>
    <row r="282" spans="1:10" x14ac:dyDescent="0.3">
      <c r="A282" s="78"/>
      <c r="B282" s="78"/>
      <c r="C282" s="78"/>
      <c r="D282" s="78"/>
      <c r="E282" s="78"/>
      <c r="F282" s="78"/>
      <c r="G282" s="78"/>
      <c r="H282" s="78"/>
      <c r="I282" s="78"/>
      <c r="J282" s="78"/>
    </row>
    <row r="283" spans="1:10" x14ac:dyDescent="0.3">
      <c r="A283" s="78"/>
      <c r="B283" s="78"/>
      <c r="C283" s="78"/>
      <c r="D283" s="78"/>
      <c r="E283" s="78"/>
      <c r="F283" s="78"/>
      <c r="G283" s="78"/>
      <c r="H283" s="78"/>
      <c r="I283" s="78"/>
      <c r="J283" s="78"/>
    </row>
    <row r="284" spans="1:10" x14ac:dyDescent="0.3">
      <c r="A284" s="78"/>
      <c r="B284" s="78"/>
      <c r="C284" s="78"/>
      <c r="D284" s="78"/>
      <c r="E284" s="78"/>
      <c r="F284" s="78"/>
      <c r="G284" s="78"/>
      <c r="H284" s="78"/>
      <c r="I284" s="78"/>
      <c r="J284" s="78"/>
    </row>
    <row r="285" spans="1:10" x14ac:dyDescent="0.3">
      <c r="A285" s="78"/>
      <c r="B285" s="78"/>
      <c r="C285" s="78"/>
      <c r="D285" s="78"/>
      <c r="E285" s="78"/>
      <c r="F285" s="78"/>
      <c r="G285" s="78"/>
      <c r="H285" s="78"/>
      <c r="I285" s="78"/>
      <c r="J285" s="78"/>
    </row>
    <row r="286" spans="1:10" x14ac:dyDescent="0.3">
      <c r="A286" s="78"/>
      <c r="B286" s="78"/>
      <c r="C286" s="78"/>
      <c r="D286" s="78"/>
      <c r="E286" s="78"/>
      <c r="F286" s="78"/>
      <c r="G286" s="78"/>
      <c r="H286" s="78"/>
      <c r="I286" s="78"/>
      <c r="J286" s="78"/>
    </row>
    <row r="287" spans="1:10" x14ac:dyDescent="0.3">
      <c r="A287" s="78"/>
      <c r="B287" s="78"/>
      <c r="C287" s="78"/>
      <c r="D287" s="78"/>
      <c r="E287" s="78"/>
      <c r="F287" s="78"/>
      <c r="G287" s="78"/>
      <c r="H287" s="78"/>
      <c r="I287" s="78"/>
      <c r="J287" s="78"/>
    </row>
    <row r="288" spans="1:10" x14ac:dyDescent="0.3">
      <c r="A288" s="78"/>
      <c r="B288" s="78"/>
      <c r="C288" s="78"/>
      <c r="D288" s="78"/>
      <c r="E288" s="78"/>
      <c r="F288" s="78"/>
      <c r="G288" s="78"/>
      <c r="H288" s="78"/>
      <c r="I288" s="78"/>
      <c r="J288" s="78"/>
    </row>
    <row r="289" spans="1:10" x14ac:dyDescent="0.3">
      <c r="A289" s="78"/>
      <c r="B289" s="78"/>
      <c r="C289" s="78"/>
      <c r="D289" s="78"/>
      <c r="E289" s="78"/>
      <c r="F289" s="78"/>
      <c r="G289" s="78"/>
      <c r="H289" s="78"/>
      <c r="I289" s="78"/>
      <c r="J289" s="78"/>
    </row>
    <row r="290" spans="1:10" x14ac:dyDescent="0.3">
      <c r="A290" s="78"/>
      <c r="B290" s="78"/>
      <c r="C290" s="78"/>
      <c r="D290" s="78"/>
      <c r="E290" s="78"/>
      <c r="F290" s="78"/>
      <c r="G290" s="78"/>
      <c r="H290" s="78"/>
      <c r="I290" s="78"/>
      <c r="J290" s="78"/>
    </row>
    <row r="291" spans="1:10" x14ac:dyDescent="0.3">
      <c r="A291" s="78"/>
      <c r="B291" s="78"/>
      <c r="C291" s="78"/>
      <c r="D291" s="78"/>
      <c r="E291" s="78"/>
      <c r="F291" s="78"/>
      <c r="G291" s="78"/>
      <c r="H291" s="78"/>
      <c r="I291" s="78"/>
      <c r="J291" s="78"/>
    </row>
    <row r="292" spans="1:10" x14ac:dyDescent="0.3">
      <c r="A292" s="78"/>
      <c r="B292" s="78"/>
      <c r="C292" s="78"/>
      <c r="D292" s="78"/>
      <c r="E292" s="78"/>
      <c r="F292" s="78"/>
      <c r="G292" s="78"/>
      <c r="H292" s="78"/>
      <c r="I292" s="78"/>
      <c r="J292" s="78"/>
    </row>
    <row r="293" spans="1:10" x14ac:dyDescent="0.3">
      <c r="A293" s="78"/>
      <c r="B293" s="78"/>
      <c r="C293" s="78"/>
      <c r="D293" s="78"/>
      <c r="E293" s="78"/>
      <c r="F293" s="78"/>
      <c r="G293" s="78"/>
      <c r="H293" s="78"/>
      <c r="I293" s="78"/>
      <c r="J293" s="78"/>
    </row>
    <row r="294" spans="1:10" x14ac:dyDescent="0.3">
      <c r="A294" s="78"/>
      <c r="B294" s="78"/>
      <c r="C294" s="78"/>
      <c r="D294" s="78"/>
      <c r="E294" s="78"/>
      <c r="F294" s="78"/>
      <c r="G294" s="78"/>
      <c r="H294" s="78"/>
      <c r="I294" s="78"/>
      <c r="J294" s="78"/>
    </row>
    <row r="295" spans="1:10" x14ac:dyDescent="0.3">
      <c r="A295" s="78"/>
      <c r="B295" s="78"/>
      <c r="C295" s="78"/>
      <c r="D295" s="78"/>
      <c r="E295" s="78"/>
      <c r="F295" s="78"/>
      <c r="G295" s="78"/>
      <c r="H295" s="78"/>
      <c r="I295" s="78"/>
      <c r="J295" s="78"/>
    </row>
    <row r="296" spans="1:10" x14ac:dyDescent="0.3">
      <c r="A296" s="78"/>
      <c r="B296" s="78"/>
      <c r="C296" s="78"/>
      <c r="D296" s="78"/>
      <c r="E296" s="78"/>
      <c r="F296" s="78"/>
      <c r="G296" s="78"/>
      <c r="H296" s="78"/>
      <c r="I296" s="78"/>
      <c r="J296" s="78"/>
    </row>
    <row r="297" spans="1:10" x14ac:dyDescent="0.3">
      <c r="A297" s="78"/>
      <c r="B297" s="78"/>
      <c r="C297" s="78"/>
      <c r="D297" s="78"/>
      <c r="E297" s="78"/>
      <c r="F297" s="78"/>
      <c r="G297" s="78"/>
      <c r="H297" s="78"/>
      <c r="I297" s="78"/>
      <c r="J297" s="78"/>
    </row>
    <row r="298" spans="1:10" x14ac:dyDescent="0.3">
      <c r="A298" s="78"/>
      <c r="B298" s="78"/>
      <c r="C298" s="78"/>
      <c r="D298" s="78"/>
      <c r="E298" s="78"/>
      <c r="F298" s="78"/>
      <c r="G298" s="78"/>
      <c r="H298" s="78"/>
      <c r="I298" s="78"/>
      <c r="J298" s="78"/>
    </row>
    <row r="299" spans="1:10" x14ac:dyDescent="0.3">
      <c r="A299" s="78"/>
      <c r="B299" s="78"/>
      <c r="C299" s="78"/>
      <c r="D299" s="78"/>
      <c r="E299" s="78"/>
      <c r="F299" s="78"/>
      <c r="G299" s="78"/>
      <c r="H299" s="78"/>
      <c r="I299" s="78"/>
      <c r="J299" s="78"/>
    </row>
    <row r="300" spans="1:10" x14ac:dyDescent="0.3">
      <c r="A300" s="78"/>
      <c r="B300" s="78"/>
      <c r="C300" s="78"/>
      <c r="D300" s="78"/>
      <c r="E300" s="78"/>
      <c r="F300" s="78"/>
      <c r="G300" s="78"/>
      <c r="H300" s="78"/>
      <c r="I300" s="78"/>
      <c r="J300" s="78"/>
    </row>
    <row r="301" spans="1:10" x14ac:dyDescent="0.3">
      <c r="A301" s="78"/>
      <c r="B301" s="78"/>
      <c r="C301" s="78"/>
      <c r="D301" s="78"/>
      <c r="E301" s="78"/>
      <c r="F301" s="78"/>
      <c r="G301" s="78"/>
      <c r="H301" s="78"/>
      <c r="I301" s="78"/>
      <c r="J301" s="78"/>
    </row>
  </sheetData>
  <protectedRanges>
    <protectedRange sqref="P2:P149 D2:E149 I2:I149" name="Range1_1"/>
    <protectedRange sqref="J6:J12 J14:J149 H2:H149 K6:K150 J2:K5" name="Range2_1"/>
    <protectedRange sqref="J13" name="Range2_1_1"/>
  </protectedRanges>
  <autoFilter ref="A1:N150" xr:uid="{7033F4A8-6A96-459E-92FA-FFBA3F1D778E}"/>
  <phoneticPr fontId="9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zoomScale="85" zoomScaleNormal="85" workbookViewId="0">
      <pane ySplit="1" topLeftCell="A2" activePane="bottomLeft" state="frozen"/>
      <selection pane="bottomLeft" activeCell="J113" sqref="J113:K122"/>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21875" style="79" customWidth="1"/>
    <col min="10" max="10" width="95.44140625" bestFit="1" customWidth="1"/>
    <col min="11" max="11" width="10" bestFit="1" customWidth="1"/>
    <col min="12" max="12" width="30" bestFit="1" customWidth="1"/>
  </cols>
  <sheetData>
    <row r="1" spans="1:223" x14ac:dyDescent="0.3">
      <c r="A1" s="215" t="s">
        <v>567</v>
      </c>
      <c r="B1" s="215" t="s">
        <v>569</v>
      </c>
      <c r="C1" s="215" t="s">
        <v>566</v>
      </c>
      <c r="D1" s="215" t="s">
        <v>1278</v>
      </c>
      <c r="E1" s="215" t="s">
        <v>1503</v>
      </c>
      <c r="F1" s="215" t="s">
        <v>647</v>
      </c>
      <c r="G1" s="215" t="s">
        <v>1158</v>
      </c>
      <c r="H1" s="215" t="s">
        <v>1392</v>
      </c>
      <c r="I1" s="215"/>
      <c r="J1" s="215" t="s">
        <v>568</v>
      </c>
      <c r="K1" s="215" t="s">
        <v>565</v>
      </c>
      <c r="L1" s="215" t="s">
        <v>1151</v>
      </c>
    </row>
    <row r="2" spans="1:223" x14ac:dyDescent="0.3">
      <c r="A2" s="215"/>
      <c r="B2" s="215"/>
      <c r="C2" s="215"/>
      <c r="D2" s="215"/>
      <c r="E2" s="215"/>
      <c r="F2" s="215"/>
      <c r="G2" s="215"/>
      <c r="H2" s="215"/>
      <c r="I2" s="215"/>
      <c r="J2" s="215"/>
      <c r="K2" s="215"/>
      <c r="L2" s="215"/>
    </row>
    <row r="3" spans="1:223" x14ac:dyDescent="0.3">
      <c r="A3" s="283" t="s">
        <v>1</v>
      </c>
      <c r="B3" s="283" t="s">
        <v>1154</v>
      </c>
      <c r="C3" s="283" t="s">
        <v>572</v>
      </c>
      <c r="D3" s="283" t="s">
        <v>0</v>
      </c>
      <c r="E3" s="283" t="s">
        <v>1504</v>
      </c>
      <c r="F3" s="283" t="s">
        <v>691</v>
      </c>
      <c r="G3" s="283" t="s">
        <v>691</v>
      </c>
      <c r="H3" s="11" t="s">
        <v>3000</v>
      </c>
      <c r="I3" s="11" t="s">
        <v>3257</v>
      </c>
      <c r="J3" s="39" t="s">
        <v>443</v>
      </c>
      <c r="K3" s="11" t="s">
        <v>393</v>
      </c>
      <c r="L3" s="11" t="s">
        <v>1152</v>
      </c>
    </row>
    <row r="4" spans="1:223" x14ac:dyDescent="0.3">
      <c r="A4" s="283" t="s">
        <v>5</v>
      </c>
      <c r="B4" s="283" t="s">
        <v>793</v>
      </c>
      <c r="C4" s="283" t="s">
        <v>685</v>
      </c>
      <c r="D4" s="283" t="s">
        <v>4</v>
      </c>
      <c r="E4" s="283" t="s">
        <v>1505</v>
      </c>
      <c r="F4" s="283" t="s">
        <v>1280</v>
      </c>
      <c r="G4" s="283" t="s">
        <v>1389</v>
      </c>
      <c r="H4" s="11" t="s">
        <v>3001</v>
      </c>
      <c r="I4" s="11" t="s">
        <v>3257</v>
      </c>
      <c r="J4" s="39" t="s">
        <v>543</v>
      </c>
      <c r="K4" s="11" t="s">
        <v>599</v>
      </c>
      <c r="L4" s="11" t="s">
        <v>1153</v>
      </c>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row>
    <row r="5" spans="1:223" x14ac:dyDescent="0.3">
      <c r="A5" s="283" t="s">
        <v>5</v>
      </c>
      <c r="B5" s="283" t="s">
        <v>862</v>
      </c>
      <c r="C5" s="283" t="s">
        <v>864</v>
      </c>
      <c r="D5" s="283" t="s">
        <v>4</v>
      </c>
      <c r="E5" s="283" t="s">
        <v>1505</v>
      </c>
      <c r="F5" s="283" t="s">
        <v>1280</v>
      </c>
      <c r="G5" s="283" t="s">
        <v>980</v>
      </c>
      <c r="H5" s="11" t="s">
        <v>3001</v>
      </c>
      <c r="I5" s="11" t="s">
        <v>3257</v>
      </c>
      <c r="J5" s="39" t="s">
        <v>605</v>
      </c>
      <c r="K5" s="11" t="s">
        <v>600</v>
      </c>
      <c r="L5" s="11"/>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row>
    <row r="6" spans="1:223" x14ac:dyDescent="0.3">
      <c r="A6" s="283" t="s">
        <v>5</v>
      </c>
      <c r="B6" s="283" t="s">
        <v>1155</v>
      </c>
      <c r="C6" s="283" t="s">
        <v>2586</v>
      </c>
      <c r="D6" s="283" t="s">
        <v>4</v>
      </c>
      <c r="E6" s="283" t="s">
        <v>1505</v>
      </c>
      <c r="F6" s="283" t="s">
        <v>3258</v>
      </c>
      <c r="G6" s="283" t="s">
        <v>1392</v>
      </c>
      <c r="H6" s="11" t="s">
        <v>3000</v>
      </c>
      <c r="I6" s="11" t="s">
        <v>3259</v>
      </c>
      <c r="J6" s="39" t="s">
        <v>448</v>
      </c>
      <c r="K6" s="11" t="s">
        <v>601</v>
      </c>
      <c r="L6" s="11"/>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row>
    <row r="7" spans="1:223" ht="39.6" x14ac:dyDescent="0.3">
      <c r="A7" s="283" t="s">
        <v>1256</v>
      </c>
      <c r="B7" s="283" t="s">
        <v>1248</v>
      </c>
      <c r="C7" s="283" t="s">
        <v>1252</v>
      </c>
      <c r="D7" s="283" t="s">
        <v>1260</v>
      </c>
      <c r="E7" s="283" t="s">
        <v>1506</v>
      </c>
      <c r="F7" s="283" t="s">
        <v>1281</v>
      </c>
      <c r="G7" s="283" t="s">
        <v>1248</v>
      </c>
      <c r="H7" s="283"/>
      <c r="I7" s="283" t="s">
        <v>3257</v>
      </c>
      <c r="J7" s="39" t="s">
        <v>547</v>
      </c>
      <c r="K7" s="11"/>
      <c r="L7" s="11"/>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row>
    <row r="8" spans="1:223" ht="39.6" x14ac:dyDescent="0.3">
      <c r="A8" s="283" t="s">
        <v>1257</v>
      </c>
      <c r="B8" s="283" t="s">
        <v>1249</v>
      </c>
      <c r="C8" s="283" t="s">
        <v>1253</v>
      </c>
      <c r="D8" s="283" t="s">
        <v>1261</v>
      </c>
      <c r="E8" s="283" t="s">
        <v>1506</v>
      </c>
      <c r="F8" s="283" t="s">
        <v>1281</v>
      </c>
      <c r="G8" s="283" t="s">
        <v>1249</v>
      </c>
      <c r="H8" s="283"/>
      <c r="I8" s="283" t="s">
        <v>3257</v>
      </c>
      <c r="J8" s="39" t="s">
        <v>1331</v>
      </c>
      <c r="K8" s="11"/>
      <c r="L8" s="11"/>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row>
    <row r="9" spans="1:223" ht="26.4" x14ac:dyDescent="0.3">
      <c r="A9" s="283" t="s">
        <v>13</v>
      </c>
      <c r="B9" s="283" t="s">
        <v>4009</v>
      </c>
      <c r="C9" s="283" t="s">
        <v>4010</v>
      </c>
      <c r="D9" s="283" t="s">
        <v>12</v>
      </c>
      <c r="E9" s="283" t="s">
        <v>1508</v>
      </c>
      <c r="F9" s="283" t="s">
        <v>650</v>
      </c>
      <c r="G9" s="283" t="s">
        <v>650</v>
      </c>
      <c r="H9" s="11" t="s">
        <v>3000</v>
      </c>
      <c r="I9" s="11" t="s">
        <v>3257</v>
      </c>
      <c r="J9" s="39" t="s">
        <v>1332</v>
      </c>
      <c r="K9" s="11"/>
      <c r="L9" s="11"/>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row>
    <row r="10" spans="1:223" x14ac:dyDescent="0.3">
      <c r="A10" s="283" t="s">
        <v>3817</v>
      </c>
      <c r="B10" s="283" t="s">
        <v>4011</v>
      </c>
      <c r="C10" s="283" t="s">
        <v>3820</v>
      </c>
      <c r="D10" s="283" t="s">
        <v>3823</v>
      </c>
      <c r="E10" s="283" t="s">
        <v>1504</v>
      </c>
      <c r="F10" s="283" t="s">
        <v>1281</v>
      </c>
      <c r="G10" s="283" t="s">
        <v>4012</v>
      </c>
      <c r="H10" s="11"/>
      <c r="I10" s="11" t="s">
        <v>3257</v>
      </c>
      <c r="J10" s="39" t="s">
        <v>1333</v>
      </c>
      <c r="K10" s="11"/>
      <c r="L10" s="11"/>
      <c r="N10" s="41" t="s">
        <v>608</v>
      </c>
      <c r="O10" s="41" t="s">
        <v>608</v>
      </c>
      <c r="P10" s="41" t="s">
        <v>608</v>
      </c>
      <c r="Q10" s="41" t="s">
        <v>608</v>
      </c>
      <c r="R10" s="41" t="s">
        <v>608</v>
      </c>
      <c r="S10" s="41" t="s">
        <v>608</v>
      </c>
      <c r="T10" s="41" t="s">
        <v>608</v>
      </c>
      <c r="U10" s="41" t="s">
        <v>608</v>
      </c>
      <c r="V10" s="41" t="s">
        <v>608</v>
      </c>
      <c r="W10" s="41" t="s">
        <v>608</v>
      </c>
      <c r="X10" s="41" t="s">
        <v>608</v>
      </c>
      <c r="Y10" s="41" t="s">
        <v>608</v>
      </c>
      <c r="Z10" s="41" t="s">
        <v>608</v>
      </c>
      <c r="AA10" s="41" t="s">
        <v>608</v>
      </c>
      <c r="AB10" s="41" t="s">
        <v>608</v>
      </c>
      <c r="AC10" s="41" t="s">
        <v>608</v>
      </c>
      <c r="AD10" s="41" t="s">
        <v>608</v>
      </c>
      <c r="AE10" s="41" t="s">
        <v>608</v>
      </c>
      <c r="AF10" s="41" t="s">
        <v>608</v>
      </c>
      <c r="AG10" s="41" t="s">
        <v>608</v>
      </c>
      <c r="AH10" s="41" t="s">
        <v>608</v>
      </c>
      <c r="AI10" s="41" t="s">
        <v>608</v>
      </c>
      <c r="AJ10" s="41" t="s">
        <v>608</v>
      </c>
      <c r="AK10" s="41" t="s">
        <v>608</v>
      </c>
      <c r="AL10" s="41" t="s">
        <v>608</v>
      </c>
      <c r="AM10" s="41" t="s">
        <v>608</v>
      </c>
      <c r="AN10" s="41" t="s">
        <v>608</v>
      </c>
      <c r="AO10" s="41" t="s">
        <v>608</v>
      </c>
      <c r="AP10" s="41" t="s">
        <v>608</v>
      </c>
      <c r="AQ10" s="41" t="s">
        <v>608</v>
      </c>
      <c r="AR10" s="41" t="s">
        <v>608</v>
      </c>
      <c r="AS10" s="41" t="s">
        <v>608</v>
      </c>
      <c r="AT10" s="41" t="s">
        <v>608</v>
      </c>
      <c r="AU10" s="41" t="s">
        <v>608</v>
      </c>
      <c r="AV10" s="41" t="s">
        <v>608</v>
      </c>
      <c r="AW10" s="41" t="s">
        <v>608</v>
      </c>
      <c r="AX10" s="41" t="s">
        <v>608</v>
      </c>
      <c r="AY10" s="41" t="s">
        <v>608</v>
      </c>
      <c r="AZ10" s="41" t="s">
        <v>608</v>
      </c>
      <c r="BA10" s="41" t="s">
        <v>608</v>
      </c>
      <c r="BB10" s="41" t="s">
        <v>608</v>
      </c>
      <c r="BC10" s="41" t="s">
        <v>608</v>
      </c>
      <c r="BD10" s="41" t="s">
        <v>608</v>
      </c>
      <c r="BE10" s="41" t="s">
        <v>608</v>
      </c>
      <c r="BF10" s="41" t="s">
        <v>608</v>
      </c>
      <c r="BG10" s="41" t="s">
        <v>608</v>
      </c>
      <c r="BH10" s="41" t="s">
        <v>608</v>
      </c>
      <c r="BI10" s="41" t="s">
        <v>608</v>
      </c>
      <c r="BJ10" s="41" t="s">
        <v>608</v>
      </c>
      <c r="BK10" s="41" t="s">
        <v>608</v>
      </c>
      <c r="BL10" s="41" t="s">
        <v>608</v>
      </c>
      <c r="BM10" s="41" t="s">
        <v>608</v>
      </c>
      <c r="BN10" s="41" t="s">
        <v>608</v>
      </c>
      <c r="BO10" s="41" t="s">
        <v>608</v>
      </c>
      <c r="BP10" s="41" t="s">
        <v>608</v>
      </c>
      <c r="BQ10" s="41" t="s">
        <v>608</v>
      </c>
      <c r="BR10" s="41" t="s">
        <v>608</v>
      </c>
      <c r="BS10" s="41" t="s">
        <v>608</v>
      </c>
      <c r="BT10" s="41" t="s">
        <v>608</v>
      </c>
      <c r="BU10" s="41" t="s">
        <v>608</v>
      </c>
      <c r="BV10" s="41" t="s">
        <v>608</v>
      </c>
      <c r="BW10" s="41" t="s">
        <v>608</v>
      </c>
      <c r="BX10" s="41" t="s">
        <v>608</v>
      </c>
      <c r="BY10" s="41" t="s">
        <v>608</v>
      </c>
      <c r="BZ10" s="41" t="s">
        <v>608</v>
      </c>
      <c r="CA10" s="41" t="s">
        <v>608</v>
      </c>
      <c r="CB10" s="41" t="s">
        <v>608</v>
      </c>
      <c r="CC10" s="41" t="s">
        <v>608</v>
      </c>
      <c r="CD10" s="41" t="s">
        <v>608</v>
      </c>
      <c r="CE10" s="41" t="s">
        <v>608</v>
      </c>
      <c r="CF10" s="41" t="s">
        <v>608</v>
      </c>
      <c r="CG10" s="41" t="s">
        <v>608</v>
      </c>
      <c r="CH10" s="41" t="s">
        <v>608</v>
      </c>
      <c r="CI10" s="41" t="s">
        <v>608</v>
      </c>
      <c r="CJ10" s="41" t="s">
        <v>608</v>
      </c>
      <c r="CK10" s="41" t="s">
        <v>608</v>
      </c>
      <c r="CL10" s="41" t="s">
        <v>608</v>
      </c>
      <c r="CM10" s="41" t="s">
        <v>608</v>
      </c>
      <c r="CN10" s="41" t="s">
        <v>608</v>
      </c>
      <c r="CO10" s="41" t="s">
        <v>608</v>
      </c>
      <c r="CP10" s="41" t="s">
        <v>608</v>
      </c>
      <c r="CQ10" s="41" t="s">
        <v>608</v>
      </c>
      <c r="CR10" s="41" t="s">
        <v>608</v>
      </c>
      <c r="CS10" s="41" t="s">
        <v>608</v>
      </c>
      <c r="CT10" s="41" t="s">
        <v>608</v>
      </c>
      <c r="CU10" s="41" t="s">
        <v>608</v>
      </c>
      <c r="CV10" s="41" t="s">
        <v>608</v>
      </c>
      <c r="CW10" s="41" t="s">
        <v>608</v>
      </c>
      <c r="CX10" s="41" t="s">
        <v>608</v>
      </c>
      <c r="CY10" s="41" t="s">
        <v>608</v>
      </c>
      <c r="CZ10" s="41" t="s">
        <v>608</v>
      </c>
      <c r="DA10" s="41" t="s">
        <v>608</v>
      </c>
      <c r="DB10" s="41" t="s">
        <v>608</v>
      </c>
      <c r="DC10" s="41" t="s">
        <v>608</v>
      </c>
      <c r="DD10" s="41" t="s">
        <v>608</v>
      </c>
      <c r="DE10" s="41" t="s">
        <v>608</v>
      </c>
      <c r="DF10" s="41" t="s">
        <v>608</v>
      </c>
      <c r="DG10" s="41" t="s">
        <v>608</v>
      </c>
      <c r="DH10" s="41" t="s">
        <v>608</v>
      </c>
      <c r="DI10" s="41" t="s">
        <v>608</v>
      </c>
      <c r="DJ10" s="41" t="s">
        <v>608</v>
      </c>
      <c r="DK10" s="41" t="s">
        <v>608</v>
      </c>
      <c r="DL10" s="41" t="s">
        <v>608</v>
      </c>
      <c r="DM10" s="41" t="s">
        <v>608</v>
      </c>
      <c r="DN10" s="41" t="s">
        <v>608</v>
      </c>
      <c r="DO10" s="41" t="s">
        <v>608</v>
      </c>
      <c r="DP10" s="41" t="s">
        <v>608</v>
      </c>
      <c r="DQ10" s="41" t="s">
        <v>608</v>
      </c>
      <c r="DR10" s="41" t="s">
        <v>608</v>
      </c>
      <c r="DS10" s="41" t="s">
        <v>608</v>
      </c>
      <c r="DT10" s="41" t="s">
        <v>608</v>
      </c>
      <c r="DU10" s="41" t="s">
        <v>608</v>
      </c>
      <c r="DV10" s="41" t="s">
        <v>608</v>
      </c>
      <c r="DW10" s="41" t="s">
        <v>608</v>
      </c>
      <c r="DX10" s="41" t="s">
        <v>608</v>
      </c>
      <c r="DY10" s="41" t="s">
        <v>608</v>
      </c>
      <c r="DZ10" s="41" t="s">
        <v>608</v>
      </c>
      <c r="EA10" s="41" t="s">
        <v>608</v>
      </c>
      <c r="EB10" s="41" t="s">
        <v>608</v>
      </c>
      <c r="EC10" s="41" t="s">
        <v>608</v>
      </c>
      <c r="ED10" s="41" t="s">
        <v>608</v>
      </c>
      <c r="EE10" s="41" t="s">
        <v>608</v>
      </c>
      <c r="EF10" s="41" t="s">
        <v>608</v>
      </c>
      <c r="EG10" s="41" t="s">
        <v>608</v>
      </c>
      <c r="EH10" s="41" t="s">
        <v>608</v>
      </c>
      <c r="EI10" s="41" t="s">
        <v>608</v>
      </c>
      <c r="EJ10" s="41" t="s">
        <v>608</v>
      </c>
      <c r="EK10" s="41" t="s">
        <v>608</v>
      </c>
      <c r="EL10" s="41" t="s">
        <v>608</v>
      </c>
      <c r="EM10" s="41" t="s">
        <v>608</v>
      </c>
      <c r="EN10" s="41" t="s">
        <v>608</v>
      </c>
      <c r="EO10" s="41" t="s">
        <v>608</v>
      </c>
      <c r="EP10" s="41" t="s">
        <v>608</v>
      </c>
      <c r="EQ10" s="41" t="s">
        <v>608</v>
      </c>
      <c r="ER10" s="41" t="s">
        <v>608</v>
      </c>
      <c r="ES10" s="41" t="s">
        <v>608</v>
      </c>
      <c r="ET10" s="41" t="s">
        <v>608</v>
      </c>
      <c r="EU10" s="41" t="s">
        <v>608</v>
      </c>
      <c r="EV10" s="41" t="s">
        <v>608</v>
      </c>
      <c r="EW10" s="41" t="s">
        <v>608</v>
      </c>
      <c r="EX10" s="41" t="s">
        <v>608</v>
      </c>
      <c r="EY10" s="41" t="s">
        <v>608</v>
      </c>
      <c r="EZ10" s="41" t="s">
        <v>608</v>
      </c>
      <c r="FA10" s="41" t="s">
        <v>608</v>
      </c>
      <c r="FB10" s="41" t="s">
        <v>608</v>
      </c>
      <c r="FC10" s="41" t="s">
        <v>608</v>
      </c>
      <c r="FD10" s="41" t="s">
        <v>608</v>
      </c>
      <c r="FE10" s="41" t="s">
        <v>608</v>
      </c>
      <c r="FF10" s="41" t="s">
        <v>608</v>
      </c>
      <c r="FG10" s="41" t="s">
        <v>608</v>
      </c>
      <c r="FH10" s="41" t="s">
        <v>608</v>
      </c>
      <c r="FI10" s="41" t="s">
        <v>608</v>
      </c>
      <c r="FJ10" s="41" t="s">
        <v>608</v>
      </c>
      <c r="FK10" s="41" t="s">
        <v>608</v>
      </c>
      <c r="FL10" s="41" t="s">
        <v>608</v>
      </c>
      <c r="FM10" s="41" t="s">
        <v>608</v>
      </c>
      <c r="FN10" s="41" t="s">
        <v>608</v>
      </c>
      <c r="FO10" s="41" t="s">
        <v>608</v>
      </c>
      <c r="FP10" s="41" t="s">
        <v>608</v>
      </c>
      <c r="FQ10" s="41" t="s">
        <v>608</v>
      </c>
      <c r="FR10" s="41" t="s">
        <v>608</v>
      </c>
      <c r="FS10" s="41" t="s">
        <v>608</v>
      </c>
      <c r="FT10" s="41" t="s">
        <v>608</v>
      </c>
      <c r="FU10" s="41" t="s">
        <v>608</v>
      </c>
      <c r="FV10" s="41" t="s">
        <v>608</v>
      </c>
      <c r="FW10" s="41" t="s">
        <v>608</v>
      </c>
      <c r="FX10" s="41" t="s">
        <v>608</v>
      </c>
      <c r="FY10" s="41" t="s">
        <v>608</v>
      </c>
      <c r="FZ10" s="41" t="s">
        <v>608</v>
      </c>
      <c r="GA10" s="41" t="s">
        <v>608</v>
      </c>
      <c r="GB10" s="41" t="s">
        <v>608</v>
      </c>
      <c r="GC10" s="41" t="s">
        <v>608</v>
      </c>
      <c r="GD10" s="41" t="s">
        <v>608</v>
      </c>
      <c r="GE10" s="41" t="s">
        <v>608</v>
      </c>
      <c r="GF10" s="41" t="s">
        <v>608</v>
      </c>
      <c r="GG10" s="41" t="s">
        <v>608</v>
      </c>
      <c r="GH10" s="41" t="s">
        <v>608</v>
      </c>
      <c r="GI10" s="41" t="s">
        <v>608</v>
      </c>
      <c r="GJ10" s="41" t="s">
        <v>608</v>
      </c>
      <c r="GK10" s="41" t="s">
        <v>608</v>
      </c>
      <c r="GL10" s="41" t="s">
        <v>608</v>
      </c>
      <c r="GM10" s="41" t="s">
        <v>608</v>
      </c>
      <c r="GN10" s="41" t="s">
        <v>608</v>
      </c>
      <c r="GO10" s="41" t="s">
        <v>608</v>
      </c>
      <c r="GP10" s="41" t="s">
        <v>608</v>
      </c>
      <c r="GQ10" s="41" t="s">
        <v>608</v>
      </c>
      <c r="GR10" s="41" t="s">
        <v>608</v>
      </c>
      <c r="GS10" s="41" t="s">
        <v>608</v>
      </c>
      <c r="GT10" s="41" t="s">
        <v>608</v>
      </c>
      <c r="GU10" s="41" t="s">
        <v>608</v>
      </c>
      <c r="GV10" s="41" t="s">
        <v>608</v>
      </c>
      <c r="GW10" s="41" t="s">
        <v>608</v>
      </c>
      <c r="GX10" s="41" t="s">
        <v>608</v>
      </c>
      <c r="GY10" s="41" t="s">
        <v>608</v>
      </c>
      <c r="GZ10" s="41" t="s">
        <v>608</v>
      </c>
      <c r="HA10" s="41" t="s">
        <v>608</v>
      </c>
      <c r="HB10" s="41" t="s">
        <v>608</v>
      </c>
      <c r="HC10" s="41" t="s">
        <v>608</v>
      </c>
      <c r="HD10" s="41" t="s">
        <v>608</v>
      </c>
      <c r="HE10" s="41" t="s">
        <v>608</v>
      </c>
      <c r="HF10" s="41" t="s">
        <v>608</v>
      </c>
      <c r="HG10" s="41" t="s">
        <v>608</v>
      </c>
      <c r="HH10" s="41" t="s">
        <v>608</v>
      </c>
      <c r="HI10" s="41" t="s">
        <v>608</v>
      </c>
      <c r="HJ10" s="41" t="s">
        <v>608</v>
      </c>
      <c r="HK10" s="41" t="s">
        <v>608</v>
      </c>
      <c r="HL10" s="41" t="s">
        <v>608</v>
      </c>
      <c r="HM10" s="41" t="s">
        <v>608</v>
      </c>
      <c r="HN10" s="41" t="s">
        <v>608</v>
      </c>
      <c r="HO10" s="41" t="s">
        <v>608</v>
      </c>
    </row>
    <row r="11" spans="1:223" ht="26.4" x14ac:dyDescent="0.3">
      <c r="A11" s="283" t="s">
        <v>19</v>
      </c>
      <c r="B11" s="283" t="s">
        <v>4013</v>
      </c>
      <c r="C11" s="283" t="s">
        <v>4014</v>
      </c>
      <c r="D11" s="283" t="s">
        <v>18</v>
      </c>
      <c r="E11" s="283" t="s">
        <v>1508</v>
      </c>
      <c r="F11" s="283" t="s">
        <v>650</v>
      </c>
      <c r="G11" s="283" t="s">
        <v>4015</v>
      </c>
      <c r="H11" s="11" t="s">
        <v>3000</v>
      </c>
      <c r="I11" s="11" t="s">
        <v>3257</v>
      </c>
      <c r="J11" s="39" t="s">
        <v>1337</v>
      </c>
      <c r="K11" s="11"/>
      <c r="L11" s="11"/>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row>
    <row r="12" spans="1:223" x14ac:dyDescent="0.3">
      <c r="A12" s="283" t="s">
        <v>25</v>
      </c>
      <c r="B12" s="283" t="s">
        <v>2411</v>
      </c>
      <c r="C12" s="283" t="s">
        <v>2412</v>
      </c>
      <c r="D12" s="283" t="s">
        <v>24</v>
      </c>
      <c r="E12" s="283" t="s">
        <v>1504</v>
      </c>
      <c r="F12" s="283" t="s">
        <v>3258</v>
      </c>
      <c r="G12" s="283" t="s">
        <v>1749</v>
      </c>
      <c r="H12" s="283" t="s">
        <v>3000</v>
      </c>
      <c r="I12" s="283" t="s">
        <v>3259</v>
      </c>
      <c r="J12" s="39" t="s">
        <v>1338</v>
      </c>
      <c r="K12" s="11"/>
      <c r="L12" s="11"/>
      <c r="N12" s="42" t="s">
        <v>628</v>
      </c>
      <c r="O12" s="42" t="s">
        <v>628</v>
      </c>
      <c r="P12" s="42" t="s">
        <v>628</v>
      </c>
      <c r="Q12" s="42" t="s">
        <v>628</v>
      </c>
      <c r="R12" s="42" t="s">
        <v>628</v>
      </c>
      <c r="S12" s="42" t="s">
        <v>628</v>
      </c>
      <c r="T12" s="42" t="s">
        <v>628</v>
      </c>
      <c r="U12" s="42" t="s">
        <v>628</v>
      </c>
      <c r="V12" s="42" t="s">
        <v>628</v>
      </c>
      <c r="W12" s="42" t="s">
        <v>628</v>
      </c>
      <c r="X12" s="42" t="s">
        <v>628</v>
      </c>
      <c r="Y12" s="42" t="s">
        <v>628</v>
      </c>
      <c r="Z12" s="42" t="s">
        <v>628</v>
      </c>
      <c r="AA12" s="42" t="s">
        <v>628</v>
      </c>
      <c r="AB12" s="42" t="s">
        <v>628</v>
      </c>
      <c r="AC12" s="42" t="s">
        <v>628</v>
      </c>
      <c r="AD12" s="42" t="s">
        <v>628</v>
      </c>
      <c r="AE12" s="42" t="s">
        <v>628</v>
      </c>
      <c r="AF12" s="42" t="s">
        <v>628</v>
      </c>
      <c r="AG12" s="42" t="s">
        <v>628</v>
      </c>
      <c r="AH12" s="42" t="s">
        <v>628</v>
      </c>
      <c r="AI12" s="42" t="s">
        <v>628</v>
      </c>
      <c r="AJ12" s="42" t="s">
        <v>628</v>
      </c>
      <c r="AK12" s="42" t="s">
        <v>628</v>
      </c>
      <c r="AL12" s="42" t="s">
        <v>628</v>
      </c>
      <c r="AM12" s="42" t="s">
        <v>628</v>
      </c>
      <c r="AN12" s="42" t="s">
        <v>628</v>
      </c>
      <c r="AO12" s="42" t="s">
        <v>628</v>
      </c>
      <c r="AP12" s="42" t="s">
        <v>628</v>
      </c>
      <c r="AQ12" s="42" t="s">
        <v>628</v>
      </c>
      <c r="AR12" s="42" t="s">
        <v>628</v>
      </c>
      <c r="AS12" s="42" t="s">
        <v>628</v>
      </c>
      <c r="AT12" s="42" t="s">
        <v>628</v>
      </c>
      <c r="AU12" s="42" t="s">
        <v>628</v>
      </c>
      <c r="AV12" s="42" t="s">
        <v>628</v>
      </c>
      <c r="AW12" s="42" t="s">
        <v>628</v>
      </c>
      <c r="AX12" s="42" t="s">
        <v>628</v>
      </c>
      <c r="AY12" s="42" t="s">
        <v>628</v>
      </c>
      <c r="AZ12" s="42" t="s">
        <v>628</v>
      </c>
      <c r="BA12" s="42" t="s">
        <v>628</v>
      </c>
      <c r="BB12" s="42" t="s">
        <v>628</v>
      </c>
      <c r="BC12" s="42" t="s">
        <v>628</v>
      </c>
      <c r="BD12" s="42" t="s">
        <v>628</v>
      </c>
      <c r="BE12" s="42" t="s">
        <v>628</v>
      </c>
      <c r="BF12" s="42" t="s">
        <v>628</v>
      </c>
      <c r="BG12" s="42" t="s">
        <v>628</v>
      </c>
      <c r="BH12" s="42" t="s">
        <v>628</v>
      </c>
      <c r="BI12" s="42" t="s">
        <v>628</v>
      </c>
      <c r="BJ12" s="42" t="s">
        <v>628</v>
      </c>
      <c r="BK12" s="42" t="s">
        <v>628</v>
      </c>
      <c r="BL12" s="42" t="s">
        <v>628</v>
      </c>
      <c r="BM12" s="42" t="s">
        <v>628</v>
      </c>
      <c r="BN12" s="42" t="s">
        <v>628</v>
      </c>
      <c r="BO12" s="42" t="s">
        <v>628</v>
      </c>
      <c r="BP12" s="42" t="s">
        <v>628</v>
      </c>
      <c r="BQ12" s="42" t="s">
        <v>628</v>
      </c>
      <c r="BR12" s="42" t="s">
        <v>628</v>
      </c>
      <c r="BS12" s="42" t="s">
        <v>628</v>
      </c>
      <c r="BT12" s="42" t="s">
        <v>628</v>
      </c>
      <c r="BU12" s="42" t="s">
        <v>628</v>
      </c>
      <c r="BV12" s="42" t="s">
        <v>628</v>
      </c>
      <c r="BW12" s="42" t="s">
        <v>628</v>
      </c>
      <c r="BX12" s="42" t="s">
        <v>628</v>
      </c>
      <c r="BY12" s="42" t="s">
        <v>628</v>
      </c>
      <c r="BZ12" s="42" t="s">
        <v>628</v>
      </c>
      <c r="CA12" s="42" t="s">
        <v>628</v>
      </c>
      <c r="CB12" s="42" t="s">
        <v>628</v>
      </c>
      <c r="CC12" s="42" t="s">
        <v>628</v>
      </c>
      <c r="CD12" s="42" t="s">
        <v>628</v>
      </c>
      <c r="CE12" s="42" t="s">
        <v>628</v>
      </c>
      <c r="CF12" s="42" t="s">
        <v>628</v>
      </c>
      <c r="CG12" s="42" t="s">
        <v>628</v>
      </c>
      <c r="CH12" s="42" t="s">
        <v>628</v>
      </c>
      <c r="CI12" s="42" t="s">
        <v>628</v>
      </c>
      <c r="CJ12" s="42" t="s">
        <v>628</v>
      </c>
      <c r="CK12" s="42" t="s">
        <v>628</v>
      </c>
      <c r="CL12" s="42" t="s">
        <v>628</v>
      </c>
      <c r="CM12" s="42" t="s">
        <v>628</v>
      </c>
      <c r="CN12" s="42" t="s">
        <v>628</v>
      </c>
      <c r="CO12" s="42" t="s">
        <v>628</v>
      </c>
      <c r="CP12" s="42" t="s">
        <v>628</v>
      </c>
      <c r="CQ12" s="42" t="s">
        <v>628</v>
      </c>
      <c r="CR12" s="42" t="s">
        <v>628</v>
      </c>
      <c r="CS12" s="42" t="s">
        <v>628</v>
      </c>
      <c r="CT12" s="42" t="s">
        <v>628</v>
      </c>
      <c r="CU12" s="42" t="s">
        <v>628</v>
      </c>
      <c r="CV12" s="42" t="s">
        <v>628</v>
      </c>
      <c r="CW12" s="42" t="s">
        <v>628</v>
      </c>
      <c r="CX12" s="42" t="s">
        <v>628</v>
      </c>
      <c r="CY12" s="42" t="s">
        <v>628</v>
      </c>
      <c r="CZ12" s="42" t="s">
        <v>628</v>
      </c>
      <c r="DA12" s="42" t="s">
        <v>628</v>
      </c>
      <c r="DB12" s="42" t="s">
        <v>628</v>
      </c>
      <c r="DC12" s="42" t="s">
        <v>628</v>
      </c>
      <c r="DD12" s="42" t="s">
        <v>628</v>
      </c>
      <c r="DE12" s="42" t="s">
        <v>628</v>
      </c>
      <c r="DF12" s="42" t="s">
        <v>628</v>
      </c>
      <c r="DG12" s="42" t="s">
        <v>628</v>
      </c>
      <c r="DH12" s="42" t="s">
        <v>628</v>
      </c>
      <c r="DI12" s="42" t="s">
        <v>628</v>
      </c>
      <c r="DJ12" s="42" t="s">
        <v>628</v>
      </c>
      <c r="DK12" s="42" t="s">
        <v>628</v>
      </c>
      <c r="DL12" s="42" t="s">
        <v>628</v>
      </c>
      <c r="DM12" s="42" t="s">
        <v>628</v>
      </c>
      <c r="DN12" s="42" t="s">
        <v>628</v>
      </c>
      <c r="DO12" s="42" t="s">
        <v>628</v>
      </c>
      <c r="DP12" s="42" t="s">
        <v>628</v>
      </c>
      <c r="DQ12" s="42" t="s">
        <v>628</v>
      </c>
      <c r="DR12" s="42" t="s">
        <v>628</v>
      </c>
      <c r="DS12" s="42" t="s">
        <v>628</v>
      </c>
      <c r="DT12" s="42" t="s">
        <v>628</v>
      </c>
      <c r="DU12" s="42" t="s">
        <v>628</v>
      </c>
      <c r="DV12" s="42" t="s">
        <v>628</v>
      </c>
      <c r="DW12" s="42" t="s">
        <v>628</v>
      </c>
      <c r="DX12" s="42" t="s">
        <v>628</v>
      </c>
      <c r="DY12" s="42" t="s">
        <v>628</v>
      </c>
      <c r="DZ12" s="42" t="s">
        <v>628</v>
      </c>
      <c r="EA12" s="42" t="s">
        <v>628</v>
      </c>
      <c r="EB12" s="42" t="s">
        <v>628</v>
      </c>
      <c r="EC12" s="42" t="s">
        <v>628</v>
      </c>
      <c r="ED12" s="42" t="s">
        <v>628</v>
      </c>
      <c r="EE12" s="42" t="s">
        <v>628</v>
      </c>
      <c r="EF12" s="42" t="s">
        <v>628</v>
      </c>
      <c r="EG12" s="42" t="s">
        <v>628</v>
      </c>
      <c r="EH12" s="42" t="s">
        <v>628</v>
      </c>
      <c r="EI12" s="42" t="s">
        <v>628</v>
      </c>
      <c r="EJ12" s="42" t="s">
        <v>628</v>
      </c>
      <c r="EK12" s="42" t="s">
        <v>628</v>
      </c>
      <c r="EL12" s="42" t="s">
        <v>628</v>
      </c>
      <c r="EM12" s="42" t="s">
        <v>628</v>
      </c>
      <c r="EN12" s="42" t="s">
        <v>628</v>
      </c>
      <c r="EO12" s="42" t="s">
        <v>628</v>
      </c>
      <c r="EP12" s="42" t="s">
        <v>628</v>
      </c>
      <c r="EQ12" s="42" t="s">
        <v>628</v>
      </c>
      <c r="ER12" s="42" t="s">
        <v>628</v>
      </c>
      <c r="ES12" s="42" t="s">
        <v>628</v>
      </c>
      <c r="ET12" s="42" t="s">
        <v>628</v>
      </c>
      <c r="EU12" s="42" t="s">
        <v>628</v>
      </c>
      <c r="EV12" s="42" t="s">
        <v>628</v>
      </c>
      <c r="EW12" s="42" t="s">
        <v>628</v>
      </c>
      <c r="EX12" s="42" t="s">
        <v>628</v>
      </c>
      <c r="EY12" s="42" t="s">
        <v>628</v>
      </c>
      <c r="EZ12" s="42" t="s">
        <v>628</v>
      </c>
      <c r="FA12" s="42" t="s">
        <v>628</v>
      </c>
      <c r="FB12" s="42" t="s">
        <v>628</v>
      </c>
      <c r="FC12" s="42" t="s">
        <v>628</v>
      </c>
      <c r="FD12" s="42" t="s">
        <v>628</v>
      </c>
      <c r="FE12" s="42" t="s">
        <v>628</v>
      </c>
      <c r="FF12" s="42" t="s">
        <v>628</v>
      </c>
      <c r="FG12" s="42" t="s">
        <v>628</v>
      </c>
      <c r="FH12" s="42" t="s">
        <v>628</v>
      </c>
      <c r="FI12" s="42" t="s">
        <v>628</v>
      </c>
      <c r="FJ12" s="42" t="s">
        <v>628</v>
      </c>
      <c r="FK12" s="42" t="s">
        <v>628</v>
      </c>
      <c r="FL12" s="42" t="s">
        <v>628</v>
      </c>
      <c r="FM12" s="42" t="s">
        <v>628</v>
      </c>
      <c r="FN12" s="42" t="s">
        <v>628</v>
      </c>
      <c r="FO12" s="42" t="s">
        <v>628</v>
      </c>
      <c r="FP12" s="42" t="s">
        <v>628</v>
      </c>
      <c r="FQ12" s="42" t="s">
        <v>628</v>
      </c>
      <c r="FR12" s="42" t="s">
        <v>628</v>
      </c>
      <c r="FS12" s="42" t="s">
        <v>628</v>
      </c>
      <c r="FT12" s="42" t="s">
        <v>628</v>
      </c>
      <c r="FU12" s="42" t="s">
        <v>628</v>
      </c>
      <c r="FV12" s="42" t="s">
        <v>628</v>
      </c>
      <c r="FW12" s="42" t="s">
        <v>628</v>
      </c>
      <c r="FX12" s="42" t="s">
        <v>628</v>
      </c>
      <c r="FY12" s="42" t="s">
        <v>628</v>
      </c>
      <c r="FZ12" s="42" t="s">
        <v>628</v>
      </c>
      <c r="GA12" s="42" t="s">
        <v>628</v>
      </c>
      <c r="GB12" s="42" t="s">
        <v>628</v>
      </c>
      <c r="GC12" s="42" t="s">
        <v>628</v>
      </c>
      <c r="GD12" s="42" t="s">
        <v>628</v>
      </c>
      <c r="GE12" s="42" t="s">
        <v>628</v>
      </c>
      <c r="GF12" s="42" t="s">
        <v>628</v>
      </c>
      <c r="GG12" s="42" t="s">
        <v>628</v>
      </c>
      <c r="GH12" s="42" t="s">
        <v>628</v>
      </c>
      <c r="GI12" s="42" t="s">
        <v>628</v>
      </c>
      <c r="GJ12" s="42" t="s">
        <v>628</v>
      </c>
      <c r="GK12" s="42" t="s">
        <v>628</v>
      </c>
      <c r="GL12" s="42" t="s">
        <v>628</v>
      </c>
      <c r="GM12" s="42" t="s">
        <v>628</v>
      </c>
      <c r="GN12" s="42" t="s">
        <v>628</v>
      </c>
      <c r="GO12" s="42" t="s">
        <v>628</v>
      </c>
      <c r="GP12" s="42" t="s">
        <v>628</v>
      </c>
      <c r="GQ12" s="42" t="s">
        <v>628</v>
      </c>
      <c r="GR12" s="42" t="s">
        <v>628</v>
      </c>
      <c r="GS12" s="42" t="s">
        <v>628</v>
      </c>
      <c r="GT12" s="42" t="s">
        <v>628</v>
      </c>
      <c r="GU12" s="42" t="s">
        <v>628</v>
      </c>
      <c r="GV12" s="42" t="s">
        <v>628</v>
      </c>
      <c r="GW12" s="42" t="s">
        <v>628</v>
      </c>
      <c r="GX12" s="42" t="s">
        <v>628</v>
      </c>
      <c r="GY12" s="42" t="s">
        <v>628</v>
      </c>
      <c r="GZ12" s="42" t="s">
        <v>628</v>
      </c>
      <c r="HA12" s="42" t="s">
        <v>628</v>
      </c>
      <c r="HB12" s="42" t="s">
        <v>628</v>
      </c>
      <c r="HC12" s="42" t="s">
        <v>628</v>
      </c>
      <c r="HD12" s="42" t="s">
        <v>628</v>
      </c>
      <c r="HE12" s="42" t="s">
        <v>628</v>
      </c>
      <c r="HF12" s="42" t="s">
        <v>628</v>
      </c>
      <c r="HG12" s="42" t="s">
        <v>628</v>
      </c>
      <c r="HH12" s="42" t="s">
        <v>628</v>
      </c>
      <c r="HI12" s="42" t="s">
        <v>628</v>
      </c>
      <c r="HJ12" s="42" t="s">
        <v>628</v>
      </c>
      <c r="HK12" s="42" t="s">
        <v>628</v>
      </c>
      <c r="HL12" s="42" t="s">
        <v>628</v>
      </c>
      <c r="HM12" s="42" t="s">
        <v>628</v>
      </c>
      <c r="HN12" s="42" t="s">
        <v>628</v>
      </c>
      <c r="HO12" s="42" t="s">
        <v>628</v>
      </c>
    </row>
    <row r="13" spans="1:223" x14ac:dyDescent="0.3">
      <c r="A13" s="283" t="s">
        <v>25</v>
      </c>
      <c r="B13" s="283" t="s">
        <v>652</v>
      </c>
      <c r="C13" s="283" t="s">
        <v>663</v>
      </c>
      <c r="D13" s="283" t="s">
        <v>24</v>
      </c>
      <c r="E13" s="283" t="s">
        <v>1504</v>
      </c>
      <c r="F13" s="283" t="s">
        <v>1280</v>
      </c>
      <c r="G13" s="283" t="s">
        <v>1390</v>
      </c>
      <c r="H13" s="11" t="s">
        <v>3001</v>
      </c>
      <c r="I13" s="11" t="s">
        <v>3257</v>
      </c>
      <c r="J13" s="39" t="s">
        <v>610</v>
      </c>
      <c r="K13" s="11"/>
      <c r="L13" s="1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row>
    <row r="14" spans="1:223" x14ac:dyDescent="0.3">
      <c r="A14" s="283" t="s">
        <v>25</v>
      </c>
      <c r="B14" s="283" t="s">
        <v>1510</v>
      </c>
      <c r="C14" s="283" t="s">
        <v>3198</v>
      </c>
      <c r="D14" s="283" t="s">
        <v>24</v>
      </c>
      <c r="E14" s="283" t="s">
        <v>1504</v>
      </c>
      <c r="F14" s="283" t="s">
        <v>1279</v>
      </c>
      <c r="G14" s="283" t="s">
        <v>1672</v>
      </c>
      <c r="H14" s="11" t="s">
        <v>3001</v>
      </c>
      <c r="I14" s="11" t="s">
        <v>3257</v>
      </c>
      <c r="J14" s="39" t="s">
        <v>620</v>
      </c>
      <c r="K14" s="11"/>
      <c r="L14" s="11"/>
      <c r="N14" s="42" t="s">
        <v>549</v>
      </c>
      <c r="O14" s="42" t="s">
        <v>549</v>
      </c>
      <c r="P14" s="42" t="s">
        <v>549</v>
      </c>
      <c r="Q14" s="42" t="s">
        <v>549</v>
      </c>
      <c r="R14" s="42" t="s">
        <v>549</v>
      </c>
      <c r="S14" s="42" t="s">
        <v>549</v>
      </c>
      <c r="T14" s="42" t="s">
        <v>549</v>
      </c>
      <c r="U14" s="42" t="s">
        <v>549</v>
      </c>
      <c r="V14" s="42" t="s">
        <v>549</v>
      </c>
      <c r="W14" s="42" t="s">
        <v>549</v>
      </c>
      <c r="X14" s="42" t="s">
        <v>549</v>
      </c>
      <c r="Y14" s="42" t="s">
        <v>549</v>
      </c>
      <c r="Z14" s="42" t="s">
        <v>549</v>
      </c>
      <c r="AA14" s="42" t="s">
        <v>549</v>
      </c>
      <c r="AB14" s="42" t="s">
        <v>549</v>
      </c>
      <c r="AC14" s="42" t="s">
        <v>549</v>
      </c>
      <c r="AD14" s="42" t="s">
        <v>549</v>
      </c>
      <c r="AE14" s="42" t="s">
        <v>549</v>
      </c>
      <c r="AF14" s="42" t="s">
        <v>549</v>
      </c>
      <c r="AG14" s="42" t="s">
        <v>549</v>
      </c>
      <c r="AH14" s="42" t="s">
        <v>549</v>
      </c>
      <c r="AI14" s="42" t="s">
        <v>549</v>
      </c>
      <c r="AJ14" s="42" t="s">
        <v>549</v>
      </c>
      <c r="AK14" s="42" t="s">
        <v>549</v>
      </c>
      <c r="AL14" s="42" t="s">
        <v>549</v>
      </c>
      <c r="AM14" s="42" t="s">
        <v>549</v>
      </c>
      <c r="AN14" s="42" t="s">
        <v>549</v>
      </c>
      <c r="AO14" s="42" t="s">
        <v>549</v>
      </c>
      <c r="AP14" s="42" t="s">
        <v>549</v>
      </c>
      <c r="AQ14" s="42" t="s">
        <v>549</v>
      </c>
      <c r="AR14" s="42" t="s">
        <v>549</v>
      </c>
      <c r="AS14" s="42" t="s">
        <v>549</v>
      </c>
      <c r="AT14" s="42" t="s">
        <v>549</v>
      </c>
      <c r="AU14" s="42" t="s">
        <v>549</v>
      </c>
      <c r="AV14" s="42" t="s">
        <v>549</v>
      </c>
      <c r="AW14" s="42" t="s">
        <v>549</v>
      </c>
      <c r="AX14" s="42" t="s">
        <v>549</v>
      </c>
      <c r="AY14" s="42" t="s">
        <v>549</v>
      </c>
      <c r="AZ14" s="42" t="s">
        <v>549</v>
      </c>
      <c r="BA14" s="42" t="s">
        <v>549</v>
      </c>
      <c r="BB14" s="42" t="s">
        <v>549</v>
      </c>
      <c r="BC14" s="42" t="s">
        <v>549</v>
      </c>
      <c r="BD14" s="42" t="s">
        <v>549</v>
      </c>
      <c r="BE14" s="42" t="s">
        <v>549</v>
      </c>
      <c r="BF14" s="42" t="s">
        <v>549</v>
      </c>
      <c r="BG14" s="42" t="s">
        <v>549</v>
      </c>
      <c r="BH14" s="42" t="s">
        <v>549</v>
      </c>
      <c r="BI14" s="42" t="s">
        <v>549</v>
      </c>
      <c r="BJ14" s="42" t="s">
        <v>549</v>
      </c>
      <c r="BK14" s="42" t="s">
        <v>549</v>
      </c>
      <c r="BL14" s="42" t="s">
        <v>549</v>
      </c>
      <c r="BM14" s="42" t="s">
        <v>549</v>
      </c>
      <c r="BN14" s="42" t="s">
        <v>549</v>
      </c>
      <c r="BO14" s="42" t="s">
        <v>549</v>
      </c>
      <c r="BP14" s="42" t="s">
        <v>549</v>
      </c>
      <c r="BQ14" s="42" t="s">
        <v>549</v>
      </c>
      <c r="BR14" s="42" t="s">
        <v>549</v>
      </c>
      <c r="BS14" s="42" t="s">
        <v>549</v>
      </c>
      <c r="BT14" s="42" t="s">
        <v>549</v>
      </c>
      <c r="BU14" s="42" t="s">
        <v>549</v>
      </c>
      <c r="BV14" s="42" t="s">
        <v>549</v>
      </c>
      <c r="BW14" s="42" t="s">
        <v>549</v>
      </c>
      <c r="BX14" s="42" t="s">
        <v>549</v>
      </c>
      <c r="BY14" s="42" t="s">
        <v>549</v>
      </c>
      <c r="BZ14" s="42" t="s">
        <v>549</v>
      </c>
      <c r="CA14" s="42" t="s">
        <v>549</v>
      </c>
      <c r="CB14" s="42" t="s">
        <v>549</v>
      </c>
      <c r="CC14" s="42" t="s">
        <v>549</v>
      </c>
      <c r="CD14" s="42" t="s">
        <v>549</v>
      </c>
      <c r="CE14" s="42" t="s">
        <v>549</v>
      </c>
      <c r="CF14" s="42" t="s">
        <v>549</v>
      </c>
      <c r="CG14" s="42" t="s">
        <v>549</v>
      </c>
      <c r="CH14" s="42" t="s">
        <v>549</v>
      </c>
      <c r="CI14" s="42" t="s">
        <v>549</v>
      </c>
      <c r="CJ14" s="42" t="s">
        <v>549</v>
      </c>
      <c r="CK14" s="42" t="s">
        <v>549</v>
      </c>
      <c r="CL14" s="42" t="s">
        <v>549</v>
      </c>
      <c r="CM14" s="42" t="s">
        <v>549</v>
      </c>
      <c r="CN14" s="42" t="s">
        <v>549</v>
      </c>
      <c r="CO14" s="42" t="s">
        <v>549</v>
      </c>
      <c r="CP14" s="42" t="s">
        <v>549</v>
      </c>
      <c r="CQ14" s="42" t="s">
        <v>549</v>
      </c>
      <c r="CR14" s="42" t="s">
        <v>549</v>
      </c>
      <c r="CS14" s="42" t="s">
        <v>549</v>
      </c>
      <c r="CT14" s="42" t="s">
        <v>549</v>
      </c>
      <c r="CU14" s="42" t="s">
        <v>549</v>
      </c>
      <c r="CV14" s="42" t="s">
        <v>549</v>
      </c>
      <c r="CW14" s="42" t="s">
        <v>549</v>
      </c>
      <c r="CX14" s="42" t="s">
        <v>549</v>
      </c>
      <c r="CY14" s="42" t="s">
        <v>549</v>
      </c>
      <c r="CZ14" s="42" t="s">
        <v>549</v>
      </c>
      <c r="DA14" s="42" t="s">
        <v>549</v>
      </c>
      <c r="DB14" s="42" t="s">
        <v>549</v>
      </c>
      <c r="DC14" s="42" t="s">
        <v>549</v>
      </c>
      <c r="DD14" s="42" t="s">
        <v>549</v>
      </c>
      <c r="DE14" s="42" t="s">
        <v>549</v>
      </c>
      <c r="DF14" s="42" t="s">
        <v>549</v>
      </c>
      <c r="DG14" s="42" t="s">
        <v>549</v>
      </c>
      <c r="DH14" s="42" t="s">
        <v>549</v>
      </c>
      <c r="DI14" s="42" t="s">
        <v>549</v>
      </c>
      <c r="DJ14" s="42" t="s">
        <v>549</v>
      </c>
      <c r="DK14" s="42" t="s">
        <v>549</v>
      </c>
      <c r="DL14" s="42" t="s">
        <v>549</v>
      </c>
      <c r="DM14" s="42" t="s">
        <v>549</v>
      </c>
      <c r="DN14" s="42" t="s">
        <v>549</v>
      </c>
      <c r="DO14" s="42" t="s">
        <v>549</v>
      </c>
      <c r="DP14" s="42" t="s">
        <v>549</v>
      </c>
      <c r="DQ14" s="42" t="s">
        <v>549</v>
      </c>
      <c r="DR14" s="42" t="s">
        <v>549</v>
      </c>
      <c r="DS14" s="42" t="s">
        <v>549</v>
      </c>
      <c r="DT14" s="42" t="s">
        <v>549</v>
      </c>
      <c r="DU14" s="42" t="s">
        <v>549</v>
      </c>
      <c r="DV14" s="42" t="s">
        <v>549</v>
      </c>
      <c r="DW14" s="42" t="s">
        <v>549</v>
      </c>
      <c r="DX14" s="42" t="s">
        <v>549</v>
      </c>
      <c r="DY14" s="42" t="s">
        <v>549</v>
      </c>
      <c r="DZ14" s="42" t="s">
        <v>549</v>
      </c>
      <c r="EA14" s="42" t="s">
        <v>549</v>
      </c>
      <c r="EB14" s="42" t="s">
        <v>549</v>
      </c>
      <c r="EC14" s="42" t="s">
        <v>549</v>
      </c>
      <c r="ED14" s="42" t="s">
        <v>549</v>
      </c>
      <c r="EE14" s="42" t="s">
        <v>549</v>
      </c>
      <c r="EF14" s="42" t="s">
        <v>549</v>
      </c>
      <c r="EG14" s="42" t="s">
        <v>549</v>
      </c>
      <c r="EH14" s="42" t="s">
        <v>549</v>
      </c>
      <c r="EI14" s="42" t="s">
        <v>549</v>
      </c>
      <c r="EJ14" s="42" t="s">
        <v>549</v>
      </c>
      <c r="EK14" s="42" t="s">
        <v>549</v>
      </c>
      <c r="EL14" s="42" t="s">
        <v>549</v>
      </c>
      <c r="EM14" s="42" t="s">
        <v>549</v>
      </c>
      <c r="EN14" s="42" t="s">
        <v>549</v>
      </c>
      <c r="EO14" s="42" t="s">
        <v>549</v>
      </c>
      <c r="EP14" s="42" t="s">
        <v>549</v>
      </c>
      <c r="EQ14" s="42" t="s">
        <v>549</v>
      </c>
      <c r="ER14" s="42" t="s">
        <v>549</v>
      </c>
      <c r="ES14" s="42" t="s">
        <v>549</v>
      </c>
      <c r="ET14" s="42" t="s">
        <v>549</v>
      </c>
      <c r="EU14" s="42" t="s">
        <v>549</v>
      </c>
      <c r="EV14" s="42" t="s">
        <v>549</v>
      </c>
      <c r="EW14" s="42" t="s">
        <v>549</v>
      </c>
      <c r="EX14" s="42" t="s">
        <v>549</v>
      </c>
      <c r="EY14" s="42" t="s">
        <v>549</v>
      </c>
      <c r="EZ14" s="42" t="s">
        <v>549</v>
      </c>
      <c r="FA14" s="42" t="s">
        <v>549</v>
      </c>
      <c r="FB14" s="42" t="s">
        <v>549</v>
      </c>
      <c r="FC14" s="42" t="s">
        <v>549</v>
      </c>
      <c r="FD14" s="42" t="s">
        <v>549</v>
      </c>
      <c r="FE14" s="42" t="s">
        <v>549</v>
      </c>
      <c r="FF14" s="42" t="s">
        <v>549</v>
      </c>
      <c r="FG14" s="42" t="s">
        <v>549</v>
      </c>
      <c r="FH14" s="42" t="s">
        <v>549</v>
      </c>
      <c r="FI14" s="42" t="s">
        <v>549</v>
      </c>
      <c r="FJ14" s="42" t="s">
        <v>549</v>
      </c>
      <c r="FK14" s="42" t="s">
        <v>549</v>
      </c>
      <c r="FL14" s="42" t="s">
        <v>549</v>
      </c>
      <c r="FM14" s="42" t="s">
        <v>549</v>
      </c>
      <c r="FN14" s="42" t="s">
        <v>549</v>
      </c>
      <c r="FO14" s="42" t="s">
        <v>549</v>
      </c>
      <c r="FP14" s="42" t="s">
        <v>549</v>
      </c>
      <c r="FQ14" s="42" t="s">
        <v>549</v>
      </c>
      <c r="FR14" s="42" t="s">
        <v>549</v>
      </c>
      <c r="FS14" s="42" t="s">
        <v>549</v>
      </c>
      <c r="FT14" s="42" t="s">
        <v>549</v>
      </c>
      <c r="FU14" s="42" t="s">
        <v>549</v>
      </c>
      <c r="FV14" s="42" t="s">
        <v>549</v>
      </c>
      <c r="FW14" s="42" t="s">
        <v>549</v>
      </c>
      <c r="FX14" s="42" t="s">
        <v>549</v>
      </c>
      <c r="FY14" s="42" t="s">
        <v>549</v>
      </c>
      <c r="FZ14" s="42" t="s">
        <v>549</v>
      </c>
      <c r="GA14" s="42" t="s">
        <v>549</v>
      </c>
      <c r="GB14" s="42" t="s">
        <v>549</v>
      </c>
      <c r="GC14" s="42" t="s">
        <v>549</v>
      </c>
      <c r="GD14" s="42" t="s">
        <v>549</v>
      </c>
      <c r="GE14" s="42" t="s">
        <v>549</v>
      </c>
      <c r="GF14" s="42" t="s">
        <v>549</v>
      </c>
      <c r="GG14" s="42" t="s">
        <v>549</v>
      </c>
      <c r="GH14" s="42" t="s">
        <v>549</v>
      </c>
      <c r="GI14" s="42" t="s">
        <v>549</v>
      </c>
      <c r="GJ14" s="42" t="s">
        <v>549</v>
      </c>
      <c r="GK14" s="42" t="s">
        <v>549</v>
      </c>
      <c r="GL14" s="42" t="s">
        <v>549</v>
      </c>
      <c r="GM14" s="42" t="s">
        <v>549</v>
      </c>
      <c r="GN14" s="42" t="s">
        <v>549</v>
      </c>
      <c r="GO14" s="42" t="s">
        <v>549</v>
      </c>
      <c r="GP14" s="42" t="s">
        <v>549</v>
      </c>
      <c r="GQ14" s="42" t="s">
        <v>549</v>
      </c>
      <c r="GR14" s="42" t="s">
        <v>549</v>
      </c>
      <c r="GS14" s="42" t="s">
        <v>549</v>
      </c>
      <c r="GT14" s="42" t="s">
        <v>549</v>
      </c>
      <c r="GU14" s="42" t="s">
        <v>549</v>
      </c>
      <c r="GV14" s="42" t="s">
        <v>549</v>
      </c>
      <c r="GW14" s="42" t="s">
        <v>549</v>
      </c>
      <c r="GX14" s="42" t="s">
        <v>549</v>
      </c>
      <c r="GY14" s="42" t="s">
        <v>549</v>
      </c>
      <c r="GZ14" s="42" t="s">
        <v>549</v>
      </c>
      <c r="HA14" s="42" t="s">
        <v>549</v>
      </c>
      <c r="HB14" s="42" t="s">
        <v>549</v>
      </c>
      <c r="HC14" s="42" t="s">
        <v>549</v>
      </c>
      <c r="HD14" s="42" t="s">
        <v>549</v>
      </c>
      <c r="HE14" s="42" t="s">
        <v>549</v>
      </c>
      <c r="HF14" s="42" t="s">
        <v>549</v>
      </c>
      <c r="HG14" s="42" t="s">
        <v>549</v>
      </c>
      <c r="HH14" s="42" t="s">
        <v>549</v>
      </c>
      <c r="HI14" s="42" t="s">
        <v>549</v>
      </c>
      <c r="HJ14" s="42" t="s">
        <v>549</v>
      </c>
      <c r="HK14" s="42" t="s">
        <v>549</v>
      </c>
      <c r="HL14" s="42" t="s">
        <v>549</v>
      </c>
      <c r="HM14" s="42" t="s">
        <v>549</v>
      </c>
      <c r="HN14" s="42" t="s">
        <v>549</v>
      </c>
      <c r="HO14" s="42" t="s">
        <v>549</v>
      </c>
    </row>
    <row r="15" spans="1:223" x14ac:dyDescent="0.3">
      <c r="A15" s="283" t="s">
        <v>25</v>
      </c>
      <c r="B15" s="283" t="s">
        <v>2413</v>
      </c>
      <c r="C15" s="283" t="s">
        <v>2929</v>
      </c>
      <c r="D15" s="283" t="s">
        <v>24</v>
      </c>
      <c r="E15" s="283" t="s">
        <v>1504</v>
      </c>
      <c r="F15" s="283" t="s">
        <v>1549</v>
      </c>
      <c r="G15" s="283" t="s">
        <v>2414</v>
      </c>
      <c r="H15" s="11" t="s">
        <v>3001</v>
      </c>
      <c r="I15" s="11" t="s">
        <v>3257</v>
      </c>
      <c r="J15" s="39" t="s">
        <v>1339</v>
      </c>
      <c r="K15" s="11"/>
      <c r="L15" s="11"/>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row>
    <row r="16" spans="1:223" ht="26.4" x14ac:dyDescent="0.3">
      <c r="A16" s="283" t="s">
        <v>1270</v>
      </c>
      <c r="B16" s="283" t="s">
        <v>1265</v>
      </c>
      <c r="C16" s="283" t="s">
        <v>1268</v>
      </c>
      <c r="D16" s="283" t="s">
        <v>1271</v>
      </c>
      <c r="E16" s="283" t="s">
        <v>1504</v>
      </c>
      <c r="F16" s="283" t="s">
        <v>1281</v>
      </c>
      <c r="G16" s="283" t="s">
        <v>1265</v>
      </c>
      <c r="H16" s="11" t="s">
        <v>3001</v>
      </c>
      <c r="I16" s="11" t="s">
        <v>3257</v>
      </c>
      <c r="J16" s="39" t="s">
        <v>1340</v>
      </c>
      <c r="K16" s="11"/>
      <c r="L16" s="11"/>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row>
    <row r="17" spans="1:223" x14ac:dyDescent="0.3">
      <c r="A17" s="283" t="s">
        <v>44</v>
      </c>
      <c r="B17" s="283" t="s">
        <v>772</v>
      </c>
      <c r="C17" s="283" t="s">
        <v>669</v>
      </c>
      <c r="D17" s="283" t="s">
        <v>43</v>
      </c>
      <c r="E17" s="283" t="s">
        <v>1507</v>
      </c>
      <c r="F17" s="283" t="s">
        <v>1280</v>
      </c>
      <c r="G17" s="283" t="s">
        <v>1391</v>
      </c>
      <c r="H17" s="283" t="s">
        <v>3000</v>
      </c>
      <c r="I17" s="283" t="s">
        <v>3257</v>
      </c>
      <c r="J17" s="39" t="s">
        <v>1341</v>
      </c>
      <c r="K17" s="11"/>
      <c r="L17" s="11"/>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row>
    <row r="18" spans="1:223" x14ac:dyDescent="0.3">
      <c r="A18" s="283" t="s">
        <v>49</v>
      </c>
      <c r="B18" s="283" t="s">
        <v>801</v>
      </c>
      <c r="C18" s="283" t="s">
        <v>805</v>
      </c>
      <c r="D18" s="283" t="s">
        <v>48</v>
      </c>
      <c r="E18" s="283" t="s">
        <v>1505</v>
      </c>
      <c r="F18" s="283" t="s">
        <v>650</v>
      </c>
      <c r="G18" s="283" t="s">
        <v>650</v>
      </c>
      <c r="H18" s="283" t="s">
        <v>3000</v>
      </c>
      <c r="I18" s="296" t="s">
        <v>3257</v>
      </c>
      <c r="J18" s="39" t="s">
        <v>1342</v>
      </c>
      <c r="K18" s="11"/>
      <c r="L18" s="11"/>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row>
    <row r="19" spans="1:223" x14ac:dyDescent="0.3">
      <c r="A19" s="283" t="s">
        <v>49</v>
      </c>
      <c r="B19" s="283" t="s">
        <v>3260</v>
      </c>
      <c r="C19" s="283" t="s">
        <v>3261</v>
      </c>
      <c r="D19" s="283" t="s">
        <v>48</v>
      </c>
      <c r="E19" s="283" t="s">
        <v>1505</v>
      </c>
      <c r="F19" s="283" t="s">
        <v>1279</v>
      </c>
      <c r="G19" s="283" t="s">
        <v>1672</v>
      </c>
      <c r="H19" s="283" t="s">
        <v>3001</v>
      </c>
      <c r="I19" s="283" t="s">
        <v>3257</v>
      </c>
      <c r="J19" s="39" t="s">
        <v>1343</v>
      </c>
      <c r="K19" s="11"/>
      <c r="L19" s="11"/>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row>
    <row r="20" spans="1:223" x14ac:dyDescent="0.3">
      <c r="A20" s="283" t="s">
        <v>49</v>
      </c>
      <c r="B20" s="283" t="s">
        <v>3819</v>
      </c>
      <c r="C20" s="283" t="s">
        <v>3821</v>
      </c>
      <c r="D20" s="283" t="s">
        <v>48</v>
      </c>
      <c r="E20" s="283" t="s">
        <v>1505</v>
      </c>
      <c r="F20" s="283" t="s">
        <v>3258</v>
      </c>
      <c r="G20" s="283" t="s">
        <v>1392</v>
      </c>
      <c r="H20" s="11" t="s">
        <v>3000</v>
      </c>
      <c r="I20" s="11" t="s">
        <v>3259</v>
      </c>
      <c r="J20" s="39" t="s">
        <v>1344</v>
      </c>
      <c r="K20" s="11"/>
      <c r="L20" s="11"/>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row>
    <row r="21" spans="1:223" x14ac:dyDescent="0.3">
      <c r="A21" s="283" t="s">
        <v>51</v>
      </c>
      <c r="B21" s="283" t="s">
        <v>1320</v>
      </c>
      <c r="C21" s="283" t="s">
        <v>2914</v>
      </c>
      <c r="D21" s="283" t="s">
        <v>50</v>
      </c>
      <c r="E21" s="283" t="s">
        <v>1505</v>
      </c>
      <c r="F21" s="283" t="s">
        <v>691</v>
      </c>
      <c r="G21" s="283" t="s">
        <v>3262</v>
      </c>
      <c r="H21" s="11" t="s">
        <v>3000</v>
      </c>
      <c r="I21" s="11" t="s">
        <v>3257</v>
      </c>
      <c r="J21" s="39" t="s">
        <v>561</v>
      </c>
      <c r="K21" s="11"/>
      <c r="L21" s="11"/>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row>
    <row r="22" spans="1:223" x14ac:dyDescent="0.3">
      <c r="A22" s="283" t="s">
        <v>55</v>
      </c>
      <c r="B22" s="283" t="s">
        <v>1156</v>
      </c>
      <c r="C22" s="283" t="s">
        <v>576</v>
      </c>
      <c r="D22" s="283" t="s">
        <v>54</v>
      </c>
      <c r="E22" s="283" t="s">
        <v>1505</v>
      </c>
      <c r="F22" s="283" t="s">
        <v>3258</v>
      </c>
      <c r="G22" s="283" t="s">
        <v>1392</v>
      </c>
      <c r="H22" s="11" t="s">
        <v>3000</v>
      </c>
      <c r="I22" s="11" t="s">
        <v>3259</v>
      </c>
      <c r="J22" s="39" t="s">
        <v>562</v>
      </c>
      <c r="K22" s="11"/>
      <c r="L22" s="11"/>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row>
    <row r="23" spans="1:223" x14ac:dyDescent="0.3">
      <c r="A23" s="283" t="s">
        <v>55</v>
      </c>
      <c r="B23" s="283" t="s">
        <v>775</v>
      </c>
      <c r="C23" s="283" t="s">
        <v>670</v>
      </c>
      <c r="D23" s="283" t="s">
        <v>54</v>
      </c>
      <c r="E23" s="283" t="s">
        <v>1505</v>
      </c>
      <c r="F23" s="283" t="s">
        <v>650</v>
      </c>
      <c r="G23" s="283" t="s">
        <v>1393</v>
      </c>
      <c r="H23" s="11" t="s">
        <v>3001</v>
      </c>
      <c r="I23" s="11" t="s">
        <v>3257</v>
      </c>
      <c r="J23" s="39" t="s">
        <v>563</v>
      </c>
      <c r="K23" s="11"/>
      <c r="L23" s="11"/>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row>
    <row r="24" spans="1:223" x14ac:dyDescent="0.3">
      <c r="A24" s="283" t="s">
        <v>55</v>
      </c>
      <c r="B24" s="283" t="s">
        <v>776</v>
      </c>
      <c r="C24" s="283" t="s">
        <v>671</v>
      </c>
      <c r="D24" s="283" t="s">
        <v>54</v>
      </c>
      <c r="E24" s="283" t="s">
        <v>1505</v>
      </c>
      <c r="F24" s="283" t="s">
        <v>650</v>
      </c>
      <c r="G24" s="283" t="s">
        <v>1394</v>
      </c>
      <c r="H24" s="11" t="s">
        <v>3001</v>
      </c>
      <c r="I24" s="11" t="s">
        <v>3257</v>
      </c>
      <c r="J24" s="39" t="s">
        <v>530</v>
      </c>
      <c r="K24" s="11"/>
      <c r="L24" s="11"/>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row>
    <row r="25" spans="1:223" x14ac:dyDescent="0.3">
      <c r="A25" s="283" t="s">
        <v>55</v>
      </c>
      <c r="B25" s="283" t="s">
        <v>777</v>
      </c>
      <c r="C25" s="283" t="s">
        <v>672</v>
      </c>
      <c r="D25" s="283" t="s">
        <v>54</v>
      </c>
      <c r="E25" s="283" t="s">
        <v>1505</v>
      </c>
      <c r="F25" s="283" t="s">
        <v>1280</v>
      </c>
      <c r="G25" s="283" t="s">
        <v>1395</v>
      </c>
      <c r="H25" s="11" t="s">
        <v>3001</v>
      </c>
      <c r="I25" s="11" t="s">
        <v>3257</v>
      </c>
      <c r="J25" s="39" t="s">
        <v>531</v>
      </c>
      <c r="K25" s="11"/>
      <c r="L25" s="11"/>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row>
    <row r="26" spans="1:223" x14ac:dyDescent="0.3">
      <c r="A26" s="283" t="s">
        <v>573</v>
      </c>
      <c r="B26" s="283" t="s">
        <v>1079</v>
      </c>
      <c r="C26" s="283" t="s">
        <v>2915</v>
      </c>
      <c r="D26" s="283" t="s">
        <v>59</v>
      </c>
      <c r="E26" s="283" t="s">
        <v>1505</v>
      </c>
      <c r="F26" s="283" t="s">
        <v>691</v>
      </c>
      <c r="G26" s="283" t="s">
        <v>691</v>
      </c>
      <c r="H26" s="283" t="s">
        <v>3000</v>
      </c>
      <c r="I26" s="283" t="s">
        <v>3257</v>
      </c>
      <c r="J26" s="39" t="s">
        <v>532</v>
      </c>
      <c r="K26" s="11"/>
      <c r="L26" s="11"/>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row>
    <row r="27" spans="1:223" x14ac:dyDescent="0.3">
      <c r="A27" s="283" t="s">
        <v>62</v>
      </c>
      <c r="B27" s="283" t="s">
        <v>1419</v>
      </c>
      <c r="C27" s="283" t="s">
        <v>577</v>
      </c>
      <c r="D27" s="283" t="s">
        <v>61</v>
      </c>
      <c r="E27" s="283" t="s">
        <v>1505</v>
      </c>
      <c r="F27" s="283" t="s">
        <v>3258</v>
      </c>
      <c r="G27" s="283" t="s">
        <v>691</v>
      </c>
      <c r="H27" s="11" t="s">
        <v>3000</v>
      </c>
      <c r="I27" s="11" t="s">
        <v>3259</v>
      </c>
      <c r="J27" s="39" t="s">
        <v>533</v>
      </c>
      <c r="K27" s="11"/>
      <c r="L27" s="11"/>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row>
    <row r="28" spans="1:223" x14ac:dyDescent="0.3">
      <c r="A28" s="283" t="s">
        <v>62</v>
      </c>
      <c r="B28" s="283" t="s">
        <v>784</v>
      </c>
      <c r="C28" s="283" t="s">
        <v>678</v>
      </c>
      <c r="D28" s="283" t="s">
        <v>61</v>
      </c>
      <c r="E28" s="283" t="s">
        <v>1505</v>
      </c>
      <c r="F28" s="283" t="s">
        <v>650</v>
      </c>
      <c r="G28" s="283" t="s">
        <v>3263</v>
      </c>
      <c r="H28" s="11" t="s">
        <v>3001</v>
      </c>
      <c r="I28" s="11" t="s">
        <v>3257</v>
      </c>
      <c r="J28" s="39" t="s">
        <v>534</v>
      </c>
      <c r="K28" s="11"/>
      <c r="L28" s="11"/>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row>
    <row r="29" spans="1:223" x14ac:dyDescent="0.3">
      <c r="A29" s="283" t="s">
        <v>62</v>
      </c>
      <c r="B29" s="283" t="s">
        <v>785</v>
      </c>
      <c r="C29" s="283" t="s">
        <v>679</v>
      </c>
      <c r="D29" s="283" t="s">
        <v>61</v>
      </c>
      <c r="E29" s="283" t="s">
        <v>1505</v>
      </c>
      <c r="F29" s="283" t="s">
        <v>1280</v>
      </c>
      <c r="G29" s="283" t="s">
        <v>1395</v>
      </c>
      <c r="H29" s="283" t="s">
        <v>3001</v>
      </c>
      <c r="I29" s="283" t="s">
        <v>3257</v>
      </c>
      <c r="J29" s="39" t="s">
        <v>535</v>
      </c>
      <c r="K29" s="11"/>
      <c r="L29" s="11"/>
      <c r="N29" s="41" t="s">
        <v>550</v>
      </c>
      <c r="O29" s="41" t="s">
        <v>550</v>
      </c>
      <c r="P29" s="41" t="s">
        <v>550</v>
      </c>
      <c r="Q29" s="41" t="s">
        <v>550</v>
      </c>
      <c r="R29" s="41" t="s">
        <v>550</v>
      </c>
      <c r="S29" s="41" t="s">
        <v>550</v>
      </c>
      <c r="T29" s="41" t="s">
        <v>550</v>
      </c>
      <c r="U29" s="41" t="s">
        <v>550</v>
      </c>
      <c r="V29" s="41" t="s">
        <v>550</v>
      </c>
      <c r="W29" s="41" t="s">
        <v>550</v>
      </c>
      <c r="X29" s="41" t="s">
        <v>550</v>
      </c>
      <c r="Y29" s="41" t="s">
        <v>550</v>
      </c>
      <c r="Z29" s="41" t="s">
        <v>550</v>
      </c>
      <c r="AA29" s="41" t="s">
        <v>550</v>
      </c>
      <c r="AB29" s="41" t="s">
        <v>550</v>
      </c>
      <c r="AC29" s="41" t="s">
        <v>550</v>
      </c>
      <c r="AD29" s="41" t="s">
        <v>550</v>
      </c>
      <c r="AE29" s="41" t="s">
        <v>550</v>
      </c>
      <c r="AF29" s="41" t="s">
        <v>550</v>
      </c>
      <c r="AG29" s="41" t="s">
        <v>550</v>
      </c>
      <c r="AH29" s="41" t="s">
        <v>550</v>
      </c>
      <c r="AI29" s="41" t="s">
        <v>550</v>
      </c>
      <c r="AJ29" s="41" t="s">
        <v>550</v>
      </c>
      <c r="AK29" s="41" t="s">
        <v>550</v>
      </c>
      <c r="AL29" s="41" t="s">
        <v>550</v>
      </c>
      <c r="AM29" s="41" t="s">
        <v>550</v>
      </c>
      <c r="AN29" s="41" t="s">
        <v>550</v>
      </c>
      <c r="AO29" s="41" t="s">
        <v>550</v>
      </c>
      <c r="AP29" s="41" t="s">
        <v>550</v>
      </c>
      <c r="AQ29" s="41" t="s">
        <v>550</v>
      </c>
      <c r="AR29" s="41" t="s">
        <v>550</v>
      </c>
      <c r="AS29" s="41" t="s">
        <v>550</v>
      </c>
      <c r="AT29" s="41" t="s">
        <v>550</v>
      </c>
      <c r="AU29" s="41" t="s">
        <v>550</v>
      </c>
      <c r="AV29" s="41" t="s">
        <v>550</v>
      </c>
      <c r="AW29" s="41" t="s">
        <v>550</v>
      </c>
      <c r="AX29" s="41" t="s">
        <v>550</v>
      </c>
      <c r="AY29" s="41" t="s">
        <v>550</v>
      </c>
      <c r="AZ29" s="41" t="s">
        <v>550</v>
      </c>
      <c r="BA29" s="41" t="s">
        <v>550</v>
      </c>
      <c r="BB29" s="41" t="s">
        <v>550</v>
      </c>
      <c r="BC29" s="41" t="s">
        <v>550</v>
      </c>
      <c r="BD29" s="41" t="s">
        <v>550</v>
      </c>
      <c r="BE29" s="41" t="s">
        <v>550</v>
      </c>
      <c r="BF29" s="41" t="s">
        <v>550</v>
      </c>
      <c r="BG29" s="41" t="s">
        <v>550</v>
      </c>
      <c r="BH29" s="41" t="s">
        <v>550</v>
      </c>
      <c r="BI29" s="41" t="s">
        <v>550</v>
      </c>
      <c r="BJ29" s="41" t="s">
        <v>550</v>
      </c>
      <c r="BK29" s="41" t="s">
        <v>550</v>
      </c>
      <c r="BL29" s="41" t="s">
        <v>550</v>
      </c>
      <c r="BM29" s="41" t="s">
        <v>550</v>
      </c>
      <c r="BN29" s="41" t="s">
        <v>550</v>
      </c>
      <c r="BO29" s="41" t="s">
        <v>550</v>
      </c>
      <c r="BP29" s="41" t="s">
        <v>550</v>
      </c>
      <c r="BQ29" s="41" t="s">
        <v>550</v>
      </c>
      <c r="BR29" s="41" t="s">
        <v>550</v>
      </c>
      <c r="BS29" s="41" t="s">
        <v>550</v>
      </c>
      <c r="BT29" s="41" t="s">
        <v>550</v>
      </c>
      <c r="BU29" s="41" t="s">
        <v>550</v>
      </c>
      <c r="BV29" s="41" t="s">
        <v>550</v>
      </c>
      <c r="BW29" s="41" t="s">
        <v>550</v>
      </c>
      <c r="BX29" s="41" t="s">
        <v>550</v>
      </c>
      <c r="BY29" s="41" t="s">
        <v>550</v>
      </c>
      <c r="BZ29" s="41" t="s">
        <v>550</v>
      </c>
      <c r="CA29" s="41" t="s">
        <v>550</v>
      </c>
      <c r="CB29" s="41" t="s">
        <v>550</v>
      </c>
      <c r="CC29" s="41" t="s">
        <v>550</v>
      </c>
      <c r="CD29" s="41" t="s">
        <v>550</v>
      </c>
      <c r="CE29" s="41" t="s">
        <v>550</v>
      </c>
      <c r="CF29" s="41" t="s">
        <v>550</v>
      </c>
      <c r="CG29" s="41" t="s">
        <v>550</v>
      </c>
      <c r="CH29" s="41" t="s">
        <v>550</v>
      </c>
      <c r="CI29" s="41" t="s">
        <v>550</v>
      </c>
      <c r="CJ29" s="41" t="s">
        <v>550</v>
      </c>
      <c r="CK29" s="41" t="s">
        <v>550</v>
      </c>
      <c r="CL29" s="41" t="s">
        <v>550</v>
      </c>
      <c r="CM29" s="41" t="s">
        <v>550</v>
      </c>
      <c r="CN29" s="41" t="s">
        <v>550</v>
      </c>
      <c r="CO29" s="41" t="s">
        <v>550</v>
      </c>
      <c r="CP29" s="41" t="s">
        <v>550</v>
      </c>
      <c r="CQ29" s="41" t="s">
        <v>550</v>
      </c>
      <c r="CR29" s="41" t="s">
        <v>550</v>
      </c>
      <c r="CS29" s="41" t="s">
        <v>550</v>
      </c>
      <c r="CT29" s="41" t="s">
        <v>550</v>
      </c>
      <c r="CU29" s="41" t="s">
        <v>550</v>
      </c>
      <c r="CV29" s="41" t="s">
        <v>550</v>
      </c>
      <c r="CW29" s="41" t="s">
        <v>550</v>
      </c>
      <c r="CX29" s="41" t="s">
        <v>550</v>
      </c>
      <c r="CY29" s="41" t="s">
        <v>550</v>
      </c>
      <c r="CZ29" s="41" t="s">
        <v>550</v>
      </c>
      <c r="DA29" s="41" t="s">
        <v>550</v>
      </c>
      <c r="DB29" s="41" t="s">
        <v>550</v>
      </c>
      <c r="DC29" s="41" t="s">
        <v>550</v>
      </c>
      <c r="DD29" s="41" t="s">
        <v>550</v>
      </c>
      <c r="DE29" s="41" t="s">
        <v>550</v>
      </c>
      <c r="DF29" s="41" t="s">
        <v>550</v>
      </c>
      <c r="DG29" s="41" t="s">
        <v>550</v>
      </c>
      <c r="DH29" s="41" t="s">
        <v>550</v>
      </c>
      <c r="DI29" s="41" t="s">
        <v>550</v>
      </c>
      <c r="DJ29" s="41" t="s">
        <v>550</v>
      </c>
      <c r="DK29" s="41" t="s">
        <v>550</v>
      </c>
      <c r="DL29" s="41" t="s">
        <v>550</v>
      </c>
      <c r="DM29" s="41" t="s">
        <v>550</v>
      </c>
      <c r="DN29" s="41" t="s">
        <v>550</v>
      </c>
      <c r="DO29" s="41" t="s">
        <v>550</v>
      </c>
      <c r="DP29" s="41" t="s">
        <v>550</v>
      </c>
      <c r="DQ29" s="41" t="s">
        <v>550</v>
      </c>
      <c r="DR29" s="41" t="s">
        <v>550</v>
      </c>
      <c r="DS29" s="41" t="s">
        <v>550</v>
      </c>
      <c r="DT29" s="41" t="s">
        <v>550</v>
      </c>
      <c r="DU29" s="41" t="s">
        <v>550</v>
      </c>
      <c r="DV29" s="41" t="s">
        <v>550</v>
      </c>
      <c r="DW29" s="41" t="s">
        <v>550</v>
      </c>
      <c r="DX29" s="41" t="s">
        <v>550</v>
      </c>
      <c r="DY29" s="41" t="s">
        <v>550</v>
      </c>
      <c r="DZ29" s="41" t="s">
        <v>550</v>
      </c>
      <c r="EA29" s="41" t="s">
        <v>550</v>
      </c>
      <c r="EB29" s="41" t="s">
        <v>550</v>
      </c>
      <c r="EC29" s="41" t="s">
        <v>550</v>
      </c>
      <c r="ED29" s="41" t="s">
        <v>550</v>
      </c>
      <c r="EE29" s="41" t="s">
        <v>550</v>
      </c>
      <c r="EF29" s="41" t="s">
        <v>550</v>
      </c>
      <c r="EG29" s="41" t="s">
        <v>550</v>
      </c>
      <c r="EH29" s="41" t="s">
        <v>550</v>
      </c>
      <c r="EI29" s="41" t="s">
        <v>550</v>
      </c>
      <c r="EJ29" s="41" t="s">
        <v>550</v>
      </c>
      <c r="EK29" s="41" t="s">
        <v>550</v>
      </c>
      <c r="EL29" s="41" t="s">
        <v>550</v>
      </c>
      <c r="EM29" s="41" t="s">
        <v>550</v>
      </c>
      <c r="EN29" s="41" t="s">
        <v>550</v>
      </c>
      <c r="EO29" s="41" t="s">
        <v>550</v>
      </c>
      <c r="EP29" s="41" t="s">
        <v>550</v>
      </c>
      <c r="EQ29" s="41" t="s">
        <v>550</v>
      </c>
      <c r="ER29" s="41" t="s">
        <v>550</v>
      </c>
      <c r="ES29" s="41" t="s">
        <v>550</v>
      </c>
      <c r="ET29" s="41" t="s">
        <v>550</v>
      </c>
      <c r="EU29" s="41" t="s">
        <v>550</v>
      </c>
      <c r="EV29" s="41" t="s">
        <v>550</v>
      </c>
      <c r="EW29" s="41" t="s">
        <v>550</v>
      </c>
      <c r="EX29" s="41" t="s">
        <v>550</v>
      </c>
      <c r="EY29" s="41" t="s">
        <v>550</v>
      </c>
      <c r="EZ29" s="41" t="s">
        <v>550</v>
      </c>
      <c r="FA29" s="41" t="s">
        <v>550</v>
      </c>
      <c r="FB29" s="41" t="s">
        <v>550</v>
      </c>
      <c r="FC29" s="41" t="s">
        <v>550</v>
      </c>
      <c r="FD29" s="41" t="s">
        <v>550</v>
      </c>
      <c r="FE29" s="41" t="s">
        <v>550</v>
      </c>
      <c r="FF29" s="41" t="s">
        <v>550</v>
      </c>
      <c r="FG29" s="41" t="s">
        <v>550</v>
      </c>
      <c r="FH29" s="41" t="s">
        <v>550</v>
      </c>
      <c r="FI29" s="41" t="s">
        <v>550</v>
      </c>
      <c r="FJ29" s="41" t="s">
        <v>550</v>
      </c>
      <c r="FK29" s="41" t="s">
        <v>550</v>
      </c>
      <c r="FL29" s="41" t="s">
        <v>550</v>
      </c>
      <c r="FM29" s="41" t="s">
        <v>550</v>
      </c>
      <c r="FN29" s="41" t="s">
        <v>550</v>
      </c>
      <c r="FO29" s="41" t="s">
        <v>550</v>
      </c>
      <c r="FP29" s="41" t="s">
        <v>550</v>
      </c>
      <c r="FQ29" s="41" t="s">
        <v>550</v>
      </c>
      <c r="FR29" s="41" t="s">
        <v>550</v>
      </c>
      <c r="FS29" s="41" t="s">
        <v>550</v>
      </c>
      <c r="FT29" s="41" t="s">
        <v>550</v>
      </c>
      <c r="FU29" s="41" t="s">
        <v>550</v>
      </c>
      <c r="FV29" s="41" t="s">
        <v>550</v>
      </c>
      <c r="FW29" s="41" t="s">
        <v>550</v>
      </c>
      <c r="FX29" s="41" t="s">
        <v>550</v>
      </c>
      <c r="FY29" s="41" t="s">
        <v>550</v>
      </c>
      <c r="FZ29" s="41" t="s">
        <v>550</v>
      </c>
      <c r="GA29" s="41" t="s">
        <v>550</v>
      </c>
      <c r="GB29" s="41" t="s">
        <v>550</v>
      </c>
      <c r="GC29" s="41" t="s">
        <v>550</v>
      </c>
      <c r="GD29" s="41" t="s">
        <v>550</v>
      </c>
      <c r="GE29" s="41" t="s">
        <v>550</v>
      </c>
      <c r="GF29" s="41" t="s">
        <v>550</v>
      </c>
      <c r="GG29" s="41" t="s">
        <v>550</v>
      </c>
      <c r="GH29" s="41" t="s">
        <v>550</v>
      </c>
      <c r="GI29" s="41" t="s">
        <v>550</v>
      </c>
      <c r="GJ29" s="41" t="s">
        <v>550</v>
      </c>
      <c r="GK29" s="41" t="s">
        <v>550</v>
      </c>
      <c r="GL29" s="41" t="s">
        <v>550</v>
      </c>
      <c r="GM29" s="41" t="s">
        <v>550</v>
      </c>
      <c r="GN29" s="41" t="s">
        <v>550</v>
      </c>
      <c r="GO29" s="41" t="s">
        <v>550</v>
      </c>
      <c r="GP29" s="41" t="s">
        <v>550</v>
      </c>
      <c r="GQ29" s="41" t="s">
        <v>550</v>
      </c>
      <c r="GR29" s="41" t="s">
        <v>550</v>
      </c>
      <c r="GS29" s="41" t="s">
        <v>550</v>
      </c>
      <c r="GT29" s="41" t="s">
        <v>550</v>
      </c>
      <c r="GU29" s="41" t="s">
        <v>550</v>
      </c>
      <c r="GV29" s="41" t="s">
        <v>550</v>
      </c>
      <c r="GW29" s="41" t="s">
        <v>550</v>
      </c>
      <c r="GX29" s="41" t="s">
        <v>550</v>
      </c>
      <c r="GY29" s="41" t="s">
        <v>550</v>
      </c>
      <c r="GZ29" s="41" t="s">
        <v>550</v>
      </c>
      <c r="HA29" s="41" t="s">
        <v>550</v>
      </c>
      <c r="HB29" s="41" t="s">
        <v>550</v>
      </c>
      <c r="HC29" s="41" t="s">
        <v>550</v>
      </c>
      <c r="HD29" s="41" t="s">
        <v>550</v>
      </c>
      <c r="HE29" s="41" t="s">
        <v>550</v>
      </c>
      <c r="HF29" s="41" t="s">
        <v>550</v>
      </c>
      <c r="HG29" s="41" t="s">
        <v>550</v>
      </c>
      <c r="HH29" s="41" t="s">
        <v>550</v>
      </c>
      <c r="HI29" s="41" t="s">
        <v>550</v>
      </c>
      <c r="HJ29" s="41" t="s">
        <v>550</v>
      </c>
      <c r="HK29" s="41" t="s">
        <v>550</v>
      </c>
      <c r="HL29" s="41" t="s">
        <v>550</v>
      </c>
      <c r="HM29" s="41" t="s">
        <v>550</v>
      </c>
      <c r="HN29" s="41" t="s">
        <v>550</v>
      </c>
      <c r="HO29" s="41" t="s">
        <v>550</v>
      </c>
    </row>
    <row r="30" spans="1:223" x14ac:dyDescent="0.3">
      <c r="A30" s="283" t="s">
        <v>62</v>
      </c>
      <c r="B30" s="283" t="s">
        <v>786</v>
      </c>
      <c r="C30" s="283" t="s">
        <v>1744</v>
      </c>
      <c r="D30" s="283" t="s">
        <v>61</v>
      </c>
      <c r="E30" s="283" t="s">
        <v>1505</v>
      </c>
      <c r="F30" s="283" t="s">
        <v>1280</v>
      </c>
      <c r="G30" s="283" t="s">
        <v>1396</v>
      </c>
      <c r="H30" s="11" t="s">
        <v>3001</v>
      </c>
      <c r="I30" s="11" t="s">
        <v>3257</v>
      </c>
      <c r="J30" s="39" t="s">
        <v>536</v>
      </c>
      <c r="K30" s="11"/>
      <c r="L30" s="11"/>
      <c r="N30" s="42" t="s">
        <v>625</v>
      </c>
      <c r="O30" s="42" t="s">
        <v>625</v>
      </c>
      <c r="P30" s="42" t="s">
        <v>625</v>
      </c>
      <c r="Q30" s="42" t="s">
        <v>625</v>
      </c>
      <c r="R30" s="42" t="s">
        <v>625</v>
      </c>
      <c r="S30" s="42" t="s">
        <v>625</v>
      </c>
      <c r="T30" s="42" t="s">
        <v>625</v>
      </c>
      <c r="U30" s="42" t="s">
        <v>625</v>
      </c>
      <c r="V30" s="42" t="s">
        <v>625</v>
      </c>
      <c r="W30" s="42" t="s">
        <v>625</v>
      </c>
      <c r="X30" s="42" t="s">
        <v>625</v>
      </c>
      <c r="Y30" s="42" t="s">
        <v>625</v>
      </c>
      <c r="Z30" s="42" t="s">
        <v>625</v>
      </c>
      <c r="AA30" s="42" t="s">
        <v>625</v>
      </c>
      <c r="AB30" s="42" t="s">
        <v>625</v>
      </c>
      <c r="AC30" s="42" t="s">
        <v>625</v>
      </c>
      <c r="AD30" s="42" t="s">
        <v>625</v>
      </c>
      <c r="AE30" s="42" t="s">
        <v>625</v>
      </c>
      <c r="AF30" s="42" t="s">
        <v>625</v>
      </c>
      <c r="AG30" s="42" t="s">
        <v>625</v>
      </c>
      <c r="AH30" s="42" t="s">
        <v>625</v>
      </c>
      <c r="AI30" s="42" t="s">
        <v>625</v>
      </c>
      <c r="AJ30" s="42" t="s">
        <v>625</v>
      </c>
      <c r="AK30" s="42" t="s">
        <v>625</v>
      </c>
      <c r="AL30" s="42" t="s">
        <v>625</v>
      </c>
      <c r="AM30" s="42" t="s">
        <v>625</v>
      </c>
      <c r="AN30" s="42" t="s">
        <v>625</v>
      </c>
      <c r="AO30" s="42" t="s">
        <v>625</v>
      </c>
      <c r="AP30" s="42" t="s">
        <v>625</v>
      </c>
      <c r="AQ30" s="42" t="s">
        <v>625</v>
      </c>
      <c r="AR30" s="42" t="s">
        <v>625</v>
      </c>
      <c r="AS30" s="42" t="s">
        <v>625</v>
      </c>
      <c r="AT30" s="42" t="s">
        <v>625</v>
      </c>
      <c r="AU30" s="42" t="s">
        <v>625</v>
      </c>
      <c r="AV30" s="42" t="s">
        <v>625</v>
      </c>
      <c r="AW30" s="42" t="s">
        <v>625</v>
      </c>
      <c r="AX30" s="42" t="s">
        <v>625</v>
      </c>
      <c r="AY30" s="42" t="s">
        <v>625</v>
      </c>
      <c r="AZ30" s="42" t="s">
        <v>625</v>
      </c>
      <c r="BA30" s="42" t="s">
        <v>625</v>
      </c>
      <c r="BB30" s="42" t="s">
        <v>625</v>
      </c>
      <c r="BC30" s="42" t="s">
        <v>625</v>
      </c>
      <c r="BD30" s="42" t="s">
        <v>625</v>
      </c>
      <c r="BE30" s="42" t="s">
        <v>625</v>
      </c>
      <c r="BF30" s="42" t="s">
        <v>625</v>
      </c>
      <c r="BG30" s="42" t="s">
        <v>625</v>
      </c>
      <c r="BH30" s="42" t="s">
        <v>625</v>
      </c>
      <c r="BI30" s="42" t="s">
        <v>625</v>
      </c>
      <c r="BJ30" s="42" t="s">
        <v>625</v>
      </c>
      <c r="BK30" s="42" t="s">
        <v>625</v>
      </c>
      <c r="BL30" s="42" t="s">
        <v>625</v>
      </c>
      <c r="BM30" s="42" t="s">
        <v>625</v>
      </c>
      <c r="BN30" s="42" t="s">
        <v>625</v>
      </c>
      <c r="BO30" s="42" t="s">
        <v>625</v>
      </c>
      <c r="BP30" s="42" t="s">
        <v>625</v>
      </c>
      <c r="BQ30" s="42" t="s">
        <v>625</v>
      </c>
      <c r="BR30" s="42" t="s">
        <v>625</v>
      </c>
      <c r="BS30" s="42" t="s">
        <v>625</v>
      </c>
      <c r="BT30" s="42" t="s">
        <v>625</v>
      </c>
      <c r="BU30" s="42" t="s">
        <v>625</v>
      </c>
      <c r="BV30" s="42" t="s">
        <v>625</v>
      </c>
      <c r="BW30" s="42" t="s">
        <v>625</v>
      </c>
      <c r="BX30" s="42" t="s">
        <v>625</v>
      </c>
      <c r="BY30" s="42" t="s">
        <v>625</v>
      </c>
      <c r="BZ30" s="42" t="s">
        <v>625</v>
      </c>
      <c r="CA30" s="42" t="s">
        <v>625</v>
      </c>
      <c r="CB30" s="42" t="s">
        <v>625</v>
      </c>
      <c r="CC30" s="42" t="s">
        <v>625</v>
      </c>
      <c r="CD30" s="42" t="s">
        <v>625</v>
      </c>
      <c r="CE30" s="42" t="s">
        <v>625</v>
      </c>
      <c r="CF30" s="42" t="s">
        <v>625</v>
      </c>
      <c r="CG30" s="42" t="s">
        <v>625</v>
      </c>
      <c r="CH30" s="42" t="s">
        <v>625</v>
      </c>
      <c r="CI30" s="42" t="s">
        <v>625</v>
      </c>
      <c r="CJ30" s="42" t="s">
        <v>625</v>
      </c>
      <c r="CK30" s="42" t="s">
        <v>625</v>
      </c>
      <c r="CL30" s="42" t="s">
        <v>625</v>
      </c>
      <c r="CM30" s="42" t="s">
        <v>625</v>
      </c>
      <c r="CN30" s="42" t="s">
        <v>625</v>
      </c>
      <c r="CO30" s="42" t="s">
        <v>625</v>
      </c>
      <c r="CP30" s="42" t="s">
        <v>625</v>
      </c>
      <c r="CQ30" s="42" t="s">
        <v>625</v>
      </c>
      <c r="CR30" s="42" t="s">
        <v>625</v>
      </c>
      <c r="CS30" s="42" t="s">
        <v>625</v>
      </c>
      <c r="CT30" s="42" t="s">
        <v>625</v>
      </c>
      <c r="CU30" s="42" t="s">
        <v>625</v>
      </c>
      <c r="CV30" s="42" t="s">
        <v>625</v>
      </c>
      <c r="CW30" s="42" t="s">
        <v>625</v>
      </c>
      <c r="CX30" s="42" t="s">
        <v>625</v>
      </c>
      <c r="CY30" s="42" t="s">
        <v>625</v>
      </c>
      <c r="CZ30" s="42" t="s">
        <v>625</v>
      </c>
      <c r="DA30" s="42" t="s">
        <v>625</v>
      </c>
      <c r="DB30" s="42" t="s">
        <v>625</v>
      </c>
      <c r="DC30" s="42" t="s">
        <v>625</v>
      </c>
      <c r="DD30" s="42" t="s">
        <v>625</v>
      </c>
      <c r="DE30" s="42" t="s">
        <v>625</v>
      </c>
      <c r="DF30" s="42" t="s">
        <v>625</v>
      </c>
      <c r="DG30" s="42" t="s">
        <v>625</v>
      </c>
      <c r="DH30" s="42" t="s">
        <v>625</v>
      </c>
      <c r="DI30" s="42" t="s">
        <v>625</v>
      </c>
      <c r="DJ30" s="42" t="s">
        <v>625</v>
      </c>
      <c r="DK30" s="42" t="s">
        <v>625</v>
      </c>
      <c r="DL30" s="42" t="s">
        <v>625</v>
      </c>
      <c r="DM30" s="42" t="s">
        <v>625</v>
      </c>
      <c r="DN30" s="42" t="s">
        <v>625</v>
      </c>
      <c r="DO30" s="42" t="s">
        <v>625</v>
      </c>
      <c r="DP30" s="42" t="s">
        <v>625</v>
      </c>
      <c r="DQ30" s="42" t="s">
        <v>625</v>
      </c>
      <c r="DR30" s="42" t="s">
        <v>625</v>
      </c>
      <c r="DS30" s="42" t="s">
        <v>625</v>
      </c>
      <c r="DT30" s="42" t="s">
        <v>625</v>
      </c>
      <c r="DU30" s="42" t="s">
        <v>625</v>
      </c>
      <c r="DV30" s="42" t="s">
        <v>625</v>
      </c>
      <c r="DW30" s="42" t="s">
        <v>625</v>
      </c>
      <c r="DX30" s="42" t="s">
        <v>625</v>
      </c>
      <c r="DY30" s="42" t="s">
        <v>625</v>
      </c>
      <c r="DZ30" s="42" t="s">
        <v>625</v>
      </c>
      <c r="EA30" s="42" t="s">
        <v>625</v>
      </c>
      <c r="EB30" s="42" t="s">
        <v>625</v>
      </c>
      <c r="EC30" s="42" t="s">
        <v>625</v>
      </c>
      <c r="ED30" s="42" t="s">
        <v>625</v>
      </c>
      <c r="EE30" s="42" t="s">
        <v>625</v>
      </c>
      <c r="EF30" s="42" t="s">
        <v>625</v>
      </c>
      <c r="EG30" s="42" t="s">
        <v>625</v>
      </c>
      <c r="EH30" s="42" t="s">
        <v>625</v>
      </c>
      <c r="EI30" s="42" t="s">
        <v>625</v>
      </c>
      <c r="EJ30" s="42" t="s">
        <v>625</v>
      </c>
      <c r="EK30" s="42" t="s">
        <v>625</v>
      </c>
      <c r="EL30" s="42" t="s">
        <v>625</v>
      </c>
      <c r="EM30" s="42" t="s">
        <v>625</v>
      </c>
      <c r="EN30" s="42" t="s">
        <v>625</v>
      </c>
      <c r="EO30" s="42" t="s">
        <v>625</v>
      </c>
      <c r="EP30" s="42" t="s">
        <v>625</v>
      </c>
      <c r="EQ30" s="42" t="s">
        <v>625</v>
      </c>
      <c r="ER30" s="42" t="s">
        <v>625</v>
      </c>
      <c r="ES30" s="42" t="s">
        <v>625</v>
      </c>
      <c r="ET30" s="42" t="s">
        <v>625</v>
      </c>
      <c r="EU30" s="42" t="s">
        <v>625</v>
      </c>
      <c r="EV30" s="42" t="s">
        <v>625</v>
      </c>
      <c r="EW30" s="42" t="s">
        <v>625</v>
      </c>
      <c r="EX30" s="42" t="s">
        <v>625</v>
      </c>
      <c r="EY30" s="42" t="s">
        <v>625</v>
      </c>
      <c r="EZ30" s="42" t="s">
        <v>625</v>
      </c>
      <c r="FA30" s="42" t="s">
        <v>625</v>
      </c>
      <c r="FB30" s="42" t="s">
        <v>625</v>
      </c>
      <c r="FC30" s="42" t="s">
        <v>625</v>
      </c>
      <c r="FD30" s="42" t="s">
        <v>625</v>
      </c>
      <c r="FE30" s="42" t="s">
        <v>625</v>
      </c>
      <c r="FF30" s="42" t="s">
        <v>625</v>
      </c>
      <c r="FG30" s="42" t="s">
        <v>625</v>
      </c>
      <c r="FH30" s="42" t="s">
        <v>625</v>
      </c>
      <c r="FI30" s="42" t="s">
        <v>625</v>
      </c>
      <c r="FJ30" s="42" t="s">
        <v>625</v>
      </c>
      <c r="FK30" s="42" t="s">
        <v>625</v>
      </c>
      <c r="FL30" s="42" t="s">
        <v>625</v>
      </c>
      <c r="FM30" s="42" t="s">
        <v>625</v>
      </c>
      <c r="FN30" s="42" t="s">
        <v>625</v>
      </c>
      <c r="FO30" s="42" t="s">
        <v>625</v>
      </c>
      <c r="FP30" s="42" t="s">
        <v>625</v>
      </c>
      <c r="FQ30" s="42" t="s">
        <v>625</v>
      </c>
      <c r="FR30" s="42" t="s">
        <v>625</v>
      </c>
      <c r="FS30" s="42" t="s">
        <v>625</v>
      </c>
      <c r="FT30" s="42" t="s">
        <v>625</v>
      </c>
      <c r="FU30" s="42" t="s">
        <v>625</v>
      </c>
      <c r="FV30" s="42" t="s">
        <v>625</v>
      </c>
      <c r="FW30" s="42" t="s">
        <v>625</v>
      </c>
      <c r="FX30" s="42" t="s">
        <v>625</v>
      </c>
      <c r="FY30" s="42" t="s">
        <v>625</v>
      </c>
      <c r="FZ30" s="42" t="s">
        <v>625</v>
      </c>
      <c r="GA30" s="42" t="s">
        <v>625</v>
      </c>
      <c r="GB30" s="42" t="s">
        <v>625</v>
      </c>
      <c r="GC30" s="42" t="s">
        <v>625</v>
      </c>
      <c r="GD30" s="42" t="s">
        <v>625</v>
      </c>
      <c r="GE30" s="42" t="s">
        <v>625</v>
      </c>
      <c r="GF30" s="42" t="s">
        <v>625</v>
      </c>
      <c r="GG30" s="42" t="s">
        <v>625</v>
      </c>
      <c r="GH30" s="42" t="s">
        <v>625</v>
      </c>
      <c r="GI30" s="42" t="s">
        <v>625</v>
      </c>
      <c r="GJ30" s="42" t="s">
        <v>625</v>
      </c>
      <c r="GK30" s="42" t="s">
        <v>625</v>
      </c>
      <c r="GL30" s="42" t="s">
        <v>625</v>
      </c>
      <c r="GM30" s="42" t="s">
        <v>625</v>
      </c>
      <c r="GN30" s="42" t="s">
        <v>625</v>
      </c>
      <c r="GO30" s="42" t="s">
        <v>625</v>
      </c>
      <c r="GP30" s="42" t="s">
        <v>625</v>
      </c>
      <c r="GQ30" s="42" t="s">
        <v>625</v>
      </c>
      <c r="GR30" s="42" t="s">
        <v>625</v>
      </c>
      <c r="GS30" s="42" t="s">
        <v>625</v>
      </c>
      <c r="GT30" s="42" t="s">
        <v>625</v>
      </c>
      <c r="GU30" s="42" t="s">
        <v>625</v>
      </c>
      <c r="GV30" s="42" t="s">
        <v>625</v>
      </c>
      <c r="GW30" s="42" t="s">
        <v>625</v>
      </c>
      <c r="GX30" s="42" t="s">
        <v>625</v>
      </c>
      <c r="GY30" s="42" t="s">
        <v>625</v>
      </c>
      <c r="GZ30" s="42" t="s">
        <v>625</v>
      </c>
      <c r="HA30" s="42" t="s">
        <v>625</v>
      </c>
      <c r="HB30" s="42" t="s">
        <v>625</v>
      </c>
      <c r="HC30" s="42" t="s">
        <v>625</v>
      </c>
      <c r="HD30" s="42" t="s">
        <v>625</v>
      </c>
      <c r="HE30" s="42" t="s">
        <v>625</v>
      </c>
      <c r="HF30" s="42" t="s">
        <v>625</v>
      </c>
      <c r="HG30" s="42" t="s">
        <v>625</v>
      </c>
      <c r="HH30" s="42" t="s">
        <v>625</v>
      </c>
      <c r="HI30" s="42" t="s">
        <v>625</v>
      </c>
      <c r="HJ30" s="42" t="s">
        <v>625</v>
      </c>
      <c r="HK30" s="42" t="s">
        <v>625</v>
      </c>
      <c r="HL30" s="42" t="s">
        <v>625</v>
      </c>
      <c r="HM30" s="42" t="s">
        <v>625</v>
      </c>
      <c r="HN30" s="42" t="s">
        <v>625</v>
      </c>
      <c r="HO30" s="42" t="s">
        <v>625</v>
      </c>
    </row>
    <row r="31" spans="1:223" x14ac:dyDescent="0.3">
      <c r="A31" s="283" t="s">
        <v>62</v>
      </c>
      <c r="B31" s="283" t="s">
        <v>1160</v>
      </c>
      <c r="C31" s="283" t="s">
        <v>804</v>
      </c>
      <c r="D31" s="283" t="s">
        <v>61</v>
      </c>
      <c r="E31" s="283" t="s">
        <v>1505</v>
      </c>
      <c r="F31" s="283" t="s">
        <v>650</v>
      </c>
      <c r="G31" s="283" t="s">
        <v>1397</v>
      </c>
      <c r="H31" s="11" t="s">
        <v>3001</v>
      </c>
      <c r="I31" s="11" t="s">
        <v>3257</v>
      </c>
      <c r="J31" s="39" t="s">
        <v>537</v>
      </c>
      <c r="K31" s="11"/>
      <c r="L31" s="11"/>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row>
    <row r="32" spans="1:223" x14ac:dyDescent="0.3">
      <c r="A32" s="283" t="s">
        <v>62</v>
      </c>
      <c r="B32" s="283" t="s">
        <v>1697</v>
      </c>
      <c r="C32" s="283" t="s">
        <v>3264</v>
      </c>
      <c r="D32" s="283" t="s">
        <v>61</v>
      </c>
      <c r="E32" s="283" t="s">
        <v>1505</v>
      </c>
      <c r="F32" s="283" t="s">
        <v>1279</v>
      </c>
      <c r="G32" s="283" t="s">
        <v>1672</v>
      </c>
      <c r="H32" s="11" t="s">
        <v>3001</v>
      </c>
      <c r="I32" s="11" t="s">
        <v>3257</v>
      </c>
      <c r="J32" s="39" t="s">
        <v>538</v>
      </c>
      <c r="K32" s="11"/>
      <c r="L32" s="1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row>
    <row r="33" spans="1:223" x14ac:dyDescent="0.3">
      <c r="A33" s="283" t="s">
        <v>67</v>
      </c>
      <c r="B33" s="283" t="s">
        <v>1080</v>
      </c>
      <c r="C33" s="283" t="s">
        <v>578</v>
      </c>
      <c r="D33" s="283" t="s">
        <v>66</v>
      </c>
      <c r="E33" s="283" t="s">
        <v>1507</v>
      </c>
      <c r="F33" s="283" t="s">
        <v>691</v>
      </c>
      <c r="G33" s="283" t="s">
        <v>691</v>
      </c>
      <c r="H33" s="11" t="s">
        <v>3000</v>
      </c>
      <c r="I33" s="11" t="s">
        <v>3257</v>
      </c>
      <c r="J33" s="11"/>
      <c r="K33" s="11"/>
      <c r="L33" s="1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row>
    <row r="34" spans="1:223" x14ac:dyDescent="0.3">
      <c r="A34" s="283" t="s">
        <v>67</v>
      </c>
      <c r="B34" s="283" t="s">
        <v>770</v>
      </c>
      <c r="C34" s="283" t="s">
        <v>667</v>
      </c>
      <c r="D34" s="283" t="s">
        <v>66</v>
      </c>
      <c r="E34" s="283" t="s">
        <v>1507</v>
      </c>
      <c r="F34" s="283" t="s">
        <v>1280</v>
      </c>
      <c r="G34" s="283" t="s">
        <v>3265</v>
      </c>
      <c r="H34" s="11" t="s">
        <v>3001</v>
      </c>
      <c r="I34" s="11" t="s">
        <v>3257</v>
      </c>
      <c r="J34" s="11"/>
      <c r="K34" s="11"/>
      <c r="L34" s="11"/>
      <c r="N34" s="44" t="s">
        <v>630</v>
      </c>
      <c r="O34" s="44" t="s">
        <v>630</v>
      </c>
      <c r="P34" s="44" t="s">
        <v>630</v>
      </c>
      <c r="Q34" s="44" t="s">
        <v>630</v>
      </c>
      <c r="R34" s="44" t="s">
        <v>630</v>
      </c>
      <c r="S34" s="44" t="s">
        <v>630</v>
      </c>
      <c r="T34" s="44" t="s">
        <v>630</v>
      </c>
      <c r="U34" s="44" t="s">
        <v>630</v>
      </c>
      <c r="V34" s="44" t="s">
        <v>630</v>
      </c>
      <c r="W34" s="44" t="s">
        <v>630</v>
      </c>
      <c r="X34" s="44" t="s">
        <v>630</v>
      </c>
      <c r="Y34" s="44" t="s">
        <v>630</v>
      </c>
      <c r="Z34" s="44" t="s">
        <v>630</v>
      </c>
      <c r="AA34" s="44" t="s">
        <v>630</v>
      </c>
      <c r="AB34" s="44" t="s">
        <v>630</v>
      </c>
      <c r="AC34" s="44" t="s">
        <v>630</v>
      </c>
      <c r="AD34" s="44" t="s">
        <v>630</v>
      </c>
      <c r="AE34" s="44" t="s">
        <v>630</v>
      </c>
      <c r="AF34" s="44" t="s">
        <v>630</v>
      </c>
      <c r="AG34" s="44" t="s">
        <v>630</v>
      </c>
      <c r="AH34" s="44" t="s">
        <v>630</v>
      </c>
      <c r="AI34" s="44" t="s">
        <v>630</v>
      </c>
      <c r="AJ34" s="44" t="s">
        <v>630</v>
      </c>
      <c r="AK34" s="44" t="s">
        <v>630</v>
      </c>
      <c r="AL34" s="44" t="s">
        <v>630</v>
      </c>
      <c r="AM34" s="44" t="s">
        <v>630</v>
      </c>
      <c r="AN34" s="44" t="s">
        <v>630</v>
      </c>
      <c r="AO34" s="44" t="s">
        <v>630</v>
      </c>
      <c r="AP34" s="44" t="s">
        <v>630</v>
      </c>
      <c r="AQ34" s="44" t="s">
        <v>630</v>
      </c>
      <c r="AR34" s="44" t="s">
        <v>630</v>
      </c>
      <c r="AS34" s="44" t="s">
        <v>630</v>
      </c>
      <c r="AT34" s="44" t="s">
        <v>630</v>
      </c>
      <c r="AU34" s="44" t="s">
        <v>630</v>
      </c>
      <c r="AV34" s="44" t="s">
        <v>630</v>
      </c>
      <c r="AW34" s="44" t="s">
        <v>630</v>
      </c>
      <c r="AX34" s="44" t="s">
        <v>630</v>
      </c>
      <c r="AY34" s="44" t="s">
        <v>630</v>
      </c>
      <c r="AZ34" s="44" t="s">
        <v>630</v>
      </c>
      <c r="BA34" s="44" t="s">
        <v>630</v>
      </c>
      <c r="BB34" s="44" t="s">
        <v>630</v>
      </c>
      <c r="BC34" s="44" t="s">
        <v>630</v>
      </c>
      <c r="BD34" s="44" t="s">
        <v>630</v>
      </c>
      <c r="BE34" s="44" t="s">
        <v>630</v>
      </c>
      <c r="BF34" s="44" t="s">
        <v>630</v>
      </c>
      <c r="BG34" s="44" t="s">
        <v>630</v>
      </c>
      <c r="BH34" s="44" t="s">
        <v>630</v>
      </c>
      <c r="BI34" s="44" t="s">
        <v>630</v>
      </c>
      <c r="BJ34" s="44" t="s">
        <v>630</v>
      </c>
      <c r="BK34" s="44" t="s">
        <v>630</v>
      </c>
      <c r="BL34" s="44" t="s">
        <v>630</v>
      </c>
      <c r="BM34" s="44" t="s">
        <v>630</v>
      </c>
      <c r="BN34" s="44" t="s">
        <v>630</v>
      </c>
      <c r="BO34" s="44" t="s">
        <v>630</v>
      </c>
      <c r="BP34" s="44" t="s">
        <v>630</v>
      </c>
      <c r="BQ34" s="44" t="s">
        <v>630</v>
      </c>
      <c r="BR34" s="44" t="s">
        <v>630</v>
      </c>
      <c r="BS34" s="44" t="s">
        <v>630</v>
      </c>
      <c r="BT34" s="44" t="s">
        <v>630</v>
      </c>
      <c r="BU34" s="44" t="s">
        <v>630</v>
      </c>
      <c r="BV34" s="44" t="s">
        <v>630</v>
      </c>
      <c r="BW34" s="44" t="s">
        <v>630</v>
      </c>
      <c r="BX34" s="44" t="s">
        <v>630</v>
      </c>
      <c r="BY34" s="44" t="s">
        <v>630</v>
      </c>
      <c r="BZ34" s="44" t="s">
        <v>630</v>
      </c>
      <c r="CA34" s="44" t="s">
        <v>630</v>
      </c>
      <c r="CB34" s="44" t="s">
        <v>630</v>
      </c>
      <c r="CC34" s="44" t="s">
        <v>630</v>
      </c>
      <c r="CD34" s="44" t="s">
        <v>630</v>
      </c>
      <c r="CE34" s="44" t="s">
        <v>630</v>
      </c>
      <c r="CF34" s="44" t="s">
        <v>630</v>
      </c>
      <c r="CG34" s="44" t="s">
        <v>630</v>
      </c>
      <c r="CH34" s="44" t="s">
        <v>630</v>
      </c>
      <c r="CI34" s="44" t="s">
        <v>630</v>
      </c>
      <c r="CJ34" s="44" t="s">
        <v>630</v>
      </c>
      <c r="CK34" s="44" t="s">
        <v>630</v>
      </c>
      <c r="CL34" s="44" t="s">
        <v>630</v>
      </c>
      <c r="CM34" s="44" t="s">
        <v>630</v>
      </c>
      <c r="CN34" s="44" t="s">
        <v>630</v>
      </c>
      <c r="CO34" s="44" t="s">
        <v>630</v>
      </c>
      <c r="CP34" s="44" t="s">
        <v>630</v>
      </c>
      <c r="CQ34" s="44" t="s">
        <v>630</v>
      </c>
      <c r="CR34" s="44" t="s">
        <v>630</v>
      </c>
      <c r="CS34" s="44" t="s">
        <v>630</v>
      </c>
      <c r="CT34" s="44" t="s">
        <v>630</v>
      </c>
      <c r="CU34" s="44" t="s">
        <v>630</v>
      </c>
      <c r="CV34" s="44" t="s">
        <v>630</v>
      </c>
      <c r="CW34" s="44" t="s">
        <v>630</v>
      </c>
      <c r="CX34" s="44" t="s">
        <v>630</v>
      </c>
      <c r="CY34" s="44" t="s">
        <v>630</v>
      </c>
      <c r="CZ34" s="44" t="s">
        <v>630</v>
      </c>
      <c r="DA34" s="44" t="s">
        <v>630</v>
      </c>
      <c r="DB34" s="44" t="s">
        <v>630</v>
      </c>
      <c r="DC34" s="44" t="s">
        <v>630</v>
      </c>
      <c r="DD34" s="44" t="s">
        <v>630</v>
      </c>
      <c r="DE34" s="44" t="s">
        <v>630</v>
      </c>
      <c r="DF34" s="44" t="s">
        <v>630</v>
      </c>
      <c r="DG34" s="44" t="s">
        <v>630</v>
      </c>
      <c r="DH34" s="44" t="s">
        <v>630</v>
      </c>
      <c r="DI34" s="44" t="s">
        <v>630</v>
      </c>
      <c r="DJ34" s="44" t="s">
        <v>630</v>
      </c>
      <c r="DK34" s="44" t="s">
        <v>630</v>
      </c>
      <c r="DL34" s="44" t="s">
        <v>630</v>
      </c>
      <c r="DM34" s="44" t="s">
        <v>630</v>
      </c>
      <c r="DN34" s="44" t="s">
        <v>630</v>
      </c>
      <c r="DO34" s="44" t="s">
        <v>630</v>
      </c>
      <c r="DP34" s="44" t="s">
        <v>630</v>
      </c>
      <c r="DQ34" s="44" t="s">
        <v>630</v>
      </c>
      <c r="DR34" s="44" t="s">
        <v>630</v>
      </c>
      <c r="DS34" s="44" t="s">
        <v>630</v>
      </c>
      <c r="DT34" s="44" t="s">
        <v>630</v>
      </c>
      <c r="DU34" s="44" t="s">
        <v>630</v>
      </c>
      <c r="DV34" s="44" t="s">
        <v>630</v>
      </c>
      <c r="DW34" s="44" t="s">
        <v>630</v>
      </c>
      <c r="DX34" s="44" t="s">
        <v>630</v>
      </c>
      <c r="DY34" s="44" t="s">
        <v>630</v>
      </c>
      <c r="DZ34" s="44" t="s">
        <v>630</v>
      </c>
      <c r="EA34" s="44" t="s">
        <v>630</v>
      </c>
      <c r="EB34" s="44" t="s">
        <v>630</v>
      </c>
      <c r="EC34" s="44" t="s">
        <v>630</v>
      </c>
      <c r="ED34" s="44" t="s">
        <v>630</v>
      </c>
      <c r="EE34" s="44" t="s">
        <v>630</v>
      </c>
      <c r="EF34" s="44" t="s">
        <v>630</v>
      </c>
      <c r="EG34" s="44" t="s">
        <v>630</v>
      </c>
      <c r="EH34" s="44" t="s">
        <v>630</v>
      </c>
      <c r="EI34" s="44" t="s">
        <v>630</v>
      </c>
      <c r="EJ34" s="44" t="s">
        <v>630</v>
      </c>
      <c r="EK34" s="44" t="s">
        <v>630</v>
      </c>
      <c r="EL34" s="44" t="s">
        <v>630</v>
      </c>
      <c r="EM34" s="44" t="s">
        <v>630</v>
      </c>
      <c r="EN34" s="44" t="s">
        <v>630</v>
      </c>
      <c r="EO34" s="44" t="s">
        <v>630</v>
      </c>
      <c r="EP34" s="44" t="s">
        <v>630</v>
      </c>
      <c r="EQ34" s="44" t="s">
        <v>630</v>
      </c>
      <c r="ER34" s="44" t="s">
        <v>630</v>
      </c>
      <c r="ES34" s="44" t="s">
        <v>630</v>
      </c>
      <c r="ET34" s="44" t="s">
        <v>630</v>
      </c>
      <c r="EU34" s="44" t="s">
        <v>630</v>
      </c>
      <c r="EV34" s="44" t="s">
        <v>630</v>
      </c>
      <c r="EW34" s="44" t="s">
        <v>630</v>
      </c>
      <c r="EX34" s="44" t="s">
        <v>630</v>
      </c>
      <c r="EY34" s="44" t="s">
        <v>630</v>
      </c>
      <c r="EZ34" s="44" t="s">
        <v>630</v>
      </c>
      <c r="FA34" s="44" t="s">
        <v>630</v>
      </c>
      <c r="FB34" s="44" t="s">
        <v>630</v>
      </c>
      <c r="FC34" s="44" t="s">
        <v>630</v>
      </c>
      <c r="FD34" s="44" t="s">
        <v>630</v>
      </c>
      <c r="FE34" s="44" t="s">
        <v>630</v>
      </c>
      <c r="FF34" s="44" t="s">
        <v>630</v>
      </c>
      <c r="FG34" s="44" t="s">
        <v>630</v>
      </c>
      <c r="FH34" s="44" t="s">
        <v>630</v>
      </c>
      <c r="FI34" s="44" t="s">
        <v>630</v>
      </c>
      <c r="FJ34" s="44" t="s">
        <v>630</v>
      </c>
      <c r="FK34" s="44" t="s">
        <v>630</v>
      </c>
      <c r="FL34" s="44" t="s">
        <v>630</v>
      </c>
      <c r="FM34" s="44" t="s">
        <v>630</v>
      </c>
      <c r="FN34" s="44" t="s">
        <v>630</v>
      </c>
      <c r="FO34" s="44" t="s">
        <v>630</v>
      </c>
      <c r="FP34" s="44" t="s">
        <v>630</v>
      </c>
      <c r="FQ34" s="44" t="s">
        <v>630</v>
      </c>
      <c r="FR34" s="44" t="s">
        <v>630</v>
      </c>
      <c r="FS34" s="44" t="s">
        <v>630</v>
      </c>
      <c r="FT34" s="44" t="s">
        <v>630</v>
      </c>
      <c r="FU34" s="44" t="s">
        <v>630</v>
      </c>
      <c r="FV34" s="44" t="s">
        <v>630</v>
      </c>
      <c r="FW34" s="44" t="s">
        <v>630</v>
      </c>
      <c r="FX34" s="44" t="s">
        <v>630</v>
      </c>
      <c r="FY34" s="44" t="s">
        <v>630</v>
      </c>
      <c r="FZ34" s="44" t="s">
        <v>630</v>
      </c>
      <c r="GA34" s="44" t="s">
        <v>630</v>
      </c>
      <c r="GB34" s="44" t="s">
        <v>630</v>
      </c>
      <c r="GC34" s="44" t="s">
        <v>630</v>
      </c>
      <c r="GD34" s="44" t="s">
        <v>630</v>
      </c>
      <c r="GE34" s="44" t="s">
        <v>630</v>
      </c>
      <c r="GF34" s="44" t="s">
        <v>630</v>
      </c>
      <c r="GG34" s="44" t="s">
        <v>630</v>
      </c>
      <c r="GH34" s="44" t="s">
        <v>630</v>
      </c>
      <c r="GI34" s="44" t="s">
        <v>630</v>
      </c>
      <c r="GJ34" s="44" t="s">
        <v>630</v>
      </c>
      <c r="GK34" s="44" t="s">
        <v>630</v>
      </c>
      <c r="GL34" s="44" t="s">
        <v>630</v>
      </c>
      <c r="GM34" s="44" t="s">
        <v>630</v>
      </c>
      <c r="GN34" s="44" t="s">
        <v>630</v>
      </c>
      <c r="GO34" s="44" t="s">
        <v>630</v>
      </c>
      <c r="GP34" s="44" t="s">
        <v>630</v>
      </c>
      <c r="GQ34" s="44" t="s">
        <v>630</v>
      </c>
      <c r="GR34" s="44" t="s">
        <v>630</v>
      </c>
      <c r="GS34" s="44" t="s">
        <v>630</v>
      </c>
      <c r="GT34" s="44" t="s">
        <v>630</v>
      </c>
      <c r="GU34" s="44" t="s">
        <v>630</v>
      </c>
      <c r="GV34" s="44" t="s">
        <v>630</v>
      </c>
      <c r="GW34" s="44" t="s">
        <v>630</v>
      </c>
      <c r="GX34" s="44" t="s">
        <v>630</v>
      </c>
      <c r="GY34" s="44" t="s">
        <v>630</v>
      </c>
      <c r="GZ34" s="44" t="s">
        <v>630</v>
      </c>
      <c r="HA34" s="44" t="s">
        <v>630</v>
      </c>
      <c r="HB34" s="44" t="s">
        <v>630</v>
      </c>
      <c r="HC34" s="44" t="s">
        <v>630</v>
      </c>
      <c r="HD34" s="44" t="s">
        <v>630</v>
      </c>
      <c r="HE34" s="44" t="s">
        <v>630</v>
      </c>
      <c r="HF34" s="44" t="s">
        <v>630</v>
      </c>
      <c r="HG34" s="44" t="s">
        <v>630</v>
      </c>
      <c r="HH34" s="44" t="s">
        <v>630</v>
      </c>
      <c r="HI34" s="44" t="s">
        <v>630</v>
      </c>
      <c r="HJ34" s="44" t="s">
        <v>630</v>
      </c>
      <c r="HK34" s="44" t="s">
        <v>630</v>
      </c>
      <c r="HL34" s="44" t="s">
        <v>630</v>
      </c>
      <c r="HM34" s="44" t="s">
        <v>630</v>
      </c>
      <c r="HN34" s="44" t="s">
        <v>630</v>
      </c>
      <c r="HO34" s="44" t="s">
        <v>630</v>
      </c>
    </row>
    <row r="35" spans="1:223" x14ac:dyDescent="0.3">
      <c r="A35" s="283" t="s">
        <v>361</v>
      </c>
      <c r="B35" s="283" t="s">
        <v>1815</v>
      </c>
      <c r="C35" s="283" t="s">
        <v>3822</v>
      </c>
      <c r="D35" s="283" t="s">
        <v>71</v>
      </c>
      <c r="E35" s="283" t="s">
        <v>1505</v>
      </c>
      <c r="F35" s="283" t="s">
        <v>1279</v>
      </c>
      <c r="G35" s="283" t="s">
        <v>1672</v>
      </c>
      <c r="H35" s="11" t="s">
        <v>3000</v>
      </c>
      <c r="I35" s="11" t="s">
        <v>3257</v>
      </c>
      <c r="J35" s="39"/>
      <c r="K35" s="11"/>
      <c r="L35" s="11"/>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row>
    <row r="36" spans="1:223" x14ac:dyDescent="0.3">
      <c r="A36" s="283" t="s">
        <v>73</v>
      </c>
      <c r="B36" s="283" t="s">
        <v>1188</v>
      </c>
      <c r="C36" s="283" t="s">
        <v>1189</v>
      </c>
      <c r="D36" s="283" t="s">
        <v>72</v>
      </c>
      <c r="E36" s="283" t="s">
        <v>1507</v>
      </c>
      <c r="F36" s="283" t="s">
        <v>1280</v>
      </c>
      <c r="G36" s="283" t="s">
        <v>1398</v>
      </c>
      <c r="H36" s="11" t="s">
        <v>3000</v>
      </c>
      <c r="I36" s="11" t="s">
        <v>3257</v>
      </c>
      <c r="J36" s="39"/>
      <c r="K36" s="11"/>
      <c r="L36" s="11"/>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row>
    <row r="37" spans="1:223" x14ac:dyDescent="0.3">
      <c r="A37" s="283" t="s">
        <v>86</v>
      </c>
      <c r="B37" s="283" t="s">
        <v>1161</v>
      </c>
      <c r="C37" s="283" t="s">
        <v>1816</v>
      </c>
      <c r="D37" s="283" t="s">
        <v>85</v>
      </c>
      <c r="E37" s="283" t="s">
        <v>1505</v>
      </c>
      <c r="F37" s="283" t="s">
        <v>3258</v>
      </c>
      <c r="G37" s="283" t="s">
        <v>1392</v>
      </c>
      <c r="H37" s="11" t="s">
        <v>3000</v>
      </c>
      <c r="I37" s="11" t="s">
        <v>3259</v>
      </c>
      <c r="J37" s="251"/>
      <c r="K37" s="11"/>
      <c r="L37" s="11"/>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row>
    <row r="38" spans="1:223" x14ac:dyDescent="0.3">
      <c r="A38" s="283" t="s">
        <v>86</v>
      </c>
      <c r="B38" s="283" t="s">
        <v>1162</v>
      </c>
      <c r="C38" s="283" t="s">
        <v>806</v>
      </c>
      <c r="D38" s="283" t="s">
        <v>85</v>
      </c>
      <c r="E38" s="283" t="s">
        <v>1505</v>
      </c>
      <c r="F38" s="283" t="s">
        <v>1280</v>
      </c>
      <c r="G38" s="283" t="s">
        <v>1389</v>
      </c>
      <c r="H38" s="11" t="s">
        <v>3001</v>
      </c>
      <c r="I38" s="11" t="s">
        <v>3257</v>
      </c>
      <c r="J38" s="11"/>
      <c r="K38" s="11"/>
      <c r="L38" s="1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row>
    <row r="39" spans="1:223" x14ac:dyDescent="0.3">
      <c r="A39" s="283" t="s">
        <v>86</v>
      </c>
      <c r="B39" s="283" t="s">
        <v>802</v>
      </c>
      <c r="C39" s="283" t="s">
        <v>2922</v>
      </c>
      <c r="D39" s="283" t="s">
        <v>85</v>
      </c>
      <c r="E39" s="283" t="s">
        <v>1505</v>
      </c>
      <c r="F39" s="283" t="s">
        <v>651</v>
      </c>
      <c r="G39" s="283" t="s">
        <v>651</v>
      </c>
      <c r="H39" s="11" t="s">
        <v>3001</v>
      </c>
      <c r="I39" s="11" t="s">
        <v>3257</v>
      </c>
      <c r="J39" s="11"/>
      <c r="K39" s="11"/>
      <c r="L39" s="1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row>
    <row r="40" spans="1:223" x14ac:dyDescent="0.3">
      <c r="A40" s="283" t="s">
        <v>574</v>
      </c>
      <c r="B40" s="283" t="s">
        <v>1081</v>
      </c>
      <c r="C40" s="283" t="s">
        <v>580</v>
      </c>
      <c r="D40" s="283" t="s">
        <v>166</v>
      </c>
      <c r="E40" s="283" t="s">
        <v>1504</v>
      </c>
      <c r="F40" s="283" t="s">
        <v>691</v>
      </c>
      <c r="G40" s="283" t="s">
        <v>691</v>
      </c>
      <c r="H40" s="11" t="s">
        <v>3000</v>
      </c>
      <c r="I40" s="11" t="s">
        <v>3257</v>
      </c>
      <c r="J40" s="11"/>
      <c r="K40" s="11"/>
      <c r="L40" s="11"/>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row>
    <row r="41" spans="1:223" x14ac:dyDescent="0.3">
      <c r="A41" s="283" t="s">
        <v>575</v>
      </c>
      <c r="B41" s="283" t="s">
        <v>1082</v>
      </c>
      <c r="C41" s="283" t="s">
        <v>579</v>
      </c>
      <c r="D41" s="283" t="s">
        <v>70</v>
      </c>
      <c r="E41" s="283" t="s">
        <v>1505</v>
      </c>
      <c r="F41" s="283" t="s">
        <v>691</v>
      </c>
      <c r="G41" s="283" t="s">
        <v>691</v>
      </c>
      <c r="H41" s="11" t="s">
        <v>3000</v>
      </c>
      <c r="I41" s="11" t="s">
        <v>3257</v>
      </c>
      <c r="J41" s="11"/>
      <c r="K41" s="11"/>
      <c r="L41" s="11"/>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row>
    <row r="42" spans="1:223" x14ac:dyDescent="0.3">
      <c r="A42" s="283" t="s">
        <v>575</v>
      </c>
      <c r="B42" s="283" t="s">
        <v>2585</v>
      </c>
      <c r="C42" s="283" t="s">
        <v>2587</v>
      </c>
      <c r="D42" s="283" t="s">
        <v>70</v>
      </c>
      <c r="E42" s="283" t="s">
        <v>1505</v>
      </c>
      <c r="F42" s="283" t="s">
        <v>1279</v>
      </c>
      <c r="G42" s="283" t="s">
        <v>1672</v>
      </c>
      <c r="H42" s="11" t="s">
        <v>3001</v>
      </c>
      <c r="I42" s="11" t="s">
        <v>3257</v>
      </c>
      <c r="J42" s="11"/>
      <c r="K42" s="11"/>
      <c r="L42" s="11"/>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row>
    <row r="43" spans="1:223" x14ac:dyDescent="0.3">
      <c r="A43" s="283" t="s">
        <v>93</v>
      </c>
      <c r="B43" s="283" t="s">
        <v>769</v>
      </c>
      <c r="C43" s="283" t="s">
        <v>666</v>
      </c>
      <c r="D43" s="283" t="s">
        <v>92</v>
      </c>
      <c r="E43" s="283" t="s">
        <v>1507</v>
      </c>
      <c r="F43" s="283" t="s">
        <v>1280</v>
      </c>
      <c r="G43" s="283" t="s">
        <v>3265</v>
      </c>
      <c r="H43" s="11" t="s">
        <v>3000</v>
      </c>
      <c r="I43" s="11" t="s">
        <v>3257</v>
      </c>
      <c r="J43" s="251"/>
      <c r="K43" s="11"/>
      <c r="L43" s="11"/>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row>
    <row r="44" spans="1:223" x14ac:dyDescent="0.3">
      <c r="A44" s="283" t="s">
        <v>95</v>
      </c>
      <c r="B44" s="283" t="s">
        <v>799</v>
      </c>
      <c r="C44" s="283" t="s">
        <v>689</v>
      </c>
      <c r="D44" s="283" t="s">
        <v>94</v>
      </c>
      <c r="E44" s="283" t="s">
        <v>1505</v>
      </c>
      <c r="F44" s="283" t="s">
        <v>1280</v>
      </c>
      <c r="G44" s="283" t="s">
        <v>1399</v>
      </c>
      <c r="H44" s="11" t="s">
        <v>3000</v>
      </c>
      <c r="I44" s="11" t="s">
        <v>3257</v>
      </c>
      <c r="J44" s="39"/>
      <c r="K44" s="11"/>
      <c r="L44" s="1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row>
    <row r="45" spans="1:223" x14ac:dyDescent="0.3">
      <c r="A45" s="283" t="s">
        <v>97</v>
      </c>
      <c r="B45" s="283" t="s">
        <v>1083</v>
      </c>
      <c r="C45" s="283" t="s">
        <v>581</v>
      </c>
      <c r="D45" s="283" t="s">
        <v>96</v>
      </c>
      <c r="E45" s="283" t="s">
        <v>1507</v>
      </c>
      <c r="F45" s="283" t="s">
        <v>691</v>
      </c>
      <c r="G45" s="283" t="s">
        <v>691</v>
      </c>
      <c r="H45" s="11" t="s">
        <v>3000</v>
      </c>
      <c r="I45" s="11" t="s">
        <v>3257</v>
      </c>
      <c r="J45" s="11"/>
      <c r="K45" s="11"/>
      <c r="L45" s="11"/>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row>
    <row r="46" spans="1:223" x14ac:dyDescent="0.3">
      <c r="A46" s="283" t="s">
        <v>101</v>
      </c>
      <c r="B46" s="283" t="s">
        <v>1084</v>
      </c>
      <c r="C46" s="283" t="s">
        <v>2916</v>
      </c>
      <c r="D46" s="283" t="s">
        <v>100</v>
      </c>
      <c r="E46" s="283" t="s">
        <v>1505</v>
      </c>
      <c r="F46" s="283" t="s">
        <v>691</v>
      </c>
      <c r="G46" s="283" t="s">
        <v>691</v>
      </c>
      <c r="H46" s="11" t="s">
        <v>3000</v>
      </c>
      <c r="I46" s="11" t="s">
        <v>3257</v>
      </c>
      <c r="J46" s="11"/>
      <c r="K46" s="11"/>
      <c r="L46" s="1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row>
    <row r="47" spans="1:223" ht="26.4" x14ac:dyDescent="0.3">
      <c r="A47" s="283" t="s">
        <v>3649</v>
      </c>
      <c r="B47" s="283" t="s">
        <v>3651</v>
      </c>
      <c r="C47" s="283" t="s">
        <v>3125</v>
      </c>
      <c r="D47" s="283" t="s">
        <v>308</v>
      </c>
      <c r="E47" s="283" t="s">
        <v>1505</v>
      </c>
      <c r="F47" s="283" t="s">
        <v>2103</v>
      </c>
      <c r="G47" s="283" t="s">
        <v>2064</v>
      </c>
      <c r="H47" s="11" t="s">
        <v>3000</v>
      </c>
      <c r="I47" s="11" t="s">
        <v>3257</v>
      </c>
      <c r="J47" s="11"/>
      <c r="K47" s="11"/>
      <c r="L47" s="11"/>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row>
    <row r="48" spans="1:223" x14ac:dyDescent="0.3">
      <c r="A48" s="283" t="s">
        <v>105</v>
      </c>
      <c r="B48" s="283" t="s">
        <v>1085</v>
      </c>
      <c r="C48" s="283" t="s">
        <v>582</v>
      </c>
      <c r="D48" s="283" t="s">
        <v>104</v>
      </c>
      <c r="E48" s="283" t="s">
        <v>1505</v>
      </c>
      <c r="F48" s="283" t="s">
        <v>691</v>
      </c>
      <c r="G48" s="283" t="s">
        <v>691</v>
      </c>
      <c r="H48" s="11" t="s">
        <v>3000</v>
      </c>
      <c r="I48" s="11" t="s">
        <v>3257</v>
      </c>
      <c r="J48" s="11"/>
      <c r="K48" s="11"/>
      <c r="L48" s="11"/>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row>
    <row r="49" spans="1:223" x14ac:dyDescent="0.3">
      <c r="A49" s="283" t="s">
        <v>105</v>
      </c>
      <c r="B49" s="283" t="s">
        <v>2512</v>
      </c>
      <c r="C49" s="283" t="s">
        <v>2513</v>
      </c>
      <c r="D49" s="283" t="s">
        <v>104</v>
      </c>
      <c r="E49" s="283" t="s">
        <v>1505</v>
      </c>
      <c r="F49" s="283" t="s">
        <v>1279</v>
      </c>
      <c r="G49" s="283" t="s">
        <v>1672</v>
      </c>
      <c r="H49" s="11" t="s">
        <v>3001</v>
      </c>
      <c r="I49" s="11" t="s">
        <v>3257</v>
      </c>
      <c r="J49" s="11"/>
      <c r="K49" s="11"/>
      <c r="L49" s="11"/>
      <c r="N49" s="41" t="s">
        <v>397</v>
      </c>
      <c r="O49" s="41" t="s">
        <v>397</v>
      </c>
      <c r="P49" s="41" t="s">
        <v>397</v>
      </c>
      <c r="Q49" s="41" t="s">
        <v>397</v>
      </c>
      <c r="R49" s="41" t="s">
        <v>397</v>
      </c>
      <c r="S49" s="41" t="s">
        <v>397</v>
      </c>
      <c r="T49" s="41" t="s">
        <v>397</v>
      </c>
      <c r="U49" s="41" t="s">
        <v>397</v>
      </c>
      <c r="V49" s="41" t="s">
        <v>397</v>
      </c>
      <c r="W49" s="41" t="s">
        <v>397</v>
      </c>
      <c r="X49" s="41" t="s">
        <v>397</v>
      </c>
      <c r="Y49" s="41" t="s">
        <v>397</v>
      </c>
      <c r="Z49" s="41" t="s">
        <v>397</v>
      </c>
      <c r="AA49" s="41" t="s">
        <v>397</v>
      </c>
      <c r="AB49" s="41" t="s">
        <v>397</v>
      </c>
      <c r="AC49" s="41" t="s">
        <v>397</v>
      </c>
      <c r="AD49" s="41" t="s">
        <v>397</v>
      </c>
      <c r="AE49" s="41" t="s">
        <v>397</v>
      </c>
      <c r="AF49" s="41" t="s">
        <v>397</v>
      </c>
      <c r="AG49" s="41" t="s">
        <v>397</v>
      </c>
      <c r="AH49" s="41" t="s">
        <v>397</v>
      </c>
      <c r="AI49" s="41" t="s">
        <v>397</v>
      </c>
      <c r="AJ49" s="41" t="s">
        <v>397</v>
      </c>
      <c r="AK49" s="41" t="s">
        <v>397</v>
      </c>
      <c r="AL49" s="41" t="s">
        <v>397</v>
      </c>
      <c r="AM49" s="41" t="s">
        <v>397</v>
      </c>
      <c r="AN49" s="41" t="s">
        <v>397</v>
      </c>
      <c r="AO49" s="41" t="s">
        <v>397</v>
      </c>
      <c r="AP49" s="41" t="s">
        <v>397</v>
      </c>
      <c r="AQ49" s="41" t="s">
        <v>397</v>
      </c>
      <c r="AR49" s="41" t="s">
        <v>397</v>
      </c>
      <c r="AS49" s="41" t="s">
        <v>397</v>
      </c>
      <c r="AT49" s="41" t="s">
        <v>397</v>
      </c>
      <c r="AU49" s="41" t="s">
        <v>397</v>
      </c>
      <c r="AV49" s="41" t="s">
        <v>397</v>
      </c>
      <c r="AW49" s="41" t="s">
        <v>397</v>
      </c>
      <c r="AX49" s="41" t="s">
        <v>397</v>
      </c>
      <c r="AY49" s="41" t="s">
        <v>397</v>
      </c>
      <c r="AZ49" s="41" t="s">
        <v>397</v>
      </c>
      <c r="BA49" s="41" t="s">
        <v>397</v>
      </c>
      <c r="BB49" s="41" t="s">
        <v>397</v>
      </c>
      <c r="BC49" s="41" t="s">
        <v>397</v>
      </c>
      <c r="BD49" s="41" t="s">
        <v>397</v>
      </c>
      <c r="BE49" s="41" t="s">
        <v>397</v>
      </c>
      <c r="BF49" s="41" t="s">
        <v>397</v>
      </c>
      <c r="BG49" s="41" t="s">
        <v>397</v>
      </c>
      <c r="BH49" s="41" t="s">
        <v>397</v>
      </c>
      <c r="BI49" s="41" t="s">
        <v>397</v>
      </c>
      <c r="BJ49" s="41" t="s">
        <v>397</v>
      </c>
      <c r="BK49" s="41" t="s">
        <v>397</v>
      </c>
      <c r="BL49" s="41" t="s">
        <v>397</v>
      </c>
      <c r="BM49" s="41" t="s">
        <v>397</v>
      </c>
      <c r="BN49" s="41" t="s">
        <v>397</v>
      </c>
      <c r="BO49" s="41" t="s">
        <v>397</v>
      </c>
      <c r="BP49" s="41" t="s">
        <v>397</v>
      </c>
      <c r="BQ49" s="41" t="s">
        <v>397</v>
      </c>
      <c r="BR49" s="41" t="s">
        <v>397</v>
      </c>
      <c r="BS49" s="41" t="s">
        <v>397</v>
      </c>
      <c r="BT49" s="41" t="s">
        <v>397</v>
      </c>
      <c r="BU49" s="41" t="s">
        <v>397</v>
      </c>
      <c r="BV49" s="41" t="s">
        <v>397</v>
      </c>
      <c r="BW49" s="41" t="s">
        <v>397</v>
      </c>
      <c r="BX49" s="41" t="s">
        <v>397</v>
      </c>
      <c r="BY49" s="41" t="s">
        <v>397</v>
      </c>
      <c r="BZ49" s="41" t="s">
        <v>397</v>
      </c>
      <c r="CA49" s="41" t="s">
        <v>397</v>
      </c>
      <c r="CB49" s="41" t="s">
        <v>397</v>
      </c>
      <c r="CC49" s="41" t="s">
        <v>397</v>
      </c>
      <c r="CD49" s="41" t="s">
        <v>397</v>
      </c>
      <c r="CE49" s="41" t="s">
        <v>397</v>
      </c>
      <c r="CF49" s="41" t="s">
        <v>397</v>
      </c>
      <c r="CG49" s="41" t="s">
        <v>397</v>
      </c>
      <c r="CH49" s="41" t="s">
        <v>397</v>
      </c>
      <c r="CI49" s="41" t="s">
        <v>397</v>
      </c>
      <c r="CJ49" s="41" t="s">
        <v>397</v>
      </c>
      <c r="CK49" s="41" t="s">
        <v>397</v>
      </c>
      <c r="CL49" s="41" t="s">
        <v>397</v>
      </c>
      <c r="CM49" s="41" t="s">
        <v>397</v>
      </c>
      <c r="CN49" s="41" t="s">
        <v>397</v>
      </c>
      <c r="CO49" s="41" t="s">
        <v>397</v>
      </c>
      <c r="CP49" s="41" t="s">
        <v>397</v>
      </c>
      <c r="CQ49" s="41" t="s">
        <v>397</v>
      </c>
      <c r="CR49" s="41" t="s">
        <v>397</v>
      </c>
      <c r="CS49" s="41" t="s">
        <v>397</v>
      </c>
      <c r="CT49" s="41" t="s">
        <v>397</v>
      </c>
      <c r="CU49" s="41" t="s">
        <v>397</v>
      </c>
      <c r="CV49" s="41" t="s">
        <v>397</v>
      </c>
      <c r="CW49" s="41" t="s">
        <v>397</v>
      </c>
      <c r="CX49" s="41" t="s">
        <v>397</v>
      </c>
      <c r="CY49" s="41" t="s">
        <v>397</v>
      </c>
      <c r="CZ49" s="41" t="s">
        <v>397</v>
      </c>
      <c r="DA49" s="41" t="s">
        <v>397</v>
      </c>
      <c r="DB49" s="41" t="s">
        <v>397</v>
      </c>
      <c r="DC49" s="41" t="s">
        <v>397</v>
      </c>
      <c r="DD49" s="41" t="s">
        <v>397</v>
      </c>
      <c r="DE49" s="41" t="s">
        <v>397</v>
      </c>
      <c r="DF49" s="41" t="s">
        <v>397</v>
      </c>
      <c r="DG49" s="41" t="s">
        <v>397</v>
      </c>
      <c r="DH49" s="41" t="s">
        <v>397</v>
      </c>
      <c r="DI49" s="41" t="s">
        <v>397</v>
      </c>
      <c r="DJ49" s="41" t="s">
        <v>397</v>
      </c>
      <c r="DK49" s="41" t="s">
        <v>397</v>
      </c>
      <c r="DL49" s="41" t="s">
        <v>397</v>
      </c>
      <c r="DM49" s="41" t="s">
        <v>397</v>
      </c>
      <c r="DN49" s="41" t="s">
        <v>397</v>
      </c>
      <c r="DO49" s="41" t="s">
        <v>397</v>
      </c>
      <c r="DP49" s="41" t="s">
        <v>397</v>
      </c>
      <c r="DQ49" s="41" t="s">
        <v>397</v>
      </c>
      <c r="DR49" s="41" t="s">
        <v>397</v>
      </c>
      <c r="DS49" s="41" t="s">
        <v>397</v>
      </c>
      <c r="DT49" s="41" t="s">
        <v>397</v>
      </c>
      <c r="DU49" s="41" t="s">
        <v>397</v>
      </c>
      <c r="DV49" s="41" t="s">
        <v>397</v>
      </c>
      <c r="DW49" s="41" t="s">
        <v>397</v>
      </c>
      <c r="DX49" s="41" t="s">
        <v>397</v>
      </c>
      <c r="DY49" s="41" t="s">
        <v>397</v>
      </c>
      <c r="DZ49" s="41" t="s">
        <v>397</v>
      </c>
      <c r="EA49" s="41" t="s">
        <v>397</v>
      </c>
      <c r="EB49" s="41" t="s">
        <v>397</v>
      </c>
      <c r="EC49" s="41" t="s">
        <v>397</v>
      </c>
      <c r="ED49" s="41" t="s">
        <v>397</v>
      </c>
      <c r="EE49" s="41" t="s">
        <v>397</v>
      </c>
      <c r="EF49" s="41" t="s">
        <v>397</v>
      </c>
      <c r="EG49" s="41" t="s">
        <v>397</v>
      </c>
      <c r="EH49" s="41" t="s">
        <v>397</v>
      </c>
      <c r="EI49" s="41" t="s">
        <v>397</v>
      </c>
      <c r="EJ49" s="41" t="s">
        <v>397</v>
      </c>
      <c r="EK49" s="41" t="s">
        <v>397</v>
      </c>
      <c r="EL49" s="41" t="s">
        <v>397</v>
      </c>
      <c r="EM49" s="41" t="s">
        <v>397</v>
      </c>
      <c r="EN49" s="41" t="s">
        <v>397</v>
      </c>
      <c r="EO49" s="41" t="s">
        <v>397</v>
      </c>
      <c r="EP49" s="41" t="s">
        <v>397</v>
      </c>
      <c r="EQ49" s="41" t="s">
        <v>397</v>
      </c>
      <c r="ER49" s="41" t="s">
        <v>397</v>
      </c>
      <c r="ES49" s="41" t="s">
        <v>397</v>
      </c>
      <c r="ET49" s="41" t="s">
        <v>397</v>
      </c>
      <c r="EU49" s="41" t="s">
        <v>397</v>
      </c>
      <c r="EV49" s="41" t="s">
        <v>397</v>
      </c>
      <c r="EW49" s="41" t="s">
        <v>397</v>
      </c>
      <c r="EX49" s="41" t="s">
        <v>397</v>
      </c>
      <c r="EY49" s="41" t="s">
        <v>397</v>
      </c>
      <c r="EZ49" s="41" t="s">
        <v>397</v>
      </c>
      <c r="FA49" s="41" t="s">
        <v>397</v>
      </c>
      <c r="FB49" s="41" t="s">
        <v>397</v>
      </c>
      <c r="FC49" s="41" t="s">
        <v>397</v>
      </c>
      <c r="FD49" s="41" t="s">
        <v>397</v>
      </c>
      <c r="FE49" s="41" t="s">
        <v>397</v>
      </c>
      <c r="FF49" s="41" t="s">
        <v>397</v>
      </c>
      <c r="FG49" s="41" t="s">
        <v>397</v>
      </c>
      <c r="FH49" s="41" t="s">
        <v>397</v>
      </c>
      <c r="FI49" s="41" t="s">
        <v>397</v>
      </c>
      <c r="FJ49" s="41" t="s">
        <v>397</v>
      </c>
      <c r="FK49" s="41" t="s">
        <v>397</v>
      </c>
      <c r="FL49" s="41" t="s">
        <v>397</v>
      </c>
      <c r="FM49" s="41" t="s">
        <v>397</v>
      </c>
      <c r="FN49" s="41" t="s">
        <v>397</v>
      </c>
      <c r="FO49" s="41" t="s">
        <v>397</v>
      </c>
      <c r="FP49" s="41" t="s">
        <v>397</v>
      </c>
      <c r="FQ49" s="41" t="s">
        <v>397</v>
      </c>
      <c r="FR49" s="41" t="s">
        <v>397</v>
      </c>
      <c r="FS49" s="41" t="s">
        <v>397</v>
      </c>
      <c r="FT49" s="41" t="s">
        <v>397</v>
      </c>
      <c r="FU49" s="41" t="s">
        <v>397</v>
      </c>
      <c r="FV49" s="41" t="s">
        <v>397</v>
      </c>
      <c r="FW49" s="41" t="s">
        <v>397</v>
      </c>
      <c r="FX49" s="41" t="s">
        <v>397</v>
      </c>
      <c r="FY49" s="41" t="s">
        <v>397</v>
      </c>
      <c r="FZ49" s="41" t="s">
        <v>397</v>
      </c>
      <c r="GA49" s="41" t="s">
        <v>397</v>
      </c>
      <c r="GB49" s="41" t="s">
        <v>397</v>
      </c>
      <c r="GC49" s="41" t="s">
        <v>397</v>
      </c>
      <c r="GD49" s="41" t="s">
        <v>397</v>
      </c>
      <c r="GE49" s="41" t="s">
        <v>397</v>
      </c>
      <c r="GF49" s="41" t="s">
        <v>397</v>
      </c>
      <c r="GG49" s="41" t="s">
        <v>397</v>
      </c>
      <c r="GH49" s="41" t="s">
        <v>397</v>
      </c>
      <c r="GI49" s="41" t="s">
        <v>397</v>
      </c>
      <c r="GJ49" s="41" t="s">
        <v>397</v>
      </c>
      <c r="GK49" s="41" t="s">
        <v>397</v>
      </c>
      <c r="GL49" s="41" t="s">
        <v>397</v>
      </c>
      <c r="GM49" s="41" t="s">
        <v>397</v>
      </c>
      <c r="GN49" s="41" t="s">
        <v>397</v>
      </c>
      <c r="GO49" s="41" t="s">
        <v>397</v>
      </c>
      <c r="GP49" s="41" t="s">
        <v>397</v>
      </c>
      <c r="GQ49" s="41" t="s">
        <v>397</v>
      </c>
      <c r="GR49" s="41" t="s">
        <v>397</v>
      </c>
      <c r="GS49" s="41" t="s">
        <v>397</v>
      </c>
      <c r="GT49" s="41" t="s">
        <v>397</v>
      </c>
      <c r="GU49" s="41" t="s">
        <v>397</v>
      </c>
      <c r="GV49" s="41" t="s">
        <v>397</v>
      </c>
      <c r="GW49" s="41" t="s">
        <v>397</v>
      </c>
      <c r="GX49" s="41" t="s">
        <v>397</v>
      </c>
      <c r="GY49" s="41" t="s">
        <v>397</v>
      </c>
      <c r="GZ49" s="41" t="s">
        <v>397</v>
      </c>
      <c r="HA49" s="41" t="s">
        <v>397</v>
      </c>
      <c r="HB49" s="41" t="s">
        <v>397</v>
      </c>
      <c r="HC49" s="41" t="s">
        <v>397</v>
      </c>
      <c r="HD49" s="41" t="s">
        <v>397</v>
      </c>
      <c r="HE49" s="41" t="s">
        <v>397</v>
      </c>
      <c r="HF49" s="41" t="s">
        <v>397</v>
      </c>
      <c r="HG49" s="41" t="s">
        <v>397</v>
      </c>
      <c r="HH49" s="41" t="s">
        <v>397</v>
      </c>
      <c r="HI49" s="41" t="s">
        <v>397</v>
      </c>
      <c r="HJ49" s="41" t="s">
        <v>397</v>
      </c>
      <c r="HK49" s="41" t="s">
        <v>397</v>
      </c>
      <c r="HL49" s="41" t="s">
        <v>397</v>
      </c>
      <c r="HM49" s="41" t="s">
        <v>397</v>
      </c>
      <c r="HN49" s="41" t="s">
        <v>397</v>
      </c>
      <c r="HO49" s="41" t="s">
        <v>397</v>
      </c>
    </row>
    <row r="50" spans="1:223" x14ac:dyDescent="0.3">
      <c r="A50" s="283" t="s">
        <v>105</v>
      </c>
      <c r="B50" s="283" t="s">
        <v>2643</v>
      </c>
      <c r="C50" s="283" t="s">
        <v>2644</v>
      </c>
      <c r="D50" s="283" t="s">
        <v>104</v>
      </c>
      <c r="E50" s="283" t="s">
        <v>1505</v>
      </c>
      <c r="F50" s="283" t="s">
        <v>1280</v>
      </c>
      <c r="G50" s="283" t="s">
        <v>2643</v>
      </c>
      <c r="H50" s="11" t="s">
        <v>3001</v>
      </c>
      <c r="I50" s="11" t="s">
        <v>3257</v>
      </c>
      <c r="J50" s="11"/>
      <c r="K50" s="11"/>
      <c r="L50" s="1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row>
    <row r="51" spans="1:223" x14ac:dyDescent="0.3">
      <c r="A51" s="283" t="s">
        <v>123</v>
      </c>
      <c r="B51" s="283" t="s">
        <v>796</v>
      </c>
      <c r="C51" s="283" t="s">
        <v>688</v>
      </c>
      <c r="D51" s="283" t="s">
        <v>122</v>
      </c>
      <c r="E51" s="283" t="s">
        <v>1506</v>
      </c>
      <c r="F51" s="283" t="s">
        <v>1280</v>
      </c>
      <c r="G51" s="283" t="s">
        <v>1389</v>
      </c>
      <c r="H51" s="11" t="s">
        <v>3000</v>
      </c>
      <c r="I51" s="11" t="s">
        <v>3257</v>
      </c>
      <c r="J51" s="11"/>
      <c r="K51" s="11"/>
      <c r="L51" s="11"/>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row>
    <row r="52" spans="1:223" x14ac:dyDescent="0.3">
      <c r="A52" s="283" t="s">
        <v>127</v>
      </c>
      <c r="B52" s="283" t="s">
        <v>1086</v>
      </c>
      <c r="C52" s="283" t="s">
        <v>1745</v>
      </c>
      <c r="D52" s="283" t="s">
        <v>126</v>
      </c>
      <c r="E52" s="283" t="s">
        <v>1507</v>
      </c>
      <c r="F52" s="283" t="s">
        <v>691</v>
      </c>
      <c r="G52" s="283" t="s">
        <v>691</v>
      </c>
      <c r="H52" s="11" t="s">
        <v>3000</v>
      </c>
      <c r="I52" s="11" t="s">
        <v>3257</v>
      </c>
      <c r="J52" s="251"/>
      <c r="K52" s="11"/>
      <c r="L52" s="11"/>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row>
    <row r="53" spans="1:223" x14ac:dyDescent="0.3">
      <c r="A53" s="283" t="s">
        <v>134</v>
      </c>
      <c r="B53" s="283" t="s">
        <v>1087</v>
      </c>
      <c r="C53" s="283" t="s">
        <v>583</v>
      </c>
      <c r="D53" s="283" t="s">
        <v>133</v>
      </c>
      <c r="E53" s="283" t="s">
        <v>1507</v>
      </c>
      <c r="F53" s="283" t="s">
        <v>691</v>
      </c>
      <c r="G53" s="283" t="s">
        <v>691</v>
      </c>
      <c r="H53" s="283" t="s">
        <v>3000</v>
      </c>
      <c r="I53" s="296" t="s">
        <v>3257</v>
      </c>
      <c r="J53" s="11"/>
      <c r="K53" s="11"/>
      <c r="L53" s="11"/>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row>
    <row r="54" spans="1:223" x14ac:dyDescent="0.3">
      <c r="A54" s="283" t="s">
        <v>136</v>
      </c>
      <c r="B54" s="283" t="s">
        <v>1088</v>
      </c>
      <c r="C54" s="283" t="s">
        <v>584</v>
      </c>
      <c r="D54" s="283" t="s">
        <v>135</v>
      </c>
      <c r="E54" s="283" t="s">
        <v>1507</v>
      </c>
      <c r="F54" s="283" t="s">
        <v>691</v>
      </c>
      <c r="G54" s="283" t="s">
        <v>691</v>
      </c>
      <c r="H54" s="11" t="s">
        <v>3000</v>
      </c>
      <c r="I54" s="11" t="s">
        <v>3257</v>
      </c>
      <c r="J54" s="11"/>
      <c r="K54" s="11"/>
      <c r="L54" s="11"/>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row>
    <row r="55" spans="1:223" x14ac:dyDescent="0.3">
      <c r="A55" s="283" t="s">
        <v>142</v>
      </c>
      <c r="B55" s="283" t="s">
        <v>2415</v>
      </c>
      <c r="C55" s="283" t="s">
        <v>2416</v>
      </c>
      <c r="D55" s="283" t="s">
        <v>141</v>
      </c>
      <c r="E55" s="283" t="s">
        <v>1504</v>
      </c>
      <c r="F55" s="283" t="s">
        <v>3258</v>
      </c>
      <c r="G55" s="283" t="s">
        <v>1749</v>
      </c>
      <c r="H55" s="11" t="s">
        <v>3000</v>
      </c>
      <c r="I55" s="11" t="s">
        <v>3259</v>
      </c>
      <c r="J55" s="11"/>
      <c r="K55" s="11"/>
      <c r="L55" s="11"/>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row>
    <row r="56" spans="1:223" x14ac:dyDescent="0.3">
      <c r="A56" s="283" t="s">
        <v>142</v>
      </c>
      <c r="B56" s="283" t="s">
        <v>1201</v>
      </c>
      <c r="C56" s="283" t="s">
        <v>1203</v>
      </c>
      <c r="D56" s="283" t="s">
        <v>141</v>
      </c>
      <c r="E56" s="283" t="s">
        <v>1504</v>
      </c>
      <c r="F56" s="283" t="s">
        <v>650</v>
      </c>
      <c r="G56" s="283" t="s">
        <v>3266</v>
      </c>
      <c r="H56" s="11" t="s">
        <v>3001</v>
      </c>
      <c r="I56" s="11" t="s">
        <v>3257</v>
      </c>
      <c r="J56" s="251"/>
      <c r="K56" s="11"/>
      <c r="L56" s="11"/>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row>
    <row r="57" spans="1:223" x14ac:dyDescent="0.3">
      <c r="A57" s="283" t="s">
        <v>142</v>
      </c>
      <c r="B57" s="283" t="s">
        <v>2417</v>
      </c>
      <c r="C57" s="283" t="s">
        <v>2418</v>
      </c>
      <c r="D57" s="283" t="s">
        <v>141</v>
      </c>
      <c r="E57" s="283" t="s">
        <v>1504</v>
      </c>
      <c r="F57" s="283" t="s">
        <v>1549</v>
      </c>
      <c r="G57" s="283" t="s">
        <v>2414</v>
      </c>
      <c r="H57" s="11" t="s">
        <v>3001</v>
      </c>
      <c r="I57" s="11" t="s">
        <v>3257</v>
      </c>
      <c r="J57" s="11"/>
      <c r="K57" s="11"/>
      <c r="L57" s="1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row>
    <row r="58" spans="1:223" x14ac:dyDescent="0.3">
      <c r="A58" s="283" t="s">
        <v>142</v>
      </c>
      <c r="B58" s="283" t="s">
        <v>2804</v>
      </c>
      <c r="C58" s="283" t="s">
        <v>3218</v>
      </c>
      <c r="D58" s="283" t="s">
        <v>141</v>
      </c>
      <c r="E58" s="283" t="s">
        <v>1504</v>
      </c>
      <c r="F58" s="283" t="s">
        <v>1279</v>
      </c>
      <c r="G58" s="283" t="s">
        <v>1672</v>
      </c>
      <c r="H58" s="11" t="s">
        <v>3001</v>
      </c>
      <c r="I58" s="11" t="s">
        <v>3257</v>
      </c>
      <c r="J58" s="11"/>
      <c r="K58" s="11"/>
      <c r="L58" s="11"/>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row>
    <row r="59" spans="1:223" x14ac:dyDescent="0.3">
      <c r="A59" s="283" t="s">
        <v>1236</v>
      </c>
      <c r="B59" s="283" t="s">
        <v>1234</v>
      </c>
      <c r="C59" s="283" t="s">
        <v>1235</v>
      </c>
      <c r="D59" s="283" t="s">
        <v>1237</v>
      </c>
      <c r="E59" s="283" t="s">
        <v>1504</v>
      </c>
      <c r="F59" s="283" t="s">
        <v>1281</v>
      </c>
      <c r="G59" s="283" t="s">
        <v>1234</v>
      </c>
      <c r="H59" s="11" t="s">
        <v>3001</v>
      </c>
      <c r="I59" s="11" t="s">
        <v>3257</v>
      </c>
      <c r="J59" s="11"/>
      <c r="K59" s="11"/>
      <c r="L59" s="11"/>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row>
    <row r="60" spans="1:223" x14ac:dyDescent="0.3">
      <c r="A60" s="283" t="s">
        <v>144</v>
      </c>
      <c r="B60" s="283" t="s">
        <v>1452</v>
      </c>
      <c r="C60" s="283" t="s">
        <v>1453</v>
      </c>
      <c r="D60" s="283" t="s">
        <v>143</v>
      </c>
      <c r="E60" s="283" t="s">
        <v>1504</v>
      </c>
      <c r="F60" s="283" t="s">
        <v>650</v>
      </c>
      <c r="G60" s="283" t="s">
        <v>1452</v>
      </c>
      <c r="H60" s="11" t="s">
        <v>3001</v>
      </c>
      <c r="I60" s="11" t="s">
        <v>3257</v>
      </c>
      <c r="J60" s="11"/>
      <c r="K60" s="11"/>
      <c r="L60" s="11"/>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row>
    <row r="61" spans="1:223" ht="26.4" x14ac:dyDescent="0.3">
      <c r="A61" s="283" t="s">
        <v>385</v>
      </c>
      <c r="B61" s="283" t="s">
        <v>2262</v>
      </c>
      <c r="C61" s="283" t="s">
        <v>2588</v>
      </c>
      <c r="D61" s="283" t="s">
        <v>145</v>
      </c>
      <c r="E61" s="283" t="s">
        <v>1508</v>
      </c>
      <c r="F61" s="283" t="s">
        <v>1280</v>
      </c>
      <c r="G61" s="283" t="s">
        <v>2138</v>
      </c>
      <c r="H61" s="11" t="s">
        <v>3000</v>
      </c>
      <c r="I61" s="11" t="s">
        <v>3257</v>
      </c>
      <c r="J61" s="11"/>
      <c r="K61" s="11"/>
      <c r="L61" s="1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row>
    <row r="62" spans="1:223" ht="26.4" x14ac:dyDescent="0.3">
      <c r="A62" s="283" t="s">
        <v>147</v>
      </c>
      <c r="B62" s="283" t="s">
        <v>1163</v>
      </c>
      <c r="C62" s="283" t="s">
        <v>586</v>
      </c>
      <c r="D62" s="283" t="s">
        <v>146</v>
      </c>
      <c r="E62" s="283" t="s">
        <v>1508</v>
      </c>
      <c r="F62" s="283" t="s">
        <v>3258</v>
      </c>
      <c r="G62" s="283" t="s">
        <v>1392</v>
      </c>
      <c r="H62" s="11" t="s">
        <v>3000</v>
      </c>
      <c r="I62" s="11" t="s">
        <v>3259</v>
      </c>
      <c r="J62" s="11"/>
      <c r="K62" s="11"/>
      <c r="L62" s="11"/>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row>
    <row r="63" spans="1:223" ht="26.4" x14ac:dyDescent="0.3">
      <c r="A63" s="283" t="s">
        <v>147</v>
      </c>
      <c r="B63" s="283" t="s">
        <v>766</v>
      </c>
      <c r="C63" s="283" t="s">
        <v>659</v>
      </c>
      <c r="D63" s="283" t="s">
        <v>146</v>
      </c>
      <c r="E63" s="283" t="s">
        <v>1508</v>
      </c>
      <c r="F63" s="283" t="s">
        <v>650</v>
      </c>
      <c r="G63" s="283" t="s">
        <v>650</v>
      </c>
      <c r="H63" s="11" t="s">
        <v>3001</v>
      </c>
      <c r="I63" s="11" t="s">
        <v>3257</v>
      </c>
      <c r="J63" s="11"/>
      <c r="K63" s="11"/>
      <c r="L63" s="11"/>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row>
    <row r="64" spans="1:223" ht="26.4" x14ac:dyDescent="0.3">
      <c r="A64" s="283" t="s">
        <v>147</v>
      </c>
      <c r="B64" s="283" t="s">
        <v>1089</v>
      </c>
      <c r="C64" s="283" t="s">
        <v>660</v>
      </c>
      <c r="D64" s="283" t="s">
        <v>146</v>
      </c>
      <c r="E64" s="283" t="s">
        <v>1508</v>
      </c>
      <c r="F64" s="283" t="s">
        <v>1280</v>
      </c>
      <c r="G64" s="283" t="s">
        <v>1400</v>
      </c>
      <c r="H64" s="11" t="s">
        <v>3001</v>
      </c>
      <c r="I64" s="11" t="s">
        <v>3257</v>
      </c>
      <c r="J64" s="251"/>
      <c r="K64" s="11"/>
      <c r="L64" s="11"/>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row>
    <row r="65" spans="1:223" ht="26.4" x14ac:dyDescent="0.3">
      <c r="A65" s="283" t="s">
        <v>159</v>
      </c>
      <c r="B65" s="283" t="s">
        <v>1116</v>
      </c>
      <c r="C65" s="283" t="s">
        <v>2923</v>
      </c>
      <c r="D65" s="283" t="s">
        <v>158</v>
      </c>
      <c r="E65" s="283" t="s">
        <v>1508</v>
      </c>
      <c r="F65" s="283" t="s">
        <v>1280</v>
      </c>
      <c r="G65" s="283" t="s">
        <v>1399</v>
      </c>
      <c r="H65" s="11" t="s">
        <v>3000</v>
      </c>
      <c r="I65" s="11" t="s">
        <v>3257</v>
      </c>
      <c r="J65" s="11"/>
      <c r="K65" s="11"/>
      <c r="L65" s="11"/>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row>
    <row r="66" spans="1:223" x14ac:dyDescent="0.3">
      <c r="A66" s="283" t="s">
        <v>163</v>
      </c>
      <c r="B66" s="283" t="s">
        <v>1386</v>
      </c>
      <c r="C66" s="283" t="s">
        <v>1387</v>
      </c>
      <c r="D66" s="283" t="s">
        <v>162</v>
      </c>
      <c r="E66" s="283" t="s">
        <v>1505</v>
      </c>
      <c r="F66" s="283" t="s">
        <v>3258</v>
      </c>
      <c r="G66" s="283" t="s">
        <v>3267</v>
      </c>
      <c r="H66" s="11" t="s">
        <v>3000</v>
      </c>
      <c r="I66" s="11" t="s">
        <v>3259</v>
      </c>
      <c r="J66" s="251"/>
      <c r="K66" s="11"/>
      <c r="L66" s="11"/>
      <c r="N66" s="45" t="s">
        <v>561</v>
      </c>
      <c r="O66" s="45" t="s">
        <v>561</v>
      </c>
      <c r="P66" s="45" t="s">
        <v>561</v>
      </c>
      <c r="Q66" s="45" t="s">
        <v>561</v>
      </c>
      <c r="R66" s="45" t="s">
        <v>561</v>
      </c>
      <c r="S66" s="45" t="s">
        <v>561</v>
      </c>
      <c r="T66" s="45" t="s">
        <v>561</v>
      </c>
      <c r="U66" s="45" t="s">
        <v>561</v>
      </c>
      <c r="V66" s="45" t="s">
        <v>561</v>
      </c>
      <c r="W66" s="45" t="s">
        <v>561</v>
      </c>
      <c r="X66" s="45" t="s">
        <v>561</v>
      </c>
      <c r="Y66" s="45" t="s">
        <v>561</v>
      </c>
      <c r="Z66" s="45" t="s">
        <v>561</v>
      </c>
      <c r="AA66" s="45" t="s">
        <v>561</v>
      </c>
      <c r="AB66" s="45" t="s">
        <v>561</v>
      </c>
      <c r="AC66" s="45" t="s">
        <v>561</v>
      </c>
      <c r="AD66" s="45" t="s">
        <v>561</v>
      </c>
      <c r="AE66" s="45" t="s">
        <v>561</v>
      </c>
      <c r="AF66" s="45" t="s">
        <v>561</v>
      </c>
      <c r="AG66" s="45" t="s">
        <v>561</v>
      </c>
      <c r="AH66" s="45" t="s">
        <v>561</v>
      </c>
      <c r="AI66" s="45" t="s">
        <v>561</v>
      </c>
      <c r="AJ66" s="45" t="s">
        <v>561</v>
      </c>
      <c r="AK66" s="45" t="s">
        <v>561</v>
      </c>
      <c r="AL66" s="45" t="s">
        <v>561</v>
      </c>
      <c r="AM66" s="45" t="s">
        <v>561</v>
      </c>
      <c r="AN66" s="45" t="s">
        <v>561</v>
      </c>
      <c r="AO66" s="45" t="s">
        <v>561</v>
      </c>
      <c r="AP66" s="45" t="s">
        <v>561</v>
      </c>
      <c r="AQ66" s="45" t="s">
        <v>561</v>
      </c>
      <c r="AR66" s="45" t="s">
        <v>561</v>
      </c>
      <c r="AS66" s="45" t="s">
        <v>561</v>
      </c>
      <c r="AT66" s="45" t="s">
        <v>561</v>
      </c>
      <c r="AU66" s="45" t="s">
        <v>561</v>
      </c>
      <c r="AV66" s="45" t="s">
        <v>561</v>
      </c>
      <c r="AW66" s="45" t="s">
        <v>561</v>
      </c>
      <c r="AX66" s="45" t="s">
        <v>561</v>
      </c>
      <c r="AY66" s="45" t="s">
        <v>561</v>
      </c>
      <c r="AZ66" s="45" t="s">
        <v>561</v>
      </c>
      <c r="BA66" s="45" t="s">
        <v>561</v>
      </c>
      <c r="BB66" s="45" t="s">
        <v>561</v>
      </c>
      <c r="BC66" s="45" t="s">
        <v>561</v>
      </c>
      <c r="BD66" s="45" t="s">
        <v>561</v>
      </c>
      <c r="BE66" s="45" t="s">
        <v>561</v>
      </c>
      <c r="BF66" s="45" t="s">
        <v>561</v>
      </c>
      <c r="BG66" s="45" t="s">
        <v>561</v>
      </c>
      <c r="BH66" s="45" t="s">
        <v>561</v>
      </c>
      <c r="BI66" s="45" t="s">
        <v>561</v>
      </c>
      <c r="BJ66" s="45" t="s">
        <v>561</v>
      </c>
      <c r="BK66" s="45" t="s">
        <v>561</v>
      </c>
      <c r="BL66" s="45" t="s">
        <v>561</v>
      </c>
      <c r="BM66" s="45" t="s">
        <v>561</v>
      </c>
      <c r="BN66" s="45" t="s">
        <v>561</v>
      </c>
      <c r="BO66" s="45" t="s">
        <v>561</v>
      </c>
      <c r="BP66" s="45" t="s">
        <v>561</v>
      </c>
      <c r="BQ66" s="45" t="s">
        <v>561</v>
      </c>
      <c r="BR66" s="45" t="s">
        <v>561</v>
      </c>
      <c r="BS66" s="45" t="s">
        <v>561</v>
      </c>
      <c r="BT66" s="45" t="s">
        <v>561</v>
      </c>
      <c r="BU66" s="45" t="s">
        <v>561</v>
      </c>
      <c r="BV66" s="45" t="s">
        <v>561</v>
      </c>
      <c r="BW66" s="45" t="s">
        <v>561</v>
      </c>
      <c r="BX66" s="45" t="s">
        <v>561</v>
      </c>
      <c r="BY66" s="45" t="s">
        <v>561</v>
      </c>
      <c r="BZ66" s="45" t="s">
        <v>561</v>
      </c>
      <c r="CA66" s="45" t="s">
        <v>561</v>
      </c>
      <c r="CB66" s="45" t="s">
        <v>561</v>
      </c>
      <c r="CC66" s="45" t="s">
        <v>561</v>
      </c>
      <c r="CD66" s="45" t="s">
        <v>561</v>
      </c>
      <c r="CE66" s="45" t="s">
        <v>561</v>
      </c>
      <c r="CF66" s="45" t="s">
        <v>561</v>
      </c>
      <c r="CG66" s="45" t="s">
        <v>561</v>
      </c>
      <c r="CH66" s="45" t="s">
        <v>561</v>
      </c>
      <c r="CI66" s="45" t="s">
        <v>561</v>
      </c>
      <c r="CJ66" s="45" t="s">
        <v>561</v>
      </c>
      <c r="CK66" s="45" t="s">
        <v>561</v>
      </c>
      <c r="CL66" s="45" t="s">
        <v>561</v>
      </c>
      <c r="CM66" s="45" t="s">
        <v>561</v>
      </c>
      <c r="CN66" s="45" t="s">
        <v>561</v>
      </c>
      <c r="CO66" s="45" t="s">
        <v>561</v>
      </c>
      <c r="CP66" s="45" t="s">
        <v>561</v>
      </c>
      <c r="CQ66" s="45" t="s">
        <v>561</v>
      </c>
      <c r="CR66" s="45" t="s">
        <v>561</v>
      </c>
      <c r="CS66" s="45" t="s">
        <v>561</v>
      </c>
      <c r="CT66" s="45" t="s">
        <v>561</v>
      </c>
      <c r="CU66" s="45" t="s">
        <v>561</v>
      </c>
      <c r="CV66" s="45" t="s">
        <v>561</v>
      </c>
      <c r="CW66" s="45" t="s">
        <v>561</v>
      </c>
      <c r="CX66" s="45" t="s">
        <v>561</v>
      </c>
      <c r="CY66" s="45" t="s">
        <v>561</v>
      </c>
      <c r="CZ66" s="45" t="s">
        <v>561</v>
      </c>
      <c r="DA66" s="45" t="s">
        <v>561</v>
      </c>
      <c r="DB66" s="45" t="s">
        <v>561</v>
      </c>
      <c r="DC66" s="45" t="s">
        <v>561</v>
      </c>
      <c r="DD66" s="45" t="s">
        <v>561</v>
      </c>
      <c r="DE66" s="45" t="s">
        <v>561</v>
      </c>
      <c r="DF66" s="45" t="s">
        <v>561</v>
      </c>
      <c r="DG66" s="45" t="s">
        <v>561</v>
      </c>
      <c r="DH66" s="45" t="s">
        <v>561</v>
      </c>
      <c r="DI66" s="45" t="s">
        <v>561</v>
      </c>
      <c r="DJ66" s="45" t="s">
        <v>561</v>
      </c>
      <c r="DK66" s="45" t="s">
        <v>561</v>
      </c>
      <c r="DL66" s="45" t="s">
        <v>561</v>
      </c>
      <c r="DM66" s="45" t="s">
        <v>561</v>
      </c>
      <c r="DN66" s="45" t="s">
        <v>561</v>
      </c>
      <c r="DO66" s="45" t="s">
        <v>561</v>
      </c>
      <c r="DP66" s="45" t="s">
        <v>561</v>
      </c>
      <c r="DQ66" s="45" t="s">
        <v>561</v>
      </c>
      <c r="DR66" s="45" t="s">
        <v>561</v>
      </c>
      <c r="DS66" s="45" t="s">
        <v>561</v>
      </c>
      <c r="DT66" s="45" t="s">
        <v>561</v>
      </c>
      <c r="DU66" s="45" t="s">
        <v>561</v>
      </c>
      <c r="DV66" s="45" t="s">
        <v>561</v>
      </c>
      <c r="DW66" s="45" t="s">
        <v>561</v>
      </c>
      <c r="DX66" s="45" t="s">
        <v>561</v>
      </c>
      <c r="DY66" s="45" t="s">
        <v>561</v>
      </c>
      <c r="DZ66" s="45" t="s">
        <v>561</v>
      </c>
      <c r="EA66" s="45" t="s">
        <v>561</v>
      </c>
      <c r="EB66" s="45" t="s">
        <v>561</v>
      </c>
      <c r="EC66" s="45" t="s">
        <v>561</v>
      </c>
      <c r="ED66" s="45" t="s">
        <v>561</v>
      </c>
      <c r="EE66" s="45" t="s">
        <v>561</v>
      </c>
      <c r="EF66" s="45" t="s">
        <v>561</v>
      </c>
      <c r="EG66" s="45" t="s">
        <v>561</v>
      </c>
      <c r="EH66" s="45" t="s">
        <v>561</v>
      </c>
      <c r="EI66" s="45" t="s">
        <v>561</v>
      </c>
      <c r="EJ66" s="45" t="s">
        <v>561</v>
      </c>
      <c r="EK66" s="45" t="s">
        <v>561</v>
      </c>
      <c r="EL66" s="45" t="s">
        <v>561</v>
      </c>
      <c r="EM66" s="45" t="s">
        <v>561</v>
      </c>
      <c r="EN66" s="45" t="s">
        <v>561</v>
      </c>
      <c r="EO66" s="45" t="s">
        <v>561</v>
      </c>
      <c r="EP66" s="45" t="s">
        <v>561</v>
      </c>
      <c r="EQ66" s="45" t="s">
        <v>561</v>
      </c>
      <c r="ER66" s="45" t="s">
        <v>561</v>
      </c>
      <c r="ES66" s="45" t="s">
        <v>561</v>
      </c>
      <c r="ET66" s="45" t="s">
        <v>561</v>
      </c>
      <c r="EU66" s="45" t="s">
        <v>561</v>
      </c>
      <c r="EV66" s="45" t="s">
        <v>561</v>
      </c>
      <c r="EW66" s="45" t="s">
        <v>561</v>
      </c>
      <c r="EX66" s="45" t="s">
        <v>561</v>
      </c>
      <c r="EY66" s="45" t="s">
        <v>561</v>
      </c>
      <c r="EZ66" s="45" t="s">
        <v>561</v>
      </c>
      <c r="FA66" s="45" t="s">
        <v>561</v>
      </c>
      <c r="FB66" s="45" t="s">
        <v>561</v>
      </c>
      <c r="FC66" s="45" t="s">
        <v>561</v>
      </c>
      <c r="FD66" s="45" t="s">
        <v>561</v>
      </c>
      <c r="FE66" s="45" t="s">
        <v>561</v>
      </c>
      <c r="FF66" s="45" t="s">
        <v>561</v>
      </c>
      <c r="FG66" s="45" t="s">
        <v>561</v>
      </c>
      <c r="FH66" s="45" t="s">
        <v>561</v>
      </c>
      <c r="FI66" s="45" t="s">
        <v>561</v>
      </c>
      <c r="FJ66" s="45" t="s">
        <v>561</v>
      </c>
      <c r="FK66" s="45" t="s">
        <v>561</v>
      </c>
      <c r="FL66" s="45" t="s">
        <v>561</v>
      </c>
      <c r="FM66" s="45" t="s">
        <v>561</v>
      </c>
      <c r="FN66" s="45" t="s">
        <v>561</v>
      </c>
      <c r="FO66" s="45" t="s">
        <v>561</v>
      </c>
      <c r="FP66" s="45" t="s">
        <v>561</v>
      </c>
      <c r="FQ66" s="45" t="s">
        <v>561</v>
      </c>
      <c r="FR66" s="45" t="s">
        <v>561</v>
      </c>
      <c r="FS66" s="45" t="s">
        <v>561</v>
      </c>
      <c r="FT66" s="45" t="s">
        <v>561</v>
      </c>
      <c r="FU66" s="45" t="s">
        <v>561</v>
      </c>
      <c r="FV66" s="45" t="s">
        <v>561</v>
      </c>
      <c r="FW66" s="45" t="s">
        <v>561</v>
      </c>
      <c r="FX66" s="45" t="s">
        <v>561</v>
      </c>
      <c r="FY66" s="45" t="s">
        <v>561</v>
      </c>
      <c r="FZ66" s="45" t="s">
        <v>561</v>
      </c>
      <c r="GA66" s="45" t="s">
        <v>561</v>
      </c>
      <c r="GB66" s="45" t="s">
        <v>561</v>
      </c>
      <c r="GC66" s="45" t="s">
        <v>561</v>
      </c>
      <c r="GD66" s="45" t="s">
        <v>561</v>
      </c>
      <c r="GE66" s="45" t="s">
        <v>561</v>
      </c>
      <c r="GF66" s="45" t="s">
        <v>561</v>
      </c>
      <c r="GG66" s="45" t="s">
        <v>561</v>
      </c>
      <c r="GH66" s="45" t="s">
        <v>561</v>
      </c>
      <c r="GI66" s="45" t="s">
        <v>561</v>
      </c>
      <c r="GJ66" s="45" t="s">
        <v>561</v>
      </c>
      <c r="GK66" s="45" t="s">
        <v>561</v>
      </c>
      <c r="GL66" s="45" t="s">
        <v>561</v>
      </c>
      <c r="GM66" s="45" t="s">
        <v>561</v>
      </c>
      <c r="GN66" s="45" t="s">
        <v>561</v>
      </c>
      <c r="GO66" s="45" t="s">
        <v>561</v>
      </c>
      <c r="GP66" s="45" t="s">
        <v>561</v>
      </c>
      <c r="GQ66" s="45" t="s">
        <v>561</v>
      </c>
      <c r="GR66" s="45" t="s">
        <v>561</v>
      </c>
      <c r="GS66" s="45" t="s">
        <v>561</v>
      </c>
      <c r="GT66" s="45" t="s">
        <v>561</v>
      </c>
      <c r="GU66" s="45" t="s">
        <v>561</v>
      </c>
      <c r="GV66" s="45" t="s">
        <v>561</v>
      </c>
      <c r="GW66" s="45" t="s">
        <v>561</v>
      </c>
      <c r="GX66" s="45" t="s">
        <v>561</v>
      </c>
      <c r="GY66" s="45" t="s">
        <v>561</v>
      </c>
      <c r="GZ66" s="45" t="s">
        <v>561</v>
      </c>
      <c r="HA66" s="45" t="s">
        <v>561</v>
      </c>
      <c r="HB66" s="45" t="s">
        <v>561</v>
      </c>
      <c r="HC66" s="45" t="s">
        <v>561</v>
      </c>
      <c r="HD66" s="45" t="s">
        <v>561</v>
      </c>
      <c r="HE66" s="45" t="s">
        <v>561</v>
      </c>
      <c r="HF66" s="45" t="s">
        <v>561</v>
      </c>
      <c r="HG66" s="45" t="s">
        <v>561</v>
      </c>
      <c r="HH66" s="45" t="s">
        <v>561</v>
      </c>
      <c r="HI66" s="45" t="s">
        <v>561</v>
      </c>
      <c r="HJ66" s="45" t="s">
        <v>561</v>
      </c>
      <c r="HK66" s="45" t="s">
        <v>561</v>
      </c>
      <c r="HL66" s="45" t="s">
        <v>561</v>
      </c>
      <c r="HM66" s="45" t="s">
        <v>561</v>
      </c>
      <c r="HN66" s="45" t="s">
        <v>561</v>
      </c>
      <c r="HO66" s="45" t="s">
        <v>561</v>
      </c>
    </row>
    <row r="67" spans="1:223" x14ac:dyDescent="0.3">
      <c r="A67" s="283" t="s">
        <v>163</v>
      </c>
      <c r="B67" s="283" t="s">
        <v>1090</v>
      </c>
      <c r="C67" s="283" t="s">
        <v>690</v>
      </c>
      <c r="D67" s="283" t="s">
        <v>162</v>
      </c>
      <c r="E67" s="283" t="s">
        <v>1505</v>
      </c>
      <c r="F67" s="283" t="s">
        <v>1280</v>
      </c>
      <c r="G67" s="283" t="s">
        <v>1401</v>
      </c>
      <c r="H67" s="11" t="s">
        <v>3001</v>
      </c>
      <c r="I67" s="11" t="s">
        <v>3257</v>
      </c>
      <c r="J67" s="11"/>
      <c r="K67" s="11"/>
      <c r="L67" s="11"/>
      <c r="N67" s="41" t="s">
        <v>402</v>
      </c>
      <c r="O67" s="41" t="s">
        <v>402</v>
      </c>
      <c r="P67" s="41" t="s">
        <v>402</v>
      </c>
      <c r="Q67" s="41" t="s">
        <v>402</v>
      </c>
      <c r="R67" s="41" t="s">
        <v>402</v>
      </c>
      <c r="S67" s="41" t="s">
        <v>402</v>
      </c>
      <c r="T67" s="41" t="s">
        <v>402</v>
      </c>
      <c r="U67" s="41" t="s">
        <v>402</v>
      </c>
      <c r="V67" s="41" t="s">
        <v>402</v>
      </c>
      <c r="W67" s="41" t="s">
        <v>402</v>
      </c>
      <c r="X67" s="41" t="s">
        <v>402</v>
      </c>
      <c r="Y67" s="41" t="s">
        <v>402</v>
      </c>
      <c r="Z67" s="41" t="s">
        <v>402</v>
      </c>
      <c r="AA67" s="41" t="s">
        <v>402</v>
      </c>
      <c r="AB67" s="41" t="s">
        <v>402</v>
      </c>
      <c r="AC67" s="41" t="s">
        <v>402</v>
      </c>
      <c r="AD67" s="41" t="s">
        <v>402</v>
      </c>
      <c r="AE67" s="41" t="s">
        <v>402</v>
      </c>
      <c r="AF67" s="41" t="s">
        <v>402</v>
      </c>
      <c r="AG67" s="41" t="s">
        <v>402</v>
      </c>
      <c r="AH67" s="41" t="s">
        <v>402</v>
      </c>
      <c r="AI67" s="41" t="s">
        <v>402</v>
      </c>
      <c r="AJ67" s="41" t="s">
        <v>402</v>
      </c>
      <c r="AK67" s="41" t="s">
        <v>402</v>
      </c>
      <c r="AL67" s="41" t="s">
        <v>402</v>
      </c>
      <c r="AM67" s="41" t="s">
        <v>402</v>
      </c>
      <c r="AN67" s="41" t="s">
        <v>402</v>
      </c>
      <c r="AO67" s="41" t="s">
        <v>402</v>
      </c>
      <c r="AP67" s="41" t="s">
        <v>402</v>
      </c>
      <c r="AQ67" s="41" t="s">
        <v>402</v>
      </c>
      <c r="AR67" s="41" t="s">
        <v>402</v>
      </c>
      <c r="AS67" s="41" t="s">
        <v>402</v>
      </c>
      <c r="AT67" s="41" t="s">
        <v>402</v>
      </c>
      <c r="AU67" s="41" t="s">
        <v>402</v>
      </c>
      <c r="AV67" s="41" t="s">
        <v>402</v>
      </c>
      <c r="AW67" s="41" t="s">
        <v>402</v>
      </c>
      <c r="AX67" s="41" t="s">
        <v>402</v>
      </c>
      <c r="AY67" s="41" t="s">
        <v>402</v>
      </c>
      <c r="AZ67" s="41" t="s">
        <v>402</v>
      </c>
      <c r="BA67" s="41" t="s">
        <v>402</v>
      </c>
      <c r="BB67" s="41" t="s">
        <v>402</v>
      </c>
      <c r="BC67" s="41" t="s">
        <v>402</v>
      </c>
      <c r="BD67" s="41" t="s">
        <v>402</v>
      </c>
      <c r="BE67" s="41" t="s">
        <v>402</v>
      </c>
      <c r="BF67" s="41" t="s">
        <v>402</v>
      </c>
      <c r="BG67" s="41" t="s">
        <v>402</v>
      </c>
      <c r="BH67" s="41" t="s">
        <v>402</v>
      </c>
      <c r="BI67" s="41" t="s">
        <v>402</v>
      </c>
      <c r="BJ67" s="41" t="s">
        <v>402</v>
      </c>
      <c r="BK67" s="41" t="s">
        <v>402</v>
      </c>
      <c r="BL67" s="41" t="s">
        <v>402</v>
      </c>
      <c r="BM67" s="41" t="s">
        <v>402</v>
      </c>
      <c r="BN67" s="41" t="s">
        <v>402</v>
      </c>
      <c r="BO67" s="41" t="s">
        <v>402</v>
      </c>
      <c r="BP67" s="41" t="s">
        <v>402</v>
      </c>
      <c r="BQ67" s="41" t="s">
        <v>402</v>
      </c>
      <c r="BR67" s="41" t="s">
        <v>402</v>
      </c>
      <c r="BS67" s="41" t="s">
        <v>402</v>
      </c>
      <c r="BT67" s="41" t="s">
        <v>402</v>
      </c>
      <c r="BU67" s="41" t="s">
        <v>402</v>
      </c>
      <c r="BV67" s="41" t="s">
        <v>402</v>
      </c>
      <c r="BW67" s="41" t="s">
        <v>402</v>
      </c>
      <c r="BX67" s="41" t="s">
        <v>402</v>
      </c>
      <c r="BY67" s="41" t="s">
        <v>402</v>
      </c>
      <c r="BZ67" s="41" t="s">
        <v>402</v>
      </c>
      <c r="CA67" s="41" t="s">
        <v>402</v>
      </c>
      <c r="CB67" s="41" t="s">
        <v>402</v>
      </c>
      <c r="CC67" s="41" t="s">
        <v>402</v>
      </c>
      <c r="CD67" s="41" t="s">
        <v>402</v>
      </c>
      <c r="CE67" s="41" t="s">
        <v>402</v>
      </c>
      <c r="CF67" s="41" t="s">
        <v>402</v>
      </c>
      <c r="CG67" s="41" t="s">
        <v>402</v>
      </c>
      <c r="CH67" s="41" t="s">
        <v>402</v>
      </c>
      <c r="CI67" s="41" t="s">
        <v>402</v>
      </c>
      <c r="CJ67" s="41" t="s">
        <v>402</v>
      </c>
      <c r="CK67" s="41" t="s">
        <v>402</v>
      </c>
      <c r="CL67" s="41" t="s">
        <v>402</v>
      </c>
      <c r="CM67" s="41" t="s">
        <v>402</v>
      </c>
      <c r="CN67" s="41" t="s">
        <v>402</v>
      </c>
      <c r="CO67" s="41" t="s">
        <v>402</v>
      </c>
      <c r="CP67" s="41" t="s">
        <v>402</v>
      </c>
      <c r="CQ67" s="41" t="s">
        <v>402</v>
      </c>
      <c r="CR67" s="41" t="s">
        <v>402</v>
      </c>
      <c r="CS67" s="41" t="s">
        <v>402</v>
      </c>
      <c r="CT67" s="41" t="s">
        <v>402</v>
      </c>
      <c r="CU67" s="41" t="s">
        <v>402</v>
      </c>
      <c r="CV67" s="41" t="s">
        <v>402</v>
      </c>
      <c r="CW67" s="41" t="s">
        <v>402</v>
      </c>
      <c r="CX67" s="41" t="s">
        <v>402</v>
      </c>
      <c r="CY67" s="41" t="s">
        <v>402</v>
      </c>
      <c r="CZ67" s="41" t="s">
        <v>402</v>
      </c>
      <c r="DA67" s="41" t="s">
        <v>402</v>
      </c>
      <c r="DB67" s="41" t="s">
        <v>402</v>
      </c>
      <c r="DC67" s="41" t="s">
        <v>402</v>
      </c>
      <c r="DD67" s="41" t="s">
        <v>402</v>
      </c>
      <c r="DE67" s="41" t="s">
        <v>402</v>
      </c>
      <c r="DF67" s="41" t="s">
        <v>402</v>
      </c>
      <c r="DG67" s="41" t="s">
        <v>402</v>
      </c>
      <c r="DH67" s="41" t="s">
        <v>402</v>
      </c>
      <c r="DI67" s="41" t="s">
        <v>402</v>
      </c>
      <c r="DJ67" s="41" t="s">
        <v>402</v>
      </c>
      <c r="DK67" s="41" t="s">
        <v>402</v>
      </c>
      <c r="DL67" s="41" t="s">
        <v>402</v>
      </c>
      <c r="DM67" s="41" t="s">
        <v>402</v>
      </c>
      <c r="DN67" s="41" t="s">
        <v>402</v>
      </c>
      <c r="DO67" s="41" t="s">
        <v>402</v>
      </c>
      <c r="DP67" s="41" t="s">
        <v>402</v>
      </c>
      <c r="DQ67" s="41" t="s">
        <v>402</v>
      </c>
      <c r="DR67" s="41" t="s">
        <v>402</v>
      </c>
      <c r="DS67" s="41" t="s">
        <v>402</v>
      </c>
      <c r="DT67" s="41" t="s">
        <v>402</v>
      </c>
      <c r="DU67" s="41" t="s">
        <v>402</v>
      </c>
      <c r="DV67" s="41" t="s">
        <v>402</v>
      </c>
      <c r="DW67" s="41" t="s">
        <v>402</v>
      </c>
      <c r="DX67" s="41" t="s">
        <v>402</v>
      </c>
      <c r="DY67" s="41" t="s">
        <v>402</v>
      </c>
      <c r="DZ67" s="41" t="s">
        <v>402</v>
      </c>
      <c r="EA67" s="41" t="s">
        <v>402</v>
      </c>
      <c r="EB67" s="41" t="s">
        <v>402</v>
      </c>
      <c r="EC67" s="41" t="s">
        <v>402</v>
      </c>
      <c r="ED67" s="41" t="s">
        <v>402</v>
      </c>
      <c r="EE67" s="41" t="s">
        <v>402</v>
      </c>
      <c r="EF67" s="41" t="s">
        <v>402</v>
      </c>
      <c r="EG67" s="41" t="s">
        <v>402</v>
      </c>
      <c r="EH67" s="41" t="s">
        <v>402</v>
      </c>
      <c r="EI67" s="41" t="s">
        <v>402</v>
      </c>
      <c r="EJ67" s="41" t="s">
        <v>402</v>
      </c>
      <c r="EK67" s="41" t="s">
        <v>402</v>
      </c>
      <c r="EL67" s="41" t="s">
        <v>402</v>
      </c>
      <c r="EM67" s="41" t="s">
        <v>402</v>
      </c>
      <c r="EN67" s="41" t="s">
        <v>402</v>
      </c>
      <c r="EO67" s="41" t="s">
        <v>402</v>
      </c>
      <c r="EP67" s="41" t="s">
        <v>402</v>
      </c>
      <c r="EQ67" s="41" t="s">
        <v>402</v>
      </c>
      <c r="ER67" s="41" t="s">
        <v>402</v>
      </c>
      <c r="ES67" s="41" t="s">
        <v>402</v>
      </c>
      <c r="ET67" s="41" t="s">
        <v>402</v>
      </c>
      <c r="EU67" s="41" t="s">
        <v>402</v>
      </c>
      <c r="EV67" s="41" t="s">
        <v>402</v>
      </c>
      <c r="EW67" s="41" t="s">
        <v>402</v>
      </c>
      <c r="EX67" s="41" t="s">
        <v>402</v>
      </c>
      <c r="EY67" s="41" t="s">
        <v>402</v>
      </c>
      <c r="EZ67" s="41" t="s">
        <v>402</v>
      </c>
      <c r="FA67" s="41" t="s">
        <v>402</v>
      </c>
      <c r="FB67" s="41" t="s">
        <v>402</v>
      </c>
      <c r="FC67" s="41" t="s">
        <v>402</v>
      </c>
      <c r="FD67" s="41" t="s">
        <v>402</v>
      </c>
      <c r="FE67" s="41" t="s">
        <v>402</v>
      </c>
      <c r="FF67" s="41" t="s">
        <v>402</v>
      </c>
      <c r="FG67" s="41" t="s">
        <v>402</v>
      </c>
      <c r="FH67" s="41" t="s">
        <v>402</v>
      </c>
      <c r="FI67" s="41" t="s">
        <v>402</v>
      </c>
      <c r="FJ67" s="41" t="s">
        <v>402</v>
      </c>
      <c r="FK67" s="41" t="s">
        <v>402</v>
      </c>
      <c r="FL67" s="41" t="s">
        <v>402</v>
      </c>
      <c r="FM67" s="41" t="s">
        <v>402</v>
      </c>
      <c r="FN67" s="41" t="s">
        <v>402</v>
      </c>
      <c r="FO67" s="41" t="s">
        <v>402</v>
      </c>
      <c r="FP67" s="41" t="s">
        <v>402</v>
      </c>
      <c r="FQ67" s="41" t="s">
        <v>402</v>
      </c>
      <c r="FR67" s="41" t="s">
        <v>402</v>
      </c>
      <c r="FS67" s="41" t="s">
        <v>402</v>
      </c>
      <c r="FT67" s="41" t="s">
        <v>402</v>
      </c>
      <c r="FU67" s="41" t="s">
        <v>402</v>
      </c>
      <c r="FV67" s="41" t="s">
        <v>402</v>
      </c>
      <c r="FW67" s="41" t="s">
        <v>402</v>
      </c>
      <c r="FX67" s="41" t="s">
        <v>402</v>
      </c>
      <c r="FY67" s="41" t="s">
        <v>402</v>
      </c>
      <c r="FZ67" s="41" t="s">
        <v>402</v>
      </c>
      <c r="GA67" s="41" t="s">
        <v>402</v>
      </c>
      <c r="GB67" s="41" t="s">
        <v>402</v>
      </c>
      <c r="GC67" s="41" t="s">
        <v>402</v>
      </c>
      <c r="GD67" s="41" t="s">
        <v>402</v>
      </c>
      <c r="GE67" s="41" t="s">
        <v>402</v>
      </c>
      <c r="GF67" s="41" t="s">
        <v>402</v>
      </c>
      <c r="GG67" s="41" t="s">
        <v>402</v>
      </c>
      <c r="GH67" s="41" t="s">
        <v>402</v>
      </c>
      <c r="GI67" s="41" t="s">
        <v>402</v>
      </c>
      <c r="GJ67" s="41" t="s">
        <v>402</v>
      </c>
      <c r="GK67" s="41" t="s">
        <v>402</v>
      </c>
      <c r="GL67" s="41" t="s">
        <v>402</v>
      </c>
      <c r="GM67" s="41" t="s">
        <v>402</v>
      </c>
      <c r="GN67" s="41" t="s">
        <v>402</v>
      </c>
      <c r="GO67" s="41" t="s">
        <v>402</v>
      </c>
      <c r="GP67" s="41" t="s">
        <v>402</v>
      </c>
      <c r="GQ67" s="41" t="s">
        <v>402</v>
      </c>
      <c r="GR67" s="41" t="s">
        <v>402</v>
      </c>
      <c r="GS67" s="41" t="s">
        <v>402</v>
      </c>
      <c r="GT67" s="41" t="s">
        <v>402</v>
      </c>
      <c r="GU67" s="41" t="s">
        <v>402</v>
      </c>
      <c r="GV67" s="41" t="s">
        <v>402</v>
      </c>
      <c r="GW67" s="41" t="s">
        <v>402</v>
      </c>
      <c r="GX67" s="41" t="s">
        <v>402</v>
      </c>
      <c r="GY67" s="41" t="s">
        <v>402</v>
      </c>
      <c r="GZ67" s="41" t="s">
        <v>402</v>
      </c>
      <c r="HA67" s="41" t="s">
        <v>402</v>
      </c>
      <c r="HB67" s="41" t="s">
        <v>402</v>
      </c>
      <c r="HC67" s="41" t="s">
        <v>402</v>
      </c>
      <c r="HD67" s="41" t="s">
        <v>402</v>
      </c>
      <c r="HE67" s="41" t="s">
        <v>402</v>
      </c>
      <c r="HF67" s="41" t="s">
        <v>402</v>
      </c>
      <c r="HG67" s="41" t="s">
        <v>402</v>
      </c>
      <c r="HH67" s="41" t="s">
        <v>402</v>
      </c>
      <c r="HI67" s="41" t="s">
        <v>402</v>
      </c>
      <c r="HJ67" s="41" t="s">
        <v>402</v>
      </c>
      <c r="HK67" s="41" t="s">
        <v>402</v>
      </c>
      <c r="HL67" s="41" t="s">
        <v>402</v>
      </c>
      <c r="HM67" s="41" t="s">
        <v>402</v>
      </c>
      <c r="HN67" s="41" t="s">
        <v>402</v>
      </c>
      <c r="HO67" s="41" t="s">
        <v>402</v>
      </c>
    </row>
    <row r="68" spans="1:223" x14ac:dyDescent="0.3">
      <c r="A68" s="283" t="s">
        <v>163</v>
      </c>
      <c r="B68" s="283" t="s">
        <v>1418</v>
      </c>
      <c r="C68" s="283" t="s">
        <v>1388</v>
      </c>
      <c r="D68" s="283" t="s">
        <v>162</v>
      </c>
      <c r="E68" s="283" t="s">
        <v>1505</v>
      </c>
      <c r="F68" s="283" t="s">
        <v>651</v>
      </c>
      <c r="G68" s="283" t="s">
        <v>651</v>
      </c>
      <c r="H68" s="283" t="s">
        <v>3001</v>
      </c>
      <c r="I68" s="283" t="s">
        <v>3257</v>
      </c>
      <c r="J68" s="251"/>
      <c r="K68" s="11"/>
      <c r="L68" s="11"/>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row>
    <row r="69" spans="1:223" x14ac:dyDescent="0.3">
      <c r="A69" s="283" t="s">
        <v>163</v>
      </c>
      <c r="B69" s="283" t="s">
        <v>2263</v>
      </c>
      <c r="C69" s="283" t="s">
        <v>2589</v>
      </c>
      <c r="D69" s="283" t="s">
        <v>162</v>
      </c>
      <c r="E69" s="283" t="s">
        <v>1505</v>
      </c>
      <c r="F69" s="283" t="s">
        <v>1279</v>
      </c>
      <c r="G69" s="283" t="s">
        <v>2264</v>
      </c>
      <c r="H69" s="11" t="s">
        <v>3001</v>
      </c>
      <c r="I69" s="11" t="s">
        <v>3257</v>
      </c>
      <c r="J69" s="11"/>
      <c r="K69" s="11"/>
      <c r="L69" s="1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row>
    <row r="70" spans="1:223" ht="26.4" x14ac:dyDescent="0.3">
      <c r="A70" s="283" t="s">
        <v>174</v>
      </c>
      <c r="B70" s="283" t="s">
        <v>1092</v>
      </c>
      <c r="C70" s="283" t="s">
        <v>1746</v>
      </c>
      <c r="D70" s="283" t="s">
        <v>173</v>
      </c>
      <c r="E70" s="283" t="s">
        <v>1508</v>
      </c>
      <c r="F70" s="283" t="s">
        <v>1280</v>
      </c>
      <c r="G70" s="283" t="s">
        <v>1399</v>
      </c>
      <c r="H70" s="283" t="s">
        <v>3001</v>
      </c>
      <c r="I70" s="283" t="s">
        <v>3257</v>
      </c>
      <c r="J70" s="11"/>
      <c r="K70" s="11"/>
      <c r="L70" s="1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row>
    <row r="71" spans="1:223" ht="26.4" x14ac:dyDescent="0.3">
      <c r="A71" s="283" t="s">
        <v>174</v>
      </c>
      <c r="B71" s="283" t="s">
        <v>2266</v>
      </c>
      <c r="C71" s="283" t="s">
        <v>2590</v>
      </c>
      <c r="D71" s="283" t="s">
        <v>173</v>
      </c>
      <c r="E71" s="283" t="s">
        <v>1508</v>
      </c>
      <c r="F71" s="283" t="s">
        <v>1282</v>
      </c>
      <c r="G71" s="283" t="s">
        <v>1406</v>
      </c>
      <c r="H71" s="283" t="s">
        <v>3000</v>
      </c>
      <c r="I71" s="283" t="s">
        <v>3257</v>
      </c>
      <c r="J71" s="11"/>
      <c r="K71" s="11"/>
      <c r="L71" s="1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row>
    <row r="72" spans="1:223" ht="26.4" x14ac:dyDescent="0.3">
      <c r="A72" s="283" t="s">
        <v>174</v>
      </c>
      <c r="B72" s="283" t="s">
        <v>3217</v>
      </c>
      <c r="C72" s="283" t="s">
        <v>2931</v>
      </c>
      <c r="D72" s="283" t="s">
        <v>173</v>
      </c>
      <c r="E72" s="283" t="s">
        <v>1508</v>
      </c>
      <c r="F72" s="283" t="s">
        <v>3268</v>
      </c>
      <c r="G72" s="283" t="s">
        <v>2932</v>
      </c>
      <c r="H72" s="283" t="s">
        <v>3001</v>
      </c>
      <c r="I72" s="283" t="s">
        <v>3257</v>
      </c>
      <c r="J72" s="11"/>
      <c r="K72" s="11"/>
      <c r="L72" s="11"/>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row>
    <row r="73" spans="1:223" x14ac:dyDescent="0.3">
      <c r="A73" s="283" t="s">
        <v>176</v>
      </c>
      <c r="B73" s="283" t="s">
        <v>792</v>
      </c>
      <c r="C73" s="283" t="s">
        <v>684</v>
      </c>
      <c r="D73" s="283" t="s">
        <v>175</v>
      </c>
      <c r="E73" s="283" t="s">
        <v>1505</v>
      </c>
      <c r="F73" s="283" t="s">
        <v>651</v>
      </c>
      <c r="G73" s="283" t="s">
        <v>651</v>
      </c>
      <c r="H73" s="11" t="s">
        <v>3000</v>
      </c>
      <c r="I73" s="11" t="s">
        <v>3257</v>
      </c>
      <c r="J73" s="11"/>
      <c r="K73" s="11"/>
      <c r="L73" s="11"/>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row>
    <row r="74" spans="1:223" ht="118.8" x14ac:dyDescent="0.3">
      <c r="A74" s="283" t="s">
        <v>2137</v>
      </c>
      <c r="B74" s="283" t="s">
        <v>2100</v>
      </c>
      <c r="C74" s="283" t="s">
        <v>2135</v>
      </c>
      <c r="D74" s="283" t="s">
        <v>2136</v>
      </c>
      <c r="E74" s="283" t="s">
        <v>1505</v>
      </c>
      <c r="F74" s="283" t="s">
        <v>1281</v>
      </c>
      <c r="G74" s="283" t="s">
        <v>2100</v>
      </c>
      <c r="H74" s="11"/>
      <c r="I74" s="11" t="s">
        <v>3257</v>
      </c>
      <c r="J74" s="11"/>
      <c r="K74" s="11"/>
      <c r="L74" s="1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row>
    <row r="75" spans="1:223" x14ac:dyDescent="0.3">
      <c r="A75" s="283" t="s">
        <v>180</v>
      </c>
      <c r="B75" s="283" t="s">
        <v>1094</v>
      </c>
      <c r="C75" s="283" t="s">
        <v>587</v>
      </c>
      <c r="D75" s="283" t="s">
        <v>179</v>
      </c>
      <c r="E75" s="283" t="s">
        <v>1505</v>
      </c>
      <c r="F75" s="283" t="s">
        <v>3258</v>
      </c>
      <c r="G75" s="283" t="s">
        <v>691</v>
      </c>
      <c r="H75" s="11" t="s">
        <v>3000</v>
      </c>
      <c r="I75" s="11" t="s">
        <v>3259</v>
      </c>
      <c r="J75" s="11"/>
      <c r="K75" s="11"/>
      <c r="L75" s="1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row>
    <row r="76" spans="1:223" x14ac:dyDescent="0.3">
      <c r="A76" s="283" t="s">
        <v>180</v>
      </c>
      <c r="B76" s="283" t="s">
        <v>800</v>
      </c>
      <c r="C76" s="283" t="s">
        <v>865</v>
      </c>
      <c r="D76" s="283" t="s">
        <v>179</v>
      </c>
      <c r="E76" s="283" t="s">
        <v>1505</v>
      </c>
      <c r="F76" s="283" t="s">
        <v>1280</v>
      </c>
      <c r="G76" s="283" t="s">
        <v>1389</v>
      </c>
      <c r="H76" s="283" t="s">
        <v>3001</v>
      </c>
      <c r="I76" s="283" t="s">
        <v>3257</v>
      </c>
      <c r="J76" s="11"/>
      <c r="K76" s="11"/>
      <c r="L76" s="1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row>
    <row r="77" spans="1:223" x14ac:dyDescent="0.3">
      <c r="A77" s="283" t="s">
        <v>189</v>
      </c>
      <c r="B77" s="283" t="s">
        <v>789</v>
      </c>
      <c r="C77" s="283" t="s">
        <v>2924</v>
      </c>
      <c r="D77" s="283" t="s">
        <v>188</v>
      </c>
      <c r="E77" s="283" t="s">
        <v>1505</v>
      </c>
      <c r="F77" s="283" t="s">
        <v>651</v>
      </c>
      <c r="G77" s="283" t="s">
        <v>651</v>
      </c>
      <c r="H77" s="11" t="s">
        <v>3001</v>
      </c>
      <c r="I77" s="11" t="s">
        <v>3257</v>
      </c>
      <c r="J77" s="11"/>
      <c r="K77" s="11"/>
      <c r="L77" s="11"/>
      <c r="N77" s="42" t="s">
        <v>609</v>
      </c>
      <c r="O77" s="42" t="s">
        <v>609</v>
      </c>
      <c r="P77" s="42" t="s">
        <v>609</v>
      </c>
      <c r="Q77" s="42" t="s">
        <v>609</v>
      </c>
      <c r="R77" s="42" t="s">
        <v>609</v>
      </c>
      <c r="S77" s="42" t="s">
        <v>609</v>
      </c>
      <c r="T77" s="42" t="s">
        <v>609</v>
      </c>
      <c r="U77" s="42" t="s">
        <v>609</v>
      </c>
      <c r="V77" s="42" t="s">
        <v>609</v>
      </c>
      <c r="W77" s="42" t="s">
        <v>609</v>
      </c>
      <c r="X77" s="42" t="s">
        <v>609</v>
      </c>
      <c r="Y77" s="42" t="s">
        <v>609</v>
      </c>
      <c r="Z77" s="42" t="s">
        <v>609</v>
      </c>
      <c r="AA77" s="42" t="s">
        <v>609</v>
      </c>
      <c r="AB77" s="42" t="s">
        <v>609</v>
      </c>
      <c r="AC77" s="42" t="s">
        <v>609</v>
      </c>
      <c r="AD77" s="42" t="s">
        <v>609</v>
      </c>
      <c r="AE77" s="42" t="s">
        <v>609</v>
      </c>
      <c r="AF77" s="42" t="s">
        <v>609</v>
      </c>
      <c r="AG77" s="42" t="s">
        <v>609</v>
      </c>
      <c r="AH77" s="42" t="s">
        <v>609</v>
      </c>
      <c r="AI77" s="42" t="s">
        <v>609</v>
      </c>
      <c r="AJ77" s="42" t="s">
        <v>609</v>
      </c>
      <c r="AK77" s="42" t="s">
        <v>609</v>
      </c>
      <c r="AL77" s="42" t="s">
        <v>609</v>
      </c>
      <c r="AM77" s="42" t="s">
        <v>609</v>
      </c>
      <c r="AN77" s="42" t="s">
        <v>609</v>
      </c>
      <c r="AO77" s="42" t="s">
        <v>609</v>
      </c>
      <c r="AP77" s="42" t="s">
        <v>609</v>
      </c>
      <c r="AQ77" s="42" t="s">
        <v>609</v>
      </c>
      <c r="AR77" s="42" t="s">
        <v>609</v>
      </c>
      <c r="AS77" s="42" t="s">
        <v>609</v>
      </c>
      <c r="AT77" s="42" t="s">
        <v>609</v>
      </c>
      <c r="AU77" s="42" t="s">
        <v>609</v>
      </c>
      <c r="AV77" s="42" t="s">
        <v>609</v>
      </c>
      <c r="AW77" s="42" t="s">
        <v>609</v>
      </c>
      <c r="AX77" s="42" t="s">
        <v>609</v>
      </c>
      <c r="AY77" s="42" t="s">
        <v>609</v>
      </c>
      <c r="AZ77" s="42" t="s">
        <v>609</v>
      </c>
      <c r="BA77" s="42" t="s">
        <v>609</v>
      </c>
      <c r="BB77" s="42" t="s">
        <v>609</v>
      </c>
      <c r="BC77" s="42" t="s">
        <v>609</v>
      </c>
      <c r="BD77" s="42" t="s">
        <v>609</v>
      </c>
      <c r="BE77" s="42" t="s">
        <v>609</v>
      </c>
      <c r="BF77" s="42" t="s">
        <v>609</v>
      </c>
      <c r="BG77" s="42" t="s">
        <v>609</v>
      </c>
      <c r="BH77" s="42" t="s">
        <v>609</v>
      </c>
      <c r="BI77" s="42" t="s">
        <v>609</v>
      </c>
      <c r="BJ77" s="42" t="s">
        <v>609</v>
      </c>
      <c r="BK77" s="42" t="s">
        <v>609</v>
      </c>
      <c r="BL77" s="42" t="s">
        <v>609</v>
      </c>
      <c r="BM77" s="42" t="s">
        <v>609</v>
      </c>
      <c r="BN77" s="42" t="s">
        <v>609</v>
      </c>
      <c r="BO77" s="42" t="s">
        <v>609</v>
      </c>
      <c r="BP77" s="42" t="s">
        <v>609</v>
      </c>
      <c r="BQ77" s="42" t="s">
        <v>609</v>
      </c>
      <c r="BR77" s="42" t="s">
        <v>609</v>
      </c>
      <c r="BS77" s="42" t="s">
        <v>609</v>
      </c>
      <c r="BT77" s="42" t="s">
        <v>609</v>
      </c>
      <c r="BU77" s="42" t="s">
        <v>609</v>
      </c>
      <c r="BV77" s="42" t="s">
        <v>609</v>
      </c>
      <c r="BW77" s="42" t="s">
        <v>609</v>
      </c>
      <c r="BX77" s="42" t="s">
        <v>609</v>
      </c>
      <c r="BY77" s="42" t="s">
        <v>609</v>
      </c>
      <c r="BZ77" s="42" t="s">
        <v>609</v>
      </c>
      <c r="CA77" s="42" t="s">
        <v>609</v>
      </c>
      <c r="CB77" s="42" t="s">
        <v>609</v>
      </c>
      <c r="CC77" s="42" t="s">
        <v>609</v>
      </c>
      <c r="CD77" s="42" t="s">
        <v>609</v>
      </c>
      <c r="CE77" s="42" t="s">
        <v>609</v>
      </c>
      <c r="CF77" s="42" t="s">
        <v>609</v>
      </c>
      <c r="CG77" s="42" t="s">
        <v>609</v>
      </c>
      <c r="CH77" s="42" t="s">
        <v>609</v>
      </c>
      <c r="CI77" s="42" t="s">
        <v>609</v>
      </c>
      <c r="CJ77" s="42" t="s">
        <v>609</v>
      </c>
      <c r="CK77" s="42" t="s">
        <v>609</v>
      </c>
      <c r="CL77" s="42" t="s">
        <v>609</v>
      </c>
      <c r="CM77" s="42" t="s">
        <v>609</v>
      </c>
      <c r="CN77" s="42" t="s">
        <v>609</v>
      </c>
      <c r="CO77" s="42" t="s">
        <v>609</v>
      </c>
      <c r="CP77" s="42" t="s">
        <v>609</v>
      </c>
      <c r="CQ77" s="42" t="s">
        <v>609</v>
      </c>
      <c r="CR77" s="42" t="s">
        <v>609</v>
      </c>
      <c r="CS77" s="42" t="s">
        <v>609</v>
      </c>
      <c r="CT77" s="42" t="s">
        <v>609</v>
      </c>
      <c r="CU77" s="42" t="s">
        <v>609</v>
      </c>
      <c r="CV77" s="42" t="s">
        <v>609</v>
      </c>
      <c r="CW77" s="42" t="s">
        <v>609</v>
      </c>
      <c r="CX77" s="42" t="s">
        <v>609</v>
      </c>
      <c r="CY77" s="42" t="s">
        <v>609</v>
      </c>
      <c r="CZ77" s="42" t="s">
        <v>609</v>
      </c>
      <c r="DA77" s="42" t="s">
        <v>609</v>
      </c>
      <c r="DB77" s="42" t="s">
        <v>609</v>
      </c>
      <c r="DC77" s="42" t="s">
        <v>609</v>
      </c>
      <c r="DD77" s="42" t="s">
        <v>609</v>
      </c>
      <c r="DE77" s="42" t="s">
        <v>609</v>
      </c>
      <c r="DF77" s="42" t="s">
        <v>609</v>
      </c>
      <c r="DG77" s="42" t="s">
        <v>609</v>
      </c>
      <c r="DH77" s="42" t="s">
        <v>609</v>
      </c>
      <c r="DI77" s="42" t="s">
        <v>609</v>
      </c>
      <c r="DJ77" s="42" t="s">
        <v>609</v>
      </c>
      <c r="DK77" s="42" t="s">
        <v>609</v>
      </c>
      <c r="DL77" s="42" t="s">
        <v>609</v>
      </c>
      <c r="DM77" s="42" t="s">
        <v>609</v>
      </c>
      <c r="DN77" s="42" t="s">
        <v>609</v>
      </c>
      <c r="DO77" s="42" t="s">
        <v>609</v>
      </c>
      <c r="DP77" s="42" t="s">
        <v>609</v>
      </c>
      <c r="DQ77" s="42" t="s">
        <v>609</v>
      </c>
      <c r="DR77" s="42" t="s">
        <v>609</v>
      </c>
      <c r="DS77" s="42" t="s">
        <v>609</v>
      </c>
      <c r="DT77" s="42" t="s">
        <v>609</v>
      </c>
      <c r="DU77" s="42" t="s">
        <v>609</v>
      </c>
      <c r="DV77" s="42" t="s">
        <v>609</v>
      </c>
      <c r="DW77" s="42" t="s">
        <v>609</v>
      </c>
      <c r="DX77" s="42" t="s">
        <v>609</v>
      </c>
      <c r="DY77" s="42" t="s">
        <v>609</v>
      </c>
      <c r="DZ77" s="42" t="s">
        <v>609</v>
      </c>
      <c r="EA77" s="42" t="s">
        <v>609</v>
      </c>
      <c r="EB77" s="42" t="s">
        <v>609</v>
      </c>
      <c r="EC77" s="42" t="s">
        <v>609</v>
      </c>
      <c r="ED77" s="42" t="s">
        <v>609</v>
      </c>
      <c r="EE77" s="42" t="s">
        <v>609</v>
      </c>
      <c r="EF77" s="42" t="s">
        <v>609</v>
      </c>
      <c r="EG77" s="42" t="s">
        <v>609</v>
      </c>
      <c r="EH77" s="42" t="s">
        <v>609</v>
      </c>
      <c r="EI77" s="42" t="s">
        <v>609</v>
      </c>
      <c r="EJ77" s="42" t="s">
        <v>609</v>
      </c>
      <c r="EK77" s="42" t="s">
        <v>609</v>
      </c>
      <c r="EL77" s="42" t="s">
        <v>609</v>
      </c>
      <c r="EM77" s="42" t="s">
        <v>609</v>
      </c>
      <c r="EN77" s="42" t="s">
        <v>609</v>
      </c>
      <c r="EO77" s="42" t="s">
        <v>609</v>
      </c>
      <c r="EP77" s="42" t="s">
        <v>609</v>
      </c>
      <c r="EQ77" s="42" t="s">
        <v>609</v>
      </c>
      <c r="ER77" s="42" t="s">
        <v>609</v>
      </c>
      <c r="ES77" s="42" t="s">
        <v>609</v>
      </c>
      <c r="ET77" s="42" t="s">
        <v>609</v>
      </c>
      <c r="EU77" s="42" t="s">
        <v>609</v>
      </c>
      <c r="EV77" s="42" t="s">
        <v>609</v>
      </c>
      <c r="EW77" s="42" t="s">
        <v>609</v>
      </c>
      <c r="EX77" s="42" t="s">
        <v>609</v>
      </c>
      <c r="EY77" s="42" t="s">
        <v>609</v>
      </c>
      <c r="EZ77" s="42" t="s">
        <v>609</v>
      </c>
      <c r="FA77" s="42" t="s">
        <v>609</v>
      </c>
      <c r="FB77" s="42" t="s">
        <v>609</v>
      </c>
      <c r="FC77" s="42" t="s">
        <v>609</v>
      </c>
      <c r="FD77" s="42" t="s">
        <v>609</v>
      </c>
      <c r="FE77" s="42" t="s">
        <v>609</v>
      </c>
      <c r="FF77" s="42" t="s">
        <v>609</v>
      </c>
      <c r="FG77" s="42" t="s">
        <v>609</v>
      </c>
      <c r="FH77" s="42" t="s">
        <v>609</v>
      </c>
      <c r="FI77" s="42" t="s">
        <v>609</v>
      </c>
      <c r="FJ77" s="42" t="s">
        <v>609</v>
      </c>
      <c r="FK77" s="42" t="s">
        <v>609</v>
      </c>
      <c r="FL77" s="42" t="s">
        <v>609</v>
      </c>
      <c r="FM77" s="42" t="s">
        <v>609</v>
      </c>
      <c r="FN77" s="42" t="s">
        <v>609</v>
      </c>
      <c r="FO77" s="42" t="s">
        <v>609</v>
      </c>
      <c r="FP77" s="42" t="s">
        <v>609</v>
      </c>
      <c r="FQ77" s="42" t="s">
        <v>609</v>
      </c>
      <c r="FR77" s="42" t="s">
        <v>609</v>
      </c>
      <c r="FS77" s="42" t="s">
        <v>609</v>
      </c>
      <c r="FT77" s="42" t="s">
        <v>609</v>
      </c>
      <c r="FU77" s="42" t="s">
        <v>609</v>
      </c>
      <c r="FV77" s="42" t="s">
        <v>609</v>
      </c>
      <c r="FW77" s="42" t="s">
        <v>609</v>
      </c>
      <c r="FX77" s="42" t="s">
        <v>609</v>
      </c>
      <c r="FY77" s="42" t="s">
        <v>609</v>
      </c>
      <c r="FZ77" s="42" t="s">
        <v>609</v>
      </c>
      <c r="GA77" s="42" t="s">
        <v>609</v>
      </c>
      <c r="GB77" s="42" t="s">
        <v>609</v>
      </c>
      <c r="GC77" s="42" t="s">
        <v>609</v>
      </c>
      <c r="GD77" s="42" t="s">
        <v>609</v>
      </c>
      <c r="GE77" s="42" t="s">
        <v>609</v>
      </c>
      <c r="GF77" s="42" t="s">
        <v>609</v>
      </c>
      <c r="GG77" s="42" t="s">
        <v>609</v>
      </c>
      <c r="GH77" s="42" t="s">
        <v>609</v>
      </c>
      <c r="GI77" s="42" t="s">
        <v>609</v>
      </c>
      <c r="GJ77" s="42" t="s">
        <v>609</v>
      </c>
      <c r="GK77" s="42" t="s">
        <v>609</v>
      </c>
      <c r="GL77" s="42" t="s">
        <v>609</v>
      </c>
      <c r="GM77" s="42" t="s">
        <v>609</v>
      </c>
      <c r="GN77" s="42" t="s">
        <v>609</v>
      </c>
      <c r="GO77" s="42" t="s">
        <v>609</v>
      </c>
      <c r="GP77" s="42" t="s">
        <v>609</v>
      </c>
      <c r="GQ77" s="42" t="s">
        <v>609</v>
      </c>
      <c r="GR77" s="42" t="s">
        <v>609</v>
      </c>
      <c r="GS77" s="42" t="s">
        <v>609</v>
      </c>
      <c r="GT77" s="42" t="s">
        <v>609</v>
      </c>
      <c r="GU77" s="42" t="s">
        <v>609</v>
      </c>
      <c r="GV77" s="42" t="s">
        <v>609</v>
      </c>
      <c r="GW77" s="42" t="s">
        <v>609</v>
      </c>
      <c r="GX77" s="42" t="s">
        <v>609</v>
      </c>
      <c r="GY77" s="42" t="s">
        <v>609</v>
      </c>
      <c r="GZ77" s="42" t="s">
        <v>609</v>
      </c>
      <c r="HA77" s="42" t="s">
        <v>609</v>
      </c>
      <c r="HB77" s="42" t="s">
        <v>609</v>
      </c>
      <c r="HC77" s="42" t="s">
        <v>609</v>
      </c>
      <c r="HD77" s="42" t="s">
        <v>609</v>
      </c>
      <c r="HE77" s="42" t="s">
        <v>609</v>
      </c>
      <c r="HF77" s="42" t="s">
        <v>609</v>
      </c>
      <c r="HG77" s="42" t="s">
        <v>609</v>
      </c>
      <c r="HH77" s="42" t="s">
        <v>609</v>
      </c>
      <c r="HI77" s="42" t="s">
        <v>609</v>
      </c>
      <c r="HJ77" s="42" t="s">
        <v>609</v>
      </c>
      <c r="HK77" s="42" t="s">
        <v>609</v>
      </c>
      <c r="HL77" s="42" t="s">
        <v>609</v>
      </c>
      <c r="HM77" s="42" t="s">
        <v>609</v>
      </c>
      <c r="HN77" s="42" t="s">
        <v>609</v>
      </c>
      <c r="HO77" s="42" t="s">
        <v>609</v>
      </c>
    </row>
    <row r="78" spans="1:223" x14ac:dyDescent="0.3">
      <c r="A78" s="283" t="s">
        <v>189</v>
      </c>
      <c r="B78" s="283" t="s">
        <v>2026</v>
      </c>
      <c r="C78" s="283" t="s">
        <v>2101</v>
      </c>
      <c r="D78" s="283" t="s">
        <v>188</v>
      </c>
      <c r="E78" s="283" t="s">
        <v>1505</v>
      </c>
      <c r="F78" s="283" t="s">
        <v>1279</v>
      </c>
      <c r="G78" s="283" t="s">
        <v>2026</v>
      </c>
      <c r="H78" s="11" t="s">
        <v>3001</v>
      </c>
      <c r="I78" s="11" t="s">
        <v>3257</v>
      </c>
      <c r="J78" s="11"/>
      <c r="K78" s="11"/>
      <c r="L78" s="1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row>
    <row r="79" spans="1:223" ht="26.4" x14ac:dyDescent="0.3">
      <c r="A79" s="283" t="s">
        <v>189</v>
      </c>
      <c r="B79" s="283" t="s">
        <v>2045</v>
      </c>
      <c r="C79" s="283" t="s">
        <v>2102</v>
      </c>
      <c r="D79" s="283" t="s">
        <v>188</v>
      </c>
      <c r="E79" s="283" t="s">
        <v>1505</v>
      </c>
      <c r="F79" s="283" t="s">
        <v>691</v>
      </c>
      <c r="G79" s="283" t="s">
        <v>2045</v>
      </c>
      <c r="H79" s="11" t="s">
        <v>3000</v>
      </c>
      <c r="I79" s="11" t="s">
        <v>3257</v>
      </c>
      <c r="J79" s="11"/>
      <c r="K79" s="11"/>
      <c r="L79" s="11"/>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row>
    <row r="80" spans="1:223" x14ac:dyDescent="0.3">
      <c r="A80" s="283" t="s">
        <v>191</v>
      </c>
      <c r="B80" s="283" t="s">
        <v>1456</v>
      </c>
      <c r="C80" s="283" t="s">
        <v>2925</v>
      </c>
      <c r="D80" s="283" t="s">
        <v>190</v>
      </c>
      <c r="E80" s="283" t="s">
        <v>1505</v>
      </c>
      <c r="F80" s="283" t="s">
        <v>691</v>
      </c>
      <c r="G80" s="283" t="s">
        <v>1409</v>
      </c>
      <c r="H80" s="11" t="s">
        <v>3000</v>
      </c>
      <c r="I80" s="11" t="s">
        <v>3257</v>
      </c>
      <c r="J80" s="11"/>
      <c r="K80" s="11"/>
      <c r="L80" s="11"/>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row>
    <row r="81" spans="1:223" x14ac:dyDescent="0.3">
      <c r="A81" s="283" t="s">
        <v>197</v>
      </c>
      <c r="B81" s="283" t="s">
        <v>1096</v>
      </c>
      <c r="C81" s="283" t="s">
        <v>588</v>
      </c>
      <c r="D81" s="283" t="s">
        <v>196</v>
      </c>
      <c r="E81" s="283" t="s">
        <v>1505</v>
      </c>
      <c r="F81" s="283" t="s">
        <v>691</v>
      </c>
      <c r="G81" s="283" t="s">
        <v>691</v>
      </c>
      <c r="H81" s="11" t="s">
        <v>3000</v>
      </c>
      <c r="I81" s="11" t="s">
        <v>3257</v>
      </c>
      <c r="J81" s="11"/>
      <c r="K81" s="11"/>
      <c r="L81" s="11"/>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row>
    <row r="82" spans="1:223" x14ac:dyDescent="0.3">
      <c r="A82" s="283" t="s">
        <v>203</v>
      </c>
      <c r="B82" s="283" t="s">
        <v>1069</v>
      </c>
      <c r="C82" s="283" t="s">
        <v>676</v>
      </c>
      <c r="D82" s="283" t="s">
        <v>202</v>
      </c>
      <c r="E82" s="283" t="s">
        <v>1505</v>
      </c>
      <c r="F82" s="283" t="s">
        <v>1280</v>
      </c>
      <c r="G82" s="283" t="s">
        <v>1402</v>
      </c>
      <c r="H82" s="11" t="s">
        <v>3001</v>
      </c>
      <c r="I82" s="11" t="s">
        <v>3257</v>
      </c>
      <c r="J82" s="11"/>
      <c r="K82" s="11"/>
      <c r="L82" s="11"/>
      <c r="N82" s="42" t="s">
        <v>605</v>
      </c>
      <c r="O82" s="42" t="s">
        <v>605</v>
      </c>
      <c r="P82" s="42" t="s">
        <v>605</v>
      </c>
      <c r="Q82" s="42" t="s">
        <v>605</v>
      </c>
      <c r="R82" s="42" t="s">
        <v>605</v>
      </c>
      <c r="S82" s="42" t="s">
        <v>605</v>
      </c>
      <c r="T82" s="42" t="s">
        <v>605</v>
      </c>
      <c r="U82" s="42" t="s">
        <v>605</v>
      </c>
      <c r="V82" s="42" t="s">
        <v>605</v>
      </c>
      <c r="W82" s="42" t="s">
        <v>605</v>
      </c>
      <c r="X82" s="42" t="s">
        <v>605</v>
      </c>
      <c r="Y82" s="42" t="s">
        <v>605</v>
      </c>
      <c r="Z82" s="42" t="s">
        <v>605</v>
      </c>
      <c r="AA82" s="42" t="s">
        <v>605</v>
      </c>
      <c r="AB82" s="42" t="s">
        <v>605</v>
      </c>
      <c r="AC82" s="42" t="s">
        <v>605</v>
      </c>
      <c r="AD82" s="42" t="s">
        <v>605</v>
      </c>
      <c r="AE82" s="42" t="s">
        <v>605</v>
      </c>
      <c r="AF82" s="42" t="s">
        <v>605</v>
      </c>
      <c r="AG82" s="42" t="s">
        <v>605</v>
      </c>
      <c r="AH82" s="42" t="s">
        <v>605</v>
      </c>
      <c r="AI82" s="42" t="s">
        <v>605</v>
      </c>
      <c r="AJ82" s="42" t="s">
        <v>605</v>
      </c>
      <c r="AK82" s="42" t="s">
        <v>605</v>
      </c>
      <c r="AL82" s="42" t="s">
        <v>605</v>
      </c>
      <c r="AM82" s="42" t="s">
        <v>605</v>
      </c>
      <c r="AN82" s="42" t="s">
        <v>605</v>
      </c>
      <c r="AO82" s="42" t="s">
        <v>605</v>
      </c>
      <c r="AP82" s="42" t="s">
        <v>605</v>
      </c>
      <c r="AQ82" s="42" t="s">
        <v>605</v>
      </c>
      <c r="AR82" s="42" t="s">
        <v>605</v>
      </c>
      <c r="AS82" s="42" t="s">
        <v>605</v>
      </c>
      <c r="AT82" s="42" t="s">
        <v>605</v>
      </c>
      <c r="AU82" s="42" t="s">
        <v>605</v>
      </c>
      <c r="AV82" s="42" t="s">
        <v>605</v>
      </c>
      <c r="AW82" s="42" t="s">
        <v>605</v>
      </c>
      <c r="AX82" s="42" t="s">
        <v>605</v>
      </c>
      <c r="AY82" s="42" t="s">
        <v>605</v>
      </c>
      <c r="AZ82" s="42" t="s">
        <v>605</v>
      </c>
      <c r="BA82" s="42" t="s">
        <v>605</v>
      </c>
      <c r="BB82" s="42" t="s">
        <v>605</v>
      </c>
      <c r="BC82" s="42" t="s">
        <v>605</v>
      </c>
      <c r="BD82" s="42" t="s">
        <v>605</v>
      </c>
      <c r="BE82" s="42" t="s">
        <v>605</v>
      </c>
      <c r="BF82" s="42" t="s">
        <v>605</v>
      </c>
      <c r="BG82" s="42" t="s">
        <v>605</v>
      </c>
      <c r="BH82" s="42" t="s">
        <v>605</v>
      </c>
      <c r="BI82" s="42" t="s">
        <v>605</v>
      </c>
      <c r="BJ82" s="42" t="s">
        <v>605</v>
      </c>
      <c r="BK82" s="42" t="s">
        <v>605</v>
      </c>
      <c r="BL82" s="42" t="s">
        <v>605</v>
      </c>
      <c r="BM82" s="42" t="s">
        <v>605</v>
      </c>
      <c r="BN82" s="42" t="s">
        <v>605</v>
      </c>
      <c r="BO82" s="42" t="s">
        <v>605</v>
      </c>
      <c r="BP82" s="42" t="s">
        <v>605</v>
      </c>
      <c r="BQ82" s="42" t="s">
        <v>605</v>
      </c>
      <c r="BR82" s="42" t="s">
        <v>605</v>
      </c>
      <c r="BS82" s="42" t="s">
        <v>605</v>
      </c>
      <c r="BT82" s="42" t="s">
        <v>605</v>
      </c>
      <c r="BU82" s="42" t="s">
        <v>605</v>
      </c>
      <c r="BV82" s="42" t="s">
        <v>605</v>
      </c>
      <c r="BW82" s="42" t="s">
        <v>605</v>
      </c>
      <c r="BX82" s="42" t="s">
        <v>605</v>
      </c>
      <c r="BY82" s="42" t="s">
        <v>605</v>
      </c>
      <c r="BZ82" s="42" t="s">
        <v>605</v>
      </c>
      <c r="CA82" s="42" t="s">
        <v>605</v>
      </c>
      <c r="CB82" s="42" t="s">
        <v>605</v>
      </c>
      <c r="CC82" s="42" t="s">
        <v>605</v>
      </c>
      <c r="CD82" s="42" t="s">
        <v>605</v>
      </c>
      <c r="CE82" s="42" t="s">
        <v>605</v>
      </c>
      <c r="CF82" s="42" t="s">
        <v>605</v>
      </c>
      <c r="CG82" s="42" t="s">
        <v>605</v>
      </c>
      <c r="CH82" s="42" t="s">
        <v>605</v>
      </c>
      <c r="CI82" s="42" t="s">
        <v>605</v>
      </c>
      <c r="CJ82" s="42" t="s">
        <v>605</v>
      </c>
      <c r="CK82" s="42" t="s">
        <v>605</v>
      </c>
      <c r="CL82" s="42" t="s">
        <v>605</v>
      </c>
      <c r="CM82" s="42" t="s">
        <v>605</v>
      </c>
      <c r="CN82" s="42" t="s">
        <v>605</v>
      </c>
      <c r="CO82" s="42" t="s">
        <v>605</v>
      </c>
      <c r="CP82" s="42" t="s">
        <v>605</v>
      </c>
      <c r="CQ82" s="42" t="s">
        <v>605</v>
      </c>
      <c r="CR82" s="42" t="s">
        <v>605</v>
      </c>
      <c r="CS82" s="42" t="s">
        <v>605</v>
      </c>
      <c r="CT82" s="42" t="s">
        <v>605</v>
      </c>
      <c r="CU82" s="42" t="s">
        <v>605</v>
      </c>
      <c r="CV82" s="42" t="s">
        <v>605</v>
      </c>
      <c r="CW82" s="42" t="s">
        <v>605</v>
      </c>
      <c r="CX82" s="42" t="s">
        <v>605</v>
      </c>
      <c r="CY82" s="42" t="s">
        <v>605</v>
      </c>
      <c r="CZ82" s="42" t="s">
        <v>605</v>
      </c>
      <c r="DA82" s="42" t="s">
        <v>605</v>
      </c>
      <c r="DB82" s="42" t="s">
        <v>605</v>
      </c>
      <c r="DC82" s="42" t="s">
        <v>605</v>
      </c>
      <c r="DD82" s="42" t="s">
        <v>605</v>
      </c>
      <c r="DE82" s="42" t="s">
        <v>605</v>
      </c>
      <c r="DF82" s="42" t="s">
        <v>605</v>
      </c>
      <c r="DG82" s="42" t="s">
        <v>605</v>
      </c>
      <c r="DH82" s="42" t="s">
        <v>605</v>
      </c>
      <c r="DI82" s="42" t="s">
        <v>605</v>
      </c>
      <c r="DJ82" s="42" t="s">
        <v>605</v>
      </c>
      <c r="DK82" s="42" t="s">
        <v>605</v>
      </c>
      <c r="DL82" s="42" t="s">
        <v>605</v>
      </c>
      <c r="DM82" s="42" t="s">
        <v>605</v>
      </c>
      <c r="DN82" s="42" t="s">
        <v>605</v>
      </c>
      <c r="DO82" s="42" t="s">
        <v>605</v>
      </c>
      <c r="DP82" s="42" t="s">
        <v>605</v>
      </c>
      <c r="DQ82" s="42" t="s">
        <v>605</v>
      </c>
      <c r="DR82" s="42" t="s">
        <v>605</v>
      </c>
      <c r="DS82" s="42" t="s">
        <v>605</v>
      </c>
      <c r="DT82" s="42" t="s">
        <v>605</v>
      </c>
      <c r="DU82" s="42" t="s">
        <v>605</v>
      </c>
      <c r="DV82" s="42" t="s">
        <v>605</v>
      </c>
      <c r="DW82" s="42" t="s">
        <v>605</v>
      </c>
      <c r="DX82" s="42" t="s">
        <v>605</v>
      </c>
      <c r="DY82" s="42" t="s">
        <v>605</v>
      </c>
      <c r="DZ82" s="42" t="s">
        <v>605</v>
      </c>
      <c r="EA82" s="42" t="s">
        <v>605</v>
      </c>
      <c r="EB82" s="42" t="s">
        <v>605</v>
      </c>
      <c r="EC82" s="42" t="s">
        <v>605</v>
      </c>
      <c r="ED82" s="42" t="s">
        <v>605</v>
      </c>
      <c r="EE82" s="42" t="s">
        <v>605</v>
      </c>
      <c r="EF82" s="42" t="s">
        <v>605</v>
      </c>
      <c r="EG82" s="42" t="s">
        <v>605</v>
      </c>
      <c r="EH82" s="42" t="s">
        <v>605</v>
      </c>
      <c r="EI82" s="42" t="s">
        <v>605</v>
      </c>
      <c r="EJ82" s="42" t="s">
        <v>605</v>
      </c>
      <c r="EK82" s="42" t="s">
        <v>605</v>
      </c>
      <c r="EL82" s="42" t="s">
        <v>605</v>
      </c>
      <c r="EM82" s="42" t="s">
        <v>605</v>
      </c>
      <c r="EN82" s="42" t="s">
        <v>605</v>
      </c>
      <c r="EO82" s="42" t="s">
        <v>605</v>
      </c>
      <c r="EP82" s="42" t="s">
        <v>605</v>
      </c>
      <c r="EQ82" s="42" t="s">
        <v>605</v>
      </c>
      <c r="ER82" s="42" t="s">
        <v>605</v>
      </c>
      <c r="ES82" s="42" t="s">
        <v>605</v>
      </c>
      <c r="ET82" s="42" t="s">
        <v>605</v>
      </c>
      <c r="EU82" s="42" t="s">
        <v>605</v>
      </c>
      <c r="EV82" s="42" t="s">
        <v>605</v>
      </c>
      <c r="EW82" s="42" t="s">
        <v>605</v>
      </c>
      <c r="EX82" s="42" t="s">
        <v>605</v>
      </c>
      <c r="EY82" s="42" t="s">
        <v>605</v>
      </c>
      <c r="EZ82" s="42" t="s">
        <v>605</v>
      </c>
      <c r="FA82" s="42" t="s">
        <v>605</v>
      </c>
      <c r="FB82" s="42" t="s">
        <v>605</v>
      </c>
      <c r="FC82" s="42" t="s">
        <v>605</v>
      </c>
      <c r="FD82" s="42" t="s">
        <v>605</v>
      </c>
      <c r="FE82" s="42" t="s">
        <v>605</v>
      </c>
      <c r="FF82" s="42" t="s">
        <v>605</v>
      </c>
      <c r="FG82" s="42" t="s">
        <v>605</v>
      </c>
      <c r="FH82" s="42" t="s">
        <v>605</v>
      </c>
      <c r="FI82" s="42" t="s">
        <v>605</v>
      </c>
      <c r="FJ82" s="42" t="s">
        <v>605</v>
      </c>
      <c r="FK82" s="42" t="s">
        <v>605</v>
      </c>
      <c r="FL82" s="42" t="s">
        <v>605</v>
      </c>
      <c r="FM82" s="42" t="s">
        <v>605</v>
      </c>
      <c r="FN82" s="42" t="s">
        <v>605</v>
      </c>
      <c r="FO82" s="42" t="s">
        <v>605</v>
      </c>
      <c r="FP82" s="42" t="s">
        <v>605</v>
      </c>
      <c r="FQ82" s="42" t="s">
        <v>605</v>
      </c>
      <c r="FR82" s="42" t="s">
        <v>605</v>
      </c>
      <c r="FS82" s="42" t="s">
        <v>605</v>
      </c>
      <c r="FT82" s="42" t="s">
        <v>605</v>
      </c>
      <c r="FU82" s="42" t="s">
        <v>605</v>
      </c>
      <c r="FV82" s="42" t="s">
        <v>605</v>
      </c>
      <c r="FW82" s="42" t="s">
        <v>605</v>
      </c>
      <c r="FX82" s="42" t="s">
        <v>605</v>
      </c>
      <c r="FY82" s="42" t="s">
        <v>605</v>
      </c>
      <c r="FZ82" s="42" t="s">
        <v>605</v>
      </c>
      <c r="GA82" s="42" t="s">
        <v>605</v>
      </c>
      <c r="GB82" s="42" t="s">
        <v>605</v>
      </c>
      <c r="GC82" s="42" t="s">
        <v>605</v>
      </c>
      <c r="GD82" s="42" t="s">
        <v>605</v>
      </c>
      <c r="GE82" s="42" t="s">
        <v>605</v>
      </c>
      <c r="GF82" s="42" t="s">
        <v>605</v>
      </c>
      <c r="GG82" s="42" t="s">
        <v>605</v>
      </c>
      <c r="GH82" s="42" t="s">
        <v>605</v>
      </c>
      <c r="GI82" s="42" t="s">
        <v>605</v>
      </c>
      <c r="GJ82" s="42" t="s">
        <v>605</v>
      </c>
      <c r="GK82" s="42" t="s">
        <v>605</v>
      </c>
      <c r="GL82" s="42" t="s">
        <v>605</v>
      </c>
      <c r="GM82" s="42" t="s">
        <v>605</v>
      </c>
      <c r="GN82" s="42" t="s">
        <v>605</v>
      </c>
      <c r="GO82" s="42" t="s">
        <v>605</v>
      </c>
      <c r="GP82" s="42" t="s">
        <v>605</v>
      </c>
      <c r="GQ82" s="42" t="s">
        <v>605</v>
      </c>
      <c r="GR82" s="42" t="s">
        <v>605</v>
      </c>
      <c r="GS82" s="42" t="s">
        <v>605</v>
      </c>
      <c r="GT82" s="42" t="s">
        <v>605</v>
      </c>
      <c r="GU82" s="42" t="s">
        <v>605</v>
      </c>
      <c r="GV82" s="42" t="s">
        <v>605</v>
      </c>
      <c r="GW82" s="42" t="s">
        <v>605</v>
      </c>
      <c r="GX82" s="42" t="s">
        <v>605</v>
      </c>
      <c r="GY82" s="42" t="s">
        <v>605</v>
      </c>
      <c r="GZ82" s="42" t="s">
        <v>605</v>
      </c>
      <c r="HA82" s="42" t="s">
        <v>605</v>
      </c>
      <c r="HB82" s="42" t="s">
        <v>605</v>
      </c>
      <c r="HC82" s="42" t="s">
        <v>605</v>
      </c>
      <c r="HD82" s="42" t="s">
        <v>605</v>
      </c>
      <c r="HE82" s="42" t="s">
        <v>605</v>
      </c>
      <c r="HF82" s="42" t="s">
        <v>605</v>
      </c>
      <c r="HG82" s="42" t="s">
        <v>605</v>
      </c>
      <c r="HH82" s="42" t="s">
        <v>605</v>
      </c>
      <c r="HI82" s="42" t="s">
        <v>605</v>
      </c>
      <c r="HJ82" s="42" t="s">
        <v>605</v>
      </c>
      <c r="HK82" s="42" t="s">
        <v>605</v>
      </c>
      <c r="HL82" s="42" t="s">
        <v>605</v>
      </c>
      <c r="HM82" s="42" t="s">
        <v>605</v>
      </c>
      <c r="HN82" s="42" t="s">
        <v>605</v>
      </c>
      <c r="HO82" s="42" t="s">
        <v>605</v>
      </c>
    </row>
    <row r="83" spans="1:223" x14ac:dyDescent="0.3">
      <c r="A83" s="283" t="s">
        <v>203</v>
      </c>
      <c r="B83" s="283" t="s">
        <v>2859</v>
      </c>
      <c r="C83" s="283" t="s">
        <v>677</v>
      </c>
      <c r="D83" s="283" t="s">
        <v>202</v>
      </c>
      <c r="E83" s="283" t="s">
        <v>1505</v>
      </c>
      <c r="F83" s="283" t="s">
        <v>651</v>
      </c>
      <c r="G83" s="283" t="s">
        <v>1283</v>
      </c>
      <c r="H83" s="11" t="s">
        <v>3000</v>
      </c>
      <c r="I83" s="11" t="s">
        <v>3257</v>
      </c>
      <c r="J83" s="11"/>
      <c r="K83" s="11"/>
      <c r="L83" s="11"/>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row>
    <row r="84" spans="1:223" x14ac:dyDescent="0.3">
      <c r="A84" s="283" t="s">
        <v>207</v>
      </c>
      <c r="B84" s="283" t="s">
        <v>1747</v>
      </c>
      <c r="C84" s="283" t="s">
        <v>1748</v>
      </c>
      <c r="D84" s="283" t="s">
        <v>206</v>
      </c>
      <c r="E84" s="283" t="s">
        <v>1507</v>
      </c>
      <c r="F84" s="283" t="s">
        <v>3258</v>
      </c>
      <c r="G84" s="283" t="s">
        <v>1749</v>
      </c>
      <c r="H84" s="11" t="s">
        <v>3000</v>
      </c>
      <c r="I84" s="11" t="s">
        <v>3259</v>
      </c>
      <c r="J84" s="11"/>
      <c r="K84" s="11"/>
      <c r="L84" s="11"/>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row>
    <row r="85" spans="1:223" x14ac:dyDescent="0.3">
      <c r="A85" s="283" t="s">
        <v>207</v>
      </c>
      <c r="B85" s="283" t="s">
        <v>1750</v>
      </c>
      <c r="C85" s="283" t="s">
        <v>1638</v>
      </c>
      <c r="D85" s="283" t="s">
        <v>206</v>
      </c>
      <c r="E85" s="283" t="s">
        <v>1507</v>
      </c>
      <c r="F85" s="283" t="s">
        <v>1284</v>
      </c>
      <c r="G85" s="283" t="s">
        <v>1639</v>
      </c>
      <c r="H85" s="11" t="s">
        <v>3001</v>
      </c>
      <c r="I85" s="11" t="s">
        <v>3257</v>
      </c>
      <c r="J85" s="11"/>
      <c r="K85" s="11"/>
      <c r="L85" s="11"/>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row>
    <row r="86" spans="1:223" x14ac:dyDescent="0.3">
      <c r="A86" s="283" t="s">
        <v>207</v>
      </c>
      <c r="B86" s="283" t="s">
        <v>1751</v>
      </c>
      <c r="C86" s="283" t="s">
        <v>1640</v>
      </c>
      <c r="D86" s="283" t="s">
        <v>206</v>
      </c>
      <c r="E86" s="283" t="s">
        <v>1507</v>
      </c>
      <c r="F86" s="283" t="s">
        <v>1280</v>
      </c>
      <c r="G86" s="283" t="s">
        <v>1389</v>
      </c>
      <c r="H86" s="283" t="s">
        <v>3001</v>
      </c>
      <c r="I86" s="283" t="s">
        <v>3257</v>
      </c>
      <c r="J86" s="11"/>
      <c r="K86" s="11"/>
      <c r="L86" s="11"/>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row>
    <row r="87" spans="1:223" x14ac:dyDescent="0.3">
      <c r="A87" s="283" t="s">
        <v>215</v>
      </c>
      <c r="B87" s="283" t="s">
        <v>794</v>
      </c>
      <c r="C87" s="283" t="s">
        <v>686</v>
      </c>
      <c r="D87" s="283" t="s">
        <v>214</v>
      </c>
      <c r="E87" s="283" t="s">
        <v>1505</v>
      </c>
      <c r="F87" s="283" t="s">
        <v>1280</v>
      </c>
      <c r="G87" s="283" t="s">
        <v>1389</v>
      </c>
      <c r="H87" s="283" t="s">
        <v>3000</v>
      </c>
      <c r="I87" s="283" t="s">
        <v>3257</v>
      </c>
      <c r="J87" s="11"/>
      <c r="K87" s="11"/>
      <c r="L87" s="11"/>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row>
    <row r="88" spans="1:223" ht="26.4" x14ac:dyDescent="0.3">
      <c r="A88" s="283" t="s">
        <v>217</v>
      </c>
      <c r="B88" s="283" t="s">
        <v>1482</v>
      </c>
      <c r="C88" s="283" t="s">
        <v>2917</v>
      </c>
      <c r="D88" s="283" t="s">
        <v>216</v>
      </c>
      <c r="E88" s="283" t="s">
        <v>1505</v>
      </c>
      <c r="F88" s="283" t="s">
        <v>691</v>
      </c>
      <c r="G88" s="283" t="s">
        <v>1482</v>
      </c>
      <c r="H88" s="11" t="s">
        <v>3000</v>
      </c>
      <c r="I88" s="11" t="s">
        <v>3257</v>
      </c>
      <c r="J88" s="11"/>
      <c r="K88" s="11"/>
      <c r="L88" s="11"/>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row>
    <row r="89" spans="1:223" ht="26.4" x14ac:dyDescent="0.3">
      <c r="A89" s="283" t="s">
        <v>217</v>
      </c>
      <c r="B89" s="283" t="s">
        <v>1157</v>
      </c>
      <c r="C89" s="283" t="s">
        <v>2926</v>
      </c>
      <c r="D89" s="283" t="s">
        <v>216</v>
      </c>
      <c r="E89" s="283" t="s">
        <v>1505</v>
      </c>
      <c r="F89" s="283" t="s">
        <v>1284</v>
      </c>
      <c r="G89" s="283" t="s">
        <v>1403</v>
      </c>
      <c r="H89" s="11" t="s">
        <v>3001</v>
      </c>
      <c r="I89" s="11" t="s">
        <v>3257</v>
      </c>
      <c r="J89" s="11"/>
      <c r="K89" s="11"/>
      <c r="L89" s="11"/>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row>
    <row r="90" spans="1:223" ht="26.4" x14ac:dyDescent="0.3">
      <c r="A90" s="283" t="s">
        <v>217</v>
      </c>
      <c r="B90" s="283" t="s">
        <v>2051</v>
      </c>
      <c r="C90" s="283" t="s">
        <v>2591</v>
      </c>
      <c r="D90" s="283" t="s">
        <v>216</v>
      </c>
      <c r="E90" s="283" t="s">
        <v>1505</v>
      </c>
      <c r="F90" s="283" t="s">
        <v>2103</v>
      </c>
      <c r="G90" s="283" t="s">
        <v>2051</v>
      </c>
      <c r="H90" s="11" t="s">
        <v>3001</v>
      </c>
      <c r="I90" s="11" t="s">
        <v>3257</v>
      </c>
      <c r="J90" s="11"/>
      <c r="K90" s="11"/>
      <c r="L90" s="11"/>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row>
    <row r="91" spans="1:223" x14ac:dyDescent="0.3">
      <c r="A91" s="283" t="s">
        <v>357</v>
      </c>
      <c r="B91" s="283" t="s">
        <v>1164</v>
      </c>
      <c r="C91" s="283" t="s">
        <v>589</v>
      </c>
      <c r="D91" s="283" t="s">
        <v>218</v>
      </c>
      <c r="E91" s="283" t="s">
        <v>1504</v>
      </c>
      <c r="F91" s="283" t="s">
        <v>3258</v>
      </c>
      <c r="G91" s="283" t="s">
        <v>1392</v>
      </c>
      <c r="H91" s="11" t="s">
        <v>3000</v>
      </c>
      <c r="I91" s="11" t="s">
        <v>3259</v>
      </c>
      <c r="J91" s="11"/>
      <c r="K91" s="11"/>
      <c r="L91" s="11"/>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row>
    <row r="92" spans="1:223" x14ac:dyDescent="0.3">
      <c r="A92" s="283" t="s">
        <v>357</v>
      </c>
      <c r="B92" s="283" t="s">
        <v>653</v>
      </c>
      <c r="C92" s="283" t="s">
        <v>664</v>
      </c>
      <c r="D92" s="283" t="s">
        <v>218</v>
      </c>
      <c r="E92" s="283" t="s">
        <v>1504</v>
      </c>
      <c r="F92" s="283" t="s">
        <v>650</v>
      </c>
      <c r="G92" s="283" t="s">
        <v>1404</v>
      </c>
      <c r="H92" s="11" t="s">
        <v>3001</v>
      </c>
      <c r="I92" s="11" t="s">
        <v>3257</v>
      </c>
      <c r="J92" s="11"/>
      <c r="K92" s="11"/>
      <c r="L92" s="11"/>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row>
    <row r="93" spans="1:223" x14ac:dyDescent="0.3">
      <c r="A93" s="283" t="s">
        <v>357</v>
      </c>
      <c r="B93" s="283" t="s">
        <v>654</v>
      </c>
      <c r="C93" s="283" t="s">
        <v>665</v>
      </c>
      <c r="D93" s="283" t="s">
        <v>218</v>
      </c>
      <c r="E93" s="283" t="s">
        <v>1504</v>
      </c>
      <c r="F93" s="283" t="s">
        <v>650</v>
      </c>
      <c r="G93" s="283" t="s">
        <v>1405</v>
      </c>
      <c r="H93" s="11" t="s">
        <v>3001</v>
      </c>
      <c r="I93" s="11" t="s">
        <v>3257</v>
      </c>
      <c r="J93" s="11"/>
      <c r="K93" s="11"/>
      <c r="L93" s="11"/>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row>
    <row r="94" spans="1:223" ht="26.4" x14ac:dyDescent="0.3">
      <c r="A94" s="283" t="s">
        <v>220</v>
      </c>
      <c r="B94" s="283" t="s">
        <v>2057</v>
      </c>
      <c r="C94" s="283" t="s">
        <v>2104</v>
      </c>
      <c r="D94" s="283" t="s">
        <v>219</v>
      </c>
      <c r="E94" s="283" t="s">
        <v>1505</v>
      </c>
      <c r="F94" s="283" t="s">
        <v>2103</v>
      </c>
      <c r="G94" s="283" t="s">
        <v>2057</v>
      </c>
      <c r="H94" s="11" t="s">
        <v>3000</v>
      </c>
      <c r="I94" s="11" t="s">
        <v>3257</v>
      </c>
      <c r="J94" s="11"/>
      <c r="K94" s="11"/>
      <c r="L94" s="11"/>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row>
    <row r="95" spans="1:223" x14ac:dyDescent="0.3">
      <c r="A95" s="283" t="s">
        <v>230</v>
      </c>
      <c r="B95" s="283" t="s">
        <v>1098</v>
      </c>
      <c r="C95" s="283" t="s">
        <v>590</v>
      </c>
      <c r="D95" s="283" t="s">
        <v>229</v>
      </c>
      <c r="E95" s="283" t="s">
        <v>1507</v>
      </c>
      <c r="F95" s="283" t="s">
        <v>1282</v>
      </c>
      <c r="G95" s="283" t="s">
        <v>1406</v>
      </c>
      <c r="H95" s="283" t="s">
        <v>3000</v>
      </c>
      <c r="I95" s="283" t="s">
        <v>3257</v>
      </c>
      <c r="J95" s="11"/>
      <c r="K95" s="11"/>
      <c r="L95" s="11"/>
      <c r="N95" s="41" t="s">
        <v>610</v>
      </c>
      <c r="O95" s="41" t="s">
        <v>610</v>
      </c>
      <c r="P95" s="41" t="s">
        <v>610</v>
      </c>
      <c r="Q95" s="41" t="s">
        <v>610</v>
      </c>
      <c r="R95" s="41" t="s">
        <v>610</v>
      </c>
      <c r="S95" s="41" t="s">
        <v>610</v>
      </c>
      <c r="T95" s="41" t="s">
        <v>610</v>
      </c>
      <c r="U95" s="41" t="s">
        <v>610</v>
      </c>
      <c r="V95" s="41" t="s">
        <v>610</v>
      </c>
      <c r="W95" s="41" t="s">
        <v>610</v>
      </c>
      <c r="X95" s="41" t="s">
        <v>610</v>
      </c>
      <c r="Y95" s="41" t="s">
        <v>610</v>
      </c>
      <c r="Z95" s="41" t="s">
        <v>610</v>
      </c>
      <c r="AA95" s="41" t="s">
        <v>610</v>
      </c>
      <c r="AB95" s="41" t="s">
        <v>610</v>
      </c>
      <c r="AC95" s="41" t="s">
        <v>610</v>
      </c>
      <c r="AD95" s="41" t="s">
        <v>610</v>
      </c>
      <c r="AE95" s="41" t="s">
        <v>610</v>
      </c>
      <c r="AF95" s="41" t="s">
        <v>610</v>
      </c>
      <c r="AG95" s="41" t="s">
        <v>610</v>
      </c>
      <c r="AH95" s="41" t="s">
        <v>610</v>
      </c>
      <c r="AI95" s="41" t="s">
        <v>610</v>
      </c>
      <c r="AJ95" s="41" t="s">
        <v>610</v>
      </c>
      <c r="AK95" s="41" t="s">
        <v>610</v>
      </c>
      <c r="AL95" s="41" t="s">
        <v>610</v>
      </c>
      <c r="AM95" s="41" t="s">
        <v>610</v>
      </c>
      <c r="AN95" s="41" t="s">
        <v>610</v>
      </c>
      <c r="AO95" s="41" t="s">
        <v>610</v>
      </c>
      <c r="AP95" s="41" t="s">
        <v>610</v>
      </c>
      <c r="AQ95" s="41" t="s">
        <v>610</v>
      </c>
      <c r="AR95" s="41" t="s">
        <v>610</v>
      </c>
      <c r="AS95" s="41" t="s">
        <v>610</v>
      </c>
      <c r="AT95" s="41" t="s">
        <v>610</v>
      </c>
      <c r="AU95" s="41" t="s">
        <v>610</v>
      </c>
      <c r="AV95" s="41" t="s">
        <v>610</v>
      </c>
      <c r="AW95" s="41" t="s">
        <v>610</v>
      </c>
      <c r="AX95" s="41" t="s">
        <v>610</v>
      </c>
      <c r="AY95" s="41" t="s">
        <v>610</v>
      </c>
      <c r="AZ95" s="41" t="s">
        <v>610</v>
      </c>
      <c r="BA95" s="41" t="s">
        <v>610</v>
      </c>
      <c r="BB95" s="41" t="s">
        <v>610</v>
      </c>
      <c r="BC95" s="41" t="s">
        <v>610</v>
      </c>
      <c r="BD95" s="41" t="s">
        <v>610</v>
      </c>
      <c r="BE95" s="41" t="s">
        <v>610</v>
      </c>
      <c r="BF95" s="41" t="s">
        <v>610</v>
      </c>
      <c r="BG95" s="41" t="s">
        <v>610</v>
      </c>
      <c r="BH95" s="41" t="s">
        <v>610</v>
      </c>
      <c r="BI95" s="41" t="s">
        <v>610</v>
      </c>
      <c r="BJ95" s="41" t="s">
        <v>610</v>
      </c>
      <c r="BK95" s="41" t="s">
        <v>610</v>
      </c>
      <c r="BL95" s="41" t="s">
        <v>610</v>
      </c>
      <c r="BM95" s="41" t="s">
        <v>610</v>
      </c>
      <c r="BN95" s="41" t="s">
        <v>610</v>
      </c>
      <c r="BO95" s="41" t="s">
        <v>610</v>
      </c>
      <c r="BP95" s="41" t="s">
        <v>610</v>
      </c>
      <c r="BQ95" s="41" t="s">
        <v>610</v>
      </c>
      <c r="BR95" s="41" t="s">
        <v>610</v>
      </c>
      <c r="BS95" s="41" t="s">
        <v>610</v>
      </c>
      <c r="BT95" s="41" t="s">
        <v>610</v>
      </c>
      <c r="BU95" s="41" t="s">
        <v>610</v>
      </c>
      <c r="BV95" s="41" t="s">
        <v>610</v>
      </c>
      <c r="BW95" s="41" t="s">
        <v>610</v>
      </c>
      <c r="BX95" s="41" t="s">
        <v>610</v>
      </c>
      <c r="BY95" s="41" t="s">
        <v>610</v>
      </c>
      <c r="BZ95" s="41" t="s">
        <v>610</v>
      </c>
      <c r="CA95" s="41" t="s">
        <v>610</v>
      </c>
      <c r="CB95" s="41" t="s">
        <v>610</v>
      </c>
      <c r="CC95" s="41" t="s">
        <v>610</v>
      </c>
      <c r="CD95" s="41" t="s">
        <v>610</v>
      </c>
      <c r="CE95" s="41" t="s">
        <v>610</v>
      </c>
      <c r="CF95" s="41" t="s">
        <v>610</v>
      </c>
      <c r="CG95" s="41" t="s">
        <v>610</v>
      </c>
      <c r="CH95" s="41" t="s">
        <v>610</v>
      </c>
      <c r="CI95" s="41" t="s">
        <v>610</v>
      </c>
      <c r="CJ95" s="41" t="s">
        <v>610</v>
      </c>
      <c r="CK95" s="41" t="s">
        <v>610</v>
      </c>
      <c r="CL95" s="41" t="s">
        <v>610</v>
      </c>
      <c r="CM95" s="41" t="s">
        <v>610</v>
      </c>
      <c r="CN95" s="41" t="s">
        <v>610</v>
      </c>
      <c r="CO95" s="41" t="s">
        <v>610</v>
      </c>
      <c r="CP95" s="41" t="s">
        <v>610</v>
      </c>
      <c r="CQ95" s="41" t="s">
        <v>610</v>
      </c>
      <c r="CR95" s="41" t="s">
        <v>610</v>
      </c>
      <c r="CS95" s="41" t="s">
        <v>610</v>
      </c>
      <c r="CT95" s="41" t="s">
        <v>610</v>
      </c>
      <c r="CU95" s="41" t="s">
        <v>610</v>
      </c>
      <c r="CV95" s="41" t="s">
        <v>610</v>
      </c>
      <c r="CW95" s="41" t="s">
        <v>610</v>
      </c>
      <c r="CX95" s="41" t="s">
        <v>610</v>
      </c>
      <c r="CY95" s="41" t="s">
        <v>610</v>
      </c>
      <c r="CZ95" s="41" t="s">
        <v>610</v>
      </c>
      <c r="DA95" s="41" t="s">
        <v>610</v>
      </c>
      <c r="DB95" s="41" t="s">
        <v>610</v>
      </c>
      <c r="DC95" s="41" t="s">
        <v>610</v>
      </c>
      <c r="DD95" s="41" t="s">
        <v>610</v>
      </c>
      <c r="DE95" s="41" t="s">
        <v>610</v>
      </c>
      <c r="DF95" s="41" t="s">
        <v>610</v>
      </c>
      <c r="DG95" s="41" t="s">
        <v>610</v>
      </c>
      <c r="DH95" s="41" t="s">
        <v>610</v>
      </c>
      <c r="DI95" s="41" t="s">
        <v>610</v>
      </c>
      <c r="DJ95" s="41" t="s">
        <v>610</v>
      </c>
      <c r="DK95" s="41" t="s">
        <v>610</v>
      </c>
      <c r="DL95" s="41" t="s">
        <v>610</v>
      </c>
      <c r="DM95" s="41" t="s">
        <v>610</v>
      </c>
      <c r="DN95" s="41" t="s">
        <v>610</v>
      </c>
      <c r="DO95" s="41" t="s">
        <v>610</v>
      </c>
      <c r="DP95" s="41" t="s">
        <v>610</v>
      </c>
      <c r="DQ95" s="41" t="s">
        <v>610</v>
      </c>
      <c r="DR95" s="41" t="s">
        <v>610</v>
      </c>
      <c r="DS95" s="41" t="s">
        <v>610</v>
      </c>
      <c r="DT95" s="41" t="s">
        <v>610</v>
      </c>
      <c r="DU95" s="41" t="s">
        <v>610</v>
      </c>
      <c r="DV95" s="41" t="s">
        <v>610</v>
      </c>
      <c r="DW95" s="41" t="s">
        <v>610</v>
      </c>
      <c r="DX95" s="41" t="s">
        <v>610</v>
      </c>
      <c r="DY95" s="41" t="s">
        <v>610</v>
      </c>
      <c r="DZ95" s="41" t="s">
        <v>610</v>
      </c>
      <c r="EA95" s="41" t="s">
        <v>610</v>
      </c>
      <c r="EB95" s="41" t="s">
        <v>610</v>
      </c>
      <c r="EC95" s="41" t="s">
        <v>610</v>
      </c>
      <c r="ED95" s="41" t="s">
        <v>610</v>
      </c>
      <c r="EE95" s="41" t="s">
        <v>610</v>
      </c>
      <c r="EF95" s="41" t="s">
        <v>610</v>
      </c>
      <c r="EG95" s="41" t="s">
        <v>610</v>
      </c>
      <c r="EH95" s="41" t="s">
        <v>610</v>
      </c>
      <c r="EI95" s="41" t="s">
        <v>610</v>
      </c>
      <c r="EJ95" s="41" t="s">
        <v>610</v>
      </c>
      <c r="EK95" s="41" t="s">
        <v>610</v>
      </c>
      <c r="EL95" s="41" t="s">
        <v>610</v>
      </c>
      <c r="EM95" s="41" t="s">
        <v>610</v>
      </c>
      <c r="EN95" s="41" t="s">
        <v>610</v>
      </c>
      <c r="EO95" s="41" t="s">
        <v>610</v>
      </c>
      <c r="EP95" s="41" t="s">
        <v>610</v>
      </c>
      <c r="EQ95" s="41" t="s">
        <v>610</v>
      </c>
      <c r="ER95" s="41" t="s">
        <v>610</v>
      </c>
      <c r="ES95" s="41" t="s">
        <v>610</v>
      </c>
      <c r="ET95" s="41" t="s">
        <v>610</v>
      </c>
      <c r="EU95" s="41" t="s">
        <v>610</v>
      </c>
      <c r="EV95" s="41" t="s">
        <v>610</v>
      </c>
      <c r="EW95" s="41" t="s">
        <v>610</v>
      </c>
      <c r="EX95" s="41" t="s">
        <v>610</v>
      </c>
      <c r="EY95" s="41" t="s">
        <v>610</v>
      </c>
      <c r="EZ95" s="41" t="s">
        <v>610</v>
      </c>
      <c r="FA95" s="41" t="s">
        <v>610</v>
      </c>
      <c r="FB95" s="41" t="s">
        <v>610</v>
      </c>
      <c r="FC95" s="41" t="s">
        <v>610</v>
      </c>
      <c r="FD95" s="41" t="s">
        <v>610</v>
      </c>
      <c r="FE95" s="41" t="s">
        <v>610</v>
      </c>
      <c r="FF95" s="41" t="s">
        <v>610</v>
      </c>
      <c r="FG95" s="41" t="s">
        <v>610</v>
      </c>
      <c r="FH95" s="41" t="s">
        <v>610</v>
      </c>
      <c r="FI95" s="41" t="s">
        <v>610</v>
      </c>
      <c r="FJ95" s="41" t="s">
        <v>610</v>
      </c>
      <c r="FK95" s="41" t="s">
        <v>610</v>
      </c>
      <c r="FL95" s="41" t="s">
        <v>610</v>
      </c>
      <c r="FM95" s="41" t="s">
        <v>610</v>
      </c>
      <c r="FN95" s="41" t="s">
        <v>610</v>
      </c>
      <c r="FO95" s="41" t="s">
        <v>610</v>
      </c>
      <c r="FP95" s="41" t="s">
        <v>610</v>
      </c>
      <c r="FQ95" s="41" t="s">
        <v>610</v>
      </c>
      <c r="FR95" s="41" t="s">
        <v>610</v>
      </c>
      <c r="FS95" s="41" t="s">
        <v>610</v>
      </c>
      <c r="FT95" s="41" t="s">
        <v>610</v>
      </c>
      <c r="FU95" s="41" t="s">
        <v>610</v>
      </c>
      <c r="FV95" s="41" t="s">
        <v>610</v>
      </c>
      <c r="FW95" s="41" t="s">
        <v>610</v>
      </c>
      <c r="FX95" s="41" t="s">
        <v>610</v>
      </c>
      <c r="FY95" s="41" t="s">
        <v>610</v>
      </c>
      <c r="FZ95" s="41" t="s">
        <v>610</v>
      </c>
      <c r="GA95" s="41" t="s">
        <v>610</v>
      </c>
      <c r="GB95" s="41" t="s">
        <v>610</v>
      </c>
      <c r="GC95" s="41" t="s">
        <v>610</v>
      </c>
      <c r="GD95" s="41" t="s">
        <v>610</v>
      </c>
      <c r="GE95" s="41" t="s">
        <v>610</v>
      </c>
      <c r="GF95" s="41" t="s">
        <v>610</v>
      </c>
      <c r="GG95" s="41" t="s">
        <v>610</v>
      </c>
      <c r="GH95" s="41" t="s">
        <v>610</v>
      </c>
      <c r="GI95" s="41" t="s">
        <v>610</v>
      </c>
      <c r="GJ95" s="41" t="s">
        <v>610</v>
      </c>
      <c r="GK95" s="41" t="s">
        <v>610</v>
      </c>
      <c r="GL95" s="41" t="s">
        <v>610</v>
      </c>
      <c r="GM95" s="41" t="s">
        <v>610</v>
      </c>
      <c r="GN95" s="41" t="s">
        <v>610</v>
      </c>
      <c r="GO95" s="41" t="s">
        <v>610</v>
      </c>
      <c r="GP95" s="41" t="s">
        <v>610</v>
      </c>
      <c r="GQ95" s="41" t="s">
        <v>610</v>
      </c>
      <c r="GR95" s="41" t="s">
        <v>610</v>
      </c>
      <c r="GS95" s="41" t="s">
        <v>610</v>
      </c>
      <c r="GT95" s="41" t="s">
        <v>610</v>
      </c>
      <c r="GU95" s="41" t="s">
        <v>610</v>
      </c>
      <c r="GV95" s="41" t="s">
        <v>610</v>
      </c>
      <c r="GW95" s="41" t="s">
        <v>610</v>
      </c>
      <c r="GX95" s="41" t="s">
        <v>610</v>
      </c>
      <c r="GY95" s="41" t="s">
        <v>610</v>
      </c>
      <c r="GZ95" s="41" t="s">
        <v>610</v>
      </c>
      <c r="HA95" s="41" t="s">
        <v>610</v>
      </c>
      <c r="HB95" s="41" t="s">
        <v>610</v>
      </c>
      <c r="HC95" s="41" t="s">
        <v>610</v>
      </c>
      <c r="HD95" s="41" t="s">
        <v>610</v>
      </c>
      <c r="HE95" s="41" t="s">
        <v>610</v>
      </c>
      <c r="HF95" s="41" t="s">
        <v>610</v>
      </c>
      <c r="HG95" s="41" t="s">
        <v>610</v>
      </c>
      <c r="HH95" s="41" t="s">
        <v>610</v>
      </c>
      <c r="HI95" s="41" t="s">
        <v>610</v>
      </c>
      <c r="HJ95" s="41" t="s">
        <v>610</v>
      </c>
      <c r="HK95" s="41" t="s">
        <v>610</v>
      </c>
      <c r="HL95" s="41" t="s">
        <v>610</v>
      </c>
      <c r="HM95" s="41" t="s">
        <v>610</v>
      </c>
      <c r="HN95" s="41" t="s">
        <v>610</v>
      </c>
      <c r="HO95" s="41" t="s">
        <v>610</v>
      </c>
    </row>
    <row r="96" spans="1:223" x14ac:dyDescent="0.3">
      <c r="A96" s="283" t="s">
        <v>232</v>
      </c>
      <c r="B96" s="283" t="s">
        <v>1165</v>
      </c>
      <c r="C96" s="283" t="s">
        <v>591</v>
      </c>
      <c r="D96" s="283" t="s">
        <v>231</v>
      </c>
      <c r="E96" s="283" t="s">
        <v>1505</v>
      </c>
      <c r="F96" s="283" t="s">
        <v>3258</v>
      </c>
      <c r="G96" s="283" t="s">
        <v>1392</v>
      </c>
      <c r="H96" s="283" t="s">
        <v>3000</v>
      </c>
      <c r="I96" s="283" t="s">
        <v>3259</v>
      </c>
      <c r="J96" s="11"/>
      <c r="K96" s="11"/>
      <c r="L96" s="1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row>
    <row r="97" spans="1:223" x14ac:dyDescent="0.3">
      <c r="A97" s="283" t="s">
        <v>232</v>
      </c>
      <c r="B97" s="283" t="s">
        <v>1099</v>
      </c>
      <c r="C97" s="283" t="s">
        <v>680</v>
      </c>
      <c r="D97" s="283" t="s">
        <v>231</v>
      </c>
      <c r="E97" s="283" t="s">
        <v>1505</v>
      </c>
      <c r="F97" s="283" t="s">
        <v>650</v>
      </c>
      <c r="G97" s="283" t="s">
        <v>1393</v>
      </c>
      <c r="H97" s="283" t="s">
        <v>3001</v>
      </c>
      <c r="I97" s="283" t="s">
        <v>3257</v>
      </c>
      <c r="J97" s="11"/>
      <c r="K97" s="11"/>
      <c r="L97" s="11"/>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row>
    <row r="98" spans="1:223" x14ac:dyDescent="0.3">
      <c r="A98" s="283" t="s">
        <v>232</v>
      </c>
      <c r="B98" s="283" t="s">
        <v>655</v>
      </c>
      <c r="C98" s="283" t="s">
        <v>681</v>
      </c>
      <c r="D98" s="283" t="s">
        <v>231</v>
      </c>
      <c r="E98" s="283" t="s">
        <v>1505</v>
      </c>
      <c r="F98" s="283" t="s">
        <v>650</v>
      </c>
      <c r="G98" s="283" t="s">
        <v>3269</v>
      </c>
      <c r="H98" s="283" t="s">
        <v>3001</v>
      </c>
      <c r="I98" s="283" t="s">
        <v>3257</v>
      </c>
      <c r="J98" s="11"/>
      <c r="K98" s="11"/>
      <c r="L98" s="11"/>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row>
    <row r="99" spans="1:223" x14ac:dyDescent="0.3">
      <c r="A99" s="283" t="s">
        <v>232</v>
      </c>
      <c r="B99" s="283" t="s">
        <v>1819</v>
      </c>
      <c r="C99" s="283" t="s">
        <v>1820</v>
      </c>
      <c r="D99" s="283" t="s">
        <v>231</v>
      </c>
      <c r="E99" s="283" t="s">
        <v>1505</v>
      </c>
      <c r="F99" s="283" t="s">
        <v>1280</v>
      </c>
      <c r="G99" s="283" t="s">
        <v>1819</v>
      </c>
      <c r="H99" s="283" t="s">
        <v>3001</v>
      </c>
      <c r="I99" s="283" t="s">
        <v>3257</v>
      </c>
      <c r="J99" s="11"/>
      <c r="K99" s="11"/>
      <c r="L99" s="1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row>
    <row r="100" spans="1:223" x14ac:dyDescent="0.3">
      <c r="A100" s="283" t="s">
        <v>232</v>
      </c>
      <c r="B100" s="283" t="s">
        <v>3270</v>
      </c>
      <c r="C100" s="283" t="s">
        <v>3271</v>
      </c>
      <c r="D100" s="283" t="s">
        <v>231</v>
      </c>
      <c r="E100" s="283" t="s">
        <v>1505</v>
      </c>
      <c r="F100" s="283" t="s">
        <v>1279</v>
      </c>
      <c r="G100" s="283" t="s">
        <v>1672</v>
      </c>
      <c r="H100" s="11" t="s">
        <v>3001</v>
      </c>
      <c r="I100" s="11" t="s">
        <v>3257</v>
      </c>
      <c r="J100" s="11"/>
      <c r="K100" s="11"/>
      <c r="L100" s="11"/>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row>
    <row r="101" spans="1:223" x14ac:dyDescent="0.3">
      <c r="A101" s="283" t="s">
        <v>234</v>
      </c>
      <c r="B101" s="283" t="s">
        <v>1417</v>
      </c>
      <c r="C101" s="283" t="s">
        <v>2918</v>
      </c>
      <c r="D101" s="283" t="s">
        <v>233</v>
      </c>
      <c r="E101" s="283" t="s">
        <v>1505</v>
      </c>
      <c r="F101" s="283" t="s">
        <v>691</v>
      </c>
      <c r="G101" s="283" t="s">
        <v>691</v>
      </c>
      <c r="H101" s="283" t="s">
        <v>3000</v>
      </c>
      <c r="I101" s="283" t="s">
        <v>3257</v>
      </c>
      <c r="J101" s="11"/>
      <c r="K101" s="11"/>
      <c r="L101" s="1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row>
    <row r="102" spans="1:223" x14ac:dyDescent="0.3">
      <c r="A102" s="283" t="s">
        <v>234</v>
      </c>
      <c r="B102" s="283" t="s">
        <v>780</v>
      </c>
      <c r="C102" s="283" t="s">
        <v>674</v>
      </c>
      <c r="D102" s="283" t="s">
        <v>233</v>
      </c>
      <c r="E102" s="283" t="s">
        <v>1505</v>
      </c>
      <c r="F102" s="283" t="s">
        <v>650</v>
      </c>
      <c r="G102" s="283" t="s">
        <v>1821</v>
      </c>
      <c r="H102" s="283" t="s">
        <v>3001</v>
      </c>
      <c r="I102" s="283" t="s">
        <v>3257</v>
      </c>
      <c r="J102" s="11"/>
      <c r="K102" s="11"/>
      <c r="L102" s="1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row>
    <row r="103" spans="1:223" x14ac:dyDescent="0.3">
      <c r="A103" s="283" t="s">
        <v>234</v>
      </c>
      <c r="B103" s="283" t="s">
        <v>1100</v>
      </c>
      <c r="C103" s="283" t="s">
        <v>675</v>
      </c>
      <c r="D103" s="283" t="s">
        <v>233</v>
      </c>
      <c r="E103" s="283" t="s">
        <v>1505</v>
      </c>
      <c r="F103" s="283" t="s">
        <v>650</v>
      </c>
      <c r="G103" s="283" t="s">
        <v>3263</v>
      </c>
      <c r="H103" s="11" t="s">
        <v>3001</v>
      </c>
      <c r="I103" s="11" t="s">
        <v>3257</v>
      </c>
      <c r="J103" s="11"/>
      <c r="K103" s="11"/>
      <c r="L103" s="1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row>
    <row r="104" spans="1:223" x14ac:dyDescent="0.3">
      <c r="A104" s="283" t="s">
        <v>234</v>
      </c>
      <c r="B104" s="283" t="s">
        <v>1822</v>
      </c>
      <c r="C104" s="283" t="s">
        <v>2834</v>
      </c>
      <c r="D104" s="283" t="s">
        <v>233</v>
      </c>
      <c r="E104" s="283" t="s">
        <v>1505</v>
      </c>
      <c r="F104" s="283" t="s">
        <v>1284</v>
      </c>
      <c r="G104" s="283" t="s">
        <v>1822</v>
      </c>
      <c r="H104" s="11" t="s">
        <v>3001</v>
      </c>
      <c r="I104" s="11" t="s">
        <v>3257</v>
      </c>
      <c r="J104" s="11"/>
      <c r="K104" s="11"/>
      <c r="L104" s="11"/>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row>
    <row r="105" spans="1:223" ht="26.4" x14ac:dyDescent="0.3">
      <c r="A105" s="283" t="s">
        <v>234</v>
      </c>
      <c r="B105" s="283" t="s">
        <v>1917</v>
      </c>
      <c r="C105" s="283" t="s">
        <v>2592</v>
      </c>
      <c r="D105" s="283" t="s">
        <v>233</v>
      </c>
      <c r="E105" s="283" t="s">
        <v>1505</v>
      </c>
      <c r="F105" s="283" t="s">
        <v>1280</v>
      </c>
      <c r="G105" s="283" t="s">
        <v>1917</v>
      </c>
      <c r="H105" s="11" t="s">
        <v>3001</v>
      </c>
      <c r="I105" s="11" t="s">
        <v>3257</v>
      </c>
      <c r="J105" s="11"/>
      <c r="K105" s="11"/>
      <c r="L105" s="1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row>
    <row r="106" spans="1:223" ht="52.8" x14ac:dyDescent="0.3">
      <c r="A106" s="283" t="s">
        <v>1173</v>
      </c>
      <c r="B106" s="283" t="s">
        <v>1166</v>
      </c>
      <c r="C106" s="283" t="s">
        <v>1172</v>
      </c>
      <c r="D106" s="283" t="s">
        <v>1205</v>
      </c>
      <c r="E106" s="283" t="s">
        <v>1505</v>
      </c>
      <c r="F106" s="283" t="s">
        <v>1281</v>
      </c>
      <c r="G106" s="283" t="s">
        <v>1407</v>
      </c>
      <c r="H106" s="11"/>
      <c r="I106" s="11" t="s">
        <v>3257</v>
      </c>
      <c r="J106" s="11"/>
      <c r="K106" s="11"/>
      <c r="L106" s="11"/>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row>
    <row r="107" spans="1:223" x14ac:dyDescent="0.3">
      <c r="A107" s="283" t="s">
        <v>241</v>
      </c>
      <c r="B107" s="283" t="s">
        <v>1366</v>
      </c>
      <c r="C107" s="283" t="s">
        <v>1922</v>
      </c>
      <c r="D107" s="283" t="s">
        <v>240</v>
      </c>
      <c r="E107" s="283" t="s">
        <v>1504</v>
      </c>
      <c r="F107" s="283" t="s">
        <v>691</v>
      </c>
      <c r="G107" s="283" t="s">
        <v>691</v>
      </c>
      <c r="H107" s="11" t="s">
        <v>3000</v>
      </c>
      <c r="I107" s="11" t="s">
        <v>3257</v>
      </c>
      <c r="J107" s="251"/>
      <c r="K107" s="11"/>
      <c r="L107" s="11"/>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D107" s="45"/>
      <c r="DE107" s="45"/>
      <c r="DF107" s="45"/>
      <c r="DG107" s="45"/>
      <c r="DH107" s="45"/>
      <c r="DI107" s="45"/>
      <c r="DJ107" s="45"/>
      <c r="DK107" s="45"/>
      <c r="DL107" s="45"/>
      <c r="DM107" s="45"/>
      <c r="DN107" s="45"/>
      <c r="DO107" s="45"/>
      <c r="DP107" s="45"/>
      <c r="DQ107" s="45"/>
      <c r="DR107" s="45"/>
      <c r="DS107" s="45"/>
      <c r="DT107" s="45"/>
      <c r="DU107" s="45"/>
      <c r="DV107" s="45"/>
      <c r="DW107" s="45"/>
      <c r="DX107" s="45"/>
      <c r="DY107" s="45"/>
      <c r="DZ107" s="45"/>
      <c r="EA107" s="45"/>
      <c r="EB107" s="45"/>
      <c r="EC107" s="45"/>
      <c r="ED107" s="45"/>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J107" s="45"/>
      <c r="FK107" s="45"/>
      <c r="FL107" s="45"/>
      <c r="FM107" s="45"/>
      <c r="FN107" s="45"/>
      <c r="FO107" s="45"/>
      <c r="FP107" s="45"/>
      <c r="FQ107" s="45"/>
      <c r="FR107" s="45"/>
      <c r="FS107" s="45"/>
      <c r="FT107" s="45"/>
      <c r="FU107" s="45"/>
      <c r="FV107" s="45"/>
      <c r="FW107" s="45"/>
      <c r="FX107" s="45"/>
      <c r="FY107" s="45"/>
      <c r="FZ107" s="45"/>
      <c r="GA107" s="45"/>
      <c r="GB107" s="45"/>
      <c r="GC107" s="45"/>
      <c r="GD107" s="45"/>
      <c r="GE107" s="45"/>
      <c r="GF107" s="45"/>
      <c r="GG107" s="45"/>
      <c r="GH107" s="45"/>
      <c r="GI107" s="45"/>
      <c r="GJ107" s="45"/>
      <c r="GK107" s="45"/>
      <c r="GL107" s="45"/>
      <c r="GM107" s="45"/>
      <c r="GN107" s="45"/>
      <c r="GO107" s="45"/>
      <c r="GP107" s="45"/>
      <c r="GQ107" s="45"/>
      <c r="GR107" s="45"/>
      <c r="GS107" s="45"/>
      <c r="GT107" s="45"/>
      <c r="GU107" s="45"/>
      <c r="GV107" s="45"/>
      <c r="GW107" s="45"/>
      <c r="GX107" s="45"/>
      <c r="GY107" s="45"/>
      <c r="GZ107" s="45"/>
      <c r="HA107" s="45"/>
      <c r="HB107" s="45"/>
      <c r="HC107" s="45"/>
      <c r="HD107" s="45"/>
      <c r="HE107" s="45"/>
      <c r="HF107" s="45"/>
      <c r="HG107" s="45"/>
      <c r="HH107" s="45"/>
      <c r="HI107" s="45"/>
      <c r="HJ107" s="45"/>
      <c r="HK107" s="45"/>
      <c r="HL107" s="45"/>
      <c r="HM107" s="45"/>
      <c r="HN107" s="45"/>
      <c r="HO107" s="45"/>
    </row>
    <row r="108" spans="1:223" x14ac:dyDescent="0.3">
      <c r="A108" s="283" t="s">
        <v>241</v>
      </c>
      <c r="B108" s="283" t="s">
        <v>1121</v>
      </c>
      <c r="C108" s="283" t="s">
        <v>1122</v>
      </c>
      <c r="D108" s="283" t="s">
        <v>240</v>
      </c>
      <c r="E108" s="283" t="s">
        <v>1504</v>
      </c>
      <c r="F108" s="283" t="s">
        <v>650</v>
      </c>
      <c r="G108" s="283" t="s">
        <v>1408</v>
      </c>
      <c r="H108" s="11" t="s">
        <v>3001</v>
      </c>
      <c r="I108" s="11" t="s">
        <v>3257</v>
      </c>
      <c r="J108" s="11"/>
      <c r="K108" s="11"/>
      <c r="L108" s="1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row>
    <row r="109" spans="1:223" ht="26.4" x14ac:dyDescent="0.3">
      <c r="A109" s="283" t="s">
        <v>372</v>
      </c>
      <c r="B109" s="283" t="s">
        <v>765</v>
      </c>
      <c r="C109" s="283" t="s">
        <v>658</v>
      </c>
      <c r="D109" s="283" t="s">
        <v>237</v>
      </c>
      <c r="E109" s="283" t="s">
        <v>1508</v>
      </c>
      <c r="F109" s="283" t="s">
        <v>650</v>
      </c>
      <c r="G109" s="283" t="s">
        <v>1409</v>
      </c>
      <c r="H109" s="11" t="s">
        <v>3000</v>
      </c>
      <c r="I109" s="11" t="s">
        <v>3257</v>
      </c>
      <c r="J109" s="11"/>
      <c r="K109" s="11"/>
      <c r="L109" s="11"/>
      <c r="N109" s="42" t="s">
        <v>620</v>
      </c>
      <c r="O109" s="42" t="s">
        <v>620</v>
      </c>
      <c r="P109" s="42" t="s">
        <v>620</v>
      </c>
      <c r="Q109" s="42" t="s">
        <v>620</v>
      </c>
      <c r="R109" s="42" t="s">
        <v>620</v>
      </c>
      <c r="S109" s="42" t="s">
        <v>620</v>
      </c>
      <c r="T109" s="42" t="s">
        <v>620</v>
      </c>
      <c r="U109" s="42" t="s">
        <v>620</v>
      </c>
      <c r="V109" s="42" t="s">
        <v>620</v>
      </c>
      <c r="W109" s="42" t="s">
        <v>620</v>
      </c>
      <c r="X109" s="42" t="s">
        <v>620</v>
      </c>
      <c r="Y109" s="42" t="s">
        <v>620</v>
      </c>
      <c r="Z109" s="42" t="s">
        <v>620</v>
      </c>
      <c r="AA109" s="42" t="s">
        <v>620</v>
      </c>
      <c r="AB109" s="42" t="s">
        <v>620</v>
      </c>
      <c r="AC109" s="42" t="s">
        <v>620</v>
      </c>
      <c r="AD109" s="42" t="s">
        <v>620</v>
      </c>
      <c r="AE109" s="42" t="s">
        <v>620</v>
      </c>
      <c r="AF109" s="42" t="s">
        <v>620</v>
      </c>
      <c r="AG109" s="42" t="s">
        <v>620</v>
      </c>
      <c r="AH109" s="42" t="s">
        <v>620</v>
      </c>
      <c r="AI109" s="42" t="s">
        <v>620</v>
      </c>
      <c r="AJ109" s="42" t="s">
        <v>620</v>
      </c>
      <c r="AK109" s="42" t="s">
        <v>620</v>
      </c>
      <c r="AL109" s="42" t="s">
        <v>620</v>
      </c>
      <c r="AM109" s="42" t="s">
        <v>620</v>
      </c>
      <c r="AN109" s="42" t="s">
        <v>620</v>
      </c>
      <c r="AO109" s="42" t="s">
        <v>620</v>
      </c>
      <c r="AP109" s="42" t="s">
        <v>620</v>
      </c>
      <c r="AQ109" s="42" t="s">
        <v>620</v>
      </c>
      <c r="AR109" s="42" t="s">
        <v>620</v>
      </c>
      <c r="AS109" s="42" t="s">
        <v>620</v>
      </c>
      <c r="AT109" s="42" t="s">
        <v>620</v>
      </c>
      <c r="AU109" s="42" t="s">
        <v>620</v>
      </c>
      <c r="AV109" s="42" t="s">
        <v>620</v>
      </c>
      <c r="AW109" s="42" t="s">
        <v>620</v>
      </c>
      <c r="AX109" s="42" t="s">
        <v>620</v>
      </c>
      <c r="AY109" s="42" t="s">
        <v>620</v>
      </c>
      <c r="AZ109" s="42" t="s">
        <v>620</v>
      </c>
      <c r="BA109" s="42" t="s">
        <v>620</v>
      </c>
      <c r="BB109" s="42" t="s">
        <v>620</v>
      </c>
      <c r="BC109" s="42" t="s">
        <v>620</v>
      </c>
      <c r="BD109" s="42" t="s">
        <v>620</v>
      </c>
      <c r="BE109" s="42" t="s">
        <v>620</v>
      </c>
      <c r="BF109" s="42" t="s">
        <v>620</v>
      </c>
      <c r="BG109" s="42" t="s">
        <v>620</v>
      </c>
      <c r="BH109" s="42" t="s">
        <v>620</v>
      </c>
      <c r="BI109" s="42" t="s">
        <v>620</v>
      </c>
      <c r="BJ109" s="42" t="s">
        <v>620</v>
      </c>
      <c r="BK109" s="42" t="s">
        <v>620</v>
      </c>
      <c r="BL109" s="42" t="s">
        <v>620</v>
      </c>
      <c r="BM109" s="42" t="s">
        <v>620</v>
      </c>
      <c r="BN109" s="42" t="s">
        <v>620</v>
      </c>
      <c r="BO109" s="42" t="s">
        <v>620</v>
      </c>
      <c r="BP109" s="42" t="s">
        <v>620</v>
      </c>
      <c r="BQ109" s="42" t="s">
        <v>620</v>
      </c>
      <c r="BR109" s="42" t="s">
        <v>620</v>
      </c>
      <c r="BS109" s="42" t="s">
        <v>620</v>
      </c>
      <c r="BT109" s="42" t="s">
        <v>620</v>
      </c>
      <c r="BU109" s="42" t="s">
        <v>620</v>
      </c>
      <c r="BV109" s="42" t="s">
        <v>620</v>
      </c>
      <c r="BW109" s="42" t="s">
        <v>620</v>
      </c>
      <c r="BX109" s="42" t="s">
        <v>620</v>
      </c>
      <c r="BY109" s="42" t="s">
        <v>620</v>
      </c>
      <c r="BZ109" s="42" t="s">
        <v>620</v>
      </c>
      <c r="CA109" s="42" t="s">
        <v>620</v>
      </c>
      <c r="CB109" s="42" t="s">
        <v>620</v>
      </c>
      <c r="CC109" s="42" t="s">
        <v>620</v>
      </c>
      <c r="CD109" s="42" t="s">
        <v>620</v>
      </c>
      <c r="CE109" s="42" t="s">
        <v>620</v>
      </c>
      <c r="CF109" s="42" t="s">
        <v>620</v>
      </c>
      <c r="CG109" s="42" t="s">
        <v>620</v>
      </c>
      <c r="CH109" s="42" t="s">
        <v>620</v>
      </c>
      <c r="CI109" s="42" t="s">
        <v>620</v>
      </c>
      <c r="CJ109" s="42" t="s">
        <v>620</v>
      </c>
      <c r="CK109" s="42" t="s">
        <v>620</v>
      </c>
      <c r="CL109" s="42" t="s">
        <v>620</v>
      </c>
      <c r="CM109" s="42" t="s">
        <v>620</v>
      </c>
      <c r="CN109" s="42" t="s">
        <v>620</v>
      </c>
      <c r="CO109" s="42" t="s">
        <v>620</v>
      </c>
      <c r="CP109" s="42" t="s">
        <v>620</v>
      </c>
      <c r="CQ109" s="42" t="s">
        <v>620</v>
      </c>
      <c r="CR109" s="42" t="s">
        <v>620</v>
      </c>
      <c r="CS109" s="42" t="s">
        <v>620</v>
      </c>
      <c r="CT109" s="42" t="s">
        <v>620</v>
      </c>
      <c r="CU109" s="42" t="s">
        <v>620</v>
      </c>
      <c r="CV109" s="42" t="s">
        <v>620</v>
      </c>
      <c r="CW109" s="42" t="s">
        <v>620</v>
      </c>
      <c r="CX109" s="42" t="s">
        <v>620</v>
      </c>
      <c r="CY109" s="42" t="s">
        <v>620</v>
      </c>
      <c r="CZ109" s="42" t="s">
        <v>620</v>
      </c>
      <c r="DA109" s="42" t="s">
        <v>620</v>
      </c>
      <c r="DB109" s="42" t="s">
        <v>620</v>
      </c>
      <c r="DC109" s="42" t="s">
        <v>620</v>
      </c>
      <c r="DD109" s="42" t="s">
        <v>620</v>
      </c>
      <c r="DE109" s="42" t="s">
        <v>620</v>
      </c>
      <c r="DF109" s="42" t="s">
        <v>620</v>
      </c>
      <c r="DG109" s="42" t="s">
        <v>620</v>
      </c>
      <c r="DH109" s="42" t="s">
        <v>620</v>
      </c>
      <c r="DI109" s="42" t="s">
        <v>620</v>
      </c>
      <c r="DJ109" s="42" t="s">
        <v>620</v>
      </c>
      <c r="DK109" s="42" t="s">
        <v>620</v>
      </c>
      <c r="DL109" s="42" t="s">
        <v>620</v>
      </c>
      <c r="DM109" s="42" t="s">
        <v>620</v>
      </c>
      <c r="DN109" s="42" t="s">
        <v>620</v>
      </c>
      <c r="DO109" s="42" t="s">
        <v>620</v>
      </c>
      <c r="DP109" s="42" t="s">
        <v>620</v>
      </c>
      <c r="DQ109" s="42" t="s">
        <v>620</v>
      </c>
      <c r="DR109" s="42" t="s">
        <v>620</v>
      </c>
      <c r="DS109" s="42" t="s">
        <v>620</v>
      </c>
      <c r="DT109" s="42" t="s">
        <v>620</v>
      </c>
      <c r="DU109" s="42" t="s">
        <v>620</v>
      </c>
      <c r="DV109" s="42" t="s">
        <v>620</v>
      </c>
      <c r="DW109" s="42" t="s">
        <v>620</v>
      </c>
      <c r="DX109" s="42" t="s">
        <v>620</v>
      </c>
      <c r="DY109" s="42" t="s">
        <v>620</v>
      </c>
      <c r="DZ109" s="42" t="s">
        <v>620</v>
      </c>
      <c r="EA109" s="42" t="s">
        <v>620</v>
      </c>
      <c r="EB109" s="42" t="s">
        <v>620</v>
      </c>
      <c r="EC109" s="42" t="s">
        <v>620</v>
      </c>
      <c r="ED109" s="42" t="s">
        <v>620</v>
      </c>
      <c r="EE109" s="42" t="s">
        <v>620</v>
      </c>
      <c r="EF109" s="42" t="s">
        <v>620</v>
      </c>
      <c r="EG109" s="42" t="s">
        <v>620</v>
      </c>
      <c r="EH109" s="42" t="s">
        <v>620</v>
      </c>
      <c r="EI109" s="42" t="s">
        <v>620</v>
      </c>
      <c r="EJ109" s="42" t="s">
        <v>620</v>
      </c>
      <c r="EK109" s="42" t="s">
        <v>620</v>
      </c>
      <c r="EL109" s="42" t="s">
        <v>620</v>
      </c>
      <c r="EM109" s="42" t="s">
        <v>620</v>
      </c>
      <c r="EN109" s="42" t="s">
        <v>620</v>
      </c>
      <c r="EO109" s="42" t="s">
        <v>620</v>
      </c>
      <c r="EP109" s="42" t="s">
        <v>620</v>
      </c>
      <c r="EQ109" s="42" t="s">
        <v>620</v>
      </c>
      <c r="ER109" s="42" t="s">
        <v>620</v>
      </c>
      <c r="ES109" s="42" t="s">
        <v>620</v>
      </c>
      <c r="ET109" s="42" t="s">
        <v>620</v>
      </c>
      <c r="EU109" s="42" t="s">
        <v>620</v>
      </c>
      <c r="EV109" s="42" t="s">
        <v>620</v>
      </c>
      <c r="EW109" s="42" t="s">
        <v>620</v>
      </c>
      <c r="EX109" s="42" t="s">
        <v>620</v>
      </c>
      <c r="EY109" s="42" t="s">
        <v>620</v>
      </c>
      <c r="EZ109" s="42" t="s">
        <v>620</v>
      </c>
      <c r="FA109" s="42" t="s">
        <v>620</v>
      </c>
      <c r="FB109" s="42" t="s">
        <v>620</v>
      </c>
      <c r="FC109" s="42" t="s">
        <v>620</v>
      </c>
      <c r="FD109" s="42" t="s">
        <v>620</v>
      </c>
      <c r="FE109" s="42" t="s">
        <v>620</v>
      </c>
      <c r="FF109" s="42" t="s">
        <v>620</v>
      </c>
      <c r="FG109" s="42" t="s">
        <v>620</v>
      </c>
      <c r="FH109" s="42" t="s">
        <v>620</v>
      </c>
      <c r="FI109" s="42" t="s">
        <v>620</v>
      </c>
      <c r="FJ109" s="42" t="s">
        <v>620</v>
      </c>
      <c r="FK109" s="42" t="s">
        <v>620</v>
      </c>
      <c r="FL109" s="42" t="s">
        <v>620</v>
      </c>
      <c r="FM109" s="42" t="s">
        <v>620</v>
      </c>
      <c r="FN109" s="42" t="s">
        <v>620</v>
      </c>
      <c r="FO109" s="42" t="s">
        <v>620</v>
      </c>
      <c r="FP109" s="42" t="s">
        <v>620</v>
      </c>
      <c r="FQ109" s="42" t="s">
        <v>620</v>
      </c>
      <c r="FR109" s="42" t="s">
        <v>620</v>
      </c>
      <c r="FS109" s="42" t="s">
        <v>620</v>
      </c>
      <c r="FT109" s="42" t="s">
        <v>620</v>
      </c>
      <c r="FU109" s="42" t="s">
        <v>620</v>
      </c>
      <c r="FV109" s="42" t="s">
        <v>620</v>
      </c>
      <c r="FW109" s="42" t="s">
        <v>620</v>
      </c>
      <c r="FX109" s="42" t="s">
        <v>620</v>
      </c>
      <c r="FY109" s="42" t="s">
        <v>620</v>
      </c>
      <c r="FZ109" s="42" t="s">
        <v>620</v>
      </c>
      <c r="GA109" s="42" t="s">
        <v>620</v>
      </c>
      <c r="GB109" s="42" t="s">
        <v>620</v>
      </c>
      <c r="GC109" s="42" t="s">
        <v>620</v>
      </c>
      <c r="GD109" s="42" t="s">
        <v>620</v>
      </c>
      <c r="GE109" s="42" t="s">
        <v>620</v>
      </c>
      <c r="GF109" s="42" t="s">
        <v>620</v>
      </c>
      <c r="GG109" s="42" t="s">
        <v>620</v>
      </c>
      <c r="GH109" s="42" t="s">
        <v>620</v>
      </c>
      <c r="GI109" s="42" t="s">
        <v>620</v>
      </c>
      <c r="GJ109" s="42" t="s">
        <v>620</v>
      </c>
      <c r="GK109" s="42" t="s">
        <v>620</v>
      </c>
      <c r="GL109" s="42" t="s">
        <v>620</v>
      </c>
      <c r="GM109" s="42" t="s">
        <v>620</v>
      </c>
      <c r="GN109" s="42" t="s">
        <v>620</v>
      </c>
      <c r="GO109" s="42" t="s">
        <v>620</v>
      </c>
      <c r="GP109" s="42" t="s">
        <v>620</v>
      </c>
      <c r="GQ109" s="42" t="s">
        <v>620</v>
      </c>
      <c r="GR109" s="42" t="s">
        <v>620</v>
      </c>
      <c r="GS109" s="42" t="s">
        <v>620</v>
      </c>
      <c r="GT109" s="42" t="s">
        <v>620</v>
      </c>
      <c r="GU109" s="42" t="s">
        <v>620</v>
      </c>
      <c r="GV109" s="42" t="s">
        <v>620</v>
      </c>
      <c r="GW109" s="42" t="s">
        <v>620</v>
      </c>
      <c r="GX109" s="42" t="s">
        <v>620</v>
      </c>
      <c r="GY109" s="42" t="s">
        <v>620</v>
      </c>
      <c r="GZ109" s="42" t="s">
        <v>620</v>
      </c>
      <c r="HA109" s="42" t="s">
        <v>620</v>
      </c>
      <c r="HB109" s="42" t="s">
        <v>620</v>
      </c>
      <c r="HC109" s="42" t="s">
        <v>620</v>
      </c>
      <c r="HD109" s="42" t="s">
        <v>620</v>
      </c>
      <c r="HE109" s="42" t="s">
        <v>620</v>
      </c>
      <c r="HF109" s="42" t="s">
        <v>620</v>
      </c>
      <c r="HG109" s="42" t="s">
        <v>620</v>
      </c>
      <c r="HH109" s="42" t="s">
        <v>620</v>
      </c>
      <c r="HI109" s="42" t="s">
        <v>620</v>
      </c>
      <c r="HJ109" s="42" t="s">
        <v>620</v>
      </c>
      <c r="HK109" s="42" t="s">
        <v>620</v>
      </c>
      <c r="HL109" s="42" t="s">
        <v>620</v>
      </c>
      <c r="HM109" s="42" t="s">
        <v>620</v>
      </c>
      <c r="HN109" s="42" t="s">
        <v>620</v>
      </c>
      <c r="HO109" s="42" t="s">
        <v>620</v>
      </c>
    </row>
    <row r="110" spans="1:223" x14ac:dyDescent="0.3">
      <c r="A110" s="283" t="s">
        <v>251</v>
      </c>
      <c r="B110" s="283" t="s">
        <v>771</v>
      </c>
      <c r="C110" s="283" t="s">
        <v>668</v>
      </c>
      <c r="D110" s="283" t="s">
        <v>250</v>
      </c>
      <c r="E110" s="283" t="s">
        <v>1507</v>
      </c>
      <c r="F110" s="283" t="s">
        <v>1280</v>
      </c>
      <c r="G110" s="283" t="s">
        <v>1391</v>
      </c>
      <c r="H110" s="283" t="s">
        <v>3000</v>
      </c>
      <c r="I110" s="283" t="s">
        <v>3257</v>
      </c>
      <c r="J110" s="11"/>
      <c r="K110" s="11"/>
      <c r="L110" s="11"/>
      <c r="N110" s="41" t="s">
        <v>607</v>
      </c>
      <c r="O110" s="41" t="s">
        <v>607</v>
      </c>
      <c r="P110" s="41" t="s">
        <v>607</v>
      </c>
      <c r="Q110" s="41" t="s">
        <v>607</v>
      </c>
      <c r="R110" s="41" t="s">
        <v>607</v>
      </c>
      <c r="S110" s="41" t="s">
        <v>607</v>
      </c>
      <c r="T110" s="41" t="s">
        <v>607</v>
      </c>
      <c r="U110" s="41" t="s">
        <v>607</v>
      </c>
      <c r="V110" s="41" t="s">
        <v>607</v>
      </c>
      <c r="W110" s="41" t="s">
        <v>607</v>
      </c>
      <c r="X110" s="41" t="s">
        <v>607</v>
      </c>
      <c r="Y110" s="41" t="s">
        <v>607</v>
      </c>
      <c r="Z110" s="41" t="s">
        <v>607</v>
      </c>
      <c r="AA110" s="41" t="s">
        <v>607</v>
      </c>
      <c r="AB110" s="41" t="s">
        <v>607</v>
      </c>
      <c r="AC110" s="41" t="s">
        <v>607</v>
      </c>
      <c r="AD110" s="41" t="s">
        <v>607</v>
      </c>
      <c r="AE110" s="41" t="s">
        <v>607</v>
      </c>
      <c r="AF110" s="41" t="s">
        <v>607</v>
      </c>
      <c r="AG110" s="41" t="s">
        <v>607</v>
      </c>
      <c r="AH110" s="41" t="s">
        <v>607</v>
      </c>
      <c r="AI110" s="41" t="s">
        <v>607</v>
      </c>
      <c r="AJ110" s="41" t="s">
        <v>607</v>
      </c>
      <c r="AK110" s="41" t="s">
        <v>607</v>
      </c>
      <c r="AL110" s="41" t="s">
        <v>607</v>
      </c>
      <c r="AM110" s="41" t="s">
        <v>607</v>
      </c>
      <c r="AN110" s="41" t="s">
        <v>607</v>
      </c>
      <c r="AO110" s="41" t="s">
        <v>607</v>
      </c>
      <c r="AP110" s="41" t="s">
        <v>607</v>
      </c>
      <c r="AQ110" s="41" t="s">
        <v>607</v>
      </c>
      <c r="AR110" s="41" t="s">
        <v>607</v>
      </c>
      <c r="AS110" s="41" t="s">
        <v>607</v>
      </c>
      <c r="AT110" s="41" t="s">
        <v>607</v>
      </c>
      <c r="AU110" s="41" t="s">
        <v>607</v>
      </c>
      <c r="AV110" s="41" t="s">
        <v>607</v>
      </c>
      <c r="AW110" s="41" t="s">
        <v>607</v>
      </c>
      <c r="AX110" s="41" t="s">
        <v>607</v>
      </c>
      <c r="AY110" s="41" t="s">
        <v>607</v>
      </c>
      <c r="AZ110" s="41" t="s">
        <v>607</v>
      </c>
      <c r="BA110" s="41" t="s">
        <v>607</v>
      </c>
      <c r="BB110" s="41" t="s">
        <v>607</v>
      </c>
      <c r="BC110" s="41" t="s">
        <v>607</v>
      </c>
      <c r="BD110" s="41" t="s">
        <v>607</v>
      </c>
      <c r="BE110" s="41" t="s">
        <v>607</v>
      </c>
      <c r="BF110" s="41" t="s">
        <v>607</v>
      </c>
      <c r="BG110" s="41" t="s">
        <v>607</v>
      </c>
      <c r="BH110" s="41" t="s">
        <v>607</v>
      </c>
      <c r="BI110" s="41" t="s">
        <v>607</v>
      </c>
      <c r="BJ110" s="41" t="s">
        <v>607</v>
      </c>
      <c r="BK110" s="41" t="s">
        <v>607</v>
      </c>
      <c r="BL110" s="41" t="s">
        <v>607</v>
      </c>
      <c r="BM110" s="41" t="s">
        <v>607</v>
      </c>
      <c r="BN110" s="41" t="s">
        <v>607</v>
      </c>
      <c r="BO110" s="41" t="s">
        <v>607</v>
      </c>
      <c r="BP110" s="41" t="s">
        <v>607</v>
      </c>
      <c r="BQ110" s="41" t="s">
        <v>607</v>
      </c>
      <c r="BR110" s="41" t="s">
        <v>607</v>
      </c>
      <c r="BS110" s="41" t="s">
        <v>607</v>
      </c>
      <c r="BT110" s="41" t="s">
        <v>607</v>
      </c>
      <c r="BU110" s="41" t="s">
        <v>607</v>
      </c>
      <c r="BV110" s="41" t="s">
        <v>607</v>
      </c>
      <c r="BW110" s="41" t="s">
        <v>607</v>
      </c>
      <c r="BX110" s="41" t="s">
        <v>607</v>
      </c>
      <c r="BY110" s="41" t="s">
        <v>607</v>
      </c>
      <c r="BZ110" s="41" t="s">
        <v>607</v>
      </c>
      <c r="CA110" s="41" t="s">
        <v>607</v>
      </c>
      <c r="CB110" s="41" t="s">
        <v>607</v>
      </c>
      <c r="CC110" s="41" t="s">
        <v>607</v>
      </c>
      <c r="CD110" s="41" t="s">
        <v>607</v>
      </c>
      <c r="CE110" s="41" t="s">
        <v>607</v>
      </c>
      <c r="CF110" s="41" t="s">
        <v>607</v>
      </c>
      <c r="CG110" s="41" t="s">
        <v>607</v>
      </c>
      <c r="CH110" s="41" t="s">
        <v>607</v>
      </c>
      <c r="CI110" s="41" t="s">
        <v>607</v>
      </c>
      <c r="CJ110" s="41" t="s">
        <v>607</v>
      </c>
      <c r="CK110" s="41" t="s">
        <v>607</v>
      </c>
      <c r="CL110" s="41" t="s">
        <v>607</v>
      </c>
      <c r="CM110" s="41" t="s">
        <v>607</v>
      </c>
      <c r="CN110" s="41" t="s">
        <v>607</v>
      </c>
      <c r="CO110" s="41" t="s">
        <v>607</v>
      </c>
      <c r="CP110" s="41" t="s">
        <v>607</v>
      </c>
      <c r="CQ110" s="41" t="s">
        <v>607</v>
      </c>
      <c r="CR110" s="41" t="s">
        <v>607</v>
      </c>
      <c r="CS110" s="41" t="s">
        <v>607</v>
      </c>
      <c r="CT110" s="41" t="s">
        <v>607</v>
      </c>
      <c r="CU110" s="41" t="s">
        <v>607</v>
      </c>
      <c r="CV110" s="41" t="s">
        <v>607</v>
      </c>
      <c r="CW110" s="41" t="s">
        <v>607</v>
      </c>
      <c r="CX110" s="41" t="s">
        <v>607</v>
      </c>
      <c r="CY110" s="41" t="s">
        <v>607</v>
      </c>
      <c r="CZ110" s="41" t="s">
        <v>607</v>
      </c>
      <c r="DA110" s="41" t="s">
        <v>607</v>
      </c>
      <c r="DB110" s="41" t="s">
        <v>607</v>
      </c>
      <c r="DC110" s="41" t="s">
        <v>607</v>
      </c>
      <c r="DD110" s="41" t="s">
        <v>607</v>
      </c>
      <c r="DE110" s="41" t="s">
        <v>607</v>
      </c>
      <c r="DF110" s="41" t="s">
        <v>607</v>
      </c>
      <c r="DG110" s="41" t="s">
        <v>607</v>
      </c>
      <c r="DH110" s="41" t="s">
        <v>607</v>
      </c>
      <c r="DI110" s="41" t="s">
        <v>607</v>
      </c>
      <c r="DJ110" s="41" t="s">
        <v>607</v>
      </c>
      <c r="DK110" s="41" t="s">
        <v>607</v>
      </c>
      <c r="DL110" s="41" t="s">
        <v>607</v>
      </c>
      <c r="DM110" s="41" t="s">
        <v>607</v>
      </c>
      <c r="DN110" s="41" t="s">
        <v>607</v>
      </c>
      <c r="DO110" s="41" t="s">
        <v>607</v>
      </c>
      <c r="DP110" s="41" t="s">
        <v>607</v>
      </c>
      <c r="DQ110" s="41" t="s">
        <v>607</v>
      </c>
      <c r="DR110" s="41" t="s">
        <v>607</v>
      </c>
      <c r="DS110" s="41" t="s">
        <v>607</v>
      </c>
      <c r="DT110" s="41" t="s">
        <v>607</v>
      </c>
      <c r="DU110" s="41" t="s">
        <v>607</v>
      </c>
      <c r="DV110" s="41" t="s">
        <v>607</v>
      </c>
      <c r="DW110" s="41" t="s">
        <v>607</v>
      </c>
      <c r="DX110" s="41" t="s">
        <v>607</v>
      </c>
      <c r="DY110" s="41" t="s">
        <v>607</v>
      </c>
      <c r="DZ110" s="41" t="s">
        <v>607</v>
      </c>
      <c r="EA110" s="41" t="s">
        <v>607</v>
      </c>
      <c r="EB110" s="41" t="s">
        <v>607</v>
      </c>
      <c r="EC110" s="41" t="s">
        <v>607</v>
      </c>
      <c r="ED110" s="41" t="s">
        <v>607</v>
      </c>
      <c r="EE110" s="41" t="s">
        <v>607</v>
      </c>
      <c r="EF110" s="41" t="s">
        <v>607</v>
      </c>
      <c r="EG110" s="41" t="s">
        <v>607</v>
      </c>
      <c r="EH110" s="41" t="s">
        <v>607</v>
      </c>
      <c r="EI110" s="41" t="s">
        <v>607</v>
      </c>
      <c r="EJ110" s="41" t="s">
        <v>607</v>
      </c>
      <c r="EK110" s="41" t="s">
        <v>607</v>
      </c>
      <c r="EL110" s="41" t="s">
        <v>607</v>
      </c>
      <c r="EM110" s="41" t="s">
        <v>607</v>
      </c>
      <c r="EN110" s="41" t="s">
        <v>607</v>
      </c>
      <c r="EO110" s="41" t="s">
        <v>607</v>
      </c>
      <c r="EP110" s="41" t="s">
        <v>607</v>
      </c>
      <c r="EQ110" s="41" t="s">
        <v>607</v>
      </c>
      <c r="ER110" s="41" t="s">
        <v>607</v>
      </c>
      <c r="ES110" s="41" t="s">
        <v>607</v>
      </c>
      <c r="ET110" s="41" t="s">
        <v>607</v>
      </c>
      <c r="EU110" s="41" t="s">
        <v>607</v>
      </c>
      <c r="EV110" s="41" t="s">
        <v>607</v>
      </c>
      <c r="EW110" s="41" t="s">
        <v>607</v>
      </c>
      <c r="EX110" s="41" t="s">
        <v>607</v>
      </c>
      <c r="EY110" s="41" t="s">
        <v>607</v>
      </c>
      <c r="EZ110" s="41" t="s">
        <v>607</v>
      </c>
      <c r="FA110" s="41" t="s">
        <v>607</v>
      </c>
      <c r="FB110" s="41" t="s">
        <v>607</v>
      </c>
      <c r="FC110" s="41" t="s">
        <v>607</v>
      </c>
      <c r="FD110" s="41" t="s">
        <v>607</v>
      </c>
      <c r="FE110" s="41" t="s">
        <v>607</v>
      </c>
      <c r="FF110" s="41" t="s">
        <v>607</v>
      </c>
      <c r="FG110" s="41" t="s">
        <v>607</v>
      </c>
      <c r="FH110" s="41" t="s">
        <v>607</v>
      </c>
      <c r="FI110" s="41" t="s">
        <v>607</v>
      </c>
      <c r="FJ110" s="41" t="s">
        <v>607</v>
      </c>
      <c r="FK110" s="41" t="s">
        <v>607</v>
      </c>
      <c r="FL110" s="41" t="s">
        <v>607</v>
      </c>
      <c r="FM110" s="41" t="s">
        <v>607</v>
      </c>
      <c r="FN110" s="41" t="s">
        <v>607</v>
      </c>
      <c r="FO110" s="41" t="s">
        <v>607</v>
      </c>
      <c r="FP110" s="41" t="s">
        <v>607</v>
      </c>
      <c r="FQ110" s="41" t="s">
        <v>607</v>
      </c>
      <c r="FR110" s="41" t="s">
        <v>607</v>
      </c>
      <c r="FS110" s="41" t="s">
        <v>607</v>
      </c>
      <c r="FT110" s="41" t="s">
        <v>607</v>
      </c>
      <c r="FU110" s="41" t="s">
        <v>607</v>
      </c>
      <c r="FV110" s="41" t="s">
        <v>607</v>
      </c>
      <c r="FW110" s="41" t="s">
        <v>607</v>
      </c>
      <c r="FX110" s="41" t="s">
        <v>607</v>
      </c>
      <c r="FY110" s="41" t="s">
        <v>607</v>
      </c>
      <c r="FZ110" s="41" t="s">
        <v>607</v>
      </c>
      <c r="GA110" s="41" t="s">
        <v>607</v>
      </c>
      <c r="GB110" s="41" t="s">
        <v>607</v>
      </c>
      <c r="GC110" s="41" t="s">
        <v>607</v>
      </c>
      <c r="GD110" s="41" t="s">
        <v>607</v>
      </c>
      <c r="GE110" s="41" t="s">
        <v>607</v>
      </c>
      <c r="GF110" s="41" t="s">
        <v>607</v>
      </c>
      <c r="GG110" s="41" t="s">
        <v>607</v>
      </c>
      <c r="GH110" s="41" t="s">
        <v>607</v>
      </c>
      <c r="GI110" s="41" t="s">
        <v>607</v>
      </c>
      <c r="GJ110" s="41" t="s">
        <v>607</v>
      </c>
      <c r="GK110" s="41" t="s">
        <v>607</v>
      </c>
      <c r="GL110" s="41" t="s">
        <v>607</v>
      </c>
      <c r="GM110" s="41" t="s">
        <v>607</v>
      </c>
      <c r="GN110" s="41" t="s">
        <v>607</v>
      </c>
      <c r="GO110" s="41" t="s">
        <v>607</v>
      </c>
      <c r="GP110" s="41" t="s">
        <v>607</v>
      </c>
      <c r="GQ110" s="41" t="s">
        <v>607</v>
      </c>
      <c r="GR110" s="41" t="s">
        <v>607</v>
      </c>
      <c r="GS110" s="41" t="s">
        <v>607</v>
      </c>
      <c r="GT110" s="41" t="s">
        <v>607</v>
      </c>
      <c r="GU110" s="41" t="s">
        <v>607</v>
      </c>
      <c r="GV110" s="41" t="s">
        <v>607</v>
      </c>
      <c r="GW110" s="41" t="s">
        <v>607</v>
      </c>
      <c r="GX110" s="41" t="s">
        <v>607</v>
      </c>
      <c r="GY110" s="41" t="s">
        <v>607</v>
      </c>
      <c r="GZ110" s="41" t="s">
        <v>607</v>
      </c>
      <c r="HA110" s="41" t="s">
        <v>607</v>
      </c>
      <c r="HB110" s="41" t="s">
        <v>607</v>
      </c>
      <c r="HC110" s="41" t="s">
        <v>607</v>
      </c>
      <c r="HD110" s="41" t="s">
        <v>607</v>
      </c>
      <c r="HE110" s="41" t="s">
        <v>607</v>
      </c>
      <c r="HF110" s="41" t="s">
        <v>607</v>
      </c>
      <c r="HG110" s="41" t="s">
        <v>607</v>
      </c>
      <c r="HH110" s="41" t="s">
        <v>607</v>
      </c>
      <c r="HI110" s="41" t="s">
        <v>607</v>
      </c>
      <c r="HJ110" s="41" t="s">
        <v>607</v>
      </c>
      <c r="HK110" s="41" t="s">
        <v>607</v>
      </c>
      <c r="HL110" s="41" t="s">
        <v>607</v>
      </c>
      <c r="HM110" s="41" t="s">
        <v>607</v>
      </c>
      <c r="HN110" s="41" t="s">
        <v>607</v>
      </c>
      <c r="HO110" s="41" t="s">
        <v>607</v>
      </c>
    </row>
    <row r="111" spans="1:223" x14ac:dyDescent="0.3">
      <c r="A111" s="283" t="s">
        <v>253</v>
      </c>
      <c r="B111" s="283" t="s">
        <v>1823</v>
      </c>
      <c r="C111" s="283" t="s">
        <v>1923</v>
      </c>
      <c r="D111" s="283" t="s">
        <v>252</v>
      </c>
      <c r="E111" s="283" t="s">
        <v>1504</v>
      </c>
      <c r="F111" s="283" t="s">
        <v>3258</v>
      </c>
      <c r="G111" s="283" t="s">
        <v>1392</v>
      </c>
      <c r="H111" s="283" t="s">
        <v>3000</v>
      </c>
      <c r="I111" s="283" t="s">
        <v>3259</v>
      </c>
      <c r="J111" s="11"/>
      <c r="K111" s="11"/>
      <c r="L111" s="11"/>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row>
    <row r="112" spans="1:223" x14ac:dyDescent="0.3">
      <c r="A112" s="283" t="s">
        <v>253</v>
      </c>
      <c r="B112" s="283" t="s">
        <v>908</v>
      </c>
      <c r="C112" s="283" t="s">
        <v>1179</v>
      </c>
      <c r="D112" s="283" t="s">
        <v>252</v>
      </c>
      <c r="E112" s="283" t="s">
        <v>1504</v>
      </c>
      <c r="F112" s="283" t="s">
        <v>650</v>
      </c>
      <c r="G112" s="283" t="s">
        <v>1675</v>
      </c>
      <c r="H112" s="11" t="s">
        <v>3001</v>
      </c>
      <c r="I112" s="11" t="s">
        <v>3257</v>
      </c>
      <c r="J112" s="251"/>
      <c r="K112" s="11"/>
      <c r="L112" s="11"/>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row>
    <row r="113" spans="1:223" x14ac:dyDescent="0.3">
      <c r="A113" s="283" t="s">
        <v>253</v>
      </c>
      <c r="B113" s="283" t="s">
        <v>1824</v>
      </c>
      <c r="C113" s="283" t="s">
        <v>1825</v>
      </c>
      <c r="D113" s="283" t="s">
        <v>252</v>
      </c>
      <c r="E113" s="283" t="s">
        <v>1504</v>
      </c>
      <c r="F113" s="283" t="s">
        <v>1826</v>
      </c>
      <c r="G113" s="283" t="s">
        <v>1824</v>
      </c>
      <c r="H113" s="11" t="s">
        <v>3001</v>
      </c>
      <c r="I113" s="11" t="s">
        <v>3257</v>
      </c>
      <c r="J113" s="39"/>
      <c r="K113" s="11"/>
      <c r="L113" s="1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row>
    <row r="114" spans="1:223" x14ac:dyDescent="0.3">
      <c r="A114" s="283" t="s">
        <v>264</v>
      </c>
      <c r="B114" s="283" t="s">
        <v>1101</v>
      </c>
      <c r="C114" s="283" t="s">
        <v>807</v>
      </c>
      <c r="D114" s="283" t="s">
        <v>263</v>
      </c>
      <c r="E114" s="283" t="s">
        <v>1505</v>
      </c>
      <c r="F114" s="283" t="s">
        <v>1280</v>
      </c>
      <c r="G114" s="283" t="s">
        <v>977</v>
      </c>
      <c r="H114" s="11" t="s">
        <v>3000</v>
      </c>
      <c r="I114" s="11" t="s">
        <v>3257</v>
      </c>
      <c r="J114" s="39"/>
      <c r="K114" s="11"/>
      <c r="L114" s="1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row>
    <row r="115" spans="1:223" x14ac:dyDescent="0.3">
      <c r="A115" s="283" t="s">
        <v>278</v>
      </c>
      <c r="B115" s="283" t="s">
        <v>778</v>
      </c>
      <c r="C115" s="283" t="s">
        <v>673</v>
      </c>
      <c r="D115" s="283" t="s">
        <v>277</v>
      </c>
      <c r="E115" s="283" t="s">
        <v>1505</v>
      </c>
      <c r="F115" s="283" t="s">
        <v>651</v>
      </c>
      <c r="G115" s="283" t="s">
        <v>651</v>
      </c>
      <c r="H115" s="11" t="s">
        <v>3001</v>
      </c>
      <c r="I115" s="11" t="s">
        <v>3257</v>
      </c>
      <c r="J115" s="11"/>
      <c r="K115" s="11"/>
      <c r="L115" s="11"/>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row>
    <row r="116" spans="1:223" x14ac:dyDescent="0.3">
      <c r="A116" s="283" t="s">
        <v>294</v>
      </c>
      <c r="B116" s="283" t="s">
        <v>1102</v>
      </c>
      <c r="C116" s="283" t="s">
        <v>592</v>
      </c>
      <c r="D116" s="283" t="s">
        <v>293</v>
      </c>
      <c r="E116" s="283" t="s">
        <v>1505</v>
      </c>
      <c r="F116" s="283" t="s">
        <v>691</v>
      </c>
      <c r="G116" s="283" t="s">
        <v>691</v>
      </c>
      <c r="H116" s="11" t="s">
        <v>3000</v>
      </c>
      <c r="I116" s="11" t="s">
        <v>3257</v>
      </c>
      <c r="J116" s="11"/>
      <c r="K116" s="11"/>
      <c r="L116" s="11"/>
      <c r="N116" s="45" t="s">
        <v>632</v>
      </c>
      <c r="O116" s="45" t="s">
        <v>632</v>
      </c>
      <c r="P116" s="45" t="s">
        <v>632</v>
      </c>
      <c r="Q116" s="45" t="s">
        <v>632</v>
      </c>
      <c r="R116" s="45" t="s">
        <v>632</v>
      </c>
      <c r="S116" s="45" t="s">
        <v>632</v>
      </c>
      <c r="T116" s="45" t="s">
        <v>632</v>
      </c>
      <c r="U116" s="45" t="s">
        <v>632</v>
      </c>
      <c r="V116" s="45" t="s">
        <v>632</v>
      </c>
      <c r="W116" s="45" t="s">
        <v>632</v>
      </c>
      <c r="X116" s="45" t="s">
        <v>632</v>
      </c>
      <c r="Y116" s="45" t="s">
        <v>632</v>
      </c>
      <c r="Z116" s="45" t="s">
        <v>632</v>
      </c>
      <c r="AA116" s="45" t="s">
        <v>632</v>
      </c>
      <c r="AB116" s="45" t="s">
        <v>632</v>
      </c>
      <c r="AC116" s="45" t="s">
        <v>632</v>
      </c>
      <c r="AD116" s="45" t="s">
        <v>632</v>
      </c>
      <c r="AE116" s="45" t="s">
        <v>632</v>
      </c>
      <c r="AF116" s="45" t="s">
        <v>632</v>
      </c>
      <c r="AG116" s="45" t="s">
        <v>632</v>
      </c>
      <c r="AH116" s="45" t="s">
        <v>632</v>
      </c>
      <c r="AI116" s="45" t="s">
        <v>632</v>
      </c>
      <c r="AJ116" s="45" t="s">
        <v>632</v>
      </c>
      <c r="AK116" s="45" t="s">
        <v>632</v>
      </c>
      <c r="AL116" s="45" t="s">
        <v>632</v>
      </c>
      <c r="AM116" s="45" t="s">
        <v>632</v>
      </c>
      <c r="AN116" s="45" t="s">
        <v>632</v>
      </c>
      <c r="AO116" s="45" t="s">
        <v>632</v>
      </c>
      <c r="AP116" s="45" t="s">
        <v>632</v>
      </c>
      <c r="AQ116" s="45" t="s">
        <v>632</v>
      </c>
      <c r="AR116" s="45" t="s">
        <v>632</v>
      </c>
      <c r="AS116" s="45" t="s">
        <v>632</v>
      </c>
      <c r="AT116" s="45" t="s">
        <v>632</v>
      </c>
      <c r="AU116" s="45" t="s">
        <v>632</v>
      </c>
      <c r="AV116" s="45" t="s">
        <v>632</v>
      </c>
      <c r="AW116" s="45" t="s">
        <v>632</v>
      </c>
      <c r="AX116" s="45" t="s">
        <v>632</v>
      </c>
      <c r="AY116" s="45" t="s">
        <v>632</v>
      </c>
      <c r="AZ116" s="45" t="s">
        <v>632</v>
      </c>
      <c r="BA116" s="45" t="s">
        <v>632</v>
      </c>
      <c r="BB116" s="45" t="s">
        <v>632</v>
      </c>
      <c r="BC116" s="45" t="s">
        <v>632</v>
      </c>
      <c r="BD116" s="45" t="s">
        <v>632</v>
      </c>
      <c r="BE116" s="45" t="s">
        <v>632</v>
      </c>
      <c r="BF116" s="45" t="s">
        <v>632</v>
      </c>
      <c r="BG116" s="45" t="s">
        <v>632</v>
      </c>
      <c r="BH116" s="45" t="s">
        <v>632</v>
      </c>
      <c r="BI116" s="45" t="s">
        <v>632</v>
      </c>
      <c r="BJ116" s="45" t="s">
        <v>632</v>
      </c>
      <c r="BK116" s="45" t="s">
        <v>632</v>
      </c>
      <c r="BL116" s="45" t="s">
        <v>632</v>
      </c>
      <c r="BM116" s="45" t="s">
        <v>632</v>
      </c>
      <c r="BN116" s="45" t="s">
        <v>632</v>
      </c>
      <c r="BO116" s="45" t="s">
        <v>632</v>
      </c>
      <c r="BP116" s="45" t="s">
        <v>632</v>
      </c>
      <c r="BQ116" s="45" t="s">
        <v>632</v>
      </c>
      <c r="BR116" s="45" t="s">
        <v>632</v>
      </c>
      <c r="BS116" s="45" t="s">
        <v>632</v>
      </c>
      <c r="BT116" s="45" t="s">
        <v>632</v>
      </c>
      <c r="BU116" s="45" t="s">
        <v>632</v>
      </c>
      <c r="BV116" s="45" t="s">
        <v>632</v>
      </c>
      <c r="BW116" s="45" t="s">
        <v>632</v>
      </c>
      <c r="BX116" s="45" t="s">
        <v>632</v>
      </c>
      <c r="BY116" s="45" t="s">
        <v>632</v>
      </c>
      <c r="BZ116" s="45" t="s">
        <v>632</v>
      </c>
      <c r="CA116" s="45" t="s">
        <v>632</v>
      </c>
      <c r="CB116" s="45" t="s">
        <v>632</v>
      </c>
      <c r="CC116" s="45" t="s">
        <v>632</v>
      </c>
      <c r="CD116" s="45" t="s">
        <v>632</v>
      </c>
      <c r="CE116" s="45" t="s">
        <v>632</v>
      </c>
      <c r="CF116" s="45" t="s">
        <v>632</v>
      </c>
      <c r="CG116" s="45" t="s">
        <v>632</v>
      </c>
      <c r="CH116" s="45" t="s">
        <v>632</v>
      </c>
      <c r="CI116" s="45" t="s">
        <v>632</v>
      </c>
      <c r="CJ116" s="45" t="s">
        <v>632</v>
      </c>
      <c r="CK116" s="45" t="s">
        <v>632</v>
      </c>
      <c r="CL116" s="45" t="s">
        <v>632</v>
      </c>
      <c r="CM116" s="45" t="s">
        <v>632</v>
      </c>
      <c r="CN116" s="45" t="s">
        <v>632</v>
      </c>
      <c r="CO116" s="45" t="s">
        <v>632</v>
      </c>
      <c r="CP116" s="45" t="s">
        <v>632</v>
      </c>
      <c r="CQ116" s="45" t="s">
        <v>632</v>
      </c>
      <c r="CR116" s="45" t="s">
        <v>632</v>
      </c>
      <c r="CS116" s="45" t="s">
        <v>632</v>
      </c>
      <c r="CT116" s="45" t="s">
        <v>632</v>
      </c>
      <c r="CU116" s="45" t="s">
        <v>632</v>
      </c>
      <c r="CV116" s="45" t="s">
        <v>632</v>
      </c>
      <c r="CW116" s="45" t="s">
        <v>632</v>
      </c>
      <c r="CX116" s="45" t="s">
        <v>632</v>
      </c>
      <c r="CY116" s="45" t="s">
        <v>632</v>
      </c>
      <c r="CZ116" s="45" t="s">
        <v>632</v>
      </c>
      <c r="DA116" s="45" t="s">
        <v>632</v>
      </c>
      <c r="DB116" s="45" t="s">
        <v>632</v>
      </c>
      <c r="DC116" s="45" t="s">
        <v>632</v>
      </c>
      <c r="DD116" s="45" t="s">
        <v>632</v>
      </c>
      <c r="DE116" s="45" t="s">
        <v>632</v>
      </c>
      <c r="DF116" s="45" t="s">
        <v>632</v>
      </c>
      <c r="DG116" s="45" t="s">
        <v>632</v>
      </c>
      <c r="DH116" s="45" t="s">
        <v>632</v>
      </c>
      <c r="DI116" s="45" t="s">
        <v>632</v>
      </c>
      <c r="DJ116" s="45" t="s">
        <v>632</v>
      </c>
      <c r="DK116" s="45" t="s">
        <v>632</v>
      </c>
      <c r="DL116" s="45" t="s">
        <v>632</v>
      </c>
      <c r="DM116" s="45" t="s">
        <v>632</v>
      </c>
      <c r="DN116" s="45" t="s">
        <v>632</v>
      </c>
      <c r="DO116" s="45" t="s">
        <v>632</v>
      </c>
      <c r="DP116" s="45" t="s">
        <v>632</v>
      </c>
      <c r="DQ116" s="45" t="s">
        <v>632</v>
      </c>
      <c r="DR116" s="45" t="s">
        <v>632</v>
      </c>
      <c r="DS116" s="45" t="s">
        <v>632</v>
      </c>
      <c r="DT116" s="45" t="s">
        <v>632</v>
      </c>
      <c r="DU116" s="45" t="s">
        <v>632</v>
      </c>
      <c r="DV116" s="45" t="s">
        <v>632</v>
      </c>
      <c r="DW116" s="45" t="s">
        <v>632</v>
      </c>
      <c r="DX116" s="45" t="s">
        <v>632</v>
      </c>
      <c r="DY116" s="45" t="s">
        <v>632</v>
      </c>
      <c r="DZ116" s="45" t="s">
        <v>632</v>
      </c>
      <c r="EA116" s="45" t="s">
        <v>632</v>
      </c>
      <c r="EB116" s="45" t="s">
        <v>632</v>
      </c>
      <c r="EC116" s="45" t="s">
        <v>632</v>
      </c>
      <c r="ED116" s="45" t="s">
        <v>632</v>
      </c>
      <c r="EE116" s="45" t="s">
        <v>632</v>
      </c>
      <c r="EF116" s="45" t="s">
        <v>632</v>
      </c>
      <c r="EG116" s="45" t="s">
        <v>632</v>
      </c>
      <c r="EH116" s="45" t="s">
        <v>632</v>
      </c>
      <c r="EI116" s="45" t="s">
        <v>632</v>
      </c>
      <c r="EJ116" s="45" t="s">
        <v>632</v>
      </c>
      <c r="EK116" s="45" t="s">
        <v>632</v>
      </c>
      <c r="EL116" s="45" t="s">
        <v>632</v>
      </c>
      <c r="EM116" s="45" t="s">
        <v>632</v>
      </c>
      <c r="EN116" s="45" t="s">
        <v>632</v>
      </c>
      <c r="EO116" s="45" t="s">
        <v>632</v>
      </c>
      <c r="EP116" s="45" t="s">
        <v>632</v>
      </c>
      <c r="EQ116" s="45" t="s">
        <v>632</v>
      </c>
      <c r="ER116" s="45" t="s">
        <v>632</v>
      </c>
      <c r="ES116" s="45" t="s">
        <v>632</v>
      </c>
      <c r="ET116" s="45" t="s">
        <v>632</v>
      </c>
      <c r="EU116" s="45" t="s">
        <v>632</v>
      </c>
      <c r="EV116" s="45" t="s">
        <v>632</v>
      </c>
      <c r="EW116" s="45" t="s">
        <v>632</v>
      </c>
      <c r="EX116" s="45" t="s">
        <v>632</v>
      </c>
      <c r="EY116" s="45" t="s">
        <v>632</v>
      </c>
      <c r="EZ116" s="45" t="s">
        <v>632</v>
      </c>
      <c r="FA116" s="45" t="s">
        <v>632</v>
      </c>
      <c r="FB116" s="45" t="s">
        <v>632</v>
      </c>
      <c r="FC116" s="45" t="s">
        <v>632</v>
      </c>
      <c r="FD116" s="45" t="s">
        <v>632</v>
      </c>
      <c r="FE116" s="45" t="s">
        <v>632</v>
      </c>
      <c r="FF116" s="45" t="s">
        <v>632</v>
      </c>
      <c r="FG116" s="45" t="s">
        <v>632</v>
      </c>
      <c r="FH116" s="45" t="s">
        <v>632</v>
      </c>
      <c r="FI116" s="45" t="s">
        <v>632</v>
      </c>
      <c r="FJ116" s="45" t="s">
        <v>632</v>
      </c>
      <c r="FK116" s="45" t="s">
        <v>632</v>
      </c>
      <c r="FL116" s="45" t="s">
        <v>632</v>
      </c>
      <c r="FM116" s="45" t="s">
        <v>632</v>
      </c>
      <c r="FN116" s="45" t="s">
        <v>632</v>
      </c>
      <c r="FO116" s="45" t="s">
        <v>632</v>
      </c>
      <c r="FP116" s="45" t="s">
        <v>632</v>
      </c>
      <c r="FQ116" s="45" t="s">
        <v>632</v>
      </c>
      <c r="FR116" s="45" t="s">
        <v>632</v>
      </c>
      <c r="FS116" s="45" t="s">
        <v>632</v>
      </c>
      <c r="FT116" s="45" t="s">
        <v>632</v>
      </c>
      <c r="FU116" s="45" t="s">
        <v>632</v>
      </c>
      <c r="FV116" s="45" t="s">
        <v>632</v>
      </c>
      <c r="FW116" s="45" t="s">
        <v>632</v>
      </c>
      <c r="FX116" s="45" t="s">
        <v>632</v>
      </c>
      <c r="FY116" s="45" t="s">
        <v>632</v>
      </c>
      <c r="FZ116" s="45" t="s">
        <v>632</v>
      </c>
      <c r="GA116" s="45" t="s">
        <v>632</v>
      </c>
      <c r="GB116" s="45" t="s">
        <v>632</v>
      </c>
      <c r="GC116" s="45" t="s">
        <v>632</v>
      </c>
      <c r="GD116" s="45" t="s">
        <v>632</v>
      </c>
      <c r="GE116" s="45" t="s">
        <v>632</v>
      </c>
      <c r="GF116" s="45" t="s">
        <v>632</v>
      </c>
      <c r="GG116" s="45" t="s">
        <v>632</v>
      </c>
      <c r="GH116" s="45" t="s">
        <v>632</v>
      </c>
      <c r="GI116" s="45" t="s">
        <v>632</v>
      </c>
      <c r="GJ116" s="45" t="s">
        <v>632</v>
      </c>
      <c r="GK116" s="45" t="s">
        <v>632</v>
      </c>
      <c r="GL116" s="45" t="s">
        <v>632</v>
      </c>
      <c r="GM116" s="45" t="s">
        <v>632</v>
      </c>
      <c r="GN116" s="45" t="s">
        <v>632</v>
      </c>
      <c r="GO116" s="45" t="s">
        <v>632</v>
      </c>
      <c r="GP116" s="45" t="s">
        <v>632</v>
      </c>
      <c r="GQ116" s="45" t="s">
        <v>632</v>
      </c>
      <c r="GR116" s="45" t="s">
        <v>632</v>
      </c>
      <c r="GS116" s="45" t="s">
        <v>632</v>
      </c>
      <c r="GT116" s="45" t="s">
        <v>632</v>
      </c>
      <c r="GU116" s="45" t="s">
        <v>632</v>
      </c>
      <c r="GV116" s="45" t="s">
        <v>632</v>
      </c>
      <c r="GW116" s="45" t="s">
        <v>632</v>
      </c>
      <c r="GX116" s="45" t="s">
        <v>632</v>
      </c>
      <c r="GY116" s="45" t="s">
        <v>632</v>
      </c>
      <c r="GZ116" s="45" t="s">
        <v>632</v>
      </c>
      <c r="HA116" s="45" t="s">
        <v>632</v>
      </c>
      <c r="HB116" s="45" t="s">
        <v>632</v>
      </c>
      <c r="HC116" s="45" t="s">
        <v>632</v>
      </c>
      <c r="HD116" s="45" t="s">
        <v>632</v>
      </c>
      <c r="HE116" s="45" t="s">
        <v>632</v>
      </c>
      <c r="HF116" s="45" t="s">
        <v>632</v>
      </c>
      <c r="HG116" s="45" t="s">
        <v>632</v>
      </c>
      <c r="HH116" s="45" t="s">
        <v>632</v>
      </c>
      <c r="HI116" s="45" t="s">
        <v>632</v>
      </c>
      <c r="HJ116" s="45" t="s">
        <v>632</v>
      </c>
      <c r="HK116" s="45" t="s">
        <v>632</v>
      </c>
      <c r="HL116" s="45" t="s">
        <v>632</v>
      </c>
      <c r="HM116" s="45" t="s">
        <v>632</v>
      </c>
      <c r="HN116" s="45" t="s">
        <v>632</v>
      </c>
      <c r="HO116" s="45" t="s">
        <v>632</v>
      </c>
    </row>
    <row r="117" spans="1:223" x14ac:dyDescent="0.3">
      <c r="A117" s="283" t="s">
        <v>294</v>
      </c>
      <c r="B117" s="283" t="s">
        <v>1266</v>
      </c>
      <c r="C117" s="283" t="s">
        <v>1269</v>
      </c>
      <c r="D117" s="283" t="s">
        <v>293</v>
      </c>
      <c r="E117" s="283" t="s">
        <v>1505</v>
      </c>
      <c r="F117" s="283" t="s">
        <v>1280</v>
      </c>
      <c r="G117" s="283" t="s">
        <v>1389</v>
      </c>
      <c r="H117" s="11"/>
      <c r="I117" s="11" t="s">
        <v>3257</v>
      </c>
      <c r="J117" s="39"/>
      <c r="K117" s="11"/>
      <c r="L117" s="1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row>
    <row r="118" spans="1:223" x14ac:dyDescent="0.3">
      <c r="A118" s="283" t="s">
        <v>294</v>
      </c>
      <c r="B118" s="283" t="s">
        <v>1676</v>
      </c>
      <c r="C118" s="283" t="s">
        <v>2388</v>
      </c>
      <c r="D118" s="283" t="s">
        <v>293</v>
      </c>
      <c r="E118" s="283" t="s">
        <v>1505</v>
      </c>
      <c r="F118" s="283" t="s">
        <v>1279</v>
      </c>
      <c r="G118" s="283" t="s">
        <v>1672</v>
      </c>
      <c r="H118" s="11" t="s">
        <v>3001</v>
      </c>
      <c r="I118" s="11" t="s">
        <v>3257</v>
      </c>
      <c r="J118" s="11"/>
      <c r="K118" s="11"/>
      <c r="L118" s="11"/>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row>
    <row r="119" spans="1:223" x14ac:dyDescent="0.3">
      <c r="A119" s="283" t="s">
        <v>299</v>
      </c>
      <c r="B119" s="283" t="s">
        <v>1103</v>
      </c>
      <c r="C119" s="283" t="s">
        <v>593</v>
      </c>
      <c r="D119" s="283" t="s">
        <v>298</v>
      </c>
      <c r="E119" s="283" t="s">
        <v>1505</v>
      </c>
      <c r="F119" s="283" t="s">
        <v>691</v>
      </c>
      <c r="G119" s="283" t="s">
        <v>691</v>
      </c>
      <c r="H119" s="283" t="s">
        <v>3000</v>
      </c>
      <c r="I119" s="283" t="s">
        <v>3257</v>
      </c>
      <c r="J119" s="11"/>
      <c r="K119" s="11"/>
      <c r="L119" s="11"/>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row>
    <row r="120" spans="1:223" x14ac:dyDescent="0.3">
      <c r="A120" s="283" t="s">
        <v>305</v>
      </c>
      <c r="B120" s="283" t="s">
        <v>1104</v>
      </c>
      <c r="C120" s="283" t="s">
        <v>1924</v>
      </c>
      <c r="D120" s="283" t="s">
        <v>304</v>
      </c>
      <c r="E120" s="283" t="s">
        <v>1505</v>
      </c>
      <c r="F120" s="283" t="s">
        <v>691</v>
      </c>
      <c r="G120" s="283" t="s">
        <v>691</v>
      </c>
      <c r="H120" s="11" t="s">
        <v>3000</v>
      </c>
      <c r="I120" s="11" t="s">
        <v>3257</v>
      </c>
      <c r="J120" s="11"/>
      <c r="K120" s="11"/>
      <c r="L120" s="11"/>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row>
    <row r="121" spans="1:223" x14ac:dyDescent="0.3">
      <c r="A121" s="283" t="s">
        <v>305</v>
      </c>
      <c r="B121" s="283" t="s">
        <v>1927</v>
      </c>
      <c r="C121" s="283" t="s">
        <v>1928</v>
      </c>
      <c r="D121" s="283" t="s">
        <v>304</v>
      </c>
      <c r="E121" s="283" t="s">
        <v>1505</v>
      </c>
      <c r="F121" s="283" t="s">
        <v>1280</v>
      </c>
      <c r="G121" s="283" t="s">
        <v>977</v>
      </c>
      <c r="H121" s="283" t="s">
        <v>3001</v>
      </c>
      <c r="I121" s="283" t="s">
        <v>3257</v>
      </c>
      <c r="J121" s="11"/>
      <c r="K121" s="11"/>
      <c r="L121" s="11"/>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row>
    <row r="122" spans="1:223" x14ac:dyDescent="0.3">
      <c r="A122" s="283" t="s">
        <v>305</v>
      </c>
      <c r="B122" s="283" t="s">
        <v>2807</v>
      </c>
      <c r="C122" s="283" t="s">
        <v>2933</v>
      </c>
      <c r="D122" s="283" t="s">
        <v>304</v>
      </c>
      <c r="E122" s="283" t="s">
        <v>1505</v>
      </c>
      <c r="F122" s="283" t="s">
        <v>1279</v>
      </c>
      <c r="G122" s="283" t="s">
        <v>1672</v>
      </c>
      <c r="H122" s="283" t="s">
        <v>3001</v>
      </c>
      <c r="I122" s="283" t="s">
        <v>3257</v>
      </c>
      <c r="J122" s="11"/>
      <c r="K122" s="11"/>
      <c r="L122" s="11"/>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row>
    <row r="123" spans="1:223" ht="26.4" x14ac:dyDescent="0.3">
      <c r="A123" s="283" t="s">
        <v>388</v>
      </c>
      <c r="B123" s="283" t="s">
        <v>761</v>
      </c>
      <c r="C123" s="283" t="s">
        <v>594</v>
      </c>
      <c r="D123" s="283" t="s">
        <v>313</v>
      </c>
      <c r="E123" s="283" t="s">
        <v>1508</v>
      </c>
      <c r="F123" s="283" t="s">
        <v>691</v>
      </c>
      <c r="G123" s="283" t="s">
        <v>650</v>
      </c>
      <c r="H123" s="11" t="s">
        <v>3000</v>
      </c>
      <c r="I123" s="11" t="s">
        <v>3257</v>
      </c>
      <c r="J123" s="11"/>
      <c r="K123" s="11"/>
      <c r="L123" s="11"/>
      <c r="N123" s="42" t="s">
        <v>626</v>
      </c>
      <c r="O123" s="42" t="s">
        <v>626</v>
      </c>
      <c r="P123" s="42" t="s">
        <v>626</v>
      </c>
      <c r="Q123" s="42" t="s">
        <v>626</v>
      </c>
      <c r="R123" s="42" t="s">
        <v>626</v>
      </c>
      <c r="S123" s="42" t="s">
        <v>626</v>
      </c>
      <c r="T123" s="42" t="s">
        <v>626</v>
      </c>
      <c r="U123" s="42" t="s">
        <v>626</v>
      </c>
      <c r="V123" s="42" t="s">
        <v>626</v>
      </c>
      <c r="W123" s="42" t="s">
        <v>626</v>
      </c>
      <c r="X123" s="42" t="s">
        <v>626</v>
      </c>
      <c r="Y123" s="42" t="s">
        <v>626</v>
      </c>
      <c r="Z123" s="42" t="s">
        <v>626</v>
      </c>
      <c r="AA123" s="42" t="s">
        <v>626</v>
      </c>
      <c r="AB123" s="42" t="s">
        <v>626</v>
      </c>
      <c r="AC123" s="42" t="s">
        <v>626</v>
      </c>
      <c r="AD123" s="42" t="s">
        <v>626</v>
      </c>
      <c r="AE123" s="42" t="s">
        <v>626</v>
      </c>
      <c r="AF123" s="42" t="s">
        <v>626</v>
      </c>
      <c r="AG123" s="42" t="s">
        <v>626</v>
      </c>
      <c r="AH123" s="42" t="s">
        <v>626</v>
      </c>
      <c r="AI123" s="42" t="s">
        <v>626</v>
      </c>
      <c r="AJ123" s="42" t="s">
        <v>626</v>
      </c>
      <c r="AK123" s="42" t="s">
        <v>626</v>
      </c>
      <c r="AL123" s="42" t="s">
        <v>626</v>
      </c>
      <c r="AM123" s="42" t="s">
        <v>626</v>
      </c>
      <c r="AN123" s="42" t="s">
        <v>626</v>
      </c>
      <c r="AO123" s="42" t="s">
        <v>626</v>
      </c>
      <c r="AP123" s="42" t="s">
        <v>626</v>
      </c>
      <c r="AQ123" s="42" t="s">
        <v>626</v>
      </c>
      <c r="AR123" s="42" t="s">
        <v>626</v>
      </c>
      <c r="AS123" s="42" t="s">
        <v>626</v>
      </c>
      <c r="AT123" s="42" t="s">
        <v>626</v>
      </c>
      <c r="AU123" s="42" t="s">
        <v>626</v>
      </c>
      <c r="AV123" s="42" t="s">
        <v>626</v>
      </c>
      <c r="AW123" s="42" t="s">
        <v>626</v>
      </c>
      <c r="AX123" s="42" t="s">
        <v>626</v>
      </c>
      <c r="AY123" s="42" t="s">
        <v>626</v>
      </c>
      <c r="AZ123" s="42" t="s">
        <v>626</v>
      </c>
      <c r="BA123" s="42" t="s">
        <v>626</v>
      </c>
      <c r="BB123" s="42" t="s">
        <v>626</v>
      </c>
      <c r="BC123" s="42" t="s">
        <v>626</v>
      </c>
      <c r="BD123" s="42" t="s">
        <v>626</v>
      </c>
      <c r="BE123" s="42" t="s">
        <v>626</v>
      </c>
      <c r="BF123" s="42" t="s">
        <v>626</v>
      </c>
      <c r="BG123" s="42" t="s">
        <v>626</v>
      </c>
      <c r="BH123" s="42" t="s">
        <v>626</v>
      </c>
      <c r="BI123" s="42" t="s">
        <v>626</v>
      </c>
      <c r="BJ123" s="42" t="s">
        <v>626</v>
      </c>
      <c r="BK123" s="42" t="s">
        <v>626</v>
      </c>
      <c r="BL123" s="42" t="s">
        <v>626</v>
      </c>
      <c r="BM123" s="42" t="s">
        <v>626</v>
      </c>
      <c r="BN123" s="42" t="s">
        <v>626</v>
      </c>
      <c r="BO123" s="42" t="s">
        <v>626</v>
      </c>
      <c r="BP123" s="42" t="s">
        <v>626</v>
      </c>
      <c r="BQ123" s="42" t="s">
        <v>626</v>
      </c>
      <c r="BR123" s="42" t="s">
        <v>626</v>
      </c>
      <c r="BS123" s="42" t="s">
        <v>626</v>
      </c>
      <c r="BT123" s="42" t="s">
        <v>626</v>
      </c>
      <c r="BU123" s="42" t="s">
        <v>626</v>
      </c>
      <c r="BV123" s="42" t="s">
        <v>626</v>
      </c>
      <c r="BW123" s="42" t="s">
        <v>626</v>
      </c>
      <c r="BX123" s="42" t="s">
        <v>626</v>
      </c>
      <c r="BY123" s="42" t="s">
        <v>626</v>
      </c>
      <c r="BZ123" s="42" t="s">
        <v>626</v>
      </c>
      <c r="CA123" s="42" t="s">
        <v>626</v>
      </c>
      <c r="CB123" s="42" t="s">
        <v>626</v>
      </c>
      <c r="CC123" s="42" t="s">
        <v>626</v>
      </c>
      <c r="CD123" s="42" t="s">
        <v>626</v>
      </c>
      <c r="CE123" s="42" t="s">
        <v>626</v>
      </c>
      <c r="CF123" s="42" t="s">
        <v>626</v>
      </c>
      <c r="CG123" s="42" t="s">
        <v>626</v>
      </c>
      <c r="CH123" s="42" t="s">
        <v>626</v>
      </c>
      <c r="CI123" s="42" t="s">
        <v>626</v>
      </c>
      <c r="CJ123" s="42" t="s">
        <v>626</v>
      </c>
      <c r="CK123" s="42" t="s">
        <v>626</v>
      </c>
      <c r="CL123" s="42" t="s">
        <v>626</v>
      </c>
      <c r="CM123" s="42" t="s">
        <v>626</v>
      </c>
      <c r="CN123" s="42" t="s">
        <v>626</v>
      </c>
      <c r="CO123" s="42" t="s">
        <v>626</v>
      </c>
      <c r="CP123" s="42" t="s">
        <v>626</v>
      </c>
      <c r="CQ123" s="42" t="s">
        <v>626</v>
      </c>
      <c r="CR123" s="42" t="s">
        <v>626</v>
      </c>
      <c r="CS123" s="42" t="s">
        <v>626</v>
      </c>
      <c r="CT123" s="42" t="s">
        <v>626</v>
      </c>
      <c r="CU123" s="42" t="s">
        <v>626</v>
      </c>
      <c r="CV123" s="42" t="s">
        <v>626</v>
      </c>
      <c r="CW123" s="42" t="s">
        <v>626</v>
      </c>
      <c r="CX123" s="42" t="s">
        <v>626</v>
      </c>
      <c r="CY123" s="42" t="s">
        <v>626</v>
      </c>
      <c r="CZ123" s="42" t="s">
        <v>626</v>
      </c>
      <c r="DA123" s="42" t="s">
        <v>626</v>
      </c>
      <c r="DB123" s="42" t="s">
        <v>626</v>
      </c>
      <c r="DC123" s="42" t="s">
        <v>626</v>
      </c>
      <c r="DD123" s="42" t="s">
        <v>626</v>
      </c>
      <c r="DE123" s="42" t="s">
        <v>626</v>
      </c>
      <c r="DF123" s="42" t="s">
        <v>626</v>
      </c>
      <c r="DG123" s="42" t="s">
        <v>626</v>
      </c>
      <c r="DH123" s="42" t="s">
        <v>626</v>
      </c>
      <c r="DI123" s="42" t="s">
        <v>626</v>
      </c>
      <c r="DJ123" s="42" t="s">
        <v>626</v>
      </c>
      <c r="DK123" s="42" t="s">
        <v>626</v>
      </c>
      <c r="DL123" s="42" t="s">
        <v>626</v>
      </c>
      <c r="DM123" s="42" t="s">
        <v>626</v>
      </c>
      <c r="DN123" s="42" t="s">
        <v>626</v>
      </c>
      <c r="DO123" s="42" t="s">
        <v>626</v>
      </c>
      <c r="DP123" s="42" t="s">
        <v>626</v>
      </c>
      <c r="DQ123" s="42" t="s">
        <v>626</v>
      </c>
      <c r="DR123" s="42" t="s">
        <v>626</v>
      </c>
      <c r="DS123" s="42" t="s">
        <v>626</v>
      </c>
      <c r="DT123" s="42" t="s">
        <v>626</v>
      </c>
      <c r="DU123" s="42" t="s">
        <v>626</v>
      </c>
      <c r="DV123" s="42" t="s">
        <v>626</v>
      </c>
      <c r="DW123" s="42" t="s">
        <v>626</v>
      </c>
      <c r="DX123" s="42" t="s">
        <v>626</v>
      </c>
      <c r="DY123" s="42" t="s">
        <v>626</v>
      </c>
      <c r="DZ123" s="42" t="s">
        <v>626</v>
      </c>
      <c r="EA123" s="42" t="s">
        <v>626</v>
      </c>
      <c r="EB123" s="42" t="s">
        <v>626</v>
      </c>
      <c r="EC123" s="42" t="s">
        <v>626</v>
      </c>
      <c r="ED123" s="42" t="s">
        <v>626</v>
      </c>
      <c r="EE123" s="42" t="s">
        <v>626</v>
      </c>
      <c r="EF123" s="42" t="s">
        <v>626</v>
      </c>
      <c r="EG123" s="42" t="s">
        <v>626</v>
      </c>
      <c r="EH123" s="42" t="s">
        <v>626</v>
      </c>
      <c r="EI123" s="42" t="s">
        <v>626</v>
      </c>
      <c r="EJ123" s="42" t="s">
        <v>626</v>
      </c>
      <c r="EK123" s="42" t="s">
        <v>626</v>
      </c>
      <c r="EL123" s="42" t="s">
        <v>626</v>
      </c>
      <c r="EM123" s="42" t="s">
        <v>626</v>
      </c>
      <c r="EN123" s="42" t="s">
        <v>626</v>
      </c>
      <c r="EO123" s="42" t="s">
        <v>626</v>
      </c>
      <c r="EP123" s="42" t="s">
        <v>626</v>
      </c>
      <c r="EQ123" s="42" t="s">
        <v>626</v>
      </c>
      <c r="ER123" s="42" t="s">
        <v>626</v>
      </c>
      <c r="ES123" s="42" t="s">
        <v>626</v>
      </c>
      <c r="ET123" s="42" t="s">
        <v>626</v>
      </c>
      <c r="EU123" s="42" t="s">
        <v>626</v>
      </c>
      <c r="EV123" s="42" t="s">
        <v>626</v>
      </c>
      <c r="EW123" s="42" t="s">
        <v>626</v>
      </c>
      <c r="EX123" s="42" t="s">
        <v>626</v>
      </c>
      <c r="EY123" s="42" t="s">
        <v>626</v>
      </c>
      <c r="EZ123" s="42" t="s">
        <v>626</v>
      </c>
      <c r="FA123" s="42" t="s">
        <v>626</v>
      </c>
      <c r="FB123" s="42" t="s">
        <v>626</v>
      </c>
      <c r="FC123" s="42" t="s">
        <v>626</v>
      </c>
      <c r="FD123" s="42" t="s">
        <v>626</v>
      </c>
      <c r="FE123" s="42" t="s">
        <v>626</v>
      </c>
      <c r="FF123" s="42" t="s">
        <v>626</v>
      </c>
      <c r="FG123" s="42" t="s">
        <v>626</v>
      </c>
      <c r="FH123" s="42" t="s">
        <v>626</v>
      </c>
      <c r="FI123" s="42" t="s">
        <v>626</v>
      </c>
      <c r="FJ123" s="42" t="s">
        <v>626</v>
      </c>
      <c r="FK123" s="42" t="s">
        <v>626</v>
      </c>
      <c r="FL123" s="42" t="s">
        <v>626</v>
      </c>
      <c r="FM123" s="42" t="s">
        <v>626</v>
      </c>
      <c r="FN123" s="42" t="s">
        <v>626</v>
      </c>
      <c r="FO123" s="42" t="s">
        <v>626</v>
      </c>
      <c r="FP123" s="42" t="s">
        <v>626</v>
      </c>
      <c r="FQ123" s="42" t="s">
        <v>626</v>
      </c>
      <c r="FR123" s="42" t="s">
        <v>626</v>
      </c>
      <c r="FS123" s="42" t="s">
        <v>626</v>
      </c>
      <c r="FT123" s="42" t="s">
        <v>626</v>
      </c>
      <c r="FU123" s="42" t="s">
        <v>626</v>
      </c>
      <c r="FV123" s="42" t="s">
        <v>626</v>
      </c>
      <c r="FW123" s="42" t="s">
        <v>626</v>
      </c>
      <c r="FX123" s="42" t="s">
        <v>626</v>
      </c>
      <c r="FY123" s="42" t="s">
        <v>626</v>
      </c>
      <c r="FZ123" s="42" t="s">
        <v>626</v>
      </c>
      <c r="GA123" s="42" t="s">
        <v>626</v>
      </c>
      <c r="GB123" s="42" t="s">
        <v>626</v>
      </c>
      <c r="GC123" s="42" t="s">
        <v>626</v>
      </c>
      <c r="GD123" s="42" t="s">
        <v>626</v>
      </c>
      <c r="GE123" s="42" t="s">
        <v>626</v>
      </c>
      <c r="GF123" s="42" t="s">
        <v>626</v>
      </c>
      <c r="GG123" s="42" t="s">
        <v>626</v>
      </c>
      <c r="GH123" s="42" t="s">
        <v>626</v>
      </c>
      <c r="GI123" s="42" t="s">
        <v>626</v>
      </c>
      <c r="GJ123" s="42" t="s">
        <v>626</v>
      </c>
      <c r="GK123" s="42" t="s">
        <v>626</v>
      </c>
      <c r="GL123" s="42" t="s">
        <v>626</v>
      </c>
      <c r="GM123" s="42" t="s">
        <v>626</v>
      </c>
      <c r="GN123" s="42" t="s">
        <v>626</v>
      </c>
      <c r="GO123" s="42" t="s">
        <v>626</v>
      </c>
      <c r="GP123" s="42" t="s">
        <v>626</v>
      </c>
      <c r="GQ123" s="42" t="s">
        <v>626</v>
      </c>
      <c r="GR123" s="42" t="s">
        <v>626</v>
      </c>
      <c r="GS123" s="42" t="s">
        <v>626</v>
      </c>
      <c r="GT123" s="42" t="s">
        <v>626</v>
      </c>
      <c r="GU123" s="42" t="s">
        <v>626</v>
      </c>
      <c r="GV123" s="42" t="s">
        <v>626</v>
      </c>
      <c r="GW123" s="42" t="s">
        <v>626</v>
      </c>
      <c r="GX123" s="42" t="s">
        <v>626</v>
      </c>
      <c r="GY123" s="42" t="s">
        <v>626</v>
      </c>
      <c r="GZ123" s="42" t="s">
        <v>626</v>
      </c>
      <c r="HA123" s="42" t="s">
        <v>626</v>
      </c>
      <c r="HB123" s="42" t="s">
        <v>626</v>
      </c>
      <c r="HC123" s="42" t="s">
        <v>626</v>
      </c>
      <c r="HD123" s="42" t="s">
        <v>626</v>
      </c>
      <c r="HE123" s="42" t="s">
        <v>626</v>
      </c>
      <c r="HF123" s="42" t="s">
        <v>626</v>
      </c>
      <c r="HG123" s="42" t="s">
        <v>626</v>
      </c>
      <c r="HH123" s="42" t="s">
        <v>626</v>
      </c>
      <c r="HI123" s="42" t="s">
        <v>626</v>
      </c>
      <c r="HJ123" s="42" t="s">
        <v>626</v>
      </c>
      <c r="HK123" s="42" t="s">
        <v>626</v>
      </c>
      <c r="HL123" s="42" t="s">
        <v>626</v>
      </c>
      <c r="HM123" s="42" t="s">
        <v>626</v>
      </c>
      <c r="HN123" s="42" t="s">
        <v>626</v>
      </c>
      <c r="HO123" s="42" t="s">
        <v>626</v>
      </c>
    </row>
    <row r="124" spans="1:223" ht="52.8" x14ac:dyDescent="0.3">
      <c r="A124" s="283" t="s">
        <v>1258</v>
      </c>
      <c r="B124" s="283" t="s">
        <v>1250</v>
      </c>
      <c r="C124" s="283" t="s">
        <v>1254</v>
      </c>
      <c r="D124" s="283" t="s">
        <v>1262</v>
      </c>
      <c r="E124" s="283" t="s">
        <v>1508</v>
      </c>
      <c r="F124" s="283" t="s">
        <v>1281</v>
      </c>
      <c r="G124" s="283" t="s">
        <v>1250</v>
      </c>
      <c r="H124" s="11" t="s">
        <v>3001</v>
      </c>
      <c r="I124" s="11" t="s">
        <v>3257</v>
      </c>
      <c r="J124" s="11"/>
      <c r="K124" s="11"/>
      <c r="L124" s="1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row>
    <row r="125" spans="1:223" x14ac:dyDescent="0.3">
      <c r="A125" s="283" t="s">
        <v>389</v>
      </c>
      <c r="B125" s="283" t="s">
        <v>791</v>
      </c>
      <c r="C125" s="283" t="s">
        <v>683</v>
      </c>
      <c r="D125" s="283" t="s">
        <v>316</v>
      </c>
      <c r="E125" s="283" t="s">
        <v>1505</v>
      </c>
      <c r="F125" s="283" t="s">
        <v>1280</v>
      </c>
      <c r="G125" s="283" t="s">
        <v>977</v>
      </c>
      <c r="H125" s="11" t="s">
        <v>3000</v>
      </c>
      <c r="I125" s="11" t="s">
        <v>3257</v>
      </c>
      <c r="J125" s="11"/>
      <c r="K125" s="11"/>
      <c r="L125" s="11"/>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row>
    <row r="126" spans="1:223" x14ac:dyDescent="0.3">
      <c r="A126" s="283" t="s">
        <v>318</v>
      </c>
      <c r="B126" s="283" t="s">
        <v>1168</v>
      </c>
      <c r="C126" s="283" t="s">
        <v>595</v>
      </c>
      <c r="D126" s="283" t="s">
        <v>317</v>
      </c>
      <c r="E126" s="283" t="s">
        <v>1504</v>
      </c>
      <c r="F126" s="283" t="s">
        <v>3258</v>
      </c>
      <c r="G126" s="283" t="s">
        <v>1392</v>
      </c>
      <c r="H126" s="11" t="s">
        <v>3000</v>
      </c>
      <c r="I126" s="11" t="s">
        <v>3259</v>
      </c>
      <c r="J126" s="11"/>
      <c r="K126" s="11"/>
      <c r="L126" s="11"/>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row>
    <row r="127" spans="1:223" x14ac:dyDescent="0.3">
      <c r="A127" s="283" t="s">
        <v>318</v>
      </c>
      <c r="B127" s="283" t="s">
        <v>1169</v>
      </c>
      <c r="C127" s="283" t="s">
        <v>661</v>
      </c>
      <c r="D127" s="283" t="s">
        <v>317</v>
      </c>
      <c r="E127" s="283" t="s">
        <v>1504</v>
      </c>
      <c r="F127" s="283" t="s">
        <v>650</v>
      </c>
      <c r="G127" s="283" t="s">
        <v>650</v>
      </c>
      <c r="H127" s="11" t="s">
        <v>3001</v>
      </c>
      <c r="I127" s="11" t="s">
        <v>3257</v>
      </c>
      <c r="J127" s="11"/>
      <c r="K127" s="11"/>
      <c r="L127" s="11"/>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row>
    <row r="128" spans="1:223" x14ac:dyDescent="0.3">
      <c r="A128" s="283" t="s">
        <v>318</v>
      </c>
      <c r="B128" s="283" t="s">
        <v>1107</v>
      </c>
      <c r="C128" s="283" t="s">
        <v>662</v>
      </c>
      <c r="D128" s="283" t="s">
        <v>317</v>
      </c>
      <c r="E128" s="283" t="s">
        <v>1504</v>
      </c>
      <c r="F128" s="283" t="s">
        <v>1280</v>
      </c>
      <c r="G128" s="283" t="s">
        <v>977</v>
      </c>
      <c r="H128" s="11" t="s">
        <v>3001</v>
      </c>
      <c r="I128" s="11" t="s">
        <v>3257</v>
      </c>
      <c r="J128" s="11"/>
      <c r="K128" s="11"/>
      <c r="L128" s="11"/>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row>
    <row r="129" spans="1:223" x14ac:dyDescent="0.3">
      <c r="A129" s="283" t="s">
        <v>324</v>
      </c>
      <c r="B129" s="283" t="s">
        <v>1119</v>
      </c>
      <c r="C129" s="283" t="s">
        <v>1120</v>
      </c>
      <c r="D129" s="283" t="s">
        <v>323</v>
      </c>
      <c r="E129" s="283" t="s">
        <v>1507</v>
      </c>
      <c r="F129" s="283" t="s">
        <v>1280</v>
      </c>
      <c r="G129" s="283" t="s">
        <v>1391</v>
      </c>
      <c r="H129" s="283" t="s">
        <v>3000</v>
      </c>
      <c r="I129" s="296" t="s">
        <v>3257</v>
      </c>
      <c r="J129" s="11"/>
      <c r="K129" s="11"/>
      <c r="L129" s="1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row>
    <row r="130" spans="1:223" x14ac:dyDescent="0.3">
      <c r="A130" s="283" t="s">
        <v>326</v>
      </c>
      <c r="B130" s="283" t="s">
        <v>1108</v>
      </c>
      <c r="C130" s="283" t="s">
        <v>808</v>
      </c>
      <c r="D130" s="283" t="s">
        <v>325</v>
      </c>
      <c r="E130" s="283" t="s">
        <v>1505</v>
      </c>
      <c r="F130" s="283" t="s">
        <v>1280</v>
      </c>
      <c r="G130" s="283" t="s">
        <v>1389</v>
      </c>
      <c r="H130" s="11" t="s">
        <v>3000</v>
      </c>
      <c r="I130" s="11" t="s">
        <v>3257</v>
      </c>
      <c r="J130" s="11"/>
      <c r="K130" s="11"/>
      <c r="L130" s="11"/>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row>
    <row r="131" spans="1:223" ht="26.4" x14ac:dyDescent="0.3">
      <c r="A131" s="283" t="s">
        <v>328</v>
      </c>
      <c r="B131" s="283" t="s">
        <v>1109</v>
      </c>
      <c r="C131" s="283" t="s">
        <v>596</v>
      </c>
      <c r="D131" s="283" t="s">
        <v>327</v>
      </c>
      <c r="E131" s="283" t="s">
        <v>1508</v>
      </c>
      <c r="F131" s="283" t="s">
        <v>3258</v>
      </c>
      <c r="G131" s="283" t="s">
        <v>1392</v>
      </c>
      <c r="H131" s="11" t="s">
        <v>3000</v>
      </c>
      <c r="I131" s="11" t="s">
        <v>3259</v>
      </c>
      <c r="J131" s="251"/>
      <c r="K131" s="11"/>
      <c r="L131" s="11"/>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D131" s="45"/>
      <c r="DE131" s="45"/>
      <c r="DF131" s="45"/>
      <c r="DG131" s="45"/>
      <c r="DH131" s="45"/>
      <c r="DI131" s="45"/>
      <c r="DJ131" s="45"/>
      <c r="DK131" s="45"/>
      <c r="DL131" s="45"/>
      <c r="DM131" s="45"/>
      <c r="DN131" s="45"/>
      <c r="DO131" s="45"/>
      <c r="DP131" s="45"/>
      <c r="DQ131" s="45"/>
      <c r="DR131" s="45"/>
      <c r="DS131" s="45"/>
      <c r="DT131" s="45"/>
      <c r="DU131" s="45"/>
      <c r="DV131" s="45"/>
      <c r="DW131" s="45"/>
      <c r="DX131" s="45"/>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c r="FP131" s="45"/>
      <c r="FQ131" s="45"/>
      <c r="FR131" s="45"/>
      <c r="FS131" s="45"/>
      <c r="FT131" s="45"/>
      <c r="FU131" s="45"/>
      <c r="FV131" s="45"/>
      <c r="FW131" s="45"/>
      <c r="FX131" s="45"/>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c r="HE131" s="45"/>
      <c r="HF131" s="45"/>
      <c r="HG131" s="45"/>
      <c r="HH131" s="45"/>
      <c r="HI131" s="45"/>
      <c r="HJ131" s="45"/>
      <c r="HK131" s="45"/>
      <c r="HL131" s="45"/>
      <c r="HM131" s="45"/>
      <c r="HN131" s="45"/>
      <c r="HO131" s="45"/>
    </row>
    <row r="132" spans="1:223" ht="26.4" x14ac:dyDescent="0.3">
      <c r="A132" s="283" t="s">
        <v>328</v>
      </c>
      <c r="B132" s="283" t="s">
        <v>762</v>
      </c>
      <c r="C132" s="283" t="s">
        <v>656</v>
      </c>
      <c r="D132" s="283" t="s">
        <v>327</v>
      </c>
      <c r="E132" s="283" t="s">
        <v>1508</v>
      </c>
      <c r="F132" s="283" t="s">
        <v>1280</v>
      </c>
      <c r="G132" s="283" t="s">
        <v>1399</v>
      </c>
      <c r="H132" s="11" t="s">
        <v>3001</v>
      </c>
      <c r="I132" s="11" t="s">
        <v>3257</v>
      </c>
      <c r="J132" s="11"/>
      <c r="K132" s="11"/>
      <c r="L132" s="11"/>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row>
    <row r="133" spans="1:223" ht="26.4" x14ac:dyDescent="0.3">
      <c r="A133" s="283" t="s">
        <v>328</v>
      </c>
      <c r="B133" s="283" t="s">
        <v>763</v>
      </c>
      <c r="C133" s="283" t="s">
        <v>657</v>
      </c>
      <c r="D133" s="283" t="s">
        <v>327</v>
      </c>
      <c r="E133" s="283" t="s">
        <v>1508</v>
      </c>
      <c r="F133" s="283" t="s">
        <v>1280</v>
      </c>
      <c r="G133" s="283" t="s">
        <v>1389</v>
      </c>
      <c r="H133" s="11" t="s">
        <v>3001</v>
      </c>
      <c r="I133" s="11" t="s">
        <v>3257</v>
      </c>
      <c r="J133" s="251"/>
      <c r="K133" s="11"/>
      <c r="L133" s="11"/>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D133" s="45"/>
      <c r="DE133" s="45"/>
      <c r="DF133" s="45"/>
      <c r="DG133" s="45"/>
      <c r="DH133" s="45"/>
      <c r="DI133" s="45"/>
      <c r="DJ133" s="45"/>
      <c r="DK133" s="45"/>
      <c r="DL133" s="45"/>
      <c r="DM133" s="45"/>
      <c r="DN133" s="45"/>
      <c r="DO133" s="45"/>
      <c r="DP133" s="45"/>
      <c r="DQ133" s="45"/>
      <c r="DR133" s="45"/>
      <c r="DS133" s="45"/>
      <c r="DT133" s="45"/>
      <c r="DU133" s="45"/>
      <c r="DV133" s="45"/>
      <c r="DW133" s="45"/>
      <c r="DX133" s="45"/>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c r="FP133" s="45"/>
      <c r="FQ133" s="45"/>
      <c r="FR133" s="45"/>
      <c r="FS133" s="45"/>
      <c r="FT133" s="45"/>
      <c r="FU133" s="45"/>
      <c r="FV133" s="45"/>
      <c r="FW133" s="45"/>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c r="HE133" s="45"/>
      <c r="HF133" s="45"/>
      <c r="HG133" s="45"/>
      <c r="HH133" s="45"/>
      <c r="HI133" s="45"/>
      <c r="HJ133" s="45"/>
      <c r="HK133" s="45"/>
      <c r="HL133" s="45"/>
      <c r="HM133" s="45"/>
      <c r="HN133" s="45"/>
      <c r="HO133" s="45"/>
    </row>
    <row r="134" spans="1:223" ht="26.4" x14ac:dyDescent="0.3">
      <c r="A134" s="283" t="s">
        <v>328</v>
      </c>
      <c r="B134" s="283" t="s">
        <v>764</v>
      </c>
      <c r="C134" s="283" t="s">
        <v>803</v>
      </c>
      <c r="D134" s="283" t="s">
        <v>327</v>
      </c>
      <c r="E134" s="283" t="s">
        <v>1508</v>
      </c>
      <c r="F134" s="283" t="s">
        <v>650</v>
      </c>
      <c r="G134" s="283" t="s">
        <v>1410</v>
      </c>
      <c r="H134" s="11" t="s">
        <v>3001</v>
      </c>
      <c r="I134" s="11" t="s">
        <v>3257</v>
      </c>
      <c r="J134" s="11"/>
      <c r="K134" s="11"/>
      <c r="L134" s="11"/>
      <c r="N134" s="42" t="s">
        <v>412</v>
      </c>
      <c r="O134" s="42" t="s">
        <v>412</v>
      </c>
      <c r="P134" s="42" t="s">
        <v>412</v>
      </c>
      <c r="Q134" s="42" t="s">
        <v>412</v>
      </c>
      <c r="R134" s="42" t="s">
        <v>412</v>
      </c>
      <c r="S134" s="42" t="s">
        <v>412</v>
      </c>
      <c r="T134" s="42" t="s">
        <v>412</v>
      </c>
      <c r="U134" s="42" t="s">
        <v>412</v>
      </c>
      <c r="V134" s="42" t="s">
        <v>412</v>
      </c>
      <c r="W134" s="42" t="s">
        <v>412</v>
      </c>
      <c r="X134" s="42" t="s">
        <v>412</v>
      </c>
      <c r="Y134" s="42" t="s">
        <v>412</v>
      </c>
      <c r="Z134" s="42" t="s">
        <v>412</v>
      </c>
      <c r="AA134" s="42" t="s">
        <v>412</v>
      </c>
      <c r="AB134" s="42" t="s">
        <v>412</v>
      </c>
      <c r="AC134" s="42" t="s">
        <v>412</v>
      </c>
      <c r="AD134" s="42" t="s">
        <v>412</v>
      </c>
      <c r="AE134" s="42" t="s">
        <v>412</v>
      </c>
      <c r="AF134" s="42" t="s">
        <v>412</v>
      </c>
      <c r="AG134" s="42" t="s">
        <v>412</v>
      </c>
      <c r="AH134" s="42" t="s">
        <v>412</v>
      </c>
      <c r="AI134" s="42" t="s">
        <v>412</v>
      </c>
      <c r="AJ134" s="42" t="s">
        <v>412</v>
      </c>
      <c r="AK134" s="42" t="s">
        <v>412</v>
      </c>
      <c r="AL134" s="42" t="s">
        <v>412</v>
      </c>
      <c r="AM134" s="42" t="s">
        <v>412</v>
      </c>
      <c r="AN134" s="42" t="s">
        <v>412</v>
      </c>
      <c r="AO134" s="42" t="s">
        <v>412</v>
      </c>
      <c r="AP134" s="42" t="s">
        <v>412</v>
      </c>
      <c r="AQ134" s="42" t="s">
        <v>412</v>
      </c>
      <c r="AR134" s="42" t="s">
        <v>412</v>
      </c>
      <c r="AS134" s="42" t="s">
        <v>412</v>
      </c>
      <c r="AT134" s="42" t="s">
        <v>412</v>
      </c>
      <c r="AU134" s="42" t="s">
        <v>412</v>
      </c>
      <c r="AV134" s="42" t="s">
        <v>412</v>
      </c>
      <c r="AW134" s="42" t="s">
        <v>412</v>
      </c>
      <c r="AX134" s="42" t="s">
        <v>412</v>
      </c>
      <c r="AY134" s="42" t="s">
        <v>412</v>
      </c>
      <c r="AZ134" s="42" t="s">
        <v>412</v>
      </c>
      <c r="BA134" s="42" t="s">
        <v>412</v>
      </c>
      <c r="BB134" s="42" t="s">
        <v>412</v>
      </c>
      <c r="BC134" s="42" t="s">
        <v>412</v>
      </c>
      <c r="BD134" s="42" t="s">
        <v>412</v>
      </c>
      <c r="BE134" s="42" t="s">
        <v>412</v>
      </c>
      <c r="BF134" s="42" t="s">
        <v>412</v>
      </c>
      <c r="BG134" s="42" t="s">
        <v>412</v>
      </c>
      <c r="BH134" s="42" t="s">
        <v>412</v>
      </c>
      <c r="BI134" s="42" t="s">
        <v>412</v>
      </c>
      <c r="BJ134" s="42" t="s">
        <v>412</v>
      </c>
      <c r="BK134" s="42" t="s">
        <v>412</v>
      </c>
      <c r="BL134" s="42" t="s">
        <v>412</v>
      </c>
      <c r="BM134" s="42" t="s">
        <v>412</v>
      </c>
      <c r="BN134" s="42" t="s">
        <v>412</v>
      </c>
      <c r="BO134" s="42" t="s">
        <v>412</v>
      </c>
      <c r="BP134" s="42" t="s">
        <v>412</v>
      </c>
      <c r="BQ134" s="42" t="s">
        <v>412</v>
      </c>
      <c r="BR134" s="42" t="s">
        <v>412</v>
      </c>
      <c r="BS134" s="42" t="s">
        <v>412</v>
      </c>
      <c r="BT134" s="42" t="s">
        <v>412</v>
      </c>
      <c r="BU134" s="42" t="s">
        <v>412</v>
      </c>
      <c r="BV134" s="42" t="s">
        <v>412</v>
      </c>
      <c r="BW134" s="42" t="s">
        <v>412</v>
      </c>
      <c r="BX134" s="42" t="s">
        <v>412</v>
      </c>
      <c r="BY134" s="42" t="s">
        <v>412</v>
      </c>
      <c r="BZ134" s="42" t="s">
        <v>412</v>
      </c>
      <c r="CA134" s="42" t="s">
        <v>412</v>
      </c>
      <c r="CB134" s="42" t="s">
        <v>412</v>
      </c>
      <c r="CC134" s="42" t="s">
        <v>412</v>
      </c>
      <c r="CD134" s="42" t="s">
        <v>412</v>
      </c>
      <c r="CE134" s="42" t="s">
        <v>412</v>
      </c>
      <c r="CF134" s="42" t="s">
        <v>412</v>
      </c>
      <c r="CG134" s="42" t="s">
        <v>412</v>
      </c>
      <c r="CH134" s="42" t="s">
        <v>412</v>
      </c>
      <c r="CI134" s="42" t="s">
        <v>412</v>
      </c>
      <c r="CJ134" s="42" t="s">
        <v>412</v>
      </c>
      <c r="CK134" s="42" t="s">
        <v>412</v>
      </c>
      <c r="CL134" s="42" t="s">
        <v>412</v>
      </c>
      <c r="CM134" s="42" t="s">
        <v>412</v>
      </c>
      <c r="CN134" s="42" t="s">
        <v>412</v>
      </c>
      <c r="CO134" s="42" t="s">
        <v>412</v>
      </c>
      <c r="CP134" s="42" t="s">
        <v>412</v>
      </c>
      <c r="CQ134" s="42" t="s">
        <v>412</v>
      </c>
      <c r="CR134" s="42" t="s">
        <v>412</v>
      </c>
      <c r="CS134" s="42" t="s">
        <v>412</v>
      </c>
      <c r="CT134" s="42" t="s">
        <v>412</v>
      </c>
      <c r="CU134" s="42" t="s">
        <v>412</v>
      </c>
      <c r="CV134" s="42" t="s">
        <v>412</v>
      </c>
      <c r="CW134" s="42" t="s">
        <v>412</v>
      </c>
      <c r="CX134" s="42" t="s">
        <v>412</v>
      </c>
      <c r="CY134" s="42" t="s">
        <v>412</v>
      </c>
      <c r="CZ134" s="42" t="s">
        <v>412</v>
      </c>
      <c r="DA134" s="42" t="s">
        <v>412</v>
      </c>
      <c r="DB134" s="42" t="s">
        <v>412</v>
      </c>
      <c r="DC134" s="42" t="s">
        <v>412</v>
      </c>
      <c r="DD134" s="42" t="s">
        <v>412</v>
      </c>
      <c r="DE134" s="42" t="s">
        <v>412</v>
      </c>
      <c r="DF134" s="42" t="s">
        <v>412</v>
      </c>
      <c r="DG134" s="42" t="s">
        <v>412</v>
      </c>
      <c r="DH134" s="42" t="s">
        <v>412</v>
      </c>
      <c r="DI134" s="42" t="s">
        <v>412</v>
      </c>
      <c r="DJ134" s="42" t="s">
        <v>412</v>
      </c>
      <c r="DK134" s="42" t="s">
        <v>412</v>
      </c>
      <c r="DL134" s="42" t="s">
        <v>412</v>
      </c>
      <c r="DM134" s="42" t="s">
        <v>412</v>
      </c>
      <c r="DN134" s="42" t="s">
        <v>412</v>
      </c>
      <c r="DO134" s="42" t="s">
        <v>412</v>
      </c>
      <c r="DP134" s="42" t="s">
        <v>412</v>
      </c>
      <c r="DQ134" s="42" t="s">
        <v>412</v>
      </c>
      <c r="DR134" s="42" t="s">
        <v>412</v>
      </c>
      <c r="DS134" s="42" t="s">
        <v>412</v>
      </c>
      <c r="DT134" s="42" t="s">
        <v>412</v>
      </c>
      <c r="DU134" s="42" t="s">
        <v>412</v>
      </c>
      <c r="DV134" s="42" t="s">
        <v>412</v>
      </c>
      <c r="DW134" s="42" t="s">
        <v>412</v>
      </c>
      <c r="DX134" s="42" t="s">
        <v>412</v>
      </c>
      <c r="DY134" s="42" t="s">
        <v>412</v>
      </c>
      <c r="DZ134" s="42" t="s">
        <v>412</v>
      </c>
      <c r="EA134" s="42" t="s">
        <v>412</v>
      </c>
      <c r="EB134" s="42" t="s">
        <v>412</v>
      </c>
      <c r="EC134" s="42" t="s">
        <v>412</v>
      </c>
      <c r="ED134" s="42" t="s">
        <v>412</v>
      </c>
      <c r="EE134" s="42" t="s">
        <v>412</v>
      </c>
      <c r="EF134" s="42" t="s">
        <v>412</v>
      </c>
      <c r="EG134" s="42" t="s">
        <v>412</v>
      </c>
      <c r="EH134" s="42" t="s">
        <v>412</v>
      </c>
      <c r="EI134" s="42" t="s">
        <v>412</v>
      </c>
      <c r="EJ134" s="42" t="s">
        <v>412</v>
      </c>
      <c r="EK134" s="42" t="s">
        <v>412</v>
      </c>
      <c r="EL134" s="42" t="s">
        <v>412</v>
      </c>
      <c r="EM134" s="42" t="s">
        <v>412</v>
      </c>
      <c r="EN134" s="42" t="s">
        <v>412</v>
      </c>
      <c r="EO134" s="42" t="s">
        <v>412</v>
      </c>
      <c r="EP134" s="42" t="s">
        <v>412</v>
      </c>
      <c r="EQ134" s="42" t="s">
        <v>412</v>
      </c>
      <c r="ER134" s="42" t="s">
        <v>412</v>
      </c>
      <c r="ES134" s="42" t="s">
        <v>412</v>
      </c>
      <c r="ET134" s="42" t="s">
        <v>412</v>
      </c>
      <c r="EU134" s="42" t="s">
        <v>412</v>
      </c>
      <c r="EV134" s="42" t="s">
        <v>412</v>
      </c>
      <c r="EW134" s="42" t="s">
        <v>412</v>
      </c>
      <c r="EX134" s="42" t="s">
        <v>412</v>
      </c>
      <c r="EY134" s="42" t="s">
        <v>412</v>
      </c>
      <c r="EZ134" s="42" t="s">
        <v>412</v>
      </c>
      <c r="FA134" s="42" t="s">
        <v>412</v>
      </c>
      <c r="FB134" s="42" t="s">
        <v>412</v>
      </c>
      <c r="FC134" s="42" t="s">
        <v>412</v>
      </c>
      <c r="FD134" s="42" t="s">
        <v>412</v>
      </c>
      <c r="FE134" s="42" t="s">
        <v>412</v>
      </c>
      <c r="FF134" s="42" t="s">
        <v>412</v>
      </c>
      <c r="FG134" s="42" t="s">
        <v>412</v>
      </c>
      <c r="FH134" s="42" t="s">
        <v>412</v>
      </c>
      <c r="FI134" s="42" t="s">
        <v>412</v>
      </c>
      <c r="FJ134" s="42" t="s">
        <v>412</v>
      </c>
      <c r="FK134" s="42" t="s">
        <v>412</v>
      </c>
      <c r="FL134" s="42" t="s">
        <v>412</v>
      </c>
      <c r="FM134" s="42" t="s">
        <v>412</v>
      </c>
      <c r="FN134" s="42" t="s">
        <v>412</v>
      </c>
      <c r="FO134" s="42" t="s">
        <v>412</v>
      </c>
      <c r="FP134" s="42" t="s">
        <v>412</v>
      </c>
      <c r="FQ134" s="42" t="s">
        <v>412</v>
      </c>
      <c r="FR134" s="42" t="s">
        <v>412</v>
      </c>
      <c r="FS134" s="42" t="s">
        <v>412</v>
      </c>
      <c r="FT134" s="42" t="s">
        <v>412</v>
      </c>
      <c r="FU134" s="42" t="s">
        <v>412</v>
      </c>
      <c r="FV134" s="42" t="s">
        <v>412</v>
      </c>
      <c r="FW134" s="42" t="s">
        <v>412</v>
      </c>
      <c r="FX134" s="42" t="s">
        <v>412</v>
      </c>
      <c r="FY134" s="42" t="s">
        <v>412</v>
      </c>
      <c r="FZ134" s="42" t="s">
        <v>412</v>
      </c>
      <c r="GA134" s="42" t="s">
        <v>412</v>
      </c>
      <c r="GB134" s="42" t="s">
        <v>412</v>
      </c>
      <c r="GC134" s="42" t="s">
        <v>412</v>
      </c>
      <c r="GD134" s="42" t="s">
        <v>412</v>
      </c>
      <c r="GE134" s="42" t="s">
        <v>412</v>
      </c>
      <c r="GF134" s="42" t="s">
        <v>412</v>
      </c>
      <c r="GG134" s="42" t="s">
        <v>412</v>
      </c>
      <c r="GH134" s="42" t="s">
        <v>412</v>
      </c>
      <c r="GI134" s="42" t="s">
        <v>412</v>
      </c>
      <c r="GJ134" s="42" t="s">
        <v>412</v>
      </c>
      <c r="GK134" s="42" t="s">
        <v>412</v>
      </c>
      <c r="GL134" s="42" t="s">
        <v>412</v>
      </c>
      <c r="GM134" s="42" t="s">
        <v>412</v>
      </c>
      <c r="GN134" s="42" t="s">
        <v>412</v>
      </c>
      <c r="GO134" s="42" t="s">
        <v>412</v>
      </c>
      <c r="GP134" s="42" t="s">
        <v>412</v>
      </c>
      <c r="GQ134" s="42" t="s">
        <v>412</v>
      </c>
      <c r="GR134" s="42" t="s">
        <v>412</v>
      </c>
      <c r="GS134" s="42" t="s">
        <v>412</v>
      </c>
      <c r="GT134" s="42" t="s">
        <v>412</v>
      </c>
      <c r="GU134" s="42" t="s">
        <v>412</v>
      </c>
      <c r="GV134" s="42" t="s">
        <v>412</v>
      </c>
      <c r="GW134" s="42" t="s">
        <v>412</v>
      </c>
      <c r="GX134" s="42" t="s">
        <v>412</v>
      </c>
      <c r="GY134" s="42" t="s">
        <v>412</v>
      </c>
      <c r="GZ134" s="42" t="s">
        <v>412</v>
      </c>
      <c r="HA134" s="42" t="s">
        <v>412</v>
      </c>
      <c r="HB134" s="42" t="s">
        <v>412</v>
      </c>
      <c r="HC134" s="42" t="s">
        <v>412</v>
      </c>
      <c r="HD134" s="42" t="s">
        <v>412</v>
      </c>
      <c r="HE134" s="42" t="s">
        <v>412</v>
      </c>
      <c r="HF134" s="42" t="s">
        <v>412</v>
      </c>
      <c r="HG134" s="42" t="s">
        <v>412</v>
      </c>
      <c r="HH134" s="42" t="s">
        <v>412</v>
      </c>
      <c r="HI134" s="42" t="s">
        <v>412</v>
      </c>
      <c r="HJ134" s="42" t="s">
        <v>412</v>
      </c>
      <c r="HK134" s="42" t="s">
        <v>412</v>
      </c>
      <c r="HL134" s="42" t="s">
        <v>412</v>
      </c>
      <c r="HM134" s="42" t="s">
        <v>412</v>
      </c>
      <c r="HN134" s="42" t="s">
        <v>412</v>
      </c>
      <c r="HO134" s="42" t="s">
        <v>412</v>
      </c>
    </row>
    <row r="135" spans="1:223" x14ac:dyDescent="0.3">
      <c r="A135" s="283" t="s">
        <v>1259</v>
      </c>
      <c r="B135" s="283" t="s">
        <v>1251</v>
      </c>
      <c r="C135" s="283" t="s">
        <v>1255</v>
      </c>
      <c r="D135" s="283" t="s">
        <v>1263</v>
      </c>
      <c r="E135" s="283" t="s">
        <v>1506</v>
      </c>
      <c r="F135" s="283" t="s">
        <v>1281</v>
      </c>
      <c r="G135" s="283" t="s">
        <v>1251</v>
      </c>
      <c r="H135" s="11"/>
      <c r="I135" s="11" t="s">
        <v>3257</v>
      </c>
      <c r="J135" s="11"/>
      <c r="K135" s="11"/>
      <c r="L135" s="11"/>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row>
    <row r="136" spans="1:223" x14ac:dyDescent="0.3">
      <c r="A136" s="283" t="s">
        <v>334</v>
      </c>
      <c r="B136" s="283" t="s">
        <v>1170</v>
      </c>
      <c r="C136" s="283" t="s">
        <v>2919</v>
      </c>
      <c r="D136" s="283" t="s">
        <v>333</v>
      </c>
      <c r="E136" s="283" t="s">
        <v>1505</v>
      </c>
      <c r="F136" s="283" t="s">
        <v>3258</v>
      </c>
      <c r="G136" s="283" t="s">
        <v>1392</v>
      </c>
      <c r="H136" s="283" t="s">
        <v>3000</v>
      </c>
      <c r="I136" s="283" t="s">
        <v>3259</v>
      </c>
      <c r="J136" s="11"/>
      <c r="K136" s="11"/>
      <c r="L136" s="11"/>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row>
    <row r="137" spans="1:223" x14ac:dyDescent="0.3">
      <c r="A137" s="283" t="s">
        <v>334</v>
      </c>
      <c r="B137" s="283" t="s">
        <v>1680</v>
      </c>
      <c r="C137" s="283" t="s">
        <v>1681</v>
      </c>
      <c r="D137" s="283" t="s">
        <v>333</v>
      </c>
      <c r="E137" s="283" t="s">
        <v>1505</v>
      </c>
      <c r="F137" s="283" t="s">
        <v>1280</v>
      </c>
      <c r="G137" s="283" t="s">
        <v>977</v>
      </c>
      <c r="H137" s="11" t="s">
        <v>3001</v>
      </c>
      <c r="I137" s="11" t="s">
        <v>3257</v>
      </c>
      <c r="J137" s="11"/>
      <c r="K137" s="11"/>
      <c r="L137" s="11"/>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row>
    <row r="138" spans="1:223" x14ac:dyDescent="0.3">
      <c r="A138" s="283" t="s">
        <v>334</v>
      </c>
      <c r="B138" s="283" t="s">
        <v>2419</v>
      </c>
      <c r="C138" s="283" t="s">
        <v>2420</v>
      </c>
      <c r="D138" s="283" t="s">
        <v>333</v>
      </c>
      <c r="E138" s="283" t="s">
        <v>1505</v>
      </c>
      <c r="F138" s="283" t="s">
        <v>1279</v>
      </c>
      <c r="G138" s="283" t="s">
        <v>2421</v>
      </c>
      <c r="H138" s="11" t="s">
        <v>3001</v>
      </c>
      <c r="I138" s="11" t="s">
        <v>3257</v>
      </c>
      <c r="J138" s="11"/>
      <c r="K138" s="11"/>
      <c r="L138" s="11"/>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row>
    <row r="139" spans="1:223" x14ac:dyDescent="0.3">
      <c r="A139" s="283" t="s">
        <v>336</v>
      </c>
      <c r="B139" s="283" t="s">
        <v>795</v>
      </c>
      <c r="C139" s="283" t="s">
        <v>687</v>
      </c>
      <c r="D139" s="283" t="s">
        <v>335</v>
      </c>
      <c r="E139" s="283" t="s">
        <v>1506</v>
      </c>
      <c r="F139" s="283" t="s">
        <v>650</v>
      </c>
      <c r="G139" s="283" t="s">
        <v>650</v>
      </c>
      <c r="H139" s="11" t="s">
        <v>3000</v>
      </c>
      <c r="I139" s="11" t="s">
        <v>3257</v>
      </c>
      <c r="J139" s="11"/>
      <c r="K139" s="11"/>
      <c r="L139" s="11"/>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row>
    <row r="140" spans="1:223" x14ac:dyDescent="0.3">
      <c r="A140" s="283" t="s">
        <v>347</v>
      </c>
      <c r="B140" s="283" t="s">
        <v>2265</v>
      </c>
      <c r="C140" s="283" t="s">
        <v>2244</v>
      </c>
      <c r="D140" s="283" t="s">
        <v>346</v>
      </c>
      <c r="E140" s="283" t="s">
        <v>1509</v>
      </c>
      <c r="F140" s="283" t="s">
        <v>1549</v>
      </c>
      <c r="G140" s="283" t="s">
        <v>2243</v>
      </c>
      <c r="H140" s="11" t="s">
        <v>3001</v>
      </c>
      <c r="I140" s="11" t="s">
        <v>3257</v>
      </c>
      <c r="J140" s="251"/>
      <c r="K140" s="11"/>
      <c r="L140" s="11"/>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row>
    <row r="141" spans="1:223" x14ac:dyDescent="0.3">
      <c r="A141" s="283" t="s">
        <v>391</v>
      </c>
      <c r="B141" s="283" t="s">
        <v>1111</v>
      </c>
      <c r="C141" s="283" t="s">
        <v>597</v>
      </c>
      <c r="D141" s="283" t="s">
        <v>348</v>
      </c>
      <c r="E141" s="283" t="s">
        <v>1507</v>
      </c>
      <c r="F141" s="283" t="s">
        <v>691</v>
      </c>
      <c r="G141" s="283" t="s">
        <v>691</v>
      </c>
      <c r="H141" s="11" t="s">
        <v>3000</v>
      </c>
      <c r="I141" s="11" t="s">
        <v>3257</v>
      </c>
      <c r="J141" s="11"/>
      <c r="K141" s="11"/>
      <c r="L141" s="11"/>
      <c r="N141" s="45" t="s">
        <v>563</v>
      </c>
      <c r="O141" s="45" t="s">
        <v>563</v>
      </c>
      <c r="P141" s="45" t="s">
        <v>563</v>
      </c>
      <c r="Q141" s="45" t="s">
        <v>563</v>
      </c>
      <c r="R141" s="45" t="s">
        <v>563</v>
      </c>
      <c r="S141" s="45" t="s">
        <v>563</v>
      </c>
      <c r="T141" s="45" t="s">
        <v>563</v>
      </c>
      <c r="U141" s="45" t="s">
        <v>563</v>
      </c>
      <c r="V141" s="45" t="s">
        <v>563</v>
      </c>
      <c r="W141" s="45" t="s">
        <v>563</v>
      </c>
      <c r="X141" s="45" t="s">
        <v>563</v>
      </c>
      <c r="Y141" s="45" t="s">
        <v>563</v>
      </c>
      <c r="Z141" s="45" t="s">
        <v>563</v>
      </c>
      <c r="AA141" s="45" t="s">
        <v>563</v>
      </c>
      <c r="AB141" s="45" t="s">
        <v>563</v>
      </c>
      <c r="AC141" s="45" t="s">
        <v>563</v>
      </c>
      <c r="AD141" s="45" t="s">
        <v>563</v>
      </c>
      <c r="AE141" s="45" t="s">
        <v>563</v>
      </c>
      <c r="AF141" s="45" t="s">
        <v>563</v>
      </c>
      <c r="AG141" s="45" t="s">
        <v>563</v>
      </c>
      <c r="AH141" s="45" t="s">
        <v>563</v>
      </c>
      <c r="AI141" s="45" t="s">
        <v>563</v>
      </c>
      <c r="AJ141" s="45" t="s">
        <v>563</v>
      </c>
      <c r="AK141" s="45" t="s">
        <v>563</v>
      </c>
      <c r="AL141" s="45" t="s">
        <v>563</v>
      </c>
      <c r="AM141" s="45" t="s">
        <v>563</v>
      </c>
      <c r="AN141" s="45" t="s">
        <v>563</v>
      </c>
      <c r="AO141" s="45" t="s">
        <v>563</v>
      </c>
      <c r="AP141" s="45" t="s">
        <v>563</v>
      </c>
      <c r="AQ141" s="45" t="s">
        <v>563</v>
      </c>
      <c r="AR141" s="45" t="s">
        <v>563</v>
      </c>
      <c r="AS141" s="45" t="s">
        <v>563</v>
      </c>
      <c r="AT141" s="45" t="s">
        <v>563</v>
      </c>
      <c r="AU141" s="45" t="s">
        <v>563</v>
      </c>
      <c r="AV141" s="45" t="s">
        <v>563</v>
      </c>
      <c r="AW141" s="45" t="s">
        <v>563</v>
      </c>
      <c r="AX141" s="45" t="s">
        <v>563</v>
      </c>
      <c r="AY141" s="45" t="s">
        <v>563</v>
      </c>
      <c r="AZ141" s="45" t="s">
        <v>563</v>
      </c>
      <c r="BA141" s="45" t="s">
        <v>563</v>
      </c>
      <c r="BB141" s="45" t="s">
        <v>563</v>
      </c>
      <c r="BC141" s="45" t="s">
        <v>563</v>
      </c>
      <c r="BD141" s="45" t="s">
        <v>563</v>
      </c>
      <c r="BE141" s="45" t="s">
        <v>563</v>
      </c>
      <c r="BF141" s="45" t="s">
        <v>563</v>
      </c>
      <c r="BG141" s="45" t="s">
        <v>563</v>
      </c>
      <c r="BH141" s="45" t="s">
        <v>563</v>
      </c>
      <c r="BI141" s="45" t="s">
        <v>563</v>
      </c>
      <c r="BJ141" s="45" t="s">
        <v>563</v>
      </c>
      <c r="BK141" s="45" t="s">
        <v>563</v>
      </c>
      <c r="BL141" s="45" t="s">
        <v>563</v>
      </c>
      <c r="BM141" s="45" t="s">
        <v>563</v>
      </c>
      <c r="BN141" s="45" t="s">
        <v>563</v>
      </c>
      <c r="BO141" s="45" t="s">
        <v>563</v>
      </c>
      <c r="BP141" s="45" t="s">
        <v>563</v>
      </c>
      <c r="BQ141" s="45" t="s">
        <v>563</v>
      </c>
      <c r="BR141" s="45" t="s">
        <v>563</v>
      </c>
      <c r="BS141" s="45" t="s">
        <v>563</v>
      </c>
      <c r="BT141" s="45" t="s">
        <v>563</v>
      </c>
      <c r="BU141" s="45" t="s">
        <v>563</v>
      </c>
      <c r="BV141" s="45" t="s">
        <v>563</v>
      </c>
      <c r="BW141" s="45" t="s">
        <v>563</v>
      </c>
      <c r="BX141" s="45" t="s">
        <v>563</v>
      </c>
      <c r="BY141" s="45" t="s">
        <v>563</v>
      </c>
      <c r="BZ141" s="45" t="s">
        <v>563</v>
      </c>
      <c r="CA141" s="45" t="s">
        <v>563</v>
      </c>
      <c r="CB141" s="45" t="s">
        <v>563</v>
      </c>
      <c r="CC141" s="45" t="s">
        <v>563</v>
      </c>
      <c r="CD141" s="45" t="s">
        <v>563</v>
      </c>
      <c r="CE141" s="45" t="s">
        <v>563</v>
      </c>
      <c r="CF141" s="45" t="s">
        <v>563</v>
      </c>
      <c r="CG141" s="45" t="s">
        <v>563</v>
      </c>
      <c r="CH141" s="45" t="s">
        <v>563</v>
      </c>
      <c r="CI141" s="45" t="s">
        <v>563</v>
      </c>
      <c r="CJ141" s="45" t="s">
        <v>563</v>
      </c>
      <c r="CK141" s="45" t="s">
        <v>563</v>
      </c>
      <c r="CL141" s="45" t="s">
        <v>563</v>
      </c>
      <c r="CM141" s="45" t="s">
        <v>563</v>
      </c>
      <c r="CN141" s="45" t="s">
        <v>563</v>
      </c>
      <c r="CO141" s="45" t="s">
        <v>563</v>
      </c>
      <c r="CP141" s="45" t="s">
        <v>563</v>
      </c>
      <c r="CQ141" s="45" t="s">
        <v>563</v>
      </c>
      <c r="CR141" s="45" t="s">
        <v>563</v>
      </c>
      <c r="CS141" s="45" t="s">
        <v>563</v>
      </c>
      <c r="CT141" s="45" t="s">
        <v>563</v>
      </c>
      <c r="CU141" s="45" t="s">
        <v>563</v>
      </c>
      <c r="CV141" s="45" t="s">
        <v>563</v>
      </c>
      <c r="CW141" s="45" t="s">
        <v>563</v>
      </c>
      <c r="CX141" s="45" t="s">
        <v>563</v>
      </c>
      <c r="CY141" s="45" t="s">
        <v>563</v>
      </c>
      <c r="CZ141" s="45" t="s">
        <v>563</v>
      </c>
      <c r="DA141" s="45" t="s">
        <v>563</v>
      </c>
      <c r="DB141" s="45" t="s">
        <v>563</v>
      </c>
      <c r="DC141" s="45" t="s">
        <v>563</v>
      </c>
      <c r="DD141" s="45" t="s">
        <v>563</v>
      </c>
      <c r="DE141" s="45" t="s">
        <v>563</v>
      </c>
      <c r="DF141" s="45" t="s">
        <v>563</v>
      </c>
      <c r="DG141" s="45" t="s">
        <v>563</v>
      </c>
      <c r="DH141" s="45" t="s">
        <v>563</v>
      </c>
      <c r="DI141" s="45" t="s">
        <v>563</v>
      </c>
      <c r="DJ141" s="45" t="s">
        <v>563</v>
      </c>
      <c r="DK141" s="45" t="s">
        <v>563</v>
      </c>
      <c r="DL141" s="45" t="s">
        <v>563</v>
      </c>
      <c r="DM141" s="45" t="s">
        <v>563</v>
      </c>
      <c r="DN141" s="45" t="s">
        <v>563</v>
      </c>
      <c r="DO141" s="45" t="s">
        <v>563</v>
      </c>
      <c r="DP141" s="45" t="s">
        <v>563</v>
      </c>
      <c r="DQ141" s="45" t="s">
        <v>563</v>
      </c>
      <c r="DR141" s="45" t="s">
        <v>563</v>
      </c>
      <c r="DS141" s="45" t="s">
        <v>563</v>
      </c>
      <c r="DT141" s="45" t="s">
        <v>563</v>
      </c>
      <c r="DU141" s="45" t="s">
        <v>563</v>
      </c>
      <c r="DV141" s="45" t="s">
        <v>563</v>
      </c>
      <c r="DW141" s="45" t="s">
        <v>563</v>
      </c>
      <c r="DX141" s="45" t="s">
        <v>563</v>
      </c>
      <c r="DY141" s="45" t="s">
        <v>563</v>
      </c>
      <c r="DZ141" s="45" t="s">
        <v>563</v>
      </c>
      <c r="EA141" s="45" t="s">
        <v>563</v>
      </c>
      <c r="EB141" s="45" t="s">
        <v>563</v>
      </c>
      <c r="EC141" s="45" t="s">
        <v>563</v>
      </c>
      <c r="ED141" s="45" t="s">
        <v>563</v>
      </c>
      <c r="EE141" s="45" t="s">
        <v>563</v>
      </c>
      <c r="EF141" s="45" t="s">
        <v>563</v>
      </c>
      <c r="EG141" s="45" t="s">
        <v>563</v>
      </c>
      <c r="EH141" s="45" t="s">
        <v>563</v>
      </c>
      <c r="EI141" s="45" t="s">
        <v>563</v>
      </c>
      <c r="EJ141" s="45" t="s">
        <v>563</v>
      </c>
      <c r="EK141" s="45" t="s">
        <v>563</v>
      </c>
      <c r="EL141" s="45" t="s">
        <v>563</v>
      </c>
      <c r="EM141" s="45" t="s">
        <v>563</v>
      </c>
      <c r="EN141" s="45" t="s">
        <v>563</v>
      </c>
      <c r="EO141" s="45" t="s">
        <v>563</v>
      </c>
      <c r="EP141" s="45" t="s">
        <v>563</v>
      </c>
      <c r="EQ141" s="45" t="s">
        <v>563</v>
      </c>
      <c r="ER141" s="45" t="s">
        <v>563</v>
      </c>
      <c r="ES141" s="45" t="s">
        <v>563</v>
      </c>
      <c r="ET141" s="45" t="s">
        <v>563</v>
      </c>
      <c r="EU141" s="45" t="s">
        <v>563</v>
      </c>
      <c r="EV141" s="45" t="s">
        <v>563</v>
      </c>
      <c r="EW141" s="45" t="s">
        <v>563</v>
      </c>
      <c r="EX141" s="45" t="s">
        <v>563</v>
      </c>
      <c r="EY141" s="45" t="s">
        <v>563</v>
      </c>
      <c r="EZ141" s="45" t="s">
        <v>563</v>
      </c>
      <c r="FA141" s="45" t="s">
        <v>563</v>
      </c>
      <c r="FB141" s="45" t="s">
        <v>563</v>
      </c>
      <c r="FC141" s="45" t="s">
        <v>563</v>
      </c>
      <c r="FD141" s="45" t="s">
        <v>563</v>
      </c>
      <c r="FE141" s="45" t="s">
        <v>563</v>
      </c>
      <c r="FF141" s="45" t="s">
        <v>563</v>
      </c>
      <c r="FG141" s="45" t="s">
        <v>563</v>
      </c>
      <c r="FH141" s="45" t="s">
        <v>563</v>
      </c>
      <c r="FI141" s="45" t="s">
        <v>563</v>
      </c>
      <c r="FJ141" s="45" t="s">
        <v>563</v>
      </c>
      <c r="FK141" s="45" t="s">
        <v>563</v>
      </c>
      <c r="FL141" s="45" t="s">
        <v>563</v>
      </c>
      <c r="FM141" s="45" t="s">
        <v>563</v>
      </c>
      <c r="FN141" s="45" t="s">
        <v>563</v>
      </c>
      <c r="FO141" s="45" t="s">
        <v>563</v>
      </c>
      <c r="FP141" s="45" t="s">
        <v>563</v>
      </c>
      <c r="FQ141" s="45" t="s">
        <v>563</v>
      </c>
      <c r="FR141" s="45" t="s">
        <v>563</v>
      </c>
      <c r="FS141" s="45" t="s">
        <v>563</v>
      </c>
      <c r="FT141" s="45" t="s">
        <v>563</v>
      </c>
      <c r="FU141" s="45" t="s">
        <v>563</v>
      </c>
      <c r="FV141" s="45" t="s">
        <v>563</v>
      </c>
      <c r="FW141" s="45" t="s">
        <v>563</v>
      </c>
      <c r="FX141" s="45" t="s">
        <v>563</v>
      </c>
      <c r="FY141" s="45" t="s">
        <v>563</v>
      </c>
      <c r="FZ141" s="45" t="s">
        <v>563</v>
      </c>
      <c r="GA141" s="45" t="s">
        <v>563</v>
      </c>
      <c r="GB141" s="45" t="s">
        <v>563</v>
      </c>
      <c r="GC141" s="45" t="s">
        <v>563</v>
      </c>
      <c r="GD141" s="45" t="s">
        <v>563</v>
      </c>
      <c r="GE141" s="45" t="s">
        <v>563</v>
      </c>
      <c r="GF141" s="45" t="s">
        <v>563</v>
      </c>
      <c r="GG141" s="45" t="s">
        <v>563</v>
      </c>
      <c r="GH141" s="45" t="s">
        <v>563</v>
      </c>
      <c r="GI141" s="45" t="s">
        <v>563</v>
      </c>
      <c r="GJ141" s="45" t="s">
        <v>563</v>
      </c>
      <c r="GK141" s="45" t="s">
        <v>563</v>
      </c>
      <c r="GL141" s="45" t="s">
        <v>563</v>
      </c>
      <c r="GM141" s="45" t="s">
        <v>563</v>
      </c>
      <c r="GN141" s="45" t="s">
        <v>563</v>
      </c>
      <c r="GO141" s="45" t="s">
        <v>563</v>
      </c>
      <c r="GP141" s="45" t="s">
        <v>563</v>
      </c>
      <c r="GQ141" s="45" t="s">
        <v>563</v>
      </c>
      <c r="GR141" s="45" t="s">
        <v>563</v>
      </c>
      <c r="GS141" s="45" t="s">
        <v>563</v>
      </c>
      <c r="GT141" s="45" t="s">
        <v>563</v>
      </c>
      <c r="GU141" s="45" t="s">
        <v>563</v>
      </c>
      <c r="GV141" s="45" t="s">
        <v>563</v>
      </c>
      <c r="GW141" s="45" t="s">
        <v>563</v>
      </c>
      <c r="GX141" s="45" t="s">
        <v>563</v>
      </c>
      <c r="GY141" s="45" t="s">
        <v>563</v>
      </c>
      <c r="GZ141" s="45" t="s">
        <v>563</v>
      </c>
      <c r="HA141" s="45" t="s">
        <v>563</v>
      </c>
      <c r="HB141" s="45" t="s">
        <v>563</v>
      </c>
      <c r="HC141" s="45" t="s">
        <v>563</v>
      </c>
      <c r="HD141" s="45" t="s">
        <v>563</v>
      </c>
      <c r="HE141" s="45" t="s">
        <v>563</v>
      </c>
      <c r="HF141" s="45" t="s">
        <v>563</v>
      </c>
      <c r="HG141" s="45" t="s">
        <v>563</v>
      </c>
      <c r="HH141" s="45" t="s">
        <v>563</v>
      </c>
      <c r="HI141" s="45" t="s">
        <v>563</v>
      </c>
      <c r="HJ141" s="45" t="s">
        <v>563</v>
      </c>
      <c r="HK141" s="45" t="s">
        <v>563</v>
      </c>
      <c r="HL141" s="45" t="s">
        <v>563</v>
      </c>
      <c r="HM141" s="45" t="s">
        <v>563</v>
      </c>
      <c r="HN141" s="45" t="s">
        <v>563</v>
      </c>
      <c r="HO141" s="45" t="s">
        <v>563</v>
      </c>
    </row>
    <row r="142" spans="1:223" x14ac:dyDescent="0.3">
      <c r="A142" s="11" t="s">
        <v>1362</v>
      </c>
      <c r="B142" s="11" t="s">
        <v>1202</v>
      </c>
      <c r="C142" s="11" t="s">
        <v>1204</v>
      </c>
      <c r="D142" s="11" t="s">
        <v>1363</v>
      </c>
      <c r="E142" s="11" t="s">
        <v>1507</v>
      </c>
      <c r="F142" s="11" t="s">
        <v>1281</v>
      </c>
      <c r="G142" s="11" t="s">
        <v>1202</v>
      </c>
      <c r="H142" s="11"/>
      <c r="I142" s="11" t="s">
        <v>3257</v>
      </c>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row>
    <row r="143" spans="1:223" x14ac:dyDescent="0.3">
      <c r="A143" s="251" t="s">
        <v>3142</v>
      </c>
      <c r="B143" s="251" t="s">
        <v>4005</v>
      </c>
      <c r="C143" s="251" t="s">
        <v>4006</v>
      </c>
      <c r="D143" s="251" t="s">
        <v>349</v>
      </c>
      <c r="E143" s="251" t="s">
        <v>1504</v>
      </c>
      <c r="F143" s="251" t="s">
        <v>1279</v>
      </c>
      <c r="G143" s="251" t="s">
        <v>1672</v>
      </c>
      <c r="H143" s="11" t="s">
        <v>3000</v>
      </c>
      <c r="I143" s="11" t="s">
        <v>3257</v>
      </c>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row>
    <row r="144" spans="1:223" x14ac:dyDescent="0.3">
      <c r="A144" s="251" t="s">
        <v>351</v>
      </c>
      <c r="B144" s="251" t="s">
        <v>1112</v>
      </c>
      <c r="C144" s="251" t="s">
        <v>598</v>
      </c>
      <c r="D144" s="251" t="s">
        <v>350</v>
      </c>
      <c r="E144" s="251" t="s">
        <v>1508</v>
      </c>
      <c r="F144" s="251" t="s">
        <v>691</v>
      </c>
      <c r="G144" s="251" t="s">
        <v>691</v>
      </c>
      <c r="H144" s="11" t="s">
        <v>3000</v>
      </c>
      <c r="I144" s="11" t="s">
        <v>3257</v>
      </c>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row>
    <row r="145" spans="1:223" x14ac:dyDescent="0.3">
      <c r="A145" s="251" t="s">
        <v>351</v>
      </c>
      <c r="B145" s="251" t="s">
        <v>1113</v>
      </c>
      <c r="C145" s="251" t="s">
        <v>1115</v>
      </c>
      <c r="D145" s="251" t="s">
        <v>350</v>
      </c>
      <c r="E145" s="251" t="s">
        <v>1508</v>
      </c>
      <c r="F145" s="251" t="s">
        <v>1280</v>
      </c>
      <c r="G145" s="251" t="s">
        <v>1389</v>
      </c>
      <c r="H145" s="11" t="s">
        <v>3001</v>
      </c>
      <c r="I145" s="11" t="s">
        <v>3257</v>
      </c>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row>
    <row r="146" spans="1:223" x14ac:dyDescent="0.3">
      <c r="A146" s="251" t="s">
        <v>353</v>
      </c>
      <c r="B146" s="251" t="s">
        <v>788</v>
      </c>
      <c r="C146" s="251" t="s">
        <v>682</v>
      </c>
      <c r="D146" s="251" t="s">
        <v>352</v>
      </c>
      <c r="E146" s="251" t="s">
        <v>1505</v>
      </c>
      <c r="F146" s="251" t="s">
        <v>651</v>
      </c>
      <c r="G146" s="251" t="s">
        <v>651</v>
      </c>
      <c r="H146" s="11" t="s">
        <v>3000</v>
      </c>
      <c r="I146" s="11" t="s">
        <v>3257</v>
      </c>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row>
    <row r="147" spans="1:223" x14ac:dyDescent="0.3">
      <c r="A147" s="78" t="s">
        <v>355</v>
      </c>
      <c r="B147" s="78" t="s">
        <v>1114</v>
      </c>
      <c r="C147" s="78" t="s">
        <v>2920</v>
      </c>
      <c r="D147" s="78" t="s">
        <v>354</v>
      </c>
      <c r="E147" s="78" t="s">
        <v>1505</v>
      </c>
      <c r="F147" s="78" t="s">
        <v>691</v>
      </c>
      <c r="G147" s="78" t="s">
        <v>691</v>
      </c>
      <c r="H147" s="79" t="s">
        <v>3000</v>
      </c>
      <c r="I147" s="79" t="s">
        <v>3257</v>
      </c>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row>
    <row r="148" spans="1:223" x14ac:dyDescent="0.3">
      <c r="A148" s="78" t="s">
        <v>355</v>
      </c>
      <c r="B148" s="78" t="s">
        <v>2514</v>
      </c>
      <c r="C148" s="78" t="s">
        <v>2515</v>
      </c>
      <c r="D148" s="78" t="s">
        <v>354</v>
      </c>
      <c r="E148" s="78" t="s">
        <v>1505</v>
      </c>
      <c r="F148" s="78" t="s">
        <v>2516</v>
      </c>
      <c r="G148" s="78" t="s">
        <v>2517</v>
      </c>
      <c r="H148" s="79" t="s">
        <v>3001</v>
      </c>
      <c r="I148" s="79" t="s">
        <v>3257</v>
      </c>
      <c r="N148" s="45" t="s">
        <v>530</v>
      </c>
      <c r="O148" s="45" t="s">
        <v>530</v>
      </c>
      <c r="P148" s="45" t="s">
        <v>530</v>
      </c>
      <c r="Q148" s="45" t="s">
        <v>530</v>
      </c>
      <c r="R148" s="45" t="s">
        <v>530</v>
      </c>
      <c r="S148" s="45" t="s">
        <v>530</v>
      </c>
      <c r="T148" s="45" t="s">
        <v>530</v>
      </c>
      <c r="U148" s="45" t="s">
        <v>530</v>
      </c>
      <c r="V148" s="45" t="s">
        <v>530</v>
      </c>
      <c r="W148" s="45" t="s">
        <v>530</v>
      </c>
      <c r="X148" s="45" t="s">
        <v>530</v>
      </c>
      <c r="Y148" s="45" t="s">
        <v>530</v>
      </c>
      <c r="Z148" s="45" t="s">
        <v>530</v>
      </c>
      <c r="AA148" s="45" t="s">
        <v>530</v>
      </c>
      <c r="AB148" s="45" t="s">
        <v>530</v>
      </c>
      <c r="AC148" s="45" t="s">
        <v>530</v>
      </c>
      <c r="AD148" s="45" t="s">
        <v>530</v>
      </c>
      <c r="AE148" s="45" t="s">
        <v>530</v>
      </c>
      <c r="AF148" s="45" t="s">
        <v>530</v>
      </c>
      <c r="AG148" s="45" t="s">
        <v>530</v>
      </c>
      <c r="AH148" s="45" t="s">
        <v>530</v>
      </c>
      <c r="AI148" s="45" t="s">
        <v>530</v>
      </c>
      <c r="AJ148" s="45" t="s">
        <v>530</v>
      </c>
      <c r="AK148" s="45" t="s">
        <v>530</v>
      </c>
      <c r="AL148" s="45" t="s">
        <v>530</v>
      </c>
      <c r="AM148" s="45" t="s">
        <v>530</v>
      </c>
      <c r="AN148" s="45" t="s">
        <v>530</v>
      </c>
      <c r="AO148" s="45" t="s">
        <v>530</v>
      </c>
      <c r="AP148" s="45" t="s">
        <v>530</v>
      </c>
      <c r="AQ148" s="45" t="s">
        <v>530</v>
      </c>
      <c r="AR148" s="45" t="s">
        <v>530</v>
      </c>
      <c r="AS148" s="45" t="s">
        <v>530</v>
      </c>
      <c r="AT148" s="45" t="s">
        <v>530</v>
      </c>
      <c r="AU148" s="45" t="s">
        <v>530</v>
      </c>
      <c r="AV148" s="45" t="s">
        <v>530</v>
      </c>
      <c r="AW148" s="45" t="s">
        <v>530</v>
      </c>
      <c r="AX148" s="45" t="s">
        <v>530</v>
      </c>
      <c r="AY148" s="45" t="s">
        <v>530</v>
      </c>
      <c r="AZ148" s="45" t="s">
        <v>530</v>
      </c>
      <c r="BA148" s="45" t="s">
        <v>530</v>
      </c>
      <c r="BB148" s="45" t="s">
        <v>530</v>
      </c>
      <c r="BC148" s="45" t="s">
        <v>530</v>
      </c>
      <c r="BD148" s="45" t="s">
        <v>530</v>
      </c>
      <c r="BE148" s="45" t="s">
        <v>530</v>
      </c>
      <c r="BF148" s="45" t="s">
        <v>530</v>
      </c>
      <c r="BG148" s="45" t="s">
        <v>530</v>
      </c>
      <c r="BH148" s="45" t="s">
        <v>530</v>
      </c>
      <c r="BI148" s="45" t="s">
        <v>530</v>
      </c>
      <c r="BJ148" s="45" t="s">
        <v>530</v>
      </c>
      <c r="BK148" s="45" t="s">
        <v>530</v>
      </c>
      <c r="BL148" s="45" t="s">
        <v>530</v>
      </c>
      <c r="BM148" s="45" t="s">
        <v>530</v>
      </c>
      <c r="BN148" s="45" t="s">
        <v>530</v>
      </c>
      <c r="BO148" s="45" t="s">
        <v>530</v>
      </c>
      <c r="BP148" s="45" t="s">
        <v>530</v>
      </c>
      <c r="BQ148" s="45" t="s">
        <v>530</v>
      </c>
      <c r="BR148" s="45" t="s">
        <v>530</v>
      </c>
      <c r="BS148" s="45" t="s">
        <v>530</v>
      </c>
      <c r="BT148" s="45" t="s">
        <v>530</v>
      </c>
      <c r="BU148" s="45" t="s">
        <v>530</v>
      </c>
      <c r="BV148" s="45" t="s">
        <v>530</v>
      </c>
      <c r="BW148" s="45" t="s">
        <v>530</v>
      </c>
      <c r="BX148" s="45" t="s">
        <v>530</v>
      </c>
      <c r="BY148" s="45" t="s">
        <v>530</v>
      </c>
      <c r="BZ148" s="45" t="s">
        <v>530</v>
      </c>
      <c r="CA148" s="45" t="s">
        <v>530</v>
      </c>
      <c r="CB148" s="45" t="s">
        <v>530</v>
      </c>
      <c r="CC148" s="45" t="s">
        <v>530</v>
      </c>
      <c r="CD148" s="45" t="s">
        <v>530</v>
      </c>
      <c r="CE148" s="45" t="s">
        <v>530</v>
      </c>
      <c r="CF148" s="45" t="s">
        <v>530</v>
      </c>
      <c r="CG148" s="45" t="s">
        <v>530</v>
      </c>
      <c r="CH148" s="45" t="s">
        <v>530</v>
      </c>
      <c r="CI148" s="45" t="s">
        <v>530</v>
      </c>
      <c r="CJ148" s="45" t="s">
        <v>530</v>
      </c>
      <c r="CK148" s="45" t="s">
        <v>530</v>
      </c>
      <c r="CL148" s="45" t="s">
        <v>530</v>
      </c>
      <c r="CM148" s="45" t="s">
        <v>530</v>
      </c>
      <c r="CN148" s="45" t="s">
        <v>530</v>
      </c>
      <c r="CO148" s="45" t="s">
        <v>530</v>
      </c>
      <c r="CP148" s="45" t="s">
        <v>530</v>
      </c>
      <c r="CQ148" s="45" t="s">
        <v>530</v>
      </c>
      <c r="CR148" s="45" t="s">
        <v>530</v>
      </c>
      <c r="CS148" s="45" t="s">
        <v>530</v>
      </c>
      <c r="CT148" s="45" t="s">
        <v>530</v>
      </c>
      <c r="CU148" s="45" t="s">
        <v>530</v>
      </c>
      <c r="CV148" s="45" t="s">
        <v>530</v>
      </c>
      <c r="CW148" s="45" t="s">
        <v>530</v>
      </c>
      <c r="CX148" s="45" t="s">
        <v>530</v>
      </c>
      <c r="CY148" s="45" t="s">
        <v>530</v>
      </c>
      <c r="CZ148" s="45" t="s">
        <v>530</v>
      </c>
      <c r="DA148" s="45" t="s">
        <v>530</v>
      </c>
      <c r="DB148" s="45" t="s">
        <v>530</v>
      </c>
      <c r="DC148" s="45" t="s">
        <v>530</v>
      </c>
      <c r="DD148" s="45" t="s">
        <v>530</v>
      </c>
      <c r="DE148" s="45" t="s">
        <v>530</v>
      </c>
      <c r="DF148" s="45" t="s">
        <v>530</v>
      </c>
      <c r="DG148" s="45" t="s">
        <v>530</v>
      </c>
      <c r="DH148" s="45" t="s">
        <v>530</v>
      </c>
      <c r="DI148" s="45" t="s">
        <v>530</v>
      </c>
      <c r="DJ148" s="45" t="s">
        <v>530</v>
      </c>
      <c r="DK148" s="45" t="s">
        <v>530</v>
      </c>
      <c r="DL148" s="45" t="s">
        <v>530</v>
      </c>
      <c r="DM148" s="45" t="s">
        <v>530</v>
      </c>
      <c r="DN148" s="45" t="s">
        <v>530</v>
      </c>
      <c r="DO148" s="45" t="s">
        <v>530</v>
      </c>
      <c r="DP148" s="45" t="s">
        <v>530</v>
      </c>
      <c r="DQ148" s="45" t="s">
        <v>530</v>
      </c>
      <c r="DR148" s="45" t="s">
        <v>530</v>
      </c>
      <c r="DS148" s="45" t="s">
        <v>530</v>
      </c>
      <c r="DT148" s="45" t="s">
        <v>530</v>
      </c>
      <c r="DU148" s="45" t="s">
        <v>530</v>
      </c>
      <c r="DV148" s="45" t="s">
        <v>530</v>
      </c>
      <c r="DW148" s="45" t="s">
        <v>530</v>
      </c>
      <c r="DX148" s="45" t="s">
        <v>530</v>
      </c>
      <c r="DY148" s="45" t="s">
        <v>530</v>
      </c>
      <c r="DZ148" s="45" t="s">
        <v>530</v>
      </c>
      <c r="EA148" s="45" t="s">
        <v>530</v>
      </c>
      <c r="EB148" s="45" t="s">
        <v>530</v>
      </c>
      <c r="EC148" s="45" t="s">
        <v>530</v>
      </c>
      <c r="ED148" s="45" t="s">
        <v>530</v>
      </c>
      <c r="EE148" s="45" t="s">
        <v>530</v>
      </c>
      <c r="EF148" s="45" t="s">
        <v>530</v>
      </c>
      <c r="EG148" s="45" t="s">
        <v>530</v>
      </c>
      <c r="EH148" s="45" t="s">
        <v>530</v>
      </c>
      <c r="EI148" s="45" t="s">
        <v>530</v>
      </c>
      <c r="EJ148" s="45" t="s">
        <v>530</v>
      </c>
      <c r="EK148" s="45" t="s">
        <v>530</v>
      </c>
      <c r="EL148" s="45" t="s">
        <v>530</v>
      </c>
      <c r="EM148" s="45" t="s">
        <v>530</v>
      </c>
      <c r="EN148" s="45" t="s">
        <v>530</v>
      </c>
      <c r="EO148" s="45" t="s">
        <v>530</v>
      </c>
      <c r="EP148" s="45" t="s">
        <v>530</v>
      </c>
      <c r="EQ148" s="45" t="s">
        <v>530</v>
      </c>
      <c r="ER148" s="45" t="s">
        <v>530</v>
      </c>
      <c r="ES148" s="45" t="s">
        <v>530</v>
      </c>
      <c r="ET148" s="45" t="s">
        <v>530</v>
      </c>
      <c r="EU148" s="45" t="s">
        <v>530</v>
      </c>
      <c r="EV148" s="45" t="s">
        <v>530</v>
      </c>
      <c r="EW148" s="45" t="s">
        <v>530</v>
      </c>
      <c r="EX148" s="45" t="s">
        <v>530</v>
      </c>
      <c r="EY148" s="45" t="s">
        <v>530</v>
      </c>
      <c r="EZ148" s="45" t="s">
        <v>530</v>
      </c>
      <c r="FA148" s="45" t="s">
        <v>530</v>
      </c>
      <c r="FB148" s="45" t="s">
        <v>530</v>
      </c>
      <c r="FC148" s="45" t="s">
        <v>530</v>
      </c>
      <c r="FD148" s="45" t="s">
        <v>530</v>
      </c>
      <c r="FE148" s="45" t="s">
        <v>530</v>
      </c>
      <c r="FF148" s="45" t="s">
        <v>530</v>
      </c>
      <c r="FG148" s="45" t="s">
        <v>530</v>
      </c>
      <c r="FH148" s="45" t="s">
        <v>530</v>
      </c>
      <c r="FI148" s="45" t="s">
        <v>530</v>
      </c>
      <c r="FJ148" s="45" t="s">
        <v>530</v>
      </c>
      <c r="FK148" s="45" t="s">
        <v>530</v>
      </c>
      <c r="FL148" s="45" t="s">
        <v>530</v>
      </c>
      <c r="FM148" s="45" t="s">
        <v>530</v>
      </c>
      <c r="FN148" s="45" t="s">
        <v>530</v>
      </c>
      <c r="FO148" s="45" t="s">
        <v>530</v>
      </c>
      <c r="FP148" s="45" t="s">
        <v>530</v>
      </c>
      <c r="FQ148" s="45" t="s">
        <v>530</v>
      </c>
      <c r="FR148" s="45" t="s">
        <v>530</v>
      </c>
      <c r="FS148" s="45" t="s">
        <v>530</v>
      </c>
      <c r="FT148" s="45" t="s">
        <v>530</v>
      </c>
      <c r="FU148" s="45" t="s">
        <v>530</v>
      </c>
      <c r="FV148" s="45" t="s">
        <v>530</v>
      </c>
      <c r="FW148" s="45" t="s">
        <v>530</v>
      </c>
      <c r="FX148" s="45" t="s">
        <v>530</v>
      </c>
      <c r="FY148" s="45" t="s">
        <v>530</v>
      </c>
      <c r="FZ148" s="45" t="s">
        <v>530</v>
      </c>
      <c r="GA148" s="45" t="s">
        <v>530</v>
      </c>
      <c r="GB148" s="45" t="s">
        <v>530</v>
      </c>
      <c r="GC148" s="45" t="s">
        <v>530</v>
      </c>
      <c r="GD148" s="45" t="s">
        <v>530</v>
      </c>
      <c r="GE148" s="45" t="s">
        <v>530</v>
      </c>
      <c r="GF148" s="45" t="s">
        <v>530</v>
      </c>
      <c r="GG148" s="45" t="s">
        <v>530</v>
      </c>
      <c r="GH148" s="45" t="s">
        <v>530</v>
      </c>
      <c r="GI148" s="45" t="s">
        <v>530</v>
      </c>
      <c r="GJ148" s="45" t="s">
        <v>530</v>
      </c>
      <c r="GK148" s="45" t="s">
        <v>530</v>
      </c>
      <c r="GL148" s="45" t="s">
        <v>530</v>
      </c>
      <c r="GM148" s="45" t="s">
        <v>530</v>
      </c>
      <c r="GN148" s="45" t="s">
        <v>530</v>
      </c>
      <c r="GO148" s="45" t="s">
        <v>530</v>
      </c>
      <c r="GP148" s="45" t="s">
        <v>530</v>
      </c>
      <c r="GQ148" s="45" t="s">
        <v>530</v>
      </c>
      <c r="GR148" s="45" t="s">
        <v>530</v>
      </c>
      <c r="GS148" s="45" t="s">
        <v>530</v>
      </c>
      <c r="GT148" s="45" t="s">
        <v>530</v>
      </c>
      <c r="GU148" s="45" t="s">
        <v>530</v>
      </c>
      <c r="GV148" s="45" t="s">
        <v>530</v>
      </c>
      <c r="GW148" s="45" t="s">
        <v>530</v>
      </c>
      <c r="GX148" s="45" t="s">
        <v>530</v>
      </c>
      <c r="GY148" s="45" t="s">
        <v>530</v>
      </c>
      <c r="GZ148" s="45" t="s">
        <v>530</v>
      </c>
      <c r="HA148" s="45" t="s">
        <v>530</v>
      </c>
      <c r="HB148" s="45" t="s">
        <v>530</v>
      </c>
      <c r="HC148" s="45" t="s">
        <v>530</v>
      </c>
      <c r="HD148" s="45" t="s">
        <v>530</v>
      </c>
      <c r="HE148" s="45" t="s">
        <v>530</v>
      </c>
      <c r="HF148" s="45" t="s">
        <v>530</v>
      </c>
      <c r="HG148" s="45" t="s">
        <v>530</v>
      </c>
      <c r="HH148" s="45" t="s">
        <v>530</v>
      </c>
      <c r="HI148" s="45" t="s">
        <v>530</v>
      </c>
      <c r="HJ148" s="45" t="s">
        <v>530</v>
      </c>
      <c r="HK148" s="45" t="s">
        <v>530</v>
      </c>
      <c r="HL148" s="45" t="s">
        <v>530</v>
      </c>
      <c r="HM148" s="45" t="s">
        <v>530</v>
      </c>
      <c r="HN148" s="45" t="s">
        <v>530</v>
      </c>
      <c r="HO148" s="45" t="s">
        <v>530</v>
      </c>
    </row>
    <row r="149" spans="1:223" x14ac:dyDescent="0.3">
      <c r="A149" s="78"/>
      <c r="B149" s="78"/>
      <c r="C149" s="78"/>
      <c r="D149" s="78"/>
      <c r="E149" s="78"/>
      <c r="F149" s="78"/>
      <c r="G149" s="78"/>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row>
    <row r="150" spans="1:223" x14ac:dyDescent="0.3">
      <c r="A150" s="78"/>
      <c r="B150" s="78"/>
      <c r="C150" s="78"/>
      <c r="D150" s="78"/>
      <c r="E150" s="78"/>
      <c r="F150" s="78"/>
      <c r="G150" s="78"/>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row>
    <row r="151" spans="1:223" x14ac:dyDescent="0.3">
      <c r="A151" s="78"/>
      <c r="B151" s="78"/>
      <c r="C151" s="78"/>
      <c r="D151" s="78"/>
      <c r="E151" s="78"/>
      <c r="F151" s="78"/>
      <c r="G151" s="78"/>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row>
    <row r="152" spans="1:223" x14ac:dyDescent="0.3">
      <c r="A152" s="78"/>
      <c r="B152" s="78"/>
      <c r="C152" s="78"/>
      <c r="D152" s="78"/>
      <c r="E152" s="78"/>
      <c r="F152" s="78"/>
      <c r="G152" s="78"/>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row>
    <row r="153" spans="1:223" x14ac:dyDescent="0.3">
      <c r="A153" s="78"/>
      <c r="B153" s="78"/>
      <c r="C153" s="78"/>
      <c r="D153" s="78"/>
      <c r="E153" s="78"/>
      <c r="F153" s="78"/>
      <c r="G153" s="78"/>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row>
    <row r="154" spans="1:223" x14ac:dyDescent="0.3">
      <c r="A154" s="78"/>
      <c r="B154" s="78"/>
      <c r="C154" s="78"/>
      <c r="D154" s="78"/>
      <c r="E154" s="78"/>
      <c r="F154" s="78"/>
      <c r="G154" s="78"/>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row>
    <row r="155" spans="1:223" x14ac:dyDescent="0.3">
      <c r="A155" s="78"/>
      <c r="B155" s="78"/>
      <c r="C155" s="78"/>
      <c r="D155" s="78"/>
      <c r="E155" s="78"/>
      <c r="F155" s="78"/>
      <c r="G155" s="78"/>
      <c r="N155" s="45" t="s">
        <v>531</v>
      </c>
      <c r="O155" s="45" t="s">
        <v>531</v>
      </c>
      <c r="P155" s="45" t="s">
        <v>531</v>
      </c>
      <c r="Q155" s="45" t="s">
        <v>531</v>
      </c>
      <c r="R155" s="45" t="s">
        <v>531</v>
      </c>
      <c r="S155" s="45" t="s">
        <v>531</v>
      </c>
      <c r="T155" s="45" t="s">
        <v>531</v>
      </c>
      <c r="U155" s="45" t="s">
        <v>531</v>
      </c>
      <c r="V155" s="45" t="s">
        <v>531</v>
      </c>
      <c r="W155" s="45" t="s">
        <v>531</v>
      </c>
      <c r="X155" s="45" t="s">
        <v>531</v>
      </c>
      <c r="Y155" s="45" t="s">
        <v>531</v>
      </c>
      <c r="Z155" s="45" t="s">
        <v>531</v>
      </c>
      <c r="AA155" s="45" t="s">
        <v>531</v>
      </c>
      <c r="AB155" s="45" t="s">
        <v>531</v>
      </c>
      <c r="AC155" s="45" t="s">
        <v>531</v>
      </c>
      <c r="AD155" s="45" t="s">
        <v>531</v>
      </c>
      <c r="AE155" s="45" t="s">
        <v>531</v>
      </c>
      <c r="AF155" s="45" t="s">
        <v>531</v>
      </c>
      <c r="AG155" s="45" t="s">
        <v>531</v>
      </c>
      <c r="AH155" s="45" t="s">
        <v>531</v>
      </c>
      <c r="AI155" s="45" t="s">
        <v>531</v>
      </c>
      <c r="AJ155" s="45" t="s">
        <v>531</v>
      </c>
      <c r="AK155" s="45" t="s">
        <v>531</v>
      </c>
      <c r="AL155" s="45" t="s">
        <v>531</v>
      </c>
      <c r="AM155" s="45" t="s">
        <v>531</v>
      </c>
      <c r="AN155" s="45" t="s">
        <v>531</v>
      </c>
      <c r="AO155" s="45" t="s">
        <v>531</v>
      </c>
      <c r="AP155" s="45" t="s">
        <v>531</v>
      </c>
      <c r="AQ155" s="45" t="s">
        <v>531</v>
      </c>
      <c r="AR155" s="45" t="s">
        <v>531</v>
      </c>
      <c r="AS155" s="45" t="s">
        <v>531</v>
      </c>
      <c r="AT155" s="45" t="s">
        <v>531</v>
      </c>
      <c r="AU155" s="45" t="s">
        <v>531</v>
      </c>
      <c r="AV155" s="45" t="s">
        <v>531</v>
      </c>
      <c r="AW155" s="45" t="s">
        <v>531</v>
      </c>
      <c r="AX155" s="45" t="s">
        <v>531</v>
      </c>
      <c r="AY155" s="45" t="s">
        <v>531</v>
      </c>
      <c r="AZ155" s="45" t="s">
        <v>531</v>
      </c>
      <c r="BA155" s="45" t="s">
        <v>531</v>
      </c>
      <c r="BB155" s="45" t="s">
        <v>531</v>
      </c>
      <c r="BC155" s="45" t="s">
        <v>531</v>
      </c>
      <c r="BD155" s="45" t="s">
        <v>531</v>
      </c>
      <c r="BE155" s="45" t="s">
        <v>531</v>
      </c>
      <c r="BF155" s="45" t="s">
        <v>531</v>
      </c>
      <c r="BG155" s="45" t="s">
        <v>531</v>
      </c>
      <c r="BH155" s="45" t="s">
        <v>531</v>
      </c>
      <c r="BI155" s="45" t="s">
        <v>531</v>
      </c>
      <c r="BJ155" s="45" t="s">
        <v>531</v>
      </c>
      <c r="BK155" s="45" t="s">
        <v>531</v>
      </c>
      <c r="BL155" s="45" t="s">
        <v>531</v>
      </c>
      <c r="BM155" s="45" t="s">
        <v>531</v>
      </c>
      <c r="BN155" s="45" t="s">
        <v>531</v>
      </c>
      <c r="BO155" s="45" t="s">
        <v>531</v>
      </c>
      <c r="BP155" s="45" t="s">
        <v>531</v>
      </c>
      <c r="BQ155" s="45" t="s">
        <v>531</v>
      </c>
      <c r="BR155" s="45" t="s">
        <v>531</v>
      </c>
      <c r="BS155" s="45" t="s">
        <v>531</v>
      </c>
      <c r="BT155" s="45" t="s">
        <v>531</v>
      </c>
      <c r="BU155" s="45" t="s">
        <v>531</v>
      </c>
      <c r="BV155" s="45" t="s">
        <v>531</v>
      </c>
      <c r="BW155" s="45" t="s">
        <v>531</v>
      </c>
      <c r="BX155" s="45" t="s">
        <v>531</v>
      </c>
      <c r="BY155" s="45" t="s">
        <v>531</v>
      </c>
      <c r="BZ155" s="45" t="s">
        <v>531</v>
      </c>
      <c r="CA155" s="45" t="s">
        <v>531</v>
      </c>
      <c r="CB155" s="45" t="s">
        <v>531</v>
      </c>
      <c r="CC155" s="45" t="s">
        <v>531</v>
      </c>
      <c r="CD155" s="45" t="s">
        <v>531</v>
      </c>
      <c r="CE155" s="45" t="s">
        <v>531</v>
      </c>
      <c r="CF155" s="45" t="s">
        <v>531</v>
      </c>
      <c r="CG155" s="45" t="s">
        <v>531</v>
      </c>
      <c r="CH155" s="45" t="s">
        <v>531</v>
      </c>
      <c r="CI155" s="45" t="s">
        <v>531</v>
      </c>
      <c r="CJ155" s="45" t="s">
        <v>531</v>
      </c>
      <c r="CK155" s="45" t="s">
        <v>531</v>
      </c>
      <c r="CL155" s="45" t="s">
        <v>531</v>
      </c>
      <c r="CM155" s="45" t="s">
        <v>531</v>
      </c>
      <c r="CN155" s="45" t="s">
        <v>531</v>
      </c>
      <c r="CO155" s="45" t="s">
        <v>531</v>
      </c>
      <c r="CP155" s="45" t="s">
        <v>531</v>
      </c>
      <c r="CQ155" s="45" t="s">
        <v>531</v>
      </c>
      <c r="CR155" s="45" t="s">
        <v>531</v>
      </c>
      <c r="CS155" s="45" t="s">
        <v>531</v>
      </c>
      <c r="CT155" s="45" t="s">
        <v>531</v>
      </c>
      <c r="CU155" s="45" t="s">
        <v>531</v>
      </c>
      <c r="CV155" s="45" t="s">
        <v>531</v>
      </c>
      <c r="CW155" s="45" t="s">
        <v>531</v>
      </c>
      <c r="CX155" s="45" t="s">
        <v>531</v>
      </c>
      <c r="CY155" s="45" t="s">
        <v>531</v>
      </c>
      <c r="CZ155" s="45" t="s">
        <v>531</v>
      </c>
      <c r="DA155" s="45" t="s">
        <v>531</v>
      </c>
      <c r="DB155" s="45" t="s">
        <v>531</v>
      </c>
      <c r="DC155" s="45" t="s">
        <v>531</v>
      </c>
      <c r="DD155" s="45" t="s">
        <v>531</v>
      </c>
      <c r="DE155" s="45" t="s">
        <v>531</v>
      </c>
      <c r="DF155" s="45" t="s">
        <v>531</v>
      </c>
      <c r="DG155" s="45" t="s">
        <v>531</v>
      </c>
      <c r="DH155" s="45" t="s">
        <v>531</v>
      </c>
      <c r="DI155" s="45" t="s">
        <v>531</v>
      </c>
      <c r="DJ155" s="45" t="s">
        <v>531</v>
      </c>
      <c r="DK155" s="45" t="s">
        <v>531</v>
      </c>
      <c r="DL155" s="45" t="s">
        <v>531</v>
      </c>
      <c r="DM155" s="45" t="s">
        <v>531</v>
      </c>
      <c r="DN155" s="45" t="s">
        <v>531</v>
      </c>
      <c r="DO155" s="45" t="s">
        <v>531</v>
      </c>
      <c r="DP155" s="45" t="s">
        <v>531</v>
      </c>
      <c r="DQ155" s="45" t="s">
        <v>531</v>
      </c>
      <c r="DR155" s="45" t="s">
        <v>531</v>
      </c>
      <c r="DS155" s="45" t="s">
        <v>531</v>
      </c>
      <c r="DT155" s="45" t="s">
        <v>531</v>
      </c>
      <c r="DU155" s="45" t="s">
        <v>531</v>
      </c>
      <c r="DV155" s="45" t="s">
        <v>531</v>
      </c>
      <c r="DW155" s="45" t="s">
        <v>531</v>
      </c>
      <c r="DX155" s="45" t="s">
        <v>531</v>
      </c>
      <c r="DY155" s="45" t="s">
        <v>531</v>
      </c>
      <c r="DZ155" s="45" t="s">
        <v>531</v>
      </c>
      <c r="EA155" s="45" t="s">
        <v>531</v>
      </c>
      <c r="EB155" s="45" t="s">
        <v>531</v>
      </c>
      <c r="EC155" s="45" t="s">
        <v>531</v>
      </c>
      <c r="ED155" s="45" t="s">
        <v>531</v>
      </c>
      <c r="EE155" s="45" t="s">
        <v>531</v>
      </c>
      <c r="EF155" s="45" t="s">
        <v>531</v>
      </c>
      <c r="EG155" s="45" t="s">
        <v>531</v>
      </c>
      <c r="EH155" s="45" t="s">
        <v>531</v>
      </c>
      <c r="EI155" s="45" t="s">
        <v>531</v>
      </c>
      <c r="EJ155" s="45" t="s">
        <v>531</v>
      </c>
      <c r="EK155" s="45" t="s">
        <v>531</v>
      </c>
      <c r="EL155" s="45" t="s">
        <v>531</v>
      </c>
      <c r="EM155" s="45" t="s">
        <v>531</v>
      </c>
      <c r="EN155" s="45" t="s">
        <v>531</v>
      </c>
      <c r="EO155" s="45" t="s">
        <v>531</v>
      </c>
      <c r="EP155" s="45" t="s">
        <v>531</v>
      </c>
      <c r="EQ155" s="45" t="s">
        <v>531</v>
      </c>
      <c r="ER155" s="45" t="s">
        <v>531</v>
      </c>
      <c r="ES155" s="45" t="s">
        <v>531</v>
      </c>
      <c r="ET155" s="45" t="s">
        <v>531</v>
      </c>
      <c r="EU155" s="45" t="s">
        <v>531</v>
      </c>
      <c r="EV155" s="45" t="s">
        <v>531</v>
      </c>
      <c r="EW155" s="45" t="s">
        <v>531</v>
      </c>
      <c r="EX155" s="45" t="s">
        <v>531</v>
      </c>
      <c r="EY155" s="45" t="s">
        <v>531</v>
      </c>
      <c r="EZ155" s="45" t="s">
        <v>531</v>
      </c>
      <c r="FA155" s="45" t="s">
        <v>531</v>
      </c>
      <c r="FB155" s="45" t="s">
        <v>531</v>
      </c>
      <c r="FC155" s="45" t="s">
        <v>531</v>
      </c>
      <c r="FD155" s="45" t="s">
        <v>531</v>
      </c>
      <c r="FE155" s="45" t="s">
        <v>531</v>
      </c>
      <c r="FF155" s="45" t="s">
        <v>531</v>
      </c>
      <c r="FG155" s="45" t="s">
        <v>531</v>
      </c>
      <c r="FH155" s="45" t="s">
        <v>531</v>
      </c>
      <c r="FI155" s="45" t="s">
        <v>531</v>
      </c>
      <c r="FJ155" s="45" t="s">
        <v>531</v>
      </c>
      <c r="FK155" s="45" t="s">
        <v>531</v>
      </c>
      <c r="FL155" s="45" t="s">
        <v>531</v>
      </c>
      <c r="FM155" s="45" t="s">
        <v>531</v>
      </c>
      <c r="FN155" s="45" t="s">
        <v>531</v>
      </c>
      <c r="FO155" s="45" t="s">
        <v>531</v>
      </c>
      <c r="FP155" s="45" t="s">
        <v>531</v>
      </c>
      <c r="FQ155" s="45" t="s">
        <v>531</v>
      </c>
      <c r="FR155" s="45" t="s">
        <v>531</v>
      </c>
      <c r="FS155" s="45" t="s">
        <v>531</v>
      </c>
      <c r="FT155" s="45" t="s">
        <v>531</v>
      </c>
      <c r="FU155" s="45" t="s">
        <v>531</v>
      </c>
      <c r="FV155" s="45" t="s">
        <v>531</v>
      </c>
      <c r="FW155" s="45" t="s">
        <v>531</v>
      </c>
      <c r="FX155" s="45" t="s">
        <v>531</v>
      </c>
      <c r="FY155" s="45" t="s">
        <v>531</v>
      </c>
      <c r="FZ155" s="45" t="s">
        <v>531</v>
      </c>
      <c r="GA155" s="45" t="s">
        <v>531</v>
      </c>
      <c r="GB155" s="45" t="s">
        <v>531</v>
      </c>
      <c r="GC155" s="45" t="s">
        <v>531</v>
      </c>
      <c r="GD155" s="45" t="s">
        <v>531</v>
      </c>
      <c r="GE155" s="45" t="s">
        <v>531</v>
      </c>
      <c r="GF155" s="45" t="s">
        <v>531</v>
      </c>
      <c r="GG155" s="45" t="s">
        <v>531</v>
      </c>
      <c r="GH155" s="45" t="s">
        <v>531</v>
      </c>
      <c r="GI155" s="45" t="s">
        <v>531</v>
      </c>
      <c r="GJ155" s="45" t="s">
        <v>531</v>
      </c>
      <c r="GK155" s="45" t="s">
        <v>531</v>
      </c>
      <c r="GL155" s="45" t="s">
        <v>531</v>
      </c>
      <c r="GM155" s="45" t="s">
        <v>531</v>
      </c>
      <c r="GN155" s="45" t="s">
        <v>531</v>
      </c>
      <c r="GO155" s="45" t="s">
        <v>531</v>
      </c>
      <c r="GP155" s="45" t="s">
        <v>531</v>
      </c>
      <c r="GQ155" s="45" t="s">
        <v>531</v>
      </c>
      <c r="GR155" s="45" t="s">
        <v>531</v>
      </c>
      <c r="GS155" s="45" t="s">
        <v>531</v>
      </c>
      <c r="GT155" s="45" t="s">
        <v>531</v>
      </c>
      <c r="GU155" s="45" t="s">
        <v>531</v>
      </c>
      <c r="GV155" s="45" t="s">
        <v>531</v>
      </c>
      <c r="GW155" s="45" t="s">
        <v>531</v>
      </c>
      <c r="GX155" s="45" t="s">
        <v>531</v>
      </c>
      <c r="GY155" s="45" t="s">
        <v>531</v>
      </c>
      <c r="GZ155" s="45" t="s">
        <v>531</v>
      </c>
      <c r="HA155" s="45" t="s">
        <v>531</v>
      </c>
      <c r="HB155" s="45" t="s">
        <v>531</v>
      </c>
      <c r="HC155" s="45" t="s">
        <v>531</v>
      </c>
      <c r="HD155" s="45" t="s">
        <v>531</v>
      </c>
      <c r="HE155" s="45" t="s">
        <v>531</v>
      </c>
      <c r="HF155" s="45" t="s">
        <v>531</v>
      </c>
      <c r="HG155" s="45" t="s">
        <v>531</v>
      </c>
      <c r="HH155" s="45" t="s">
        <v>531</v>
      </c>
      <c r="HI155" s="45" t="s">
        <v>531</v>
      </c>
      <c r="HJ155" s="45" t="s">
        <v>531</v>
      </c>
      <c r="HK155" s="45" t="s">
        <v>531</v>
      </c>
      <c r="HL155" s="45" t="s">
        <v>531</v>
      </c>
      <c r="HM155" s="45" t="s">
        <v>531</v>
      </c>
      <c r="HN155" s="45" t="s">
        <v>531</v>
      </c>
      <c r="HO155" s="45" t="s">
        <v>531</v>
      </c>
    </row>
    <row r="156" spans="1:223" x14ac:dyDescent="0.3">
      <c r="A156" s="78"/>
      <c r="B156" s="78"/>
      <c r="C156" s="78"/>
      <c r="D156" s="78"/>
      <c r="E156" s="78"/>
      <c r="F156" s="78"/>
      <c r="G156" s="78"/>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row>
    <row r="157" spans="1:223" x14ac:dyDescent="0.3">
      <c r="A157" s="78"/>
      <c r="B157" s="78"/>
      <c r="C157" s="78"/>
      <c r="D157" s="78"/>
      <c r="E157" s="78"/>
      <c r="F157" s="78"/>
      <c r="G157" s="78"/>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row>
    <row r="158" spans="1:223" x14ac:dyDescent="0.3">
      <c r="A158" s="78"/>
      <c r="B158" s="78"/>
      <c r="C158" s="78"/>
      <c r="D158" s="78"/>
      <c r="E158" s="78"/>
      <c r="F158" s="78"/>
      <c r="G158" s="78"/>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row>
    <row r="159" spans="1:223" x14ac:dyDescent="0.3">
      <c r="A159" s="78"/>
      <c r="B159" s="78"/>
      <c r="C159" s="78"/>
      <c r="D159" s="78"/>
      <c r="E159" s="78"/>
      <c r="F159" s="78"/>
      <c r="G159" s="78"/>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row>
    <row r="160" spans="1:223" x14ac:dyDescent="0.3">
      <c r="A160" s="78"/>
      <c r="B160" s="78"/>
      <c r="C160" s="78"/>
      <c r="D160" s="78"/>
      <c r="E160" s="78"/>
      <c r="F160" s="78"/>
      <c r="G160" s="78"/>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row>
    <row r="161" spans="1:223" x14ac:dyDescent="0.3">
      <c r="A161" s="78"/>
      <c r="B161" s="78"/>
      <c r="C161" s="78"/>
      <c r="D161" s="78"/>
      <c r="E161" s="78"/>
      <c r="F161" s="78"/>
      <c r="G161" s="78"/>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row>
    <row r="162" spans="1:223" x14ac:dyDescent="0.3">
      <c r="A162" s="78"/>
      <c r="B162" s="78"/>
      <c r="C162" s="78"/>
      <c r="D162" s="78"/>
      <c r="E162" s="78"/>
      <c r="F162" s="78"/>
      <c r="G162" s="78"/>
      <c r="N162" s="45" t="s">
        <v>532</v>
      </c>
      <c r="O162" s="45" t="s">
        <v>532</v>
      </c>
      <c r="P162" s="45" t="s">
        <v>532</v>
      </c>
      <c r="Q162" s="45" t="s">
        <v>532</v>
      </c>
      <c r="R162" s="45" t="s">
        <v>532</v>
      </c>
      <c r="S162" s="45" t="s">
        <v>532</v>
      </c>
      <c r="T162" s="45" t="s">
        <v>532</v>
      </c>
      <c r="U162" s="45" t="s">
        <v>532</v>
      </c>
      <c r="V162" s="45" t="s">
        <v>532</v>
      </c>
      <c r="W162" s="45" t="s">
        <v>532</v>
      </c>
      <c r="X162" s="45" t="s">
        <v>532</v>
      </c>
      <c r="Y162" s="45" t="s">
        <v>532</v>
      </c>
      <c r="Z162" s="45" t="s">
        <v>532</v>
      </c>
      <c r="AA162" s="45" t="s">
        <v>532</v>
      </c>
      <c r="AB162" s="45" t="s">
        <v>532</v>
      </c>
      <c r="AC162" s="45" t="s">
        <v>532</v>
      </c>
      <c r="AD162" s="45" t="s">
        <v>532</v>
      </c>
      <c r="AE162" s="45" t="s">
        <v>532</v>
      </c>
      <c r="AF162" s="45" t="s">
        <v>532</v>
      </c>
      <c r="AG162" s="45" t="s">
        <v>532</v>
      </c>
      <c r="AH162" s="45" t="s">
        <v>532</v>
      </c>
      <c r="AI162" s="45" t="s">
        <v>532</v>
      </c>
      <c r="AJ162" s="45" t="s">
        <v>532</v>
      </c>
      <c r="AK162" s="45" t="s">
        <v>532</v>
      </c>
      <c r="AL162" s="45" t="s">
        <v>532</v>
      </c>
      <c r="AM162" s="45" t="s">
        <v>532</v>
      </c>
      <c r="AN162" s="45" t="s">
        <v>532</v>
      </c>
      <c r="AO162" s="45" t="s">
        <v>532</v>
      </c>
      <c r="AP162" s="45" t="s">
        <v>532</v>
      </c>
      <c r="AQ162" s="45" t="s">
        <v>532</v>
      </c>
      <c r="AR162" s="45" t="s">
        <v>532</v>
      </c>
      <c r="AS162" s="45" t="s">
        <v>532</v>
      </c>
      <c r="AT162" s="45" t="s">
        <v>532</v>
      </c>
      <c r="AU162" s="45" t="s">
        <v>532</v>
      </c>
      <c r="AV162" s="45" t="s">
        <v>532</v>
      </c>
      <c r="AW162" s="45" t="s">
        <v>532</v>
      </c>
      <c r="AX162" s="45" t="s">
        <v>532</v>
      </c>
      <c r="AY162" s="45" t="s">
        <v>532</v>
      </c>
      <c r="AZ162" s="45" t="s">
        <v>532</v>
      </c>
      <c r="BA162" s="45" t="s">
        <v>532</v>
      </c>
      <c r="BB162" s="45" t="s">
        <v>532</v>
      </c>
      <c r="BC162" s="45" t="s">
        <v>532</v>
      </c>
      <c r="BD162" s="45" t="s">
        <v>532</v>
      </c>
      <c r="BE162" s="45" t="s">
        <v>532</v>
      </c>
      <c r="BF162" s="45" t="s">
        <v>532</v>
      </c>
      <c r="BG162" s="45" t="s">
        <v>532</v>
      </c>
      <c r="BH162" s="45" t="s">
        <v>532</v>
      </c>
      <c r="BI162" s="45" t="s">
        <v>532</v>
      </c>
      <c r="BJ162" s="45" t="s">
        <v>532</v>
      </c>
      <c r="BK162" s="45" t="s">
        <v>532</v>
      </c>
      <c r="BL162" s="45" t="s">
        <v>532</v>
      </c>
      <c r="BM162" s="45" t="s">
        <v>532</v>
      </c>
      <c r="BN162" s="45" t="s">
        <v>532</v>
      </c>
      <c r="BO162" s="45" t="s">
        <v>532</v>
      </c>
      <c r="BP162" s="45" t="s">
        <v>532</v>
      </c>
      <c r="BQ162" s="45" t="s">
        <v>532</v>
      </c>
      <c r="BR162" s="45" t="s">
        <v>532</v>
      </c>
      <c r="BS162" s="45" t="s">
        <v>532</v>
      </c>
      <c r="BT162" s="45" t="s">
        <v>532</v>
      </c>
      <c r="BU162" s="45" t="s">
        <v>532</v>
      </c>
      <c r="BV162" s="45" t="s">
        <v>532</v>
      </c>
      <c r="BW162" s="45" t="s">
        <v>532</v>
      </c>
      <c r="BX162" s="45" t="s">
        <v>532</v>
      </c>
      <c r="BY162" s="45" t="s">
        <v>532</v>
      </c>
      <c r="BZ162" s="45" t="s">
        <v>532</v>
      </c>
      <c r="CA162" s="45" t="s">
        <v>532</v>
      </c>
      <c r="CB162" s="45" t="s">
        <v>532</v>
      </c>
      <c r="CC162" s="45" t="s">
        <v>532</v>
      </c>
      <c r="CD162" s="45" t="s">
        <v>532</v>
      </c>
      <c r="CE162" s="45" t="s">
        <v>532</v>
      </c>
      <c r="CF162" s="45" t="s">
        <v>532</v>
      </c>
      <c r="CG162" s="45" t="s">
        <v>532</v>
      </c>
      <c r="CH162" s="45" t="s">
        <v>532</v>
      </c>
      <c r="CI162" s="45" t="s">
        <v>532</v>
      </c>
      <c r="CJ162" s="45" t="s">
        <v>532</v>
      </c>
      <c r="CK162" s="45" t="s">
        <v>532</v>
      </c>
      <c r="CL162" s="45" t="s">
        <v>532</v>
      </c>
      <c r="CM162" s="45" t="s">
        <v>532</v>
      </c>
      <c r="CN162" s="45" t="s">
        <v>532</v>
      </c>
      <c r="CO162" s="45" t="s">
        <v>532</v>
      </c>
      <c r="CP162" s="45" t="s">
        <v>532</v>
      </c>
      <c r="CQ162" s="45" t="s">
        <v>532</v>
      </c>
      <c r="CR162" s="45" t="s">
        <v>532</v>
      </c>
      <c r="CS162" s="45" t="s">
        <v>532</v>
      </c>
      <c r="CT162" s="45" t="s">
        <v>532</v>
      </c>
      <c r="CU162" s="45" t="s">
        <v>532</v>
      </c>
      <c r="CV162" s="45" t="s">
        <v>532</v>
      </c>
      <c r="CW162" s="45" t="s">
        <v>532</v>
      </c>
      <c r="CX162" s="45" t="s">
        <v>532</v>
      </c>
      <c r="CY162" s="45" t="s">
        <v>532</v>
      </c>
      <c r="CZ162" s="45" t="s">
        <v>532</v>
      </c>
      <c r="DA162" s="45" t="s">
        <v>532</v>
      </c>
      <c r="DB162" s="45" t="s">
        <v>532</v>
      </c>
      <c r="DC162" s="45" t="s">
        <v>532</v>
      </c>
      <c r="DD162" s="45" t="s">
        <v>532</v>
      </c>
      <c r="DE162" s="45" t="s">
        <v>532</v>
      </c>
      <c r="DF162" s="45" t="s">
        <v>532</v>
      </c>
      <c r="DG162" s="45" t="s">
        <v>532</v>
      </c>
      <c r="DH162" s="45" t="s">
        <v>532</v>
      </c>
      <c r="DI162" s="45" t="s">
        <v>532</v>
      </c>
      <c r="DJ162" s="45" t="s">
        <v>532</v>
      </c>
      <c r="DK162" s="45" t="s">
        <v>532</v>
      </c>
      <c r="DL162" s="45" t="s">
        <v>532</v>
      </c>
      <c r="DM162" s="45" t="s">
        <v>532</v>
      </c>
      <c r="DN162" s="45" t="s">
        <v>532</v>
      </c>
      <c r="DO162" s="45" t="s">
        <v>532</v>
      </c>
      <c r="DP162" s="45" t="s">
        <v>532</v>
      </c>
      <c r="DQ162" s="45" t="s">
        <v>532</v>
      </c>
      <c r="DR162" s="45" t="s">
        <v>532</v>
      </c>
      <c r="DS162" s="45" t="s">
        <v>532</v>
      </c>
      <c r="DT162" s="45" t="s">
        <v>532</v>
      </c>
      <c r="DU162" s="45" t="s">
        <v>532</v>
      </c>
      <c r="DV162" s="45" t="s">
        <v>532</v>
      </c>
      <c r="DW162" s="45" t="s">
        <v>532</v>
      </c>
      <c r="DX162" s="45" t="s">
        <v>532</v>
      </c>
      <c r="DY162" s="45" t="s">
        <v>532</v>
      </c>
      <c r="DZ162" s="45" t="s">
        <v>532</v>
      </c>
      <c r="EA162" s="45" t="s">
        <v>532</v>
      </c>
      <c r="EB162" s="45" t="s">
        <v>532</v>
      </c>
      <c r="EC162" s="45" t="s">
        <v>532</v>
      </c>
      <c r="ED162" s="45" t="s">
        <v>532</v>
      </c>
      <c r="EE162" s="45" t="s">
        <v>532</v>
      </c>
      <c r="EF162" s="45" t="s">
        <v>532</v>
      </c>
      <c r="EG162" s="45" t="s">
        <v>532</v>
      </c>
      <c r="EH162" s="45" t="s">
        <v>532</v>
      </c>
      <c r="EI162" s="45" t="s">
        <v>532</v>
      </c>
      <c r="EJ162" s="45" t="s">
        <v>532</v>
      </c>
      <c r="EK162" s="45" t="s">
        <v>532</v>
      </c>
      <c r="EL162" s="45" t="s">
        <v>532</v>
      </c>
      <c r="EM162" s="45" t="s">
        <v>532</v>
      </c>
      <c r="EN162" s="45" t="s">
        <v>532</v>
      </c>
      <c r="EO162" s="45" t="s">
        <v>532</v>
      </c>
      <c r="EP162" s="45" t="s">
        <v>532</v>
      </c>
      <c r="EQ162" s="45" t="s">
        <v>532</v>
      </c>
      <c r="ER162" s="45" t="s">
        <v>532</v>
      </c>
      <c r="ES162" s="45" t="s">
        <v>532</v>
      </c>
      <c r="ET162" s="45" t="s">
        <v>532</v>
      </c>
      <c r="EU162" s="45" t="s">
        <v>532</v>
      </c>
      <c r="EV162" s="45" t="s">
        <v>532</v>
      </c>
      <c r="EW162" s="45" t="s">
        <v>532</v>
      </c>
      <c r="EX162" s="45" t="s">
        <v>532</v>
      </c>
      <c r="EY162" s="45" t="s">
        <v>532</v>
      </c>
      <c r="EZ162" s="45" t="s">
        <v>532</v>
      </c>
      <c r="FA162" s="45" t="s">
        <v>532</v>
      </c>
      <c r="FB162" s="45" t="s">
        <v>532</v>
      </c>
      <c r="FC162" s="45" t="s">
        <v>532</v>
      </c>
      <c r="FD162" s="45" t="s">
        <v>532</v>
      </c>
      <c r="FE162" s="45" t="s">
        <v>532</v>
      </c>
      <c r="FF162" s="45" t="s">
        <v>532</v>
      </c>
      <c r="FG162" s="45" t="s">
        <v>532</v>
      </c>
      <c r="FH162" s="45" t="s">
        <v>532</v>
      </c>
      <c r="FI162" s="45" t="s">
        <v>532</v>
      </c>
      <c r="FJ162" s="45" t="s">
        <v>532</v>
      </c>
      <c r="FK162" s="45" t="s">
        <v>532</v>
      </c>
      <c r="FL162" s="45" t="s">
        <v>532</v>
      </c>
      <c r="FM162" s="45" t="s">
        <v>532</v>
      </c>
      <c r="FN162" s="45" t="s">
        <v>532</v>
      </c>
      <c r="FO162" s="45" t="s">
        <v>532</v>
      </c>
      <c r="FP162" s="45" t="s">
        <v>532</v>
      </c>
      <c r="FQ162" s="45" t="s">
        <v>532</v>
      </c>
      <c r="FR162" s="45" t="s">
        <v>532</v>
      </c>
      <c r="FS162" s="45" t="s">
        <v>532</v>
      </c>
      <c r="FT162" s="45" t="s">
        <v>532</v>
      </c>
      <c r="FU162" s="45" t="s">
        <v>532</v>
      </c>
      <c r="FV162" s="45" t="s">
        <v>532</v>
      </c>
      <c r="FW162" s="45" t="s">
        <v>532</v>
      </c>
      <c r="FX162" s="45" t="s">
        <v>532</v>
      </c>
      <c r="FY162" s="45" t="s">
        <v>532</v>
      </c>
      <c r="FZ162" s="45" t="s">
        <v>532</v>
      </c>
      <c r="GA162" s="45" t="s">
        <v>532</v>
      </c>
      <c r="GB162" s="45" t="s">
        <v>532</v>
      </c>
      <c r="GC162" s="45" t="s">
        <v>532</v>
      </c>
      <c r="GD162" s="45" t="s">
        <v>532</v>
      </c>
      <c r="GE162" s="45" t="s">
        <v>532</v>
      </c>
      <c r="GF162" s="45" t="s">
        <v>532</v>
      </c>
      <c r="GG162" s="45" t="s">
        <v>532</v>
      </c>
      <c r="GH162" s="45" t="s">
        <v>532</v>
      </c>
      <c r="GI162" s="45" t="s">
        <v>532</v>
      </c>
      <c r="GJ162" s="45" t="s">
        <v>532</v>
      </c>
      <c r="GK162" s="45" t="s">
        <v>532</v>
      </c>
      <c r="GL162" s="45" t="s">
        <v>532</v>
      </c>
      <c r="GM162" s="45" t="s">
        <v>532</v>
      </c>
      <c r="GN162" s="45" t="s">
        <v>532</v>
      </c>
      <c r="GO162" s="45" t="s">
        <v>532</v>
      </c>
      <c r="GP162" s="45" t="s">
        <v>532</v>
      </c>
      <c r="GQ162" s="45" t="s">
        <v>532</v>
      </c>
      <c r="GR162" s="45" t="s">
        <v>532</v>
      </c>
      <c r="GS162" s="45" t="s">
        <v>532</v>
      </c>
      <c r="GT162" s="45" t="s">
        <v>532</v>
      </c>
      <c r="GU162" s="45" t="s">
        <v>532</v>
      </c>
      <c r="GV162" s="45" t="s">
        <v>532</v>
      </c>
      <c r="GW162" s="45" t="s">
        <v>532</v>
      </c>
      <c r="GX162" s="45" t="s">
        <v>532</v>
      </c>
      <c r="GY162" s="45" t="s">
        <v>532</v>
      </c>
      <c r="GZ162" s="45" t="s">
        <v>532</v>
      </c>
      <c r="HA162" s="45" t="s">
        <v>532</v>
      </c>
      <c r="HB162" s="45" t="s">
        <v>532</v>
      </c>
      <c r="HC162" s="45" t="s">
        <v>532</v>
      </c>
      <c r="HD162" s="45" t="s">
        <v>532</v>
      </c>
      <c r="HE162" s="45" t="s">
        <v>532</v>
      </c>
      <c r="HF162" s="45" t="s">
        <v>532</v>
      </c>
      <c r="HG162" s="45" t="s">
        <v>532</v>
      </c>
      <c r="HH162" s="45" t="s">
        <v>532</v>
      </c>
      <c r="HI162" s="45" t="s">
        <v>532</v>
      </c>
      <c r="HJ162" s="45" t="s">
        <v>532</v>
      </c>
      <c r="HK162" s="45" t="s">
        <v>532</v>
      </c>
      <c r="HL162" s="45" t="s">
        <v>532</v>
      </c>
      <c r="HM162" s="45" t="s">
        <v>532</v>
      </c>
      <c r="HN162" s="45" t="s">
        <v>532</v>
      </c>
      <c r="HO162" s="45" t="s">
        <v>532</v>
      </c>
    </row>
    <row r="163" spans="1:223" x14ac:dyDescent="0.3">
      <c r="A163" s="78"/>
      <c r="B163" s="78"/>
      <c r="C163" s="78"/>
      <c r="D163" s="78"/>
      <c r="E163" s="78"/>
      <c r="F163" s="78"/>
      <c r="G163" s="78"/>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row>
    <row r="164" spans="1:223" x14ac:dyDescent="0.3">
      <c r="A164" s="78"/>
      <c r="B164" s="78"/>
      <c r="C164" s="78"/>
      <c r="D164" s="78"/>
      <c r="E164" s="78"/>
      <c r="F164" s="78"/>
      <c r="G164" s="78"/>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row>
    <row r="165" spans="1:223" x14ac:dyDescent="0.3">
      <c r="A165" s="78"/>
      <c r="B165" s="78"/>
      <c r="C165" s="78"/>
      <c r="D165" s="78"/>
      <c r="E165" s="78"/>
      <c r="F165" s="78"/>
      <c r="G165" s="78"/>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row>
    <row r="166" spans="1:223" x14ac:dyDescent="0.3">
      <c r="A166" s="78"/>
      <c r="B166" s="78"/>
      <c r="C166" s="78"/>
      <c r="D166" s="78"/>
      <c r="E166" s="78"/>
      <c r="F166" s="78"/>
      <c r="G166" s="78"/>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row>
    <row r="167" spans="1:223" x14ac:dyDescent="0.3">
      <c r="A167" s="78"/>
      <c r="B167" s="78"/>
      <c r="C167" s="78"/>
      <c r="D167" s="78"/>
      <c r="E167" s="78"/>
      <c r="F167" s="78"/>
      <c r="G167" s="78"/>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row>
    <row r="168" spans="1:223" x14ac:dyDescent="0.3">
      <c r="A168" s="78"/>
      <c r="B168" s="78"/>
      <c r="C168" s="78"/>
      <c r="D168" s="78"/>
      <c r="E168" s="78"/>
      <c r="F168" s="78"/>
      <c r="G168" s="78"/>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row>
    <row r="169" spans="1:223" x14ac:dyDescent="0.3">
      <c r="A169" s="78"/>
      <c r="B169" s="78"/>
      <c r="C169" s="78"/>
      <c r="D169" s="78"/>
      <c r="E169" s="78"/>
      <c r="F169" s="78"/>
      <c r="G169" s="78"/>
      <c r="N169" s="45" t="s">
        <v>533</v>
      </c>
      <c r="O169" s="45" t="s">
        <v>533</v>
      </c>
      <c r="P169" s="45" t="s">
        <v>533</v>
      </c>
      <c r="Q169" s="45" t="s">
        <v>533</v>
      </c>
      <c r="R169" s="45" t="s">
        <v>533</v>
      </c>
      <c r="S169" s="45" t="s">
        <v>533</v>
      </c>
      <c r="T169" s="45" t="s">
        <v>533</v>
      </c>
      <c r="U169" s="45" t="s">
        <v>533</v>
      </c>
      <c r="V169" s="45" t="s">
        <v>533</v>
      </c>
      <c r="W169" s="45" t="s">
        <v>533</v>
      </c>
      <c r="X169" s="45" t="s">
        <v>533</v>
      </c>
      <c r="Y169" s="45" t="s">
        <v>533</v>
      </c>
      <c r="Z169" s="45" t="s">
        <v>533</v>
      </c>
      <c r="AA169" s="45" t="s">
        <v>533</v>
      </c>
      <c r="AB169" s="45" t="s">
        <v>533</v>
      </c>
      <c r="AC169" s="45" t="s">
        <v>533</v>
      </c>
      <c r="AD169" s="45" t="s">
        <v>533</v>
      </c>
      <c r="AE169" s="45" t="s">
        <v>533</v>
      </c>
      <c r="AF169" s="45" t="s">
        <v>533</v>
      </c>
      <c r="AG169" s="45" t="s">
        <v>533</v>
      </c>
      <c r="AH169" s="45" t="s">
        <v>533</v>
      </c>
      <c r="AI169" s="45" t="s">
        <v>533</v>
      </c>
      <c r="AJ169" s="45" t="s">
        <v>533</v>
      </c>
      <c r="AK169" s="45" t="s">
        <v>533</v>
      </c>
      <c r="AL169" s="45" t="s">
        <v>533</v>
      </c>
      <c r="AM169" s="45" t="s">
        <v>533</v>
      </c>
      <c r="AN169" s="45" t="s">
        <v>533</v>
      </c>
      <c r="AO169" s="45" t="s">
        <v>533</v>
      </c>
      <c r="AP169" s="45" t="s">
        <v>533</v>
      </c>
      <c r="AQ169" s="45" t="s">
        <v>533</v>
      </c>
      <c r="AR169" s="45" t="s">
        <v>533</v>
      </c>
      <c r="AS169" s="45" t="s">
        <v>533</v>
      </c>
      <c r="AT169" s="45" t="s">
        <v>533</v>
      </c>
      <c r="AU169" s="45" t="s">
        <v>533</v>
      </c>
      <c r="AV169" s="45" t="s">
        <v>533</v>
      </c>
      <c r="AW169" s="45" t="s">
        <v>533</v>
      </c>
      <c r="AX169" s="45" t="s">
        <v>533</v>
      </c>
      <c r="AY169" s="45" t="s">
        <v>533</v>
      </c>
      <c r="AZ169" s="45" t="s">
        <v>533</v>
      </c>
      <c r="BA169" s="45" t="s">
        <v>533</v>
      </c>
      <c r="BB169" s="45" t="s">
        <v>533</v>
      </c>
      <c r="BC169" s="45" t="s">
        <v>533</v>
      </c>
      <c r="BD169" s="45" t="s">
        <v>533</v>
      </c>
      <c r="BE169" s="45" t="s">
        <v>533</v>
      </c>
      <c r="BF169" s="45" t="s">
        <v>533</v>
      </c>
      <c r="BG169" s="45" t="s">
        <v>533</v>
      </c>
      <c r="BH169" s="45" t="s">
        <v>533</v>
      </c>
      <c r="BI169" s="45" t="s">
        <v>533</v>
      </c>
      <c r="BJ169" s="45" t="s">
        <v>533</v>
      </c>
      <c r="BK169" s="45" t="s">
        <v>533</v>
      </c>
      <c r="BL169" s="45" t="s">
        <v>533</v>
      </c>
      <c r="BM169" s="45" t="s">
        <v>533</v>
      </c>
      <c r="BN169" s="45" t="s">
        <v>533</v>
      </c>
      <c r="BO169" s="45" t="s">
        <v>533</v>
      </c>
      <c r="BP169" s="45" t="s">
        <v>533</v>
      </c>
      <c r="BQ169" s="45" t="s">
        <v>533</v>
      </c>
      <c r="BR169" s="45" t="s">
        <v>533</v>
      </c>
      <c r="BS169" s="45" t="s">
        <v>533</v>
      </c>
      <c r="BT169" s="45" t="s">
        <v>533</v>
      </c>
      <c r="BU169" s="45" t="s">
        <v>533</v>
      </c>
      <c r="BV169" s="45" t="s">
        <v>533</v>
      </c>
      <c r="BW169" s="45" t="s">
        <v>533</v>
      </c>
      <c r="BX169" s="45" t="s">
        <v>533</v>
      </c>
      <c r="BY169" s="45" t="s">
        <v>533</v>
      </c>
      <c r="BZ169" s="45" t="s">
        <v>533</v>
      </c>
      <c r="CA169" s="45" t="s">
        <v>533</v>
      </c>
      <c r="CB169" s="45" t="s">
        <v>533</v>
      </c>
      <c r="CC169" s="45" t="s">
        <v>533</v>
      </c>
      <c r="CD169" s="45" t="s">
        <v>533</v>
      </c>
      <c r="CE169" s="45" t="s">
        <v>533</v>
      </c>
      <c r="CF169" s="45" t="s">
        <v>533</v>
      </c>
      <c r="CG169" s="45" t="s">
        <v>533</v>
      </c>
      <c r="CH169" s="45" t="s">
        <v>533</v>
      </c>
      <c r="CI169" s="45" t="s">
        <v>533</v>
      </c>
      <c r="CJ169" s="45" t="s">
        <v>533</v>
      </c>
      <c r="CK169" s="45" t="s">
        <v>533</v>
      </c>
      <c r="CL169" s="45" t="s">
        <v>533</v>
      </c>
      <c r="CM169" s="45" t="s">
        <v>533</v>
      </c>
      <c r="CN169" s="45" t="s">
        <v>533</v>
      </c>
      <c r="CO169" s="45" t="s">
        <v>533</v>
      </c>
      <c r="CP169" s="45" t="s">
        <v>533</v>
      </c>
      <c r="CQ169" s="45" t="s">
        <v>533</v>
      </c>
      <c r="CR169" s="45" t="s">
        <v>533</v>
      </c>
      <c r="CS169" s="45" t="s">
        <v>533</v>
      </c>
      <c r="CT169" s="45" t="s">
        <v>533</v>
      </c>
      <c r="CU169" s="45" t="s">
        <v>533</v>
      </c>
      <c r="CV169" s="45" t="s">
        <v>533</v>
      </c>
      <c r="CW169" s="45" t="s">
        <v>533</v>
      </c>
      <c r="CX169" s="45" t="s">
        <v>533</v>
      </c>
      <c r="CY169" s="45" t="s">
        <v>533</v>
      </c>
      <c r="CZ169" s="45" t="s">
        <v>533</v>
      </c>
      <c r="DA169" s="45" t="s">
        <v>533</v>
      </c>
      <c r="DB169" s="45" t="s">
        <v>533</v>
      </c>
      <c r="DC169" s="45" t="s">
        <v>533</v>
      </c>
      <c r="DD169" s="45" t="s">
        <v>533</v>
      </c>
      <c r="DE169" s="45" t="s">
        <v>533</v>
      </c>
      <c r="DF169" s="45" t="s">
        <v>533</v>
      </c>
      <c r="DG169" s="45" t="s">
        <v>533</v>
      </c>
      <c r="DH169" s="45" t="s">
        <v>533</v>
      </c>
      <c r="DI169" s="45" t="s">
        <v>533</v>
      </c>
      <c r="DJ169" s="45" t="s">
        <v>533</v>
      </c>
      <c r="DK169" s="45" t="s">
        <v>533</v>
      </c>
      <c r="DL169" s="45" t="s">
        <v>533</v>
      </c>
      <c r="DM169" s="45" t="s">
        <v>533</v>
      </c>
      <c r="DN169" s="45" t="s">
        <v>533</v>
      </c>
      <c r="DO169" s="45" t="s">
        <v>533</v>
      </c>
      <c r="DP169" s="45" t="s">
        <v>533</v>
      </c>
      <c r="DQ169" s="45" t="s">
        <v>533</v>
      </c>
      <c r="DR169" s="45" t="s">
        <v>533</v>
      </c>
      <c r="DS169" s="45" t="s">
        <v>533</v>
      </c>
      <c r="DT169" s="45" t="s">
        <v>533</v>
      </c>
      <c r="DU169" s="45" t="s">
        <v>533</v>
      </c>
      <c r="DV169" s="45" t="s">
        <v>533</v>
      </c>
      <c r="DW169" s="45" t="s">
        <v>533</v>
      </c>
      <c r="DX169" s="45" t="s">
        <v>533</v>
      </c>
      <c r="DY169" s="45" t="s">
        <v>533</v>
      </c>
      <c r="DZ169" s="45" t="s">
        <v>533</v>
      </c>
      <c r="EA169" s="45" t="s">
        <v>533</v>
      </c>
      <c r="EB169" s="45" t="s">
        <v>533</v>
      </c>
      <c r="EC169" s="45" t="s">
        <v>533</v>
      </c>
      <c r="ED169" s="45" t="s">
        <v>533</v>
      </c>
      <c r="EE169" s="45" t="s">
        <v>533</v>
      </c>
      <c r="EF169" s="45" t="s">
        <v>533</v>
      </c>
      <c r="EG169" s="45" t="s">
        <v>533</v>
      </c>
      <c r="EH169" s="45" t="s">
        <v>533</v>
      </c>
      <c r="EI169" s="45" t="s">
        <v>533</v>
      </c>
      <c r="EJ169" s="45" t="s">
        <v>533</v>
      </c>
      <c r="EK169" s="45" t="s">
        <v>533</v>
      </c>
      <c r="EL169" s="45" t="s">
        <v>533</v>
      </c>
      <c r="EM169" s="45" t="s">
        <v>533</v>
      </c>
      <c r="EN169" s="45" t="s">
        <v>533</v>
      </c>
      <c r="EO169" s="45" t="s">
        <v>533</v>
      </c>
      <c r="EP169" s="45" t="s">
        <v>533</v>
      </c>
      <c r="EQ169" s="45" t="s">
        <v>533</v>
      </c>
      <c r="ER169" s="45" t="s">
        <v>533</v>
      </c>
      <c r="ES169" s="45" t="s">
        <v>533</v>
      </c>
      <c r="ET169" s="45" t="s">
        <v>533</v>
      </c>
      <c r="EU169" s="45" t="s">
        <v>533</v>
      </c>
      <c r="EV169" s="45" t="s">
        <v>533</v>
      </c>
      <c r="EW169" s="45" t="s">
        <v>533</v>
      </c>
      <c r="EX169" s="45" t="s">
        <v>533</v>
      </c>
      <c r="EY169" s="45" t="s">
        <v>533</v>
      </c>
      <c r="EZ169" s="45" t="s">
        <v>533</v>
      </c>
      <c r="FA169" s="45" t="s">
        <v>533</v>
      </c>
      <c r="FB169" s="45" t="s">
        <v>533</v>
      </c>
      <c r="FC169" s="45" t="s">
        <v>533</v>
      </c>
      <c r="FD169" s="45" t="s">
        <v>533</v>
      </c>
      <c r="FE169" s="45" t="s">
        <v>533</v>
      </c>
      <c r="FF169" s="45" t="s">
        <v>533</v>
      </c>
      <c r="FG169" s="45" t="s">
        <v>533</v>
      </c>
      <c r="FH169" s="45" t="s">
        <v>533</v>
      </c>
      <c r="FI169" s="45" t="s">
        <v>533</v>
      </c>
      <c r="FJ169" s="45" t="s">
        <v>533</v>
      </c>
      <c r="FK169" s="45" t="s">
        <v>533</v>
      </c>
      <c r="FL169" s="45" t="s">
        <v>533</v>
      </c>
      <c r="FM169" s="45" t="s">
        <v>533</v>
      </c>
      <c r="FN169" s="45" t="s">
        <v>533</v>
      </c>
      <c r="FO169" s="45" t="s">
        <v>533</v>
      </c>
      <c r="FP169" s="45" t="s">
        <v>533</v>
      </c>
      <c r="FQ169" s="45" t="s">
        <v>533</v>
      </c>
      <c r="FR169" s="45" t="s">
        <v>533</v>
      </c>
      <c r="FS169" s="45" t="s">
        <v>533</v>
      </c>
      <c r="FT169" s="45" t="s">
        <v>533</v>
      </c>
      <c r="FU169" s="45" t="s">
        <v>533</v>
      </c>
      <c r="FV169" s="45" t="s">
        <v>533</v>
      </c>
      <c r="FW169" s="45" t="s">
        <v>533</v>
      </c>
      <c r="FX169" s="45" t="s">
        <v>533</v>
      </c>
      <c r="FY169" s="45" t="s">
        <v>533</v>
      </c>
      <c r="FZ169" s="45" t="s">
        <v>533</v>
      </c>
      <c r="GA169" s="45" t="s">
        <v>533</v>
      </c>
      <c r="GB169" s="45" t="s">
        <v>533</v>
      </c>
      <c r="GC169" s="45" t="s">
        <v>533</v>
      </c>
      <c r="GD169" s="45" t="s">
        <v>533</v>
      </c>
      <c r="GE169" s="45" t="s">
        <v>533</v>
      </c>
      <c r="GF169" s="45" t="s">
        <v>533</v>
      </c>
      <c r="GG169" s="45" t="s">
        <v>533</v>
      </c>
      <c r="GH169" s="45" t="s">
        <v>533</v>
      </c>
      <c r="GI169" s="45" t="s">
        <v>533</v>
      </c>
      <c r="GJ169" s="45" t="s">
        <v>533</v>
      </c>
      <c r="GK169" s="45" t="s">
        <v>533</v>
      </c>
      <c r="GL169" s="45" t="s">
        <v>533</v>
      </c>
      <c r="GM169" s="45" t="s">
        <v>533</v>
      </c>
      <c r="GN169" s="45" t="s">
        <v>533</v>
      </c>
      <c r="GO169" s="45" t="s">
        <v>533</v>
      </c>
      <c r="GP169" s="45" t="s">
        <v>533</v>
      </c>
      <c r="GQ169" s="45" t="s">
        <v>533</v>
      </c>
      <c r="GR169" s="45" t="s">
        <v>533</v>
      </c>
      <c r="GS169" s="45" t="s">
        <v>533</v>
      </c>
      <c r="GT169" s="45" t="s">
        <v>533</v>
      </c>
      <c r="GU169" s="45" t="s">
        <v>533</v>
      </c>
      <c r="GV169" s="45" t="s">
        <v>533</v>
      </c>
      <c r="GW169" s="45" t="s">
        <v>533</v>
      </c>
      <c r="GX169" s="45" t="s">
        <v>533</v>
      </c>
      <c r="GY169" s="45" t="s">
        <v>533</v>
      </c>
      <c r="GZ169" s="45" t="s">
        <v>533</v>
      </c>
      <c r="HA169" s="45" t="s">
        <v>533</v>
      </c>
      <c r="HB169" s="45" t="s">
        <v>533</v>
      </c>
      <c r="HC169" s="45" t="s">
        <v>533</v>
      </c>
      <c r="HD169" s="45" t="s">
        <v>533</v>
      </c>
      <c r="HE169" s="45" t="s">
        <v>533</v>
      </c>
      <c r="HF169" s="45" t="s">
        <v>533</v>
      </c>
      <c r="HG169" s="45" t="s">
        <v>533</v>
      </c>
      <c r="HH169" s="45" t="s">
        <v>533</v>
      </c>
      <c r="HI169" s="45" t="s">
        <v>533</v>
      </c>
      <c r="HJ169" s="45" t="s">
        <v>533</v>
      </c>
      <c r="HK169" s="45" t="s">
        <v>533</v>
      </c>
      <c r="HL169" s="45" t="s">
        <v>533</v>
      </c>
      <c r="HM169" s="45" t="s">
        <v>533</v>
      </c>
      <c r="HN169" s="45" t="s">
        <v>533</v>
      </c>
      <c r="HO169" s="45" t="s">
        <v>533</v>
      </c>
    </row>
    <row r="170" spans="1:223" x14ac:dyDescent="0.3">
      <c r="A170" s="78"/>
      <c r="B170" s="78"/>
      <c r="C170" s="78"/>
      <c r="D170" s="78"/>
      <c r="E170" s="78"/>
      <c r="F170" s="78"/>
      <c r="G170" s="78"/>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row>
    <row r="171" spans="1:223" x14ac:dyDescent="0.3">
      <c r="A171" s="78"/>
      <c r="B171" s="78"/>
      <c r="C171" s="78"/>
      <c r="D171" s="78"/>
      <c r="E171" s="78"/>
      <c r="F171" s="78"/>
      <c r="G171" s="78"/>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row>
    <row r="172" spans="1:223" x14ac:dyDescent="0.3">
      <c r="A172" s="78"/>
      <c r="B172" s="78"/>
      <c r="C172" s="78"/>
      <c r="D172" s="78"/>
      <c r="E172" s="78"/>
      <c r="F172" s="78"/>
      <c r="G172" s="78"/>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row>
    <row r="173" spans="1:223" x14ac:dyDescent="0.3">
      <c r="A173" s="78"/>
      <c r="B173" s="78"/>
      <c r="C173" s="78"/>
      <c r="D173" s="78"/>
      <c r="E173" s="78"/>
      <c r="F173" s="78"/>
      <c r="G173" s="78"/>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row>
    <row r="174" spans="1:223" x14ac:dyDescent="0.3">
      <c r="A174" s="78"/>
      <c r="B174" s="78"/>
      <c r="C174" s="78"/>
      <c r="D174" s="78"/>
      <c r="E174" s="78"/>
      <c r="F174" s="78"/>
      <c r="G174" s="78"/>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row>
    <row r="175" spans="1:223" x14ac:dyDescent="0.3">
      <c r="A175" s="78"/>
      <c r="B175" s="78"/>
      <c r="C175" s="78"/>
      <c r="D175" s="78"/>
      <c r="E175" s="78"/>
      <c r="F175" s="78"/>
      <c r="G175" s="78"/>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row>
    <row r="176" spans="1:223" x14ac:dyDescent="0.3">
      <c r="A176" s="78"/>
      <c r="B176" s="78"/>
      <c r="C176" s="78"/>
      <c r="D176" s="78"/>
      <c r="E176" s="78"/>
      <c r="F176" s="78"/>
      <c r="G176" s="78"/>
      <c r="N176" s="45" t="s">
        <v>534</v>
      </c>
      <c r="O176" s="45" t="s">
        <v>534</v>
      </c>
      <c r="P176" s="45" t="s">
        <v>534</v>
      </c>
      <c r="Q176" s="45" t="s">
        <v>534</v>
      </c>
      <c r="R176" s="45" t="s">
        <v>534</v>
      </c>
      <c r="S176" s="45" t="s">
        <v>534</v>
      </c>
      <c r="T176" s="45" t="s">
        <v>534</v>
      </c>
      <c r="U176" s="45" t="s">
        <v>534</v>
      </c>
      <c r="V176" s="45" t="s">
        <v>534</v>
      </c>
      <c r="W176" s="45" t="s">
        <v>534</v>
      </c>
      <c r="X176" s="45" t="s">
        <v>534</v>
      </c>
      <c r="Y176" s="45" t="s">
        <v>534</v>
      </c>
      <c r="Z176" s="45" t="s">
        <v>534</v>
      </c>
      <c r="AA176" s="45" t="s">
        <v>534</v>
      </c>
      <c r="AB176" s="45" t="s">
        <v>534</v>
      </c>
      <c r="AC176" s="45" t="s">
        <v>534</v>
      </c>
      <c r="AD176" s="45" t="s">
        <v>534</v>
      </c>
      <c r="AE176" s="45" t="s">
        <v>534</v>
      </c>
      <c r="AF176" s="45" t="s">
        <v>534</v>
      </c>
      <c r="AG176" s="45" t="s">
        <v>534</v>
      </c>
      <c r="AH176" s="45" t="s">
        <v>534</v>
      </c>
      <c r="AI176" s="45" t="s">
        <v>534</v>
      </c>
      <c r="AJ176" s="45" t="s">
        <v>534</v>
      </c>
      <c r="AK176" s="45" t="s">
        <v>534</v>
      </c>
      <c r="AL176" s="45" t="s">
        <v>534</v>
      </c>
      <c r="AM176" s="45" t="s">
        <v>534</v>
      </c>
      <c r="AN176" s="45" t="s">
        <v>534</v>
      </c>
      <c r="AO176" s="45" t="s">
        <v>534</v>
      </c>
      <c r="AP176" s="45" t="s">
        <v>534</v>
      </c>
      <c r="AQ176" s="45" t="s">
        <v>534</v>
      </c>
      <c r="AR176" s="45" t="s">
        <v>534</v>
      </c>
      <c r="AS176" s="45" t="s">
        <v>534</v>
      </c>
      <c r="AT176" s="45" t="s">
        <v>534</v>
      </c>
      <c r="AU176" s="45" t="s">
        <v>534</v>
      </c>
      <c r="AV176" s="45" t="s">
        <v>534</v>
      </c>
      <c r="AW176" s="45" t="s">
        <v>534</v>
      </c>
      <c r="AX176" s="45" t="s">
        <v>534</v>
      </c>
      <c r="AY176" s="45" t="s">
        <v>534</v>
      </c>
      <c r="AZ176" s="45" t="s">
        <v>534</v>
      </c>
      <c r="BA176" s="45" t="s">
        <v>534</v>
      </c>
      <c r="BB176" s="45" t="s">
        <v>534</v>
      </c>
      <c r="BC176" s="45" t="s">
        <v>534</v>
      </c>
      <c r="BD176" s="45" t="s">
        <v>534</v>
      </c>
      <c r="BE176" s="45" t="s">
        <v>534</v>
      </c>
      <c r="BF176" s="45" t="s">
        <v>534</v>
      </c>
      <c r="BG176" s="45" t="s">
        <v>534</v>
      </c>
      <c r="BH176" s="45" t="s">
        <v>534</v>
      </c>
      <c r="BI176" s="45" t="s">
        <v>534</v>
      </c>
      <c r="BJ176" s="45" t="s">
        <v>534</v>
      </c>
      <c r="BK176" s="45" t="s">
        <v>534</v>
      </c>
      <c r="BL176" s="45" t="s">
        <v>534</v>
      </c>
      <c r="BM176" s="45" t="s">
        <v>534</v>
      </c>
      <c r="BN176" s="45" t="s">
        <v>534</v>
      </c>
      <c r="BO176" s="45" t="s">
        <v>534</v>
      </c>
      <c r="BP176" s="45" t="s">
        <v>534</v>
      </c>
      <c r="BQ176" s="45" t="s">
        <v>534</v>
      </c>
      <c r="BR176" s="45" t="s">
        <v>534</v>
      </c>
      <c r="BS176" s="45" t="s">
        <v>534</v>
      </c>
      <c r="BT176" s="45" t="s">
        <v>534</v>
      </c>
      <c r="BU176" s="45" t="s">
        <v>534</v>
      </c>
      <c r="BV176" s="45" t="s">
        <v>534</v>
      </c>
      <c r="BW176" s="45" t="s">
        <v>534</v>
      </c>
      <c r="BX176" s="45" t="s">
        <v>534</v>
      </c>
      <c r="BY176" s="45" t="s">
        <v>534</v>
      </c>
      <c r="BZ176" s="45" t="s">
        <v>534</v>
      </c>
      <c r="CA176" s="45" t="s">
        <v>534</v>
      </c>
      <c r="CB176" s="45" t="s">
        <v>534</v>
      </c>
      <c r="CC176" s="45" t="s">
        <v>534</v>
      </c>
      <c r="CD176" s="45" t="s">
        <v>534</v>
      </c>
      <c r="CE176" s="45" t="s">
        <v>534</v>
      </c>
      <c r="CF176" s="45" t="s">
        <v>534</v>
      </c>
      <c r="CG176" s="45" t="s">
        <v>534</v>
      </c>
      <c r="CH176" s="45" t="s">
        <v>534</v>
      </c>
      <c r="CI176" s="45" t="s">
        <v>534</v>
      </c>
      <c r="CJ176" s="45" t="s">
        <v>534</v>
      </c>
      <c r="CK176" s="45" t="s">
        <v>534</v>
      </c>
      <c r="CL176" s="45" t="s">
        <v>534</v>
      </c>
      <c r="CM176" s="45" t="s">
        <v>534</v>
      </c>
      <c r="CN176" s="45" t="s">
        <v>534</v>
      </c>
      <c r="CO176" s="45" t="s">
        <v>534</v>
      </c>
      <c r="CP176" s="45" t="s">
        <v>534</v>
      </c>
      <c r="CQ176" s="45" t="s">
        <v>534</v>
      </c>
      <c r="CR176" s="45" t="s">
        <v>534</v>
      </c>
      <c r="CS176" s="45" t="s">
        <v>534</v>
      </c>
      <c r="CT176" s="45" t="s">
        <v>534</v>
      </c>
      <c r="CU176" s="45" t="s">
        <v>534</v>
      </c>
      <c r="CV176" s="45" t="s">
        <v>534</v>
      </c>
      <c r="CW176" s="45" t="s">
        <v>534</v>
      </c>
      <c r="CX176" s="45" t="s">
        <v>534</v>
      </c>
      <c r="CY176" s="45" t="s">
        <v>534</v>
      </c>
      <c r="CZ176" s="45" t="s">
        <v>534</v>
      </c>
      <c r="DA176" s="45" t="s">
        <v>534</v>
      </c>
      <c r="DB176" s="45" t="s">
        <v>534</v>
      </c>
      <c r="DC176" s="45" t="s">
        <v>534</v>
      </c>
      <c r="DD176" s="45" t="s">
        <v>534</v>
      </c>
      <c r="DE176" s="45" t="s">
        <v>534</v>
      </c>
      <c r="DF176" s="45" t="s">
        <v>534</v>
      </c>
      <c r="DG176" s="45" t="s">
        <v>534</v>
      </c>
      <c r="DH176" s="45" t="s">
        <v>534</v>
      </c>
      <c r="DI176" s="45" t="s">
        <v>534</v>
      </c>
      <c r="DJ176" s="45" t="s">
        <v>534</v>
      </c>
      <c r="DK176" s="45" t="s">
        <v>534</v>
      </c>
      <c r="DL176" s="45" t="s">
        <v>534</v>
      </c>
      <c r="DM176" s="45" t="s">
        <v>534</v>
      </c>
      <c r="DN176" s="45" t="s">
        <v>534</v>
      </c>
      <c r="DO176" s="45" t="s">
        <v>534</v>
      </c>
      <c r="DP176" s="45" t="s">
        <v>534</v>
      </c>
      <c r="DQ176" s="45" t="s">
        <v>534</v>
      </c>
      <c r="DR176" s="45" t="s">
        <v>534</v>
      </c>
      <c r="DS176" s="45" t="s">
        <v>534</v>
      </c>
      <c r="DT176" s="45" t="s">
        <v>534</v>
      </c>
      <c r="DU176" s="45" t="s">
        <v>534</v>
      </c>
      <c r="DV176" s="45" t="s">
        <v>534</v>
      </c>
      <c r="DW176" s="45" t="s">
        <v>534</v>
      </c>
      <c r="DX176" s="45" t="s">
        <v>534</v>
      </c>
      <c r="DY176" s="45" t="s">
        <v>534</v>
      </c>
      <c r="DZ176" s="45" t="s">
        <v>534</v>
      </c>
      <c r="EA176" s="45" t="s">
        <v>534</v>
      </c>
      <c r="EB176" s="45" t="s">
        <v>534</v>
      </c>
      <c r="EC176" s="45" t="s">
        <v>534</v>
      </c>
      <c r="ED176" s="45" t="s">
        <v>534</v>
      </c>
      <c r="EE176" s="45" t="s">
        <v>534</v>
      </c>
      <c r="EF176" s="45" t="s">
        <v>534</v>
      </c>
      <c r="EG176" s="45" t="s">
        <v>534</v>
      </c>
      <c r="EH176" s="45" t="s">
        <v>534</v>
      </c>
      <c r="EI176" s="45" t="s">
        <v>534</v>
      </c>
      <c r="EJ176" s="45" t="s">
        <v>534</v>
      </c>
      <c r="EK176" s="45" t="s">
        <v>534</v>
      </c>
      <c r="EL176" s="45" t="s">
        <v>534</v>
      </c>
      <c r="EM176" s="45" t="s">
        <v>534</v>
      </c>
      <c r="EN176" s="45" t="s">
        <v>534</v>
      </c>
      <c r="EO176" s="45" t="s">
        <v>534</v>
      </c>
      <c r="EP176" s="45" t="s">
        <v>534</v>
      </c>
      <c r="EQ176" s="45" t="s">
        <v>534</v>
      </c>
      <c r="ER176" s="45" t="s">
        <v>534</v>
      </c>
      <c r="ES176" s="45" t="s">
        <v>534</v>
      </c>
      <c r="ET176" s="45" t="s">
        <v>534</v>
      </c>
      <c r="EU176" s="45" t="s">
        <v>534</v>
      </c>
      <c r="EV176" s="45" t="s">
        <v>534</v>
      </c>
      <c r="EW176" s="45" t="s">
        <v>534</v>
      </c>
      <c r="EX176" s="45" t="s">
        <v>534</v>
      </c>
      <c r="EY176" s="45" t="s">
        <v>534</v>
      </c>
      <c r="EZ176" s="45" t="s">
        <v>534</v>
      </c>
      <c r="FA176" s="45" t="s">
        <v>534</v>
      </c>
      <c r="FB176" s="45" t="s">
        <v>534</v>
      </c>
      <c r="FC176" s="45" t="s">
        <v>534</v>
      </c>
      <c r="FD176" s="45" t="s">
        <v>534</v>
      </c>
      <c r="FE176" s="45" t="s">
        <v>534</v>
      </c>
      <c r="FF176" s="45" t="s">
        <v>534</v>
      </c>
      <c r="FG176" s="45" t="s">
        <v>534</v>
      </c>
      <c r="FH176" s="45" t="s">
        <v>534</v>
      </c>
      <c r="FI176" s="45" t="s">
        <v>534</v>
      </c>
      <c r="FJ176" s="45" t="s">
        <v>534</v>
      </c>
      <c r="FK176" s="45" t="s">
        <v>534</v>
      </c>
      <c r="FL176" s="45" t="s">
        <v>534</v>
      </c>
      <c r="FM176" s="45" t="s">
        <v>534</v>
      </c>
      <c r="FN176" s="45" t="s">
        <v>534</v>
      </c>
      <c r="FO176" s="45" t="s">
        <v>534</v>
      </c>
      <c r="FP176" s="45" t="s">
        <v>534</v>
      </c>
      <c r="FQ176" s="45" t="s">
        <v>534</v>
      </c>
      <c r="FR176" s="45" t="s">
        <v>534</v>
      </c>
      <c r="FS176" s="45" t="s">
        <v>534</v>
      </c>
      <c r="FT176" s="45" t="s">
        <v>534</v>
      </c>
      <c r="FU176" s="45" t="s">
        <v>534</v>
      </c>
      <c r="FV176" s="45" t="s">
        <v>534</v>
      </c>
      <c r="FW176" s="45" t="s">
        <v>534</v>
      </c>
      <c r="FX176" s="45" t="s">
        <v>534</v>
      </c>
      <c r="FY176" s="45" t="s">
        <v>534</v>
      </c>
      <c r="FZ176" s="45" t="s">
        <v>534</v>
      </c>
      <c r="GA176" s="45" t="s">
        <v>534</v>
      </c>
      <c r="GB176" s="45" t="s">
        <v>534</v>
      </c>
      <c r="GC176" s="45" t="s">
        <v>534</v>
      </c>
      <c r="GD176" s="45" t="s">
        <v>534</v>
      </c>
      <c r="GE176" s="45" t="s">
        <v>534</v>
      </c>
      <c r="GF176" s="45" t="s">
        <v>534</v>
      </c>
      <c r="GG176" s="45" t="s">
        <v>534</v>
      </c>
      <c r="GH176" s="45" t="s">
        <v>534</v>
      </c>
      <c r="GI176" s="45" t="s">
        <v>534</v>
      </c>
      <c r="GJ176" s="45" t="s">
        <v>534</v>
      </c>
      <c r="GK176" s="45" t="s">
        <v>534</v>
      </c>
      <c r="GL176" s="45" t="s">
        <v>534</v>
      </c>
      <c r="GM176" s="45" t="s">
        <v>534</v>
      </c>
      <c r="GN176" s="45" t="s">
        <v>534</v>
      </c>
      <c r="GO176" s="45" t="s">
        <v>534</v>
      </c>
      <c r="GP176" s="45" t="s">
        <v>534</v>
      </c>
      <c r="GQ176" s="45" t="s">
        <v>534</v>
      </c>
      <c r="GR176" s="45" t="s">
        <v>534</v>
      </c>
      <c r="GS176" s="45" t="s">
        <v>534</v>
      </c>
      <c r="GT176" s="45" t="s">
        <v>534</v>
      </c>
      <c r="GU176" s="45" t="s">
        <v>534</v>
      </c>
      <c r="GV176" s="45" t="s">
        <v>534</v>
      </c>
      <c r="GW176" s="45" t="s">
        <v>534</v>
      </c>
      <c r="GX176" s="45" t="s">
        <v>534</v>
      </c>
      <c r="GY176" s="45" t="s">
        <v>534</v>
      </c>
      <c r="GZ176" s="45" t="s">
        <v>534</v>
      </c>
      <c r="HA176" s="45" t="s">
        <v>534</v>
      </c>
      <c r="HB176" s="45" t="s">
        <v>534</v>
      </c>
      <c r="HC176" s="45" t="s">
        <v>534</v>
      </c>
      <c r="HD176" s="45" t="s">
        <v>534</v>
      </c>
      <c r="HE176" s="45" t="s">
        <v>534</v>
      </c>
      <c r="HF176" s="45" t="s">
        <v>534</v>
      </c>
      <c r="HG176" s="45" t="s">
        <v>534</v>
      </c>
      <c r="HH176" s="45" t="s">
        <v>534</v>
      </c>
      <c r="HI176" s="45" t="s">
        <v>534</v>
      </c>
      <c r="HJ176" s="45" t="s">
        <v>534</v>
      </c>
      <c r="HK176" s="45" t="s">
        <v>534</v>
      </c>
      <c r="HL176" s="45" t="s">
        <v>534</v>
      </c>
      <c r="HM176" s="45" t="s">
        <v>534</v>
      </c>
      <c r="HN176" s="45" t="s">
        <v>534</v>
      </c>
      <c r="HO176" s="45" t="s">
        <v>534</v>
      </c>
    </row>
    <row r="177" spans="1:223" x14ac:dyDescent="0.3">
      <c r="A177" s="78"/>
      <c r="B177" s="78"/>
      <c r="C177" s="78"/>
      <c r="D177" s="78"/>
      <c r="E177" s="78"/>
      <c r="F177" s="78"/>
      <c r="G177" s="78"/>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row>
    <row r="178" spans="1:223" x14ac:dyDescent="0.3">
      <c r="A178" s="78"/>
      <c r="B178" s="78"/>
      <c r="C178" s="78"/>
      <c r="D178" s="78"/>
      <c r="E178" s="78"/>
      <c r="F178" s="78"/>
      <c r="G178" s="78"/>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row>
    <row r="179" spans="1:223" x14ac:dyDescent="0.3">
      <c r="A179" s="78"/>
      <c r="B179" s="78"/>
      <c r="C179" s="78"/>
      <c r="D179" s="78"/>
      <c r="E179" s="78"/>
      <c r="F179" s="78"/>
      <c r="G179" s="78"/>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row>
    <row r="180" spans="1:223" x14ac:dyDescent="0.3">
      <c r="A180" s="78"/>
      <c r="B180" s="78"/>
      <c r="C180" s="78"/>
      <c r="D180" s="78"/>
      <c r="E180" s="78"/>
      <c r="F180" s="78"/>
      <c r="G180" s="78"/>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row>
    <row r="181" spans="1:223" x14ac:dyDescent="0.3">
      <c r="A181" s="78"/>
      <c r="B181" s="78"/>
      <c r="C181" s="78"/>
      <c r="D181" s="78"/>
      <c r="E181" s="78"/>
      <c r="F181" s="78"/>
      <c r="G181" s="78"/>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row>
    <row r="182" spans="1:223" x14ac:dyDescent="0.3">
      <c r="A182" s="78"/>
      <c r="B182" s="78"/>
      <c r="C182" s="78"/>
      <c r="D182" s="78"/>
      <c r="E182" s="78"/>
      <c r="F182" s="78"/>
      <c r="G182" s="78"/>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row>
    <row r="183" spans="1:223" x14ac:dyDescent="0.3">
      <c r="A183" s="78"/>
      <c r="B183" s="78"/>
      <c r="C183" s="78"/>
      <c r="D183" s="78"/>
      <c r="E183" s="78"/>
      <c r="F183" s="78"/>
      <c r="G183" s="78"/>
      <c r="N183" s="45" t="s">
        <v>535</v>
      </c>
      <c r="O183" s="45" t="s">
        <v>535</v>
      </c>
      <c r="P183" s="45" t="s">
        <v>535</v>
      </c>
      <c r="Q183" s="45" t="s">
        <v>535</v>
      </c>
      <c r="R183" s="45" t="s">
        <v>535</v>
      </c>
      <c r="S183" s="45" t="s">
        <v>535</v>
      </c>
      <c r="T183" s="45" t="s">
        <v>535</v>
      </c>
      <c r="U183" s="45" t="s">
        <v>535</v>
      </c>
      <c r="V183" s="45" t="s">
        <v>535</v>
      </c>
      <c r="W183" s="45" t="s">
        <v>535</v>
      </c>
      <c r="X183" s="45" t="s">
        <v>535</v>
      </c>
      <c r="Y183" s="45" t="s">
        <v>535</v>
      </c>
      <c r="Z183" s="45" t="s">
        <v>535</v>
      </c>
      <c r="AA183" s="45" t="s">
        <v>535</v>
      </c>
      <c r="AB183" s="45" t="s">
        <v>535</v>
      </c>
      <c r="AC183" s="45" t="s">
        <v>535</v>
      </c>
      <c r="AD183" s="45" t="s">
        <v>535</v>
      </c>
      <c r="AE183" s="45" t="s">
        <v>535</v>
      </c>
      <c r="AF183" s="45" t="s">
        <v>535</v>
      </c>
      <c r="AG183" s="45" t="s">
        <v>535</v>
      </c>
      <c r="AH183" s="45" t="s">
        <v>535</v>
      </c>
      <c r="AI183" s="45" t="s">
        <v>535</v>
      </c>
      <c r="AJ183" s="45" t="s">
        <v>535</v>
      </c>
      <c r="AK183" s="45" t="s">
        <v>535</v>
      </c>
      <c r="AL183" s="45" t="s">
        <v>535</v>
      </c>
      <c r="AM183" s="45" t="s">
        <v>535</v>
      </c>
      <c r="AN183" s="45" t="s">
        <v>535</v>
      </c>
      <c r="AO183" s="45" t="s">
        <v>535</v>
      </c>
      <c r="AP183" s="45" t="s">
        <v>535</v>
      </c>
      <c r="AQ183" s="45" t="s">
        <v>535</v>
      </c>
      <c r="AR183" s="45" t="s">
        <v>535</v>
      </c>
      <c r="AS183" s="45" t="s">
        <v>535</v>
      </c>
      <c r="AT183" s="45" t="s">
        <v>535</v>
      </c>
      <c r="AU183" s="45" t="s">
        <v>535</v>
      </c>
      <c r="AV183" s="45" t="s">
        <v>535</v>
      </c>
      <c r="AW183" s="45" t="s">
        <v>535</v>
      </c>
      <c r="AX183" s="45" t="s">
        <v>535</v>
      </c>
      <c r="AY183" s="45" t="s">
        <v>535</v>
      </c>
      <c r="AZ183" s="45" t="s">
        <v>535</v>
      </c>
      <c r="BA183" s="45" t="s">
        <v>535</v>
      </c>
      <c r="BB183" s="45" t="s">
        <v>535</v>
      </c>
      <c r="BC183" s="45" t="s">
        <v>535</v>
      </c>
      <c r="BD183" s="45" t="s">
        <v>535</v>
      </c>
      <c r="BE183" s="45" t="s">
        <v>535</v>
      </c>
      <c r="BF183" s="45" t="s">
        <v>535</v>
      </c>
      <c r="BG183" s="45" t="s">
        <v>535</v>
      </c>
      <c r="BH183" s="45" t="s">
        <v>535</v>
      </c>
      <c r="BI183" s="45" t="s">
        <v>535</v>
      </c>
      <c r="BJ183" s="45" t="s">
        <v>535</v>
      </c>
      <c r="BK183" s="45" t="s">
        <v>535</v>
      </c>
      <c r="BL183" s="45" t="s">
        <v>535</v>
      </c>
      <c r="BM183" s="45" t="s">
        <v>535</v>
      </c>
      <c r="BN183" s="45" t="s">
        <v>535</v>
      </c>
      <c r="BO183" s="45" t="s">
        <v>535</v>
      </c>
      <c r="BP183" s="45" t="s">
        <v>535</v>
      </c>
      <c r="BQ183" s="45" t="s">
        <v>535</v>
      </c>
      <c r="BR183" s="45" t="s">
        <v>535</v>
      </c>
      <c r="BS183" s="45" t="s">
        <v>535</v>
      </c>
      <c r="BT183" s="45" t="s">
        <v>535</v>
      </c>
      <c r="BU183" s="45" t="s">
        <v>535</v>
      </c>
      <c r="BV183" s="45" t="s">
        <v>535</v>
      </c>
      <c r="BW183" s="45" t="s">
        <v>535</v>
      </c>
      <c r="BX183" s="45" t="s">
        <v>535</v>
      </c>
      <c r="BY183" s="45" t="s">
        <v>535</v>
      </c>
      <c r="BZ183" s="45" t="s">
        <v>535</v>
      </c>
      <c r="CA183" s="45" t="s">
        <v>535</v>
      </c>
      <c r="CB183" s="45" t="s">
        <v>535</v>
      </c>
      <c r="CC183" s="45" t="s">
        <v>535</v>
      </c>
      <c r="CD183" s="45" t="s">
        <v>535</v>
      </c>
      <c r="CE183" s="45" t="s">
        <v>535</v>
      </c>
      <c r="CF183" s="45" t="s">
        <v>535</v>
      </c>
      <c r="CG183" s="45" t="s">
        <v>535</v>
      </c>
      <c r="CH183" s="45" t="s">
        <v>535</v>
      </c>
      <c r="CI183" s="45" t="s">
        <v>535</v>
      </c>
      <c r="CJ183" s="45" t="s">
        <v>535</v>
      </c>
      <c r="CK183" s="45" t="s">
        <v>535</v>
      </c>
      <c r="CL183" s="45" t="s">
        <v>535</v>
      </c>
      <c r="CM183" s="45" t="s">
        <v>535</v>
      </c>
      <c r="CN183" s="45" t="s">
        <v>535</v>
      </c>
      <c r="CO183" s="45" t="s">
        <v>535</v>
      </c>
      <c r="CP183" s="45" t="s">
        <v>535</v>
      </c>
      <c r="CQ183" s="45" t="s">
        <v>535</v>
      </c>
      <c r="CR183" s="45" t="s">
        <v>535</v>
      </c>
      <c r="CS183" s="45" t="s">
        <v>535</v>
      </c>
      <c r="CT183" s="45" t="s">
        <v>535</v>
      </c>
      <c r="CU183" s="45" t="s">
        <v>535</v>
      </c>
      <c r="CV183" s="45" t="s">
        <v>535</v>
      </c>
      <c r="CW183" s="45" t="s">
        <v>535</v>
      </c>
      <c r="CX183" s="45" t="s">
        <v>535</v>
      </c>
      <c r="CY183" s="45" t="s">
        <v>535</v>
      </c>
      <c r="CZ183" s="45" t="s">
        <v>535</v>
      </c>
      <c r="DA183" s="45" t="s">
        <v>535</v>
      </c>
      <c r="DB183" s="45" t="s">
        <v>535</v>
      </c>
      <c r="DC183" s="45" t="s">
        <v>535</v>
      </c>
      <c r="DD183" s="45" t="s">
        <v>535</v>
      </c>
      <c r="DE183" s="45" t="s">
        <v>535</v>
      </c>
      <c r="DF183" s="45" t="s">
        <v>535</v>
      </c>
      <c r="DG183" s="45" t="s">
        <v>535</v>
      </c>
      <c r="DH183" s="45" t="s">
        <v>535</v>
      </c>
      <c r="DI183" s="45" t="s">
        <v>535</v>
      </c>
      <c r="DJ183" s="45" t="s">
        <v>535</v>
      </c>
      <c r="DK183" s="45" t="s">
        <v>535</v>
      </c>
      <c r="DL183" s="45" t="s">
        <v>535</v>
      </c>
      <c r="DM183" s="45" t="s">
        <v>535</v>
      </c>
      <c r="DN183" s="45" t="s">
        <v>535</v>
      </c>
      <c r="DO183" s="45" t="s">
        <v>535</v>
      </c>
      <c r="DP183" s="45" t="s">
        <v>535</v>
      </c>
      <c r="DQ183" s="45" t="s">
        <v>535</v>
      </c>
      <c r="DR183" s="45" t="s">
        <v>535</v>
      </c>
      <c r="DS183" s="45" t="s">
        <v>535</v>
      </c>
      <c r="DT183" s="45" t="s">
        <v>535</v>
      </c>
      <c r="DU183" s="45" t="s">
        <v>535</v>
      </c>
      <c r="DV183" s="45" t="s">
        <v>535</v>
      </c>
      <c r="DW183" s="45" t="s">
        <v>535</v>
      </c>
      <c r="DX183" s="45" t="s">
        <v>535</v>
      </c>
      <c r="DY183" s="45" t="s">
        <v>535</v>
      </c>
      <c r="DZ183" s="45" t="s">
        <v>535</v>
      </c>
      <c r="EA183" s="45" t="s">
        <v>535</v>
      </c>
      <c r="EB183" s="45" t="s">
        <v>535</v>
      </c>
      <c r="EC183" s="45" t="s">
        <v>535</v>
      </c>
      <c r="ED183" s="45" t="s">
        <v>535</v>
      </c>
      <c r="EE183" s="45" t="s">
        <v>535</v>
      </c>
      <c r="EF183" s="45" t="s">
        <v>535</v>
      </c>
      <c r="EG183" s="45" t="s">
        <v>535</v>
      </c>
      <c r="EH183" s="45" t="s">
        <v>535</v>
      </c>
      <c r="EI183" s="45" t="s">
        <v>535</v>
      </c>
      <c r="EJ183" s="45" t="s">
        <v>535</v>
      </c>
      <c r="EK183" s="45" t="s">
        <v>535</v>
      </c>
      <c r="EL183" s="45" t="s">
        <v>535</v>
      </c>
      <c r="EM183" s="45" t="s">
        <v>535</v>
      </c>
      <c r="EN183" s="45" t="s">
        <v>535</v>
      </c>
      <c r="EO183" s="45" t="s">
        <v>535</v>
      </c>
      <c r="EP183" s="45" t="s">
        <v>535</v>
      </c>
      <c r="EQ183" s="45" t="s">
        <v>535</v>
      </c>
      <c r="ER183" s="45" t="s">
        <v>535</v>
      </c>
      <c r="ES183" s="45" t="s">
        <v>535</v>
      </c>
      <c r="ET183" s="45" t="s">
        <v>535</v>
      </c>
      <c r="EU183" s="45" t="s">
        <v>535</v>
      </c>
      <c r="EV183" s="45" t="s">
        <v>535</v>
      </c>
      <c r="EW183" s="45" t="s">
        <v>535</v>
      </c>
      <c r="EX183" s="45" t="s">
        <v>535</v>
      </c>
      <c r="EY183" s="45" t="s">
        <v>535</v>
      </c>
      <c r="EZ183" s="45" t="s">
        <v>535</v>
      </c>
      <c r="FA183" s="45" t="s">
        <v>535</v>
      </c>
      <c r="FB183" s="45" t="s">
        <v>535</v>
      </c>
      <c r="FC183" s="45" t="s">
        <v>535</v>
      </c>
      <c r="FD183" s="45" t="s">
        <v>535</v>
      </c>
      <c r="FE183" s="45" t="s">
        <v>535</v>
      </c>
      <c r="FF183" s="45" t="s">
        <v>535</v>
      </c>
      <c r="FG183" s="45" t="s">
        <v>535</v>
      </c>
      <c r="FH183" s="45" t="s">
        <v>535</v>
      </c>
      <c r="FI183" s="45" t="s">
        <v>535</v>
      </c>
      <c r="FJ183" s="45" t="s">
        <v>535</v>
      </c>
      <c r="FK183" s="45" t="s">
        <v>535</v>
      </c>
      <c r="FL183" s="45" t="s">
        <v>535</v>
      </c>
      <c r="FM183" s="45" t="s">
        <v>535</v>
      </c>
      <c r="FN183" s="45" t="s">
        <v>535</v>
      </c>
      <c r="FO183" s="45" t="s">
        <v>535</v>
      </c>
      <c r="FP183" s="45" t="s">
        <v>535</v>
      </c>
      <c r="FQ183" s="45" t="s">
        <v>535</v>
      </c>
      <c r="FR183" s="45" t="s">
        <v>535</v>
      </c>
      <c r="FS183" s="45" t="s">
        <v>535</v>
      </c>
      <c r="FT183" s="45" t="s">
        <v>535</v>
      </c>
      <c r="FU183" s="45" t="s">
        <v>535</v>
      </c>
      <c r="FV183" s="45" t="s">
        <v>535</v>
      </c>
      <c r="FW183" s="45" t="s">
        <v>535</v>
      </c>
      <c r="FX183" s="45" t="s">
        <v>535</v>
      </c>
      <c r="FY183" s="45" t="s">
        <v>535</v>
      </c>
      <c r="FZ183" s="45" t="s">
        <v>535</v>
      </c>
      <c r="GA183" s="45" t="s">
        <v>535</v>
      </c>
      <c r="GB183" s="45" t="s">
        <v>535</v>
      </c>
      <c r="GC183" s="45" t="s">
        <v>535</v>
      </c>
      <c r="GD183" s="45" t="s">
        <v>535</v>
      </c>
      <c r="GE183" s="45" t="s">
        <v>535</v>
      </c>
      <c r="GF183" s="45" t="s">
        <v>535</v>
      </c>
      <c r="GG183" s="45" t="s">
        <v>535</v>
      </c>
      <c r="GH183" s="45" t="s">
        <v>535</v>
      </c>
      <c r="GI183" s="45" t="s">
        <v>535</v>
      </c>
      <c r="GJ183" s="45" t="s">
        <v>535</v>
      </c>
      <c r="GK183" s="45" t="s">
        <v>535</v>
      </c>
      <c r="GL183" s="45" t="s">
        <v>535</v>
      </c>
      <c r="GM183" s="45" t="s">
        <v>535</v>
      </c>
      <c r="GN183" s="45" t="s">
        <v>535</v>
      </c>
      <c r="GO183" s="45" t="s">
        <v>535</v>
      </c>
      <c r="GP183" s="45" t="s">
        <v>535</v>
      </c>
      <c r="GQ183" s="45" t="s">
        <v>535</v>
      </c>
      <c r="GR183" s="45" t="s">
        <v>535</v>
      </c>
      <c r="GS183" s="45" t="s">
        <v>535</v>
      </c>
      <c r="GT183" s="45" t="s">
        <v>535</v>
      </c>
      <c r="GU183" s="45" t="s">
        <v>535</v>
      </c>
      <c r="GV183" s="45" t="s">
        <v>535</v>
      </c>
      <c r="GW183" s="45" t="s">
        <v>535</v>
      </c>
      <c r="GX183" s="45" t="s">
        <v>535</v>
      </c>
      <c r="GY183" s="45" t="s">
        <v>535</v>
      </c>
      <c r="GZ183" s="45" t="s">
        <v>535</v>
      </c>
      <c r="HA183" s="45" t="s">
        <v>535</v>
      </c>
      <c r="HB183" s="45" t="s">
        <v>535</v>
      </c>
      <c r="HC183" s="45" t="s">
        <v>535</v>
      </c>
      <c r="HD183" s="45" t="s">
        <v>535</v>
      </c>
      <c r="HE183" s="45" t="s">
        <v>535</v>
      </c>
      <c r="HF183" s="45" t="s">
        <v>535</v>
      </c>
      <c r="HG183" s="45" t="s">
        <v>535</v>
      </c>
      <c r="HH183" s="45" t="s">
        <v>535</v>
      </c>
      <c r="HI183" s="45" t="s">
        <v>535</v>
      </c>
      <c r="HJ183" s="45" t="s">
        <v>535</v>
      </c>
      <c r="HK183" s="45" t="s">
        <v>535</v>
      </c>
      <c r="HL183" s="45" t="s">
        <v>535</v>
      </c>
      <c r="HM183" s="45" t="s">
        <v>535</v>
      </c>
      <c r="HN183" s="45" t="s">
        <v>535</v>
      </c>
      <c r="HO183" s="45" t="s">
        <v>535</v>
      </c>
    </row>
    <row r="184" spans="1:223" x14ac:dyDescent="0.3">
      <c r="A184" s="78"/>
      <c r="B184" s="78"/>
      <c r="C184" s="78"/>
      <c r="D184" s="78"/>
      <c r="E184" s="78"/>
      <c r="F184" s="78"/>
      <c r="G184" s="78"/>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row>
    <row r="185" spans="1:223" x14ac:dyDescent="0.3">
      <c r="A185" s="78"/>
      <c r="B185" s="78"/>
      <c r="C185" s="78"/>
      <c r="D185" s="78"/>
      <c r="E185" s="78"/>
      <c r="F185" s="78"/>
      <c r="G185" s="78"/>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row>
    <row r="186" spans="1:223" x14ac:dyDescent="0.3">
      <c r="A186" s="78"/>
      <c r="B186" s="78"/>
      <c r="C186" s="78"/>
      <c r="D186" s="78"/>
      <c r="E186" s="78"/>
      <c r="F186" s="78"/>
      <c r="G186" s="78"/>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row>
    <row r="187" spans="1:223" x14ac:dyDescent="0.3">
      <c r="A187" s="78"/>
      <c r="B187" s="78"/>
      <c r="C187" s="78"/>
      <c r="D187" s="78"/>
      <c r="E187" s="78"/>
      <c r="F187" s="78"/>
      <c r="G187" s="78"/>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row>
    <row r="188" spans="1:223" x14ac:dyDescent="0.3">
      <c r="A188" s="78"/>
      <c r="B188" s="78"/>
      <c r="C188" s="78"/>
      <c r="D188" s="78"/>
      <c r="E188" s="78"/>
      <c r="F188" s="78"/>
      <c r="G188" s="78"/>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row>
    <row r="189" spans="1:223" x14ac:dyDescent="0.3">
      <c r="A189" s="78"/>
      <c r="B189" s="78"/>
      <c r="C189" s="78"/>
      <c r="D189" s="78"/>
      <c r="E189" s="78"/>
      <c r="F189" s="78"/>
      <c r="G189" s="78"/>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row>
    <row r="190" spans="1:223" x14ac:dyDescent="0.3">
      <c r="A190" s="78"/>
      <c r="B190" s="78"/>
      <c r="C190" s="78"/>
      <c r="D190" s="78"/>
      <c r="E190" s="78"/>
      <c r="F190" s="78"/>
      <c r="G190" s="78"/>
      <c r="N190" s="45" t="s">
        <v>536</v>
      </c>
      <c r="O190" s="45" t="s">
        <v>536</v>
      </c>
      <c r="P190" s="45" t="s">
        <v>536</v>
      </c>
      <c r="Q190" s="45" t="s">
        <v>536</v>
      </c>
      <c r="R190" s="45" t="s">
        <v>536</v>
      </c>
      <c r="S190" s="45" t="s">
        <v>536</v>
      </c>
      <c r="T190" s="45" t="s">
        <v>536</v>
      </c>
      <c r="U190" s="45" t="s">
        <v>536</v>
      </c>
      <c r="V190" s="45" t="s">
        <v>536</v>
      </c>
      <c r="W190" s="45" t="s">
        <v>536</v>
      </c>
      <c r="X190" s="45" t="s">
        <v>536</v>
      </c>
      <c r="Y190" s="45" t="s">
        <v>536</v>
      </c>
      <c r="Z190" s="45" t="s">
        <v>536</v>
      </c>
      <c r="AA190" s="45" t="s">
        <v>536</v>
      </c>
      <c r="AB190" s="45" t="s">
        <v>536</v>
      </c>
      <c r="AC190" s="45" t="s">
        <v>536</v>
      </c>
      <c r="AD190" s="45" t="s">
        <v>536</v>
      </c>
      <c r="AE190" s="45" t="s">
        <v>536</v>
      </c>
      <c r="AF190" s="45" t="s">
        <v>536</v>
      </c>
      <c r="AG190" s="45" t="s">
        <v>536</v>
      </c>
      <c r="AH190" s="45" t="s">
        <v>536</v>
      </c>
      <c r="AI190" s="45" t="s">
        <v>536</v>
      </c>
      <c r="AJ190" s="45" t="s">
        <v>536</v>
      </c>
      <c r="AK190" s="45" t="s">
        <v>536</v>
      </c>
      <c r="AL190" s="45" t="s">
        <v>536</v>
      </c>
      <c r="AM190" s="45" t="s">
        <v>536</v>
      </c>
      <c r="AN190" s="45" t="s">
        <v>536</v>
      </c>
      <c r="AO190" s="45" t="s">
        <v>536</v>
      </c>
      <c r="AP190" s="45" t="s">
        <v>536</v>
      </c>
      <c r="AQ190" s="45" t="s">
        <v>536</v>
      </c>
      <c r="AR190" s="45" t="s">
        <v>536</v>
      </c>
      <c r="AS190" s="45" t="s">
        <v>536</v>
      </c>
      <c r="AT190" s="45" t="s">
        <v>536</v>
      </c>
      <c r="AU190" s="45" t="s">
        <v>536</v>
      </c>
      <c r="AV190" s="45" t="s">
        <v>536</v>
      </c>
      <c r="AW190" s="45" t="s">
        <v>536</v>
      </c>
      <c r="AX190" s="45" t="s">
        <v>536</v>
      </c>
      <c r="AY190" s="45" t="s">
        <v>536</v>
      </c>
      <c r="AZ190" s="45" t="s">
        <v>536</v>
      </c>
      <c r="BA190" s="45" t="s">
        <v>536</v>
      </c>
      <c r="BB190" s="45" t="s">
        <v>536</v>
      </c>
      <c r="BC190" s="45" t="s">
        <v>536</v>
      </c>
      <c r="BD190" s="45" t="s">
        <v>536</v>
      </c>
      <c r="BE190" s="45" t="s">
        <v>536</v>
      </c>
      <c r="BF190" s="45" t="s">
        <v>536</v>
      </c>
      <c r="BG190" s="45" t="s">
        <v>536</v>
      </c>
      <c r="BH190" s="45" t="s">
        <v>536</v>
      </c>
      <c r="BI190" s="45" t="s">
        <v>536</v>
      </c>
      <c r="BJ190" s="45" t="s">
        <v>536</v>
      </c>
      <c r="BK190" s="45" t="s">
        <v>536</v>
      </c>
      <c r="BL190" s="45" t="s">
        <v>536</v>
      </c>
      <c r="BM190" s="45" t="s">
        <v>536</v>
      </c>
      <c r="BN190" s="45" t="s">
        <v>536</v>
      </c>
      <c r="BO190" s="45" t="s">
        <v>536</v>
      </c>
      <c r="BP190" s="45" t="s">
        <v>536</v>
      </c>
      <c r="BQ190" s="45" t="s">
        <v>536</v>
      </c>
      <c r="BR190" s="45" t="s">
        <v>536</v>
      </c>
      <c r="BS190" s="45" t="s">
        <v>536</v>
      </c>
      <c r="BT190" s="45" t="s">
        <v>536</v>
      </c>
      <c r="BU190" s="45" t="s">
        <v>536</v>
      </c>
      <c r="BV190" s="45" t="s">
        <v>536</v>
      </c>
      <c r="BW190" s="45" t="s">
        <v>536</v>
      </c>
      <c r="BX190" s="45" t="s">
        <v>536</v>
      </c>
      <c r="BY190" s="45" t="s">
        <v>536</v>
      </c>
      <c r="BZ190" s="45" t="s">
        <v>536</v>
      </c>
      <c r="CA190" s="45" t="s">
        <v>536</v>
      </c>
      <c r="CB190" s="45" t="s">
        <v>536</v>
      </c>
      <c r="CC190" s="45" t="s">
        <v>536</v>
      </c>
      <c r="CD190" s="45" t="s">
        <v>536</v>
      </c>
      <c r="CE190" s="45" t="s">
        <v>536</v>
      </c>
      <c r="CF190" s="45" t="s">
        <v>536</v>
      </c>
      <c r="CG190" s="45" t="s">
        <v>536</v>
      </c>
      <c r="CH190" s="45" t="s">
        <v>536</v>
      </c>
      <c r="CI190" s="45" t="s">
        <v>536</v>
      </c>
      <c r="CJ190" s="45" t="s">
        <v>536</v>
      </c>
      <c r="CK190" s="45" t="s">
        <v>536</v>
      </c>
      <c r="CL190" s="45" t="s">
        <v>536</v>
      </c>
      <c r="CM190" s="45" t="s">
        <v>536</v>
      </c>
      <c r="CN190" s="45" t="s">
        <v>536</v>
      </c>
      <c r="CO190" s="45" t="s">
        <v>536</v>
      </c>
      <c r="CP190" s="45" t="s">
        <v>536</v>
      </c>
      <c r="CQ190" s="45" t="s">
        <v>536</v>
      </c>
      <c r="CR190" s="45" t="s">
        <v>536</v>
      </c>
      <c r="CS190" s="45" t="s">
        <v>536</v>
      </c>
      <c r="CT190" s="45" t="s">
        <v>536</v>
      </c>
      <c r="CU190" s="45" t="s">
        <v>536</v>
      </c>
      <c r="CV190" s="45" t="s">
        <v>536</v>
      </c>
      <c r="CW190" s="45" t="s">
        <v>536</v>
      </c>
      <c r="CX190" s="45" t="s">
        <v>536</v>
      </c>
      <c r="CY190" s="45" t="s">
        <v>536</v>
      </c>
      <c r="CZ190" s="45" t="s">
        <v>536</v>
      </c>
      <c r="DA190" s="45" t="s">
        <v>536</v>
      </c>
      <c r="DB190" s="45" t="s">
        <v>536</v>
      </c>
      <c r="DC190" s="45" t="s">
        <v>536</v>
      </c>
      <c r="DD190" s="45" t="s">
        <v>536</v>
      </c>
      <c r="DE190" s="45" t="s">
        <v>536</v>
      </c>
      <c r="DF190" s="45" t="s">
        <v>536</v>
      </c>
      <c r="DG190" s="45" t="s">
        <v>536</v>
      </c>
      <c r="DH190" s="45" t="s">
        <v>536</v>
      </c>
      <c r="DI190" s="45" t="s">
        <v>536</v>
      </c>
      <c r="DJ190" s="45" t="s">
        <v>536</v>
      </c>
      <c r="DK190" s="45" t="s">
        <v>536</v>
      </c>
      <c r="DL190" s="45" t="s">
        <v>536</v>
      </c>
      <c r="DM190" s="45" t="s">
        <v>536</v>
      </c>
      <c r="DN190" s="45" t="s">
        <v>536</v>
      </c>
      <c r="DO190" s="45" t="s">
        <v>536</v>
      </c>
      <c r="DP190" s="45" t="s">
        <v>536</v>
      </c>
      <c r="DQ190" s="45" t="s">
        <v>536</v>
      </c>
      <c r="DR190" s="45" t="s">
        <v>536</v>
      </c>
      <c r="DS190" s="45" t="s">
        <v>536</v>
      </c>
      <c r="DT190" s="45" t="s">
        <v>536</v>
      </c>
      <c r="DU190" s="45" t="s">
        <v>536</v>
      </c>
      <c r="DV190" s="45" t="s">
        <v>536</v>
      </c>
      <c r="DW190" s="45" t="s">
        <v>536</v>
      </c>
      <c r="DX190" s="45" t="s">
        <v>536</v>
      </c>
      <c r="DY190" s="45" t="s">
        <v>536</v>
      </c>
      <c r="DZ190" s="45" t="s">
        <v>536</v>
      </c>
      <c r="EA190" s="45" t="s">
        <v>536</v>
      </c>
      <c r="EB190" s="45" t="s">
        <v>536</v>
      </c>
      <c r="EC190" s="45" t="s">
        <v>536</v>
      </c>
      <c r="ED190" s="45" t="s">
        <v>536</v>
      </c>
      <c r="EE190" s="45" t="s">
        <v>536</v>
      </c>
      <c r="EF190" s="45" t="s">
        <v>536</v>
      </c>
      <c r="EG190" s="45" t="s">
        <v>536</v>
      </c>
      <c r="EH190" s="45" t="s">
        <v>536</v>
      </c>
      <c r="EI190" s="45" t="s">
        <v>536</v>
      </c>
      <c r="EJ190" s="45" t="s">
        <v>536</v>
      </c>
      <c r="EK190" s="45" t="s">
        <v>536</v>
      </c>
      <c r="EL190" s="45" t="s">
        <v>536</v>
      </c>
      <c r="EM190" s="45" t="s">
        <v>536</v>
      </c>
      <c r="EN190" s="45" t="s">
        <v>536</v>
      </c>
      <c r="EO190" s="45" t="s">
        <v>536</v>
      </c>
      <c r="EP190" s="45" t="s">
        <v>536</v>
      </c>
      <c r="EQ190" s="45" t="s">
        <v>536</v>
      </c>
      <c r="ER190" s="45" t="s">
        <v>536</v>
      </c>
      <c r="ES190" s="45" t="s">
        <v>536</v>
      </c>
      <c r="ET190" s="45" t="s">
        <v>536</v>
      </c>
      <c r="EU190" s="45" t="s">
        <v>536</v>
      </c>
      <c r="EV190" s="45" t="s">
        <v>536</v>
      </c>
      <c r="EW190" s="45" t="s">
        <v>536</v>
      </c>
      <c r="EX190" s="45" t="s">
        <v>536</v>
      </c>
      <c r="EY190" s="45" t="s">
        <v>536</v>
      </c>
      <c r="EZ190" s="45" t="s">
        <v>536</v>
      </c>
      <c r="FA190" s="45" t="s">
        <v>536</v>
      </c>
      <c r="FB190" s="45" t="s">
        <v>536</v>
      </c>
      <c r="FC190" s="45" t="s">
        <v>536</v>
      </c>
      <c r="FD190" s="45" t="s">
        <v>536</v>
      </c>
      <c r="FE190" s="45" t="s">
        <v>536</v>
      </c>
      <c r="FF190" s="45" t="s">
        <v>536</v>
      </c>
      <c r="FG190" s="45" t="s">
        <v>536</v>
      </c>
      <c r="FH190" s="45" t="s">
        <v>536</v>
      </c>
      <c r="FI190" s="45" t="s">
        <v>536</v>
      </c>
      <c r="FJ190" s="45" t="s">
        <v>536</v>
      </c>
      <c r="FK190" s="45" t="s">
        <v>536</v>
      </c>
      <c r="FL190" s="45" t="s">
        <v>536</v>
      </c>
      <c r="FM190" s="45" t="s">
        <v>536</v>
      </c>
      <c r="FN190" s="45" t="s">
        <v>536</v>
      </c>
      <c r="FO190" s="45" t="s">
        <v>536</v>
      </c>
      <c r="FP190" s="45" t="s">
        <v>536</v>
      </c>
      <c r="FQ190" s="45" t="s">
        <v>536</v>
      </c>
      <c r="FR190" s="45" t="s">
        <v>536</v>
      </c>
      <c r="FS190" s="45" t="s">
        <v>536</v>
      </c>
      <c r="FT190" s="45" t="s">
        <v>536</v>
      </c>
      <c r="FU190" s="45" t="s">
        <v>536</v>
      </c>
      <c r="FV190" s="45" t="s">
        <v>536</v>
      </c>
      <c r="FW190" s="45" t="s">
        <v>536</v>
      </c>
      <c r="FX190" s="45" t="s">
        <v>536</v>
      </c>
      <c r="FY190" s="45" t="s">
        <v>536</v>
      </c>
      <c r="FZ190" s="45" t="s">
        <v>536</v>
      </c>
      <c r="GA190" s="45" t="s">
        <v>536</v>
      </c>
      <c r="GB190" s="45" t="s">
        <v>536</v>
      </c>
      <c r="GC190" s="45" t="s">
        <v>536</v>
      </c>
      <c r="GD190" s="45" t="s">
        <v>536</v>
      </c>
      <c r="GE190" s="45" t="s">
        <v>536</v>
      </c>
      <c r="GF190" s="45" t="s">
        <v>536</v>
      </c>
      <c r="GG190" s="45" t="s">
        <v>536</v>
      </c>
      <c r="GH190" s="45" t="s">
        <v>536</v>
      </c>
      <c r="GI190" s="45" t="s">
        <v>536</v>
      </c>
      <c r="GJ190" s="45" t="s">
        <v>536</v>
      </c>
      <c r="GK190" s="45" t="s">
        <v>536</v>
      </c>
      <c r="GL190" s="45" t="s">
        <v>536</v>
      </c>
      <c r="GM190" s="45" t="s">
        <v>536</v>
      </c>
      <c r="GN190" s="45" t="s">
        <v>536</v>
      </c>
      <c r="GO190" s="45" t="s">
        <v>536</v>
      </c>
      <c r="GP190" s="45" t="s">
        <v>536</v>
      </c>
      <c r="GQ190" s="45" t="s">
        <v>536</v>
      </c>
      <c r="GR190" s="45" t="s">
        <v>536</v>
      </c>
      <c r="GS190" s="45" t="s">
        <v>536</v>
      </c>
      <c r="GT190" s="45" t="s">
        <v>536</v>
      </c>
      <c r="GU190" s="45" t="s">
        <v>536</v>
      </c>
      <c r="GV190" s="45" t="s">
        <v>536</v>
      </c>
      <c r="GW190" s="45" t="s">
        <v>536</v>
      </c>
      <c r="GX190" s="45" t="s">
        <v>536</v>
      </c>
      <c r="GY190" s="45" t="s">
        <v>536</v>
      </c>
      <c r="GZ190" s="45" t="s">
        <v>536</v>
      </c>
      <c r="HA190" s="45" t="s">
        <v>536</v>
      </c>
      <c r="HB190" s="45" t="s">
        <v>536</v>
      </c>
      <c r="HC190" s="45" t="s">
        <v>536</v>
      </c>
      <c r="HD190" s="45" t="s">
        <v>536</v>
      </c>
      <c r="HE190" s="45" t="s">
        <v>536</v>
      </c>
      <c r="HF190" s="45" t="s">
        <v>536</v>
      </c>
      <c r="HG190" s="45" t="s">
        <v>536</v>
      </c>
      <c r="HH190" s="45" t="s">
        <v>536</v>
      </c>
      <c r="HI190" s="45" t="s">
        <v>536</v>
      </c>
      <c r="HJ190" s="45" t="s">
        <v>536</v>
      </c>
      <c r="HK190" s="45" t="s">
        <v>536</v>
      </c>
      <c r="HL190" s="45" t="s">
        <v>536</v>
      </c>
      <c r="HM190" s="45" t="s">
        <v>536</v>
      </c>
      <c r="HN190" s="45" t="s">
        <v>536</v>
      </c>
      <c r="HO190" s="45" t="s">
        <v>536</v>
      </c>
    </row>
    <row r="191" spans="1:223" x14ac:dyDescent="0.3">
      <c r="A191" s="78"/>
      <c r="B191" s="78"/>
      <c r="C191" s="78"/>
      <c r="D191" s="78"/>
      <c r="E191" s="78"/>
      <c r="F191" s="78"/>
      <c r="G191" s="78"/>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row>
    <row r="192" spans="1:223" x14ac:dyDescent="0.3">
      <c r="A192" s="78"/>
      <c r="B192" s="78"/>
      <c r="C192" s="78"/>
      <c r="D192" s="78"/>
      <c r="E192" s="78"/>
      <c r="F192" s="78"/>
      <c r="G192" s="78"/>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row>
    <row r="193" spans="1:223" x14ac:dyDescent="0.3">
      <c r="A193" s="78"/>
      <c r="B193" s="78"/>
      <c r="C193" s="78"/>
      <c r="D193" s="78"/>
      <c r="E193" s="78"/>
      <c r="F193" s="78"/>
      <c r="G193" s="78"/>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row>
    <row r="194" spans="1:223" x14ac:dyDescent="0.3">
      <c r="A194" s="78"/>
      <c r="B194" s="78"/>
      <c r="C194" s="78"/>
      <c r="D194" s="78"/>
      <c r="E194" s="78"/>
      <c r="F194" s="78"/>
      <c r="G194" s="78"/>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row>
    <row r="195" spans="1:223" x14ac:dyDescent="0.3">
      <c r="A195" s="78"/>
      <c r="B195" s="78"/>
      <c r="C195" s="78"/>
      <c r="D195" s="78"/>
      <c r="E195" s="78"/>
      <c r="F195" s="78"/>
      <c r="G195" s="78"/>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row>
    <row r="196" spans="1:223" x14ac:dyDescent="0.3">
      <c r="A196" s="78"/>
      <c r="B196" s="78"/>
      <c r="C196" s="78"/>
      <c r="D196" s="78"/>
      <c r="E196" s="78"/>
      <c r="F196" s="78"/>
      <c r="G196" s="78"/>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row>
    <row r="197" spans="1:223" x14ac:dyDescent="0.3">
      <c r="A197" s="78"/>
      <c r="B197" s="78"/>
      <c r="C197" s="78"/>
      <c r="D197" s="78"/>
      <c r="E197" s="78"/>
      <c r="F197" s="78"/>
      <c r="G197" s="78"/>
      <c r="N197" s="45" t="s">
        <v>537</v>
      </c>
      <c r="O197" s="45" t="s">
        <v>537</v>
      </c>
      <c r="P197" s="45" t="s">
        <v>537</v>
      </c>
      <c r="Q197" s="45" t="s">
        <v>537</v>
      </c>
      <c r="R197" s="45" t="s">
        <v>537</v>
      </c>
      <c r="S197" s="45" t="s">
        <v>537</v>
      </c>
      <c r="T197" s="45" t="s">
        <v>537</v>
      </c>
      <c r="U197" s="45" t="s">
        <v>537</v>
      </c>
      <c r="V197" s="45" t="s">
        <v>537</v>
      </c>
      <c r="W197" s="45" t="s">
        <v>537</v>
      </c>
      <c r="X197" s="45" t="s">
        <v>537</v>
      </c>
      <c r="Y197" s="45" t="s">
        <v>537</v>
      </c>
      <c r="Z197" s="45" t="s">
        <v>537</v>
      </c>
      <c r="AA197" s="45" t="s">
        <v>537</v>
      </c>
      <c r="AB197" s="45" t="s">
        <v>537</v>
      </c>
      <c r="AC197" s="45" t="s">
        <v>537</v>
      </c>
      <c r="AD197" s="45" t="s">
        <v>537</v>
      </c>
      <c r="AE197" s="45" t="s">
        <v>537</v>
      </c>
      <c r="AF197" s="45" t="s">
        <v>537</v>
      </c>
      <c r="AG197" s="45" t="s">
        <v>537</v>
      </c>
      <c r="AH197" s="45" t="s">
        <v>537</v>
      </c>
      <c r="AI197" s="45" t="s">
        <v>537</v>
      </c>
      <c r="AJ197" s="45" t="s">
        <v>537</v>
      </c>
      <c r="AK197" s="45" t="s">
        <v>537</v>
      </c>
      <c r="AL197" s="45" t="s">
        <v>537</v>
      </c>
      <c r="AM197" s="45" t="s">
        <v>537</v>
      </c>
      <c r="AN197" s="45" t="s">
        <v>537</v>
      </c>
      <c r="AO197" s="45" t="s">
        <v>537</v>
      </c>
      <c r="AP197" s="45" t="s">
        <v>537</v>
      </c>
      <c r="AQ197" s="45" t="s">
        <v>537</v>
      </c>
      <c r="AR197" s="45" t="s">
        <v>537</v>
      </c>
      <c r="AS197" s="45" t="s">
        <v>537</v>
      </c>
      <c r="AT197" s="45" t="s">
        <v>537</v>
      </c>
      <c r="AU197" s="45" t="s">
        <v>537</v>
      </c>
      <c r="AV197" s="45" t="s">
        <v>537</v>
      </c>
      <c r="AW197" s="45" t="s">
        <v>537</v>
      </c>
      <c r="AX197" s="45" t="s">
        <v>537</v>
      </c>
      <c r="AY197" s="45" t="s">
        <v>537</v>
      </c>
      <c r="AZ197" s="45" t="s">
        <v>537</v>
      </c>
      <c r="BA197" s="45" t="s">
        <v>537</v>
      </c>
      <c r="BB197" s="45" t="s">
        <v>537</v>
      </c>
      <c r="BC197" s="45" t="s">
        <v>537</v>
      </c>
      <c r="BD197" s="45" t="s">
        <v>537</v>
      </c>
      <c r="BE197" s="45" t="s">
        <v>537</v>
      </c>
      <c r="BF197" s="45" t="s">
        <v>537</v>
      </c>
      <c r="BG197" s="45" t="s">
        <v>537</v>
      </c>
      <c r="BH197" s="45" t="s">
        <v>537</v>
      </c>
      <c r="BI197" s="45" t="s">
        <v>537</v>
      </c>
      <c r="BJ197" s="45" t="s">
        <v>537</v>
      </c>
      <c r="BK197" s="45" t="s">
        <v>537</v>
      </c>
      <c r="BL197" s="45" t="s">
        <v>537</v>
      </c>
      <c r="BM197" s="45" t="s">
        <v>537</v>
      </c>
      <c r="BN197" s="45" t="s">
        <v>537</v>
      </c>
      <c r="BO197" s="45" t="s">
        <v>537</v>
      </c>
      <c r="BP197" s="45" t="s">
        <v>537</v>
      </c>
      <c r="BQ197" s="45" t="s">
        <v>537</v>
      </c>
      <c r="BR197" s="45" t="s">
        <v>537</v>
      </c>
      <c r="BS197" s="45" t="s">
        <v>537</v>
      </c>
      <c r="BT197" s="45" t="s">
        <v>537</v>
      </c>
      <c r="BU197" s="45" t="s">
        <v>537</v>
      </c>
      <c r="BV197" s="45" t="s">
        <v>537</v>
      </c>
      <c r="BW197" s="45" t="s">
        <v>537</v>
      </c>
      <c r="BX197" s="45" t="s">
        <v>537</v>
      </c>
      <c r="BY197" s="45" t="s">
        <v>537</v>
      </c>
      <c r="BZ197" s="45" t="s">
        <v>537</v>
      </c>
      <c r="CA197" s="45" t="s">
        <v>537</v>
      </c>
      <c r="CB197" s="45" t="s">
        <v>537</v>
      </c>
      <c r="CC197" s="45" t="s">
        <v>537</v>
      </c>
      <c r="CD197" s="45" t="s">
        <v>537</v>
      </c>
      <c r="CE197" s="45" t="s">
        <v>537</v>
      </c>
      <c r="CF197" s="45" t="s">
        <v>537</v>
      </c>
      <c r="CG197" s="45" t="s">
        <v>537</v>
      </c>
      <c r="CH197" s="45" t="s">
        <v>537</v>
      </c>
      <c r="CI197" s="45" t="s">
        <v>537</v>
      </c>
      <c r="CJ197" s="45" t="s">
        <v>537</v>
      </c>
      <c r="CK197" s="45" t="s">
        <v>537</v>
      </c>
      <c r="CL197" s="45" t="s">
        <v>537</v>
      </c>
      <c r="CM197" s="45" t="s">
        <v>537</v>
      </c>
      <c r="CN197" s="45" t="s">
        <v>537</v>
      </c>
      <c r="CO197" s="45" t="s">
        <v>537</v>
      </c>
      <c r="CP197" s="45" t="s">
        <v>537</v>
      </c>
      <c r="CQ197" s="45" t="s">
        <v>537</v>
      </c>
      <c r="CR197" s="45" t="s">
        <v>537</v>
      </c>
      <c r="CS197" s="45" t="s">
        <v>537</v>
      </c>
      <c r="CT197" s="45" t="s">
        <v>537</v>
      </c>
      <c r="CU197" s="45" t="s">
        <v>537</v>
      </c>
      <c r="CV197" s="45" t="s">
        <v>537</v>
      </c>
      <c r="CW197" s="45" t="s">
        <v>537</v>
      </c>
      <c r="CX197" s="45" t="s">
        <v>537</v>
      </c>
      <c r="CY197" s="45" t="s">
        <v>537</v>
      </c>
      <c r="CZ197" s="45" t="s">
        <v>537</v>
      </c>
      <c r="DA197" s="45" t="s">
        <v>537</v>
      </c>
      <c r="DB197" s="45" t="s">
        <v>537</v>
      </c>
      <c r="DC197" s="45" t="s">
        <v>537</v>
      </c>
      <c r="DD197" s="45" t="s">
        <v>537</v>
      </c>
      <c r="DE197" s="45" t="s">
        <v>537</v>
      </c>
      <c r="DF197" s="45" t="s">
        <v>537</v>
      </c>
      <c r="DG197" s="45" t="s">
        <v>537</v>
      </c>
      <c r="DH197" s="45" t="s">
        <v>537</v>
      </c>
      <c r="DI197" s="45" t="s">
        <v>537</v>
      </c>
      <c r="DJ197" s="45" t="s">
        <v>537</v>
      </c>
      <c r="DK197" s="45" t="s">
        <v>537</v>
      </c>
      <c r="DL197" s="45" t="s">
        <v>537</v>
      </c>
      <c r="DM197" s="45" t="s">
        <v>537</v>
      </c>
      <c r="DN197" s="45" t="s">
        <v>537</v>
      </c>
      <c r="DO197" s="45" t="s">
        <v>537</v>
      </c>
      <c r="DP197" s="45" t="s">
        <v>537</v>
      </c>
      <c r="DQ197" s="45" t="s">
        <v>537</v>
      </c>
      <c r="DR197" s="45" t="s">
        <v>537</v>
      </c>
      <c r="DS197" s="45" t="s">
        <v>537</v>
      </c>
      <c r="DT197" s="45" t="s">
        <v>537</v>
      </c>
      <c r="DU197" s="45" t="s">
        <v>537</v>
      </c>
      <c r="DV197" s="45" t="s">
        <v>537</v>
      </c>
      <c r="DW197" s="45" t="s">
        <v>537</v>
      </c>
      <c r="DX197" s="45" t="s">
        <v>537</v>
      </c>
      <c r="DY197" s="45" t="s">
        <v>537</v>
      </c>
      <c r="DZ197" s="45" t="s">
        <v>537</v>
      </c>
      <c r="EA197" s="45" t="s">
        <v>537</v>
      </c>
      <c r="EB197" s="45" t="s">
        <v>537</v>
      </c>
      <c r="EC197" s="45" t="s">
        <v>537</v>
      </c>
      <c r="ED197" s="45" t="s">
        <v>537</v>
      </c>
      <c r="EE197" s="45" t="s">
        <v>537</v>
      </c>
      <c r="EF197" s="45" t="s">
        <v>537</v>
      </c>
      <c r="EG197" s="45" t="s">
        <v>537</v>
      </c>
      <c r="EH197" s="45" t="s">
        <v>537</v>
      </c>
      <c r="EI197" s="45" t="s">
        <v>537</v>
      </c>
      <c r="EJ197" s="45" t="s">
        <v>537</v>
      </c>
      <c r="EK197" s="45" t="s">
        <v>537</v>
      </c>
      <c r="EL197" s="45" t="s">
        <v>537</v>
      </c>
      <c r="EM197" s="45" t="s">
        <v>537</v>
      </c>
      <c r="EN197" s="45" t="s">
        <v>537</v>
      </c>
      <c r="EO197" s="45" t="s">
        <v>537</v>
      </c>
      <c r="EP197" s="45" t="s">
        <v>537</v>
      </c>
      <c r="EQ197" s="45" t="s">
        <v>537</v>
      </c>
      <c r="ER197" s="45" t="s">
        <v>537</v>
      </c>
      <c r="ES197" s="45" t="s">
        <v>537</v>
      </c>
      <c r="ET197" s="45" t="s">
        <v>537</v>
      </c>
      <c r="EU197" s="45" t="s">
        <v>537</v>
      </c>
      <c r="EV197" s="45" t="s">
        <v>537</v>
      </c>
      <c r="EW197" s="45" t="s">
        <v>537</v>
      </c>
      <c r="EX197" s="45" t="s">
        <v>537</v>
      </c>
      <c r="EY197" s="45" t="s">
        <v>537</v>
      </c>
      <c r="EZ197" s="45" t="s">
        <v>537</v>
      </c>
      <c r="FA197" s="45" t="s">
        <v>537</v>
      </c>
      <c r="FB197" s="45" t="s">
        <v>537</v>
      </c>
      <c r="FC197" s="45" t="s">
        <v>537</v>
      </c>
      <c r="FD197" s="45" t="s">
        <v>537</v>
      </c>
      <c r="FE197" s="45" t="s">
        <v>537</v>
      </c>
      <c r="FF197" s="45" t="s">
        <v>537</v>
      </c>
      <c r="FG197" s="45" t="s">
        <v>537</v>
      </c>
      <c r="FH197" s="45" t="s">
        <v>537</v>
      </c>
      <c r="FI197" s="45" t="s">
        <v>537</v>
      </c>
      <c r="FJ197" s="45" t="s">
        <v>537</v>
      </c>
      <c r="FK197" s="45" t="s">
        <v>537</v>
      </c>
      <c r="FL197" s="45" t="s">
        <v>537</v>
      </c>
      <c r="FM197" s="45" t="s">
        <v>537</v>
      </c>
      <c r="FN197" s="45" t="s">
        <v>537</v>
      </c>
      <c r="FO197" s="45" t="s">
        <v>537</v>
      </c>
      <c r="FP197" s="45" t="s">
        <v>537</v>
      </c>
      <c r="FQ197" s="45" t="s">
        <v>537</v>
      </c>
      <c r="FR197" s="45" t="s">
        <v>537</v>
      </c>
      <c r="FS197" s="45" t="s">
        <v>537</v>
      </c>
      <c r="FT197" s="45" t="s">
        <v>537</v>
      </c>
      <c r="FU197" s="45" t="s">
        <v>537</v>
      </c>
      <c r="FV197" s="45" t="s">
        <v>537</v>
      </c>
      <c r="FW197" s="45" t="s">
        <v>537</v>
      </c>
      <c r="FX197" s="45" t="s">
        <v>537</v>
      </c>
      <c r="FY197" s="45" t="s">
        <v>537</v>
      </c>
      <c r="FZ197" s="45" t="s">
        <v>537</v>
      </c>
      <c r="GA197" s="45" t="s">
        <v>537</v>
      </c>
      <c r="GB197" s="45" t="s">
        <v>537</v>
      </c>
      <c r="GC197" s="45" t="s">
        <v>537</v>
      </c>
      <c r="GD197" s="45" t="s">
        <v>537</v>
      </c>
      <c r="GE197" s="45" t="s">
        <v>537</v>
      </c>
      <c r="GF197" s="45" t="s">
        <v>537</v>
      </c>
      <c r="GG197" s="45" t="s">
        <v>537</v>
      </c>
      <c r="GH197" s="45" t="s">
        <v>537</v>
      </c>
      <c r="GI197" s="45" t="s">
        <v>537</v>
      </c>
      <c r="GJ197" s="45" t="s">
        <v>537</v>
      </c>
      <c r="GK197" s="45" t="s">
        <v>537</v>
      </c>
      <c r="GL197" s="45" t="s">
        <v>537</v>
      </c>
      <c r="GM197" s="45" t="s">
        <v>537</v>
      </c>
      <c r="GN197" s="45" t="s">
        <v>537</v>
      </c>
      <c r="GO197" s="45" t="s">
        <v>537</v>
      </c>
      <c r="GP197" s="45" t="s">
        <v>537</v>
      </c>
      <c r="GQ197" s="45" t="s">
        <v>537</v>
      </c>
      <c r="GR197" s="45" t="s">
        <v>537</v>
      </c>
      <c r="GS197" s="45" t="s">
        <v>537</v>
      </c>
      <c r="GT197" s="45" t="s">
        <v>537</v>
      </c>
      <c r="GU197" s="45" t="s">
        <v>537</v>
      </c>
      <c r="GV197" s="45" t="s">
        <v>537</v>
      </c>
      <c r="GW197" s="45" t="s">
        <v>537</v>
      </c>
      <c r="GX197" s="45" t="s">
        <v>537</v>
      </c>
      <c r="GY197" s="45" t="s">
        <v>537</v>
      </c>
      <c r="GZ197" s="45" t="s">
        <v>537</v>
      </c>
      <c r="HA197" s="45" t="s">
        <v>537</v>
      </c>
      <c r="HB197" s="45" t="s">
        <v>537</v>
      </c>
      <c r="HC197" s="45" t="s">
        <v>537</v>
      </c>
      <c r="HD197" s="45" t="s">
        <v>537</v>
      </c>
      <c r="HE197" s="45" t="s">
        <v>537</v>
      </c>
      <c r="HF197" s="45" t="s">
        <v>537</v>
      </c>
      <c r="HG197" s="45" t="s">
        <v>537</v>
      </c>
      <c r="HH197" s="45" t="s">
        <v>537</v>
      </c>
      <c r="HI197" s="45" t="s">
        <v>537</v>
      </c>
      <c r="HJ197" s="45" t="s">
        <v>537</v>
      </c>
      <c r="HK197" s="45" t="s">
        <v>537</v>
      </c>
      <c r="HL197" s="45" t="s">
        <v>537</v>
      </c>
      <c r="HM197" s="45" t="s">
        <v>537</v>
      </c>
      <c r="HN197" s="45" t="s">
        <v>537</v>
      </c>
      <c r="HO197" s="45" t="s">
        <v>537</v>
      </c>
    </row>
    <row r="198" spans="1:223" x14ac:dyDescent="0.3">
      <c r="A198" s="78"/>
      <c r="B198" s="78"/>
      <c r="C198" s="78"/>
      <c r="D198" s="78"/>
      <c r="E198" s="78"/>
      <c r="F198" s="78"/>
      <c r="G198" s="78"/>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row>
    <row r="199" spans="1:223" x14ac:dyDescent="0.3">
      <c r="A199" s="78"/>
      <c r="B199" s="78"/>
      <c r="C199" s="78"/>
      <c r="D199" s="78"/>
      <c r="E199" s="78"/>
      <c r="F199" s="78"/>
      <c r="G199" s="78"/>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row>
    <row r="200" spans="1:223" x14ac:dyDescent="0.3">
      <c r="A200" s="78"/>
      <c r="B200" s="78"/>
      <c r="C200" s="78"/>
      <c r="D200" s="78"/>
      <c r="E200" s="78"/>
      <c r="F200" s="78"/>
      <c r="G200" s="78"/>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row>
    <row r="201" spans="1:223" x14ac:dyDescent="0.3">
      <c r="A201" s="78"/>
      <c r="B201" s="78"/>
      <c r="C201" s="78"/>
      <c r="D201" s="78"/>
      <c r="E201" s="78"/>
      <c r="F201" s="78"/>
      <c r="G201" s="78"/>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row>
    <row r="202" spans="1:223" x14ac:dyDescent="0.3">
      <c r="A202" s="78"/>
      <c r="B202" s="78"/>
      <c r="C202" s="78"/>
      <c r="D202" s="78"/>
      <c r="E202" s="78"/>
      <c r="F202" s="78"/>
      <c r="G202" s="78"/>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row>
    <row r="203" spans="1:223" x14ac:dyDescent="0.3">
      <c r="A203" s="78"/>
      <c r="B203" s="78"/>
      <c r="C203" s="78"/>
      <c r="D203" s="78"/>
      <c r="E203" s="78"/>
      <c r="F203" s="78"/>
      <c r="G203" s="78"/>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row>
    <row r="204" spans="1:223" x14ac:dyDescent="0.3">
      <c r="A204" s="78"/>
      <c r="B204" s="78"/>
      <c r="C204" s="78"/>
      <c r="D204" s="78"/>
      <c r="E204" s="78"/>
      <c r="F204" s="78"/>
      <c r="G204" s="78"/>
      <c r="N204" s="45" t="s">
        <v>538</v>
      </c>
      <c r="O204" s="45" t="s">
        <v>538</v>
      </c>
      <c r="P204" s="45" t="s">
        <v>538</v>
      </c>
      <c r="Q204" s="45" t="s">
        <v>538</v>
      </c>
      <c r="R204" s="45" t="s">
        <v>538</v>
      </c>
      <c r="S204" s="45" t="s">
        <v>538</v>
      </c>
      <c r="T204" s="45" t="s">
        <v>538</v>
      </c>
      <c r="U204" s="45" t="s">
        <v>538</v>
      </c>
      <c r="V204" s="45" t="s">
        <v>538</v>
      </c>
      <c r="W204" s="45" t="s">
        <v>538</v>
      </c>
      <c r="X204" s="45" t="s">
        <v>538</v>
      </c>
      <c r="Y204" s="45" t="s">
        <v>538</v>
      </c>
      <c r="Z204" s="45" t="s">
        <v>538</v>
      </c>
      <c r="AA204" s="45" t="s">
        <v>538</v>
      </c>
      <c r="AB204" s="45" t="s">
        <v>538</v>
      </c>
      <c r="AC204" s="45" t="s">
        <v>538</v>
      </c>
      <c r="AD204" s="45" t="s">
        <v>538</v>
      </c>
      <c r="AE204" s="45" t="s">
        <v>538</v>
      </c>
      <c r="AF204" s="45" t="s">
        <v>538</v>
      </c>
      <c r="AG204" s="45" t="s">
        <v>538</v>
      </c>
      <c r="AH204" s="45" t="s">
        <v>538</v>
      </c>
      <c r="AI204" s="45" t="s">
        <v>538</v>
      </c>
      <c r="AJ204" s="45" t="s">
        <v>538</v>
      </c>
      <c r="AK204" s="45" t="s">
        <v>538</v>
      </c>
      <c r="AL204" s="45" t="s">
        <v>538</v>
      </c>
      <c r="AM204" s="45" t="s">
        <v>538</v>
      </c>
      <c r="AN204" s="45" t="s">
        <v>538</v>
      </c>
      <c r="AO204" s="45" t="s">
        <v>538</v>
      </c>
      <c r="AP204" s="45" t="s">
        <v>538</v>
      </c>
      <c r="AQ204" s="45" t="s">
        <v>538</v>
      </c>
      <c r="AR204" s="45" t="s">
        <v>538</v>
      </c>
      <c r="AS204" s="45" t="s">
        <v>538</v>
      </c>
      <c r="AT204" s="45" t="s">
        <v>538</v>
      </c>
      <c r="AU204" s="45" t="s">
        <v>538</v>
      </c>
      <c r="AV204" s="45" t="s">
        <v>538</v>
      </c>
      <c r="AW204" s="45" t="s">
        <v>538</v>
      </c>
      <c r="AX204" s="45" t="s">
        <v>538</v>
      </c>
      <c r="AY204" s="45" t="s">
        <v>538</v>
      </c>
      <c r="AZ204" s="45" t="s">
        <v>538</v>
      </c>
      <c r="BA204" s="45" t="s">
        <v>538</v>
      </c>
      <c r="BB204" s="45" t="s">
        <v>538</v>
      </c>
      <c r="BC204" s="45" t="s">
        <v>538</v>
      </c>
      <c r="BD204" s="45" t="s">
        <v>538</v>
      </c>
      <c r="BE204" s="45" t="s">
        <v>538</v>
      </c>
      <c r="BF204" s="45" t="s">
        <v>538</v>
      </c>
      <c r="BG204" s="45" t="s">
        <v>538</v>
      </c>
      <c r="BH204" s="45" t="s">
        <v>538</v>
      </c>
      <c r="BI204" s="45" t="s">
        <v>538</v>
      </c>
      <c r="BJ204" s="45" t="s">
        <v>538</v>
      </c>
      <c r="BK204" s="45" t="s">
        <v>538</v>
      </c>
      <c r="BL204" s="45" t="s">
        <v>538</v>
      </c>
      <c r="BM204" s="45" t="s">
        <v>538</v>
      </c>
      <c r="BN204" s="45" t="s">
        <v>538</v>
      </c>
      <c r="BO204" s="45" t="s">
        <v>538</v>
      </c>
      <c r="BP204" s="45" t="s">
        <v>538</v>
      </c>
      <c r="BQ204" s="45" t="s">
        <v>538</v>
      </c>
      <c r="BR204" s="45" t="s">
        <v>538</v>
      </c>
      <c r="BS204" s="45" t="s">
        <v>538</v>
      </c>
      <c r="BT204" s="45" t="s">
        <v>538</v>
      </c>
      <c r="BU204" s="45" t="s">
        <v>538</v>
      </c>
      <c r="BV204" s="45" t="s">
        <v>538</v>
      </c>
      <c r="BW204" s="45" t="s">
        <v>538</v>
      </c>
      <c r="BX204" s="45" t="s">
        <v>538</v>
      </c>
      <c r="BY204" s="45" t="s">
        <v>538</v>
      </c>
      <c r="BZ204" s="45" t="s">
        <v>538</v>
      </c>
      <c r="CA204" s="45" t="s">
        <v>538</v>
      </c>
      <c r="CB204" s="45" t="s">
        <v>538</v>
      </c>
      <c r="CC204" s="45" t="s">
        <v>538</v>
      </c>
      <c r="CD204" s="45" t="s">
        <v>538</v>
      </c>
      <c r="CE204" s="45" t="s">
        <v>538</v>
      </c>
      <c r="CF204" s="45" t="s">
        <v>538</v>
      </c>
      <c r="CG204" s="45" t="s">
        <v>538</v>
      </c>
      <c r="CH204" s="45" t="s">
        <v>538</v>
      </c>
      <c r="CI204" s="45" t="s">
        <v>538</v>
      </c>
      <c r="CJ204" s="45" t="s">
        <v>538</v>
      </c>
      <c r="CK204" s="45" t="s">
        <v>538</v>
      </c>
      <c r="CL204" s="45" t="s">
        <v>538</v>
      </c>
      <c r="CM204" s="45" t="s">
        <v>538</v>
      </c>
      <c r="CN204" s="45" t="s">
        <v>538</v>
      </c>
      <c r="CO204" s="45" t="s">
        <v>538</v>
      </c>
      <c r="CP204" s="45" t="s">
        <v>538</v>
      </c>
      <c r="CQ204" s="45" t="s">
        <v>538</v>
      </c>
      <c r="CR204" s="45" t="s">
        <v>538</v>
      </c>
      <c r="CS204" s="45" t="s">
        <v>538</v>
      </c>
      <c r="CT204" s="45" t="s">
        <v>538</v>
      </c>
      <c r="CU204" s="45" t="s">
        <v>538</v>
      </c>
      <c r="CV204" s="45" t="s">
        <v>538</v>
      </c>
      <c r="CW204" s="45" t="s">
        <v>538</v>
      </c>
      <c r="CX204" s="45" t="s">
        <v>538</v>
      </c>
      <c r="CY204" s="45" t="s">
        <v>538</v>
      </c>
      <c r="CZ204" s="45" t="s">
        <v>538</v>
      </c>
      <c r="DA204" s="45" t="s">
        <v>538</v>
      </c>
      <c r="DB204" s="45" t="s">
        <v>538</v>
      </c>
      <c r="DC204" s="45" t="s">
        <v>538</v>
      </c>
      <c r="DD204" s="45" t="s">
        <v>538</v>
      </c>
      <c r="DE204" s="45" t="s">
        <v>538</v>
      </c>
      <c r="DF204" s="45" t="s">
        <v>538</v>
      </c>
      <c r="DG204" s="45" t="s">
        <v>538</v>
      </c>
      <c r="DH204" s="45" t="s">
        <v>538</v>
      </c>
      <c r="DI204" s="45" t="s">
        <v>538</v>
      </c>
      <c r="DJ204" s="45" t="s">
        <v>538</v>
      </c>
      <c r="DK204" s="45" t="s">
        <v>538</v>
      </c>
      <c r="DL204" s="45" t="s">
        <v>538</v>
      </c>
      <c r="DM204" s="45" t="s">
        <v>538</v>
      </c>
      <c r="DN204" s="45" t="s">
        <v>538</v>
      </c>
      <c r="DO204" s="45" t="s">
        <v>538</v>
      </c>
      <c r="DP204" s="45" t="s">
        <v>538</v>
      </c>
      <c r="DQ204" s="45" t="s">
        <v>538</v>
      </c>
      <c r="DR204" s="45" t="s">
        <v>538</v>
      </c>
      <c r="DS204" s="45" t="s">
        <v>538</v>
      </c>
      <c r="DT204" s="45" t="s">
        <v>538</v>
      </c>
      <c r="DU204" s="45" t="s">
        <v>538</v>
      </c>
      <c r="DV204" s="45" t="s">
        <v>538</v>
      </c>
      <c r="DW204" s="45" t="s">
        <v>538</v>
      </c>
      <c r="DX204" s="45" t="s">
        <v>538</v>
      </c>
      <c r="DY204" s="45" t="s">
        <v>538</v>
      </c>
      <c r="DZ204" s="45" t="s">
        <v>538</v>
      </c>
      <c r="EA204" s="45" t="s">
        <v>538</v>
      </c>
      <c r="EB204" s="45" t="s">
        <v>538</v>
      </c>
      <c r="EC204" s="45" t="s">
        <v>538</v>
      </c>
      <c r="ED204" s="45" t="s">
        <v>538</v>
      </c>
      <c r="EE204" s="45" t="s">
        <v>538</v>
      </c>
      <c r="EF204" s="45" t="s">
        <v>538</v>
      </c>
      <c r="EG204" s="45" t="s">
        <v>538</v>
      </c>
      <c r="EH204" s="45" t="s">
        <v>538</v>
      </c>
      <c r="EI204" s="45" t="s">
        <v>538</v>
      </c>
      <c r="EJ204" s="45" t="s">
        <v>538</v>
      </c>
      <c r="EK204" s="45" t="s">
        <v>538</v>
      </c>
      <c r="EL204" s="45" t="s">
        <v>538</v>
      </c>
      <c r="EM204" s="45" t="s">
        <v>538</v>
      </c>
      <c r="EN204" s="45" t="s">
        <v>538</v>
      </c>
      <c r="EO204" s="45" t="s">
        <v>538</v>
      </c>
      <c r="EP204" s="45" t="s">
        <v>538</v>
      </c>
      <c r="EQ204" s="45" t="s">
        <v>538</v>
      </c>
      <c r="ER204" s="45" t="s">
        <v>538</v>
      </c>
      <c r="ES204" s="45" t="s">
        <v>538</v>
      </c>
      <c r="ET204" s="45" t="s">
        <v>538</v>
      </c>
      <c r="EU204" s="45" t="s">
        <v>538</v>
      </c>
      <c r="EV204" s="45" t="s">
        <v>538</v>
      </c>
      <c r="EW204" s="45" t="s">
        <v>538</v>
      </c>
      <c r="EX204" s="45" t="s">
        <v>538</v>
      </c>
      <c r="EY204" s="45" t="s">
        <v>538</v>
      </c>
      <c r="EZ204" s="45" t="s">
        <v>538</v>
      </c>
      <c r="FA204" s="45" t="s">
        <v>538</v>
      </c>
      <c r="FB204" s="45" t="s">
        <v>538</v>
      </c>
      <c r="FC204" s="45" t="s">
        <v>538</v>
      </c>
      <c r="FD204" s="45" t="s">
        <v>538</v>
      </c>
      <c r="FE204" s="45" t="s">
        <v>538</v>
      </c>
      <c r="FF204" s="45" t="s">
        <v>538</v>
      </c>
      <c r="FG204" s="45" t="s">
        <v>538</v>
      </c>
      <c r="FH204" s="45" t="s">
        <v>538</v>
      </c>
      <c r="FI204" s="45" t="s">
        <v>538</v>
      </c>
      <c r="FJ204" s="45" t="s">
        <v>538</v>
      </c>
      <c r="FK204" s="45" t="s">
        <v>538</v>
      </c>
      <c r="FL204" s="45" t="s">
        <v>538</v>
      </c>
      <c r="FM204" s="45" t="s">
        <v>538</v>
      </c>
      <c r="FN204" s="45" t="s">
        <v>538</v>
      </c>
      <c r="FO204" s="45" t="s">
        <v>538</v>
      </c>
      <c r="FP204" s="45" t="s">
        <v>538</v>
      </c>
      <c r="FQ204" s="45" t="s">
        <v>538</v>
      </c>
      <c r="FR204" s="45" t="s">
        <v>538</v>
      </c>
      <c r="FS204" s="45" t="s">
        <v>538</v>
      </c>
      <c r="FT204" s="45" t="s">
        <v>538</v>
      </c>
      <c r="FU204" s="45" t="s">
        <v>538</v>
      </c>
      <c r="FV204" s="45" t="s">
        <v>538</v>
      </c>
      <c r="FW204" s="45" t="s">
        <v>538</v>
      </c>
      <c r="FX204" s="45" t="s">
        <v>538</v>
      </c>
      <c r="FY204" s="45" t="s">
        <v>538</v>
      </c>
      <c r="FZ204" s="45" t="s">
        <v>538</v>
      </c>
      <c r="GA204" s="45" t="s">
        <v>538</v>
      </c>
      <c r="GB204" s="45" t="s">
        <v>538</v>
      </c>
      <c r="GC204" s="45" t="s">
        <v>538</v>
      </c>
      <c r="GD204" s="45" t="s">
        <v>538</v>
      </c>
      <c r="GE204" s="45" t="s">
        <v>538</v>
      </c>
      <c r="GF204" s="45" t="s">
        <v>538</v>
      </c>
      <c r="GG204" s="45" t="s">
        <v>538</v>
      </c>
      <c r="GH204" s="45" t="s">
        <v>538</v>
      </c>
      <c r="GI204" s="45" t="s">
        <v>538</v>
      </c>
      <c r="GJ204" s="45" t="s">
        <v>538</v>
      </c>
      <c r="GK204" s="45" t="s">
        <v>538</v>
      </c>
      <c r="GL204" s="45" t="s">
        <v>538</v>
      </c>
      <c r="GM204" s="45" t="s">
        <v>538</v>
      </c>
      <c r="GN204" s="45" t="s">
        <v>538</v>
      </c>
      <c r="GO204" s="45" t="s">
        <v>538</v>
      </c>
      <c r="GP204" s="45" t="s">
        <v>538</v>
      </c>
      <c r="GQ204" s="45" t="s">
        <v>538</v>
      </c>
      <c r="GR204" s="45" t="s">
        <v>538</v>
      </c>
      <c r="GS204" s="45" t="s">
        <v>538</v>
      </c>
      <c r="GT204" s="45" t="s">
        <v>538</v>
      </c>
      <c r="GU204" s="45" t="s">
        <v>538</v>
      </c>
      <c r="GV204" s="45" t="s">
        <v>538</v>
      </c>
      <c r="GW204" s="45" t="s">
        <v>538</v>
      </c>
      <c r="GX204" s="45" t="s">
        <v>538</v>
      </c>
      <c r="GY204" s="45" t="s">
        <v>538</v>
      </c>
      <c r="GZ204" s="45" t="s">
        <v>538</v>
      </c>
      <c r="HA204" s="45" t="s">
        <v>538</v>
      </c>
      <c r="HB204" s="45" t="s">
        <v>538</v>
      </c>
      <c r="HC204" s="45" t="s">
        <v>538</v>
      </c>
      <c r="HD204" s="45" t="s">
        <v>538</v>
      </c>
      <c r="HE204" s="45" t="s">
        <v>538</v>
      </c>
      <c r="HF204" s="45" t="s">
        <v>538</v>
      </c>
      <c r="HG204" s="45" t="s">
        <v>538</v>
      </c>
      <c r="HH204" s="45" t="s">
        <v>538</v>
      </c>
      <c r="HI204" s="45" t="s">
        <v>538</v>
      </c>
      <c r="HJ204" s="45" t="s">
        <v>538</v>
      </c>
      <c r="HK204" s="45" t="s">
        <v>538</v>
      </c>
      <c r="HL204" s="45" t="s">
        <v>538</v>
      </c>
      <c r="HM204" s="45" t="s">
        <v>538</v>
      </c>
      <c r="HN204" s="45" t="s">
        <v>538</v>
      </c>
      <c r="HO204" s="45" t="s">
        <v>538</v>
      </c>
    </row>
    <row r="205" spans="1:223" x14ac:dyDescent="0.3">
      <c r="A205" s="78"/>
      <c r="B205" s="78"/>
      <c r="C205" s="78"/>
      <c r="D205" s="78"/>
      <c r="E205" s="78"/>
      <c r="F205" s="78"/>
      <c r="G205" s="78"/>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row>
    <row r="206" spans="1:223" x14ac:dyDescent="0.3">
      <c r="A206" s="78"/>
      <c r="B206" s="78"/>
      <c r="C206" s="78"/>
      <c r="D206" s="78"/>
      <c r="E206" s="78"/>
      <c r="F206" s="78"/>
      <c r="G206" s="78"/>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row>
    <row r="207" spans="1:223" x14ac:dyDescent="0.3">
      <c r="A207" s="78"/>
      <c r="B207" s="78"/>
      <c r="C207" s="78"/>
      <c r="D207" s="78"/>
      <c r="E207" s="78"/>
      <c r="F207" s="78"/>
      <c r="G207" s="78"/>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row>
    <row r="208" spans="1:223" x14ac:dyDescent="0.3">
      <c r="A208" s="78"/>
      <c r="B208" s="78"/>
      <c r="C208" s="78"/>
      <c r="D208" s="78"/>
      <c r="E208" s="78"/>
      <c r="F208" s="78"/>
      <c r="G208" s="78"/>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row>
    <row r="209" spans="1:223" x14ac:dyDescent="0.3">
      <c r="A209" s="78"/>
      <c r="B209" s="78"/>
      <c r="C209" s="78"/>
      <c r="D209" s="78"/>
      <c r="E209" s="78"/>
      <c r="F209" s="78"/>
      <c r="G209" s="78"/>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row>
    <row r="210" spans="1:223" x14ac:dyDescent="0.3">
      <c r="A210" s="78"/>
      <c r="B210" s="78"/>
      <c r="C210" s="78"/>
      <c r="D210" s="78"/>
      <c r="E210" s="78"/>
      <c r="F210" s="78"/>
      <c r="G210" s="78"/>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row>
    <row r="211" spans="1:223" x14ac:dyDescent="0.3">
      <c r="A211" s="78"/>
      <c r="B211" s="78"/>
      <c r="C211" s="78"/>
      <c r="D211" s="78"/>
      <c r="E211" s="78"/>
      <c r="F211" s="78"/>
      <c r="G211" s="78"/>
    </row>
    <row r="212" spans="1:223" x14ac:dyDescent="0.3">
      <c r="A212" s="78"/>
      <c r="B212" s="78"/>
      <c r="C212" s="78"/>
      <c r="D212" s="78"/>
      <c r="E212" s="78"/>
      <c r="F212" s="78"/>
      <c r="G212" s="78"/>
    </row>
    <row r="213" spans="1:223" x14ac:dyDescent="0.3">
      <c r="A213" s="78"/>
      <c r="B213" s="78"/>
      <c r="C213" s="78"/>
      <c r="D213" s="78"/>
      <c r="E213" s="78"/>
      <c r="F213" s="78"/>
      <c r="G213" s="78"/>
    </row>
    <row r="214" spans="1:223" x14ac:dyDescent="0.3">
      <c r="A214" s="78"/>
      <c r="B214" s="78"/>
      <c r="C214" s="78"/>
      <c r="D214" s="78"/>
      <c r="E214" s="78"/>
      <c r="F214" s="78"/>
      <c r="G214" s="78"/>
    </row>
    <row r="215" spans="1:223" x14ac:dyDescent="0.3">
      <c r="A215" s="78"/>
      <c r="B215" s="78"/>
      <c r="C215" s="78"/>
      <c r="D215" s="78"/>
      <c r="E215" s="78"/>
      <c r="F215" s="78"/>
      <c r="G215" s="78"/>
    </row>
    <row r="216" spans="1:223" x14ac:dyDescent="0.3">
      <c r="A216" s="78"/>
      <c r="B216" s="78"/>
      <c r="C216" s="78"/>
      <c r="D216" s="78"/>
      <c r="E216" s="78"/>
      <c r="F216" s="78"/>
      <c r="G216" s="78"/>
    </row>
    <row r="217" spans="1:223" x14ac:dyDescent="0.3">
      <c r="A217" s="78"/>
      <c r="B217" s="78"/>
      <c r="C217" s="78"/>
      <c r="D217" s="78"/>
      <c r="E217" s="78"/>
      <c r="F217" s="78"/>
      <c r="G217" s="78"/>
    </row>
    <row r="218" spans="1:223" x14ac:dyDescent="0.3">
      <c r="A218" s="78"/>
      <c r="B218" s="78"/>
      <c r="C218" s="78"/>
      <c r="D218" s="78"/>
      <c r="E218" s="78"/>
      <c r="F218" s="78"/>
      <c r="G218" s="78"/>
    </row>
    <row r="219" spans="1:223" x14ac:dyDescent="0.3">
      <c r="A219" s="78"/>
      <c r="B219" s="78"/>
      <c r="C219" s="78"/>
      <c r="D219" s="78"/>
      <c r="E219" s="78"/>
      <c r="F219" s="78"/>
      <c r="G219" s="78"/>
    </row>
    <row r="220" spans="1:223" x14ac:dyDescent="0.3">
      <c r="A220" s="78"/>
      <c r="B220" s="78"/>
      <c r="C220" s="78"/>
      <c r="D220" s="78"/>
      <c r="E220" s="78"/>
      <c r="F220" s="78"/>
      <c r="G220" s="78"/>
    </row>
    <row r="221" spans="1:223" x14ac:dyDescent="0.3">
      <c r="A221" s="78"/>
      <c r="B221" s="78"/>
      <c r="C221" s="78"/>
      <c r="D221" s="78"/>
      <c r="E221" s="78"/>
      <c r="F221" s="78"/>
      <c r="G221" s="78"/>
    </row>
    <row r="222" spans="1:223" x14ac:dyDescent="0.3">
      <c r="A222" s="78"/>
      <c r="B222" s="78"/>
      <c r="C222" s="78"/>
      <c r="D222" s="78"/>
      <c r="E222" s="78"/>
      <c r="F222" s="78"/>
      <c r="G222" s="78"/>
    </row>
    <row r="223" spans="1:223" x14ac:dyDescent="0.3">
      <c r="A223" s="78"/>
      <c r="B223" s="78"/>
      <c r="C223" s="78"/>
      <c r="D223" s="78"/>
      <c r="E223" s="78"/>
      <c r="F223" s="78"/>
      <c r="G223" s="78"/>
    </row>
    <row r="224" spans="1:223" x14ac:dyDescent="0.3">
      <c r="A224" s="78"/>
      <c r="B224" s="78"/>
      <c r="C224" s="78"/>
      <c r="D224" s="78"/>
      <c r="E224" s="78"/>
      <c r="F224" s="78"/>
      <c r="G224" s="78"/>
    </row>
    <row r="225" spans="1:7" x14ac:dyDescent="0.3">
      <c r="A225" s="78"/>
      <c r="B225" s="78"/>
      <c r="C225" s="78"/>
      <c r="D225" s="78"/>
      <c r="E225" s="78"/>
      <c r="F225" s="78"/>
      <c r="G225" s="78"/>
    </row>
    <row r="226" spans="1:7" x14ac:dyDescent="0.3">
      <c r="A226" s="78"/>
      <c r="B226" s="78"/>
      <c r="C226" s="78"/>
      <c r="D226" s="78"/>
      <c r="E226" s="78"/>
      <c r="F226" s="78"/>
      <c r="G226" s="78"/>
    </row>
    <row r="227" spans="1:7" x14ac:dyDescent="0.3">
      <c r="A227" s="78"/>
      <c r="B227" s="78"/>
      <c r="C227" s="78"/>
      <c r="D227" s="78"/>
      <c r="E227" s="78"/>
      <c r="F227" s="78"/>
      <c r="G227" s="78"/>
    </row>
    <row r="228" spans="1:7" x14ac:dyDescent="0.3">
      <c r="A228" s="78"/>
      <c r="B228" s="78"/>
      <c r="C228" s="78"/>
      <c r="D228" s="78"/>
      <c r="E228" s="78"/>
      <c r="F228" s="78"/>
      <c r="G228" s="78"/>
    </row>
    <row r="229" spans="1:7" x14ac:dyDescent="0.3">
      <c r="A229" s="78"/>
      <c r="B229" s="78"/>
      <c r="C229" s="78"/>
      <c r="D229" s="78"/>
      <c r="E229" s="78"/>
      <c r="F229" s="78"/>
      <c r="G229" s="78"/>
    </row>
    <row r="230" spans="1:7" x14ac:dyDescent="0.3">
      <c r="A230" s="78"/>
      <c r="B230" s="78"/>
      <c r="C230" s="78"/>
      <c r="D230" s="78"/>
      <c r="E230" s="78"/>
      <c r="F230" s="78"/>
      <c r="G230" s="78"/>
    </row>
    <row r="231" spans="1:7" x14ac:dyDescent="0.3">
      <c r="A231" s="78"/>
      <c r="B231" s="78"/>
      <c r="C231" s="78"/>
      <c r="D231" s="78"/>
      <c r="E231" s="78"/>
      <c r="F231" s="78"/>
      <c r="G231" s="78"/>
    </row>
    <row r="232" spans="1:7" x14ac:dyDescent="0.3">
      <c r="A232" s="78"/>
      <c r="B232" s="78"/>
      <c r="C232" s="78"/>
      <c r="D232" s="78"/>
      <c r="E232" s="78"/>
      <c r="F232" s="78"/>
      <c r="G232" s="78"/>
    </row>
    <row r="233" spans="1:7" x14ac:dyDescent="0.3">
      <c r="A233" s="78"/>
      <c r="B233" s="78"/>
      <c r="C233" s="78"/>
      <c r="D233" s="78"/>
      <c r="E233" s="78"/>
      <c r="F233" s="78"/>
      <c r="G233" s="78"/>
    </row>
    <row r="234" spans="1:7" x14ac:dyDescent="0.3">
      <c r="A234" s="78"/>
      <c r="B234" s="78"/>
      <c r="C234" s="78"/>
      <c r="D234" s="78"/>
      <c r="E234" s="78"/>
      <c r="F234" s="78"/>
      <c r="G234" s="78"/>
    </row>
    <row r="235" spans="1:7" x14ac:dyDescent="0.3">
      <c r="A235" s="78"/>
      <c r="B235" s="78"/>
      <c r="C235" s="78"/>
      <c r="D235" s="78"/>
      <c r="E235" s="78"/>
      <c r="F235" s="78"/>
      <c r="G235" s="78"/>
    </row>
    <row r="236" spans="1:7" x14ac:dyDescent="0.3">
      <c r="A236" s="78"/>
      <c r="B236" s="78"/>
      <c r="C236" s="78"/>
      <c r="D236" s="78"/>
      <c r="E236" s="78"/>
      <c r="F236" s="78"/>
      <c r="G236" s="78"/>
    </row>
    <row r="237" spans="1:7" x14ac:dyDescent="0.3">
      <c r="A237" s="78"/>
      <c r="B237" s="78"/>
      <c r="C237" s="78"/>
      <c r="D237" s="78"/>
      <c r="E237" s="78"/>
      <c r="F237" s="78"/>
      <c r="G237" s="78"/>
    </row>
    <row r="238" spans="1:7" x14ac:dyDescent="0.3">
      <c r="A238" s="78"/>
      <c r="B238" s="78"/>
      <c r="C238" s="78"/>
      <c r="D238" s="78"/>
      <c r="E238" s="78"/>
      <c r="F238" s="78"/>
      <c r="G238" s="78"/>
    </row>
    <row r="239" spans="1:7" x14ac:dyDescent="0.3">
      <c r="A239" s="78"/>
      <c r="B239" s="78"/>
      <c r="C239" s="78"/>
      <c r="D239" s="78"/>
      <c r="E239" s="78"/>
      <c r="F239" s="78"/>
      <c r="G239" s="78"/>
    </row>
    <row r="240" spans="1:7" x14ac:dyDescent="0.3">
      <c r="A240" s="78"/>
      <c r="B240" s="78"/>
      <c r="C240" s="78"/>
      <c r="D240" s="78"/>
      <c r="E240" s="78"/>
      <c r="F240" s="78"/>
      <c r="G240" s="78"/>
    </row>
    <row r="241" spans="1:7" x14ac:dyDescent="0.3">
      <c r="A241" s="78"/>
      <c r="B241" s="78"/>
      <c r="C241" s="78"/>
      <c r="D241" s="78"/>
      <c r="E241" s="78"/>
      <c r="F241" s="78"/>
      <c r="G241" s="78"/>
    </row>
    <row r="242" spans="1:7" x14ac:dyDescent="0.3">
      <c r="A242" s="78"/>
      <c r="B242" s="78"/>
      <c r="C242" s="78"/>
      <c r="D242" s="78"/>
      <c r="E242" s="78"/>
      <c r="F242" s="78"/>
      <c r="G242" s="78"/>
    </row>
    <row r="243" spans="1:7" x14ac:dyDescent="0.3">
      <c r="A243" s="78"/>
      <c r="B243" s="78"/>
      <c r="C243" s="78"/>
      <c r="D243" s="78"/>
      <c r="E243" s="78"/>
      <c r="F243" s="78"/>
      <c r="G243" s="78"/>
    </row>
    <row r="244" spans="1:7" x14ac:dyDescent="0.3">
      <c r="A244" s="78"/>
      <c r="B244" s="78"/>
      <c r="C244" s="78"/>
      <c r="D244" s="78"/>
      <c r="E244" s="78"/>
      <c r="F244" s="78"/>
      <c r="G244" s="78"/>
    </row>
    <row r="245" spans="1:7" x14ac:dyDescent="0.3">
      <c r="A245" s="78"/>
      <c r="B245" s="78"/>
      <c r="C245" s="78"/>
      <c r="D245" s="78"/>
      <c r="E245" s="78"/>
      <c r="F245" s="78"/>
      <c r="G245" s="78"/>
    </row>
    <row r="246" spans="1:7" x14ac:dyDescent="0.3">
      <c r="A246" s="78"/>
      <c r="B246" s="78"/>
      <c r="C246" s="78"/>
      <c r="D246" s="78"/>
      <c r="E246" s="78"/>
      <c r="F246" s="78"/>
      <c r="G246" s="78"/>
    </row>
    <row r="247" spans="1:7" x14ac:dyDescent="0.3">
      <c r="A247" s="78"/>
      <c r="B247" s="78"/>
      <c r="C247" s="78"/>
      <c r="D247" s="78"/>
      <c r="E247" s="78"/>
      <c r="F247" s="78"/>
      <c r="G247" s="78"/>
    </row>
    <row r="248" spans="1:7" x14ac:dyDescent="0.3">
      <c r="A248" s="78"/>
      <c r="B248" s="78"/>
      <c r="C248" s="78"/>
      <c r="D248" s="78"/>
      <c r="E248" s="78"/>
      <c r="F248" s="78"/>
      <c r="G248" s="78"/>
    </row>
    <row r="249" spans="1:7" x14ac:dyDescent="0.3">
      <c r="A249" s="78"/>
      <c r="B249" s="78"/>
      <c r="C249" s="78"/>
      <c r="D249" s="78"/>
      <c r="E249" s="78"/>
      <c r="F249" s="78"/>
      <c r="G249" s="78"/>
    </row>
    <row r="250" spans="1:7" x14ac:dyDescent="0.3">
      <c r="A250" s="78"/>
      <c r="B250" s="78"/>
      <c r="C250" s="78"/>
      <c r="D250" s="78"/>
      <c r="E250" s="78"/>
      <c r="F250" s="78"/>
      <c r="G250" s="78"/>
    </row>
    <row r="251" spans="1:7" x14ac:dyDescent="0.3">
      <c r="A251" s="78"/>
      <c r="B251" s="78"/>
      <c r="C251" s="78"/>
      <c r="D251" s="78"/>
      <c r="E251" s="78"/>
      <c r="F251" s="78"/>
      <c r="G251" s="78"/>
    </row>
    <row r="252" spans="1:7" x14ac:dyDescent="0.3">
      <c r="A252" s="78"/>
      <c r="B252" s="78"/>
      <c r="C252" s="78"/>
      <c r="D252" s="78"/>
      <c r="E252" s="78"/>
      <c r="F252" s="78"/>
      <c r="G252" s="78"/>
    </row>
    <row r="253" spans="1:7" x14ac:dyDescent="0.3">
      <c r="A253" s="78"/>
      <c r="B253" s="78"/>
      <c r="C253" s="78"/>
      <c r="D253" s="78"/>
      <c r="E253" s="78"/>
      <c r="F253" s="78"/>
      <c r="G253" s="78"/>
    </row>
    <row r="254" spans="1:7" x14ac:dyDescent="0.3">
      <c r="A254" s="78"/>
      <c r="B254" s="78"/>
      <c r="C254" s="78"/>
      <c r="D254" s="78"/>
      <c r="E254" s="78"/>
      <c r="F254" s="78"/>
      <c r="G254" s="78"/>
    </row>
    <row r="255" spans="1:7" x14ac:dyDescent="0.3">
      <c r="A255" s="78"/>
      <c r="B255" s="78"/>
      <c r="C255" s="78"/>
      <c r="D255" s="78"/>
      <c r="E255" s="78"/>
      <c r="F255" s="78"/>
      <c r="G255" s="78"/>
    </row>
    <row r="256" spans="1:7" x14ac:dyDescent="0.3">
      <c r="A256" s="78"/>
      <c r="B256" s="78"/>
      <c r="C256" s="78"/>
      <c r="D256" s="78"/>
      <c r="E256" s="78"/>
      <c r="F256" s="78"/>
      <c r="G256" s="78"/>
    </row>
    <row r="257" spans="1:7" x14ac:dyDescent="0.3">
      <c r="A257" s="78"/>
      <c r="B257" s="78"/>
      <c r="C257" s="78"/>
      <c r="D257" s="78"/>
      <c r="E257" s="78"/>
      <c r="F257" s="78"/>
      <c r="G257" s="78"/>
    </row>
    <row r="258" spans="1:7" x14ac:dyDescent="0.3">
      <c r="A258" s="78"/>
      <c r="B258" s="78"/>
      <c r="C258" s="78"/>
      <c r="D258" s="78"/>
      <c r="E258" s="78"/>
      <c r="F258" s="78"/>
      <c r="G258" s="78"/>
    </row>
    <row r="259" spans="1:7" x14ac:dyDescent="0.3">
      <c r="A259" s="78"/>
      <c r="B259" s="78"/>
      <c r="C259" s="78"/>
      <c r="D259" s="78"/>
      <c r="E259" s="78"/>
      <c r="F259" s="78"/>
      <c r="G259" s="78"/>
    </row>
    <row r="260" spans="1:7" x14ac:dyDescent="0.3">
      <c r="A260" s="78"/>
      <c r="B260" s="78"/>
      <c r="C260" s="78"/>
      <c r="D260" s="78"/>
      <c r="E260" s="78"/>
      <c r="F260" s="78"/>
      <c r="G260" s="78"/>
    </row>
    <row r="261" spans="1:7" x14ac:dyDescent="0.3">
      <c r="A261" s="78"/>
      <c r="B261" s="78"/>
      <c r="C261" s="78"/>
      <c r="D261" s="78"/>
      <c r="E261" s="78"/>
      <c r="F261" s="78"/>
      <c r="G261" s="78"/>
    </row>
    <row r="262" spans="1:7" x14ac:dyDescent="0.3">
      <c r="A262" s="78"/>
      <c r="B262" s="78"/>
      <c r="C262" s="78"/>
      <c r="D262" s="78"/>
      <c r="E262" s="78"/>
      <c r="F262" s="78"/>
      <c r="G262" s="78"/>
    </row>
    <row r="263" spans="1:7" x14ac:dyDescent="0.3">
      <c r="A263" s="78"/>
      <c r="B263" s="78"/>
      <c r="C263" s="78"/>
      <c r="D263" s="78"/>
      <c r="E263" s="78"/>
      <c r="F263" s="78"/>
      <c r="G263" s="78"/>
    </row>
    <row r="264" spans="1:7" x14ac:dyDescent="0.3">
      <c r="A264" s="78"/>
      <c r="B264" s="78"/>
      <c r="C264" s="78"/>
      <c r="D264" s="78"/>
      <c r="E264" s="78"/>
      <c r="F264" s="78"/>
      <c r="G264" s="78"/>
    </row>
    <row r="265" spans="1:7" x14ac:dyDescent="0.3">
      <c r="A265" s="78"/>
      <c r="B265" s="78"/>
      <c r="C265" s="78"/>
      <c r="D265" s="78"/>
      <c r="E265" s="78"/>
      <c r="F265" s="78"/>
      <c r="G265" s="78"/>
    </row>
    <row r="266" spans="1:7" x14ac:dyDescent="0.3">
      <c r="A266" s="78"/>
      <c r="B266" s="78"/>
      <c r="C266" s="78"/>
      <c r="D266" s="78"/>
      <c r="E266" s="78"/>
      <c r="F266" s="78"/>
      <c r="G266" s="78"/>
    </row>
    <row r="267" spans="1:7" x14ac:dyDescent="0.3">
      <c r="A267" s="78"/>
      <c r="B267" s="78"/>
      <c r="C267" s="78"/>
      <c r="D267" s="78"/>
      <c r="E267" s="78"/>
      <c r="F267" s="78"/>
      <c r="G267" s="78"/>
    </row>
    <row r="268" spans="1:7" x14ac:dyDescent="0.3">
      <c r="A268" s="78"/>
      <c r="B268" s="78"/>
      <c r="C268" s="78"/>
      <c r="D268" s="78"/>
      <c r="E268" s="78"/>
      <c r="F268" s="78"/>
      <c r="G268" s="78"/>
    </row>
    <row r="269" spans="1:7" x14ac:dyDescent="0.3">
      <c r="A269" s="78"/>
      <c r="B269" s="78"/>
      <c r="C269" s="78"/>
      <c r="D269" s="78"/>
      <c r="E269" s="78"/>
      <c r="F269" s="78"/>
      <c r="G269" s="78"/>
    </row>
    <row r="270" spans="1:7" x14ac:dyDescent="0.3">
      <c r="A270" s="78"/>
      <c r="B270" s="78"/>
      <c r="C270" s="78"/>
      <c r="D270" s="78"/>
      <c r="E270" s="78"/>
      <c r="F270" s="78"/>
      <c r="G270" s="78"/>
    </row>
    <row r="271" spans="1:7" x14ac:dyDescent="0.3">
      <c r="A271" s="78"/>
      <c r="B271" s="78"/>
      <c r="C271" s="78"/>
      <c r="D271" s="78"/>
      <c r="E271" s="78"/>
      <c r="F271" s="78"/>
      <c r="G271" s="78"/>
    </row>
    <row r="272" spans="1:7" x14ac:dyDescent="0.3">
      <c r="A272" s="78"/>
      <c r="B272" s="78"/>
      <c r="C272" s="78"/>
      <c r="D272" s="78"/>
      <c r="E272" s="78"/>
      <c r="F272" s="78"/>
      <c r="G272" s="78"/>
    </row>
    <row r="273" spans="1:7" x14ac:dyDescent="0.3">
      <c r="A273" s="78"/>
      <c r="B273" s="78"/>
      <c r="C273" s="78"/>
      <c r="D273" s="78"/>
      <c r="E273" s="78"/>
      <c r="F273" s="78"/>
      <c r="G273" s="78"/>
    </row>
    <row r="274" spans="1:7" x14ac:dyDescent="0.3">
      <c r="A274" s="78"/>
      <c r="B274" s="78"/>
      <c r="C274" s="78"/>
      <c r="D274" s="78"/>
      <c r="E274" s="78"/>
      <c r="F274" s="78"/>
      <c r="G274" s="78"/>
    </row>
    <row r="275" spans="1:7" x14ac:dyDescent="0.3">
      <c r="A275" s="78"/>
      <c r="B275" s="78"/>
      <c r="C275" s="78"/>
      <c r="D275" s="78"/>
      <c r="E275" s="78"/>
      <c r="F275" s="78"/>
      <c r="G275" s="78"/>
    </row>
    <row r="276" spans="1:7" x14ac:dyDescent="0.3">
      <c r="A276" s="78"/>
      <c r="B276" s="78"/>
      <c r="C276" s="78"/>
      <c r="D276" s="78"/>
      <c r="E276" s="78"/>
      <c r="F276" s="78"/>
      <c r="G276" s="78"/>
    </row>
    <row r="277" spans="1:7" x14ac:dyDescent="0.3">
      <c r="A277" s="78"/>
      <c r="B277" s="78"/>
      <c r="C277" s="78"/>
      <c r="D277" s="78"/>
      <c r="E277" s="78"/>
      <c r="F277" s="78"/>
      <c r="G277" s="78"/>
    </row>
    <row r="278" spans="1:7" x14ac:dyDescent="0.3">
      <c r="A278" s="78"/>
      <c r="B278" s="78"/>
      <c r="C278" s="78"/>
      <c r="D278" s="78"/>
      <c r="E278" s="78"/>
      <c r="F278" s="78"/>
      <c r="G278" s="78"/>
    </row>
    <row r="279" spans="1:7" x14ac:dyDescent="0.3">
      <c r="A279" s="78"/>
      <c r="B279" s="78"/>
      <c r="C279" s="78"/>
      <c r="D279" s="78"/>
      <c r="E279" s="78"/>
      <c r="F279" s="78"/>
      <c r="G279" s="78"/>
    </row>
    <row r="280" spans="1:7" x14ac:dyDescent="0.3">
      <c r="A280" s="78"/>
      <c r="B280" s="78"/>
      <c r="C280" s="78"/>
      <c r="D280" s="78"/>
      <c r="E280" s="78"/>
      <c r="F280" s="78"/>
      <c r="G280" s="78"/>
    </row>
    <row r="281" spans="1:7" x14ac:dyDescent="0.3">
      <c r="A281" s="78"/>
      <c r="B281" s="78"/>
      <c r="C281" s="78"/>
      <c r="D281" s="78"/>
      <c r="E281" s="78"/>
      <c r="F281" s="78"/>
      <c r="G281" s="78"/>
    </row>
    <row r="282" spans="1:7" x14ac:dyDescent="0.3">
      <c r="A282" s="78"/>
      <c r="B282" s="78"/>
      <c r="C282" s="78"/>
      <c r="D282" s="78"/>
      <c r="E282" s="78"/>
      <c r="F282" s="78"/>
      <c r="G282" s="78"/>
    </row>
    <row r="283" spans="1:7" x14ac:dyDescent="0.3">
      <c r="A283" s="78"/>
      <c r="B283" s="78"/>
      <c r="C283" s="78"/>
      <c r="D283" s="78"/>
      <c r="E283" s="78"/>
      <c r="F283" s="78"/>
      <c r="G283" s="78"/>
    </row>
    <row r="284" spans="1:7" x14ac:dyDescent="0.3">
      <c r="A284" s="78"/>
      <c r="B284" s="78"/>
      <c r="C284" s="78"/>
      <c r="D284" s="78"/>
      <c r="E284" s="78"/>
      <c r="F284" s="78"/>
      <c r="G284" s="78"/>
    </row>
    <row r="285" spans="1:7" x14ac:dyDescent="0.3">
      <c r="A285" s="78"/>
      <c r="B285" s="78"/>
      <c r="C285" s="78"/>
      <c r="D285" s="78"/>
      <c r="E285" s="78"/>
      <c r="F285" s="78"/>
      <c r="G285" s="78"/>
    </row>
    <row r="286" spans="1:7" x14ac:dyDescent="0.3">
      <c r="A286" s="78"/>
      <c r="B286" s="78"/>
      <c r="C286" s="78"/>
      <c r="D286" s="78"/>
      <c r="E286" s="78"/>
      <c r="F286" s="78"/>
      <c r="G286" s="78"/>
    </row>
    <row r="287" spans="1:7" x14ac:dyDescent="0.3">
      <c r="A287" s="78"/>
      <c r="B287" s="78"/>
      <c r="C287" s="78"/>
      <c r="D287" s="78"/>
      <c r="E287" s="78"/>
      <c r="F287" s="78"/>
      <c r="G287" s="78"/>
    </row>
    <row r="288" spans="1:7" x14ac:dyDescent="0.3">
      <c r="A288" s="78"/>
      <c r="B288" s="78"/>
      <c r="C288" s="78"/>
      <c r="D288" s="78"/>
      <c r="E288" s="78"/>
      <c r="F288" s="78"/>
      <c r="G288" s="78"/>
    </row>
    <row r="289" spans="1:7" x14ac:dyDescent="0.3">
      <c r="A289" s="78"/>
      <c r="B289" s="78"/>
      <c r="C289" s="78"/>
      <c r="D289" s="78"/>
      <c r="E289" s="78"/>
      <c r="F289" s="78"/>
      <c r="G289" s="78"/>
    </row>
    <row r="290" spans="1:7" x14ac:dyDescent="0.3">
      <c r="A290" s="78"/>
      <c r="B290" s="78"/>
      <c r="C290" s="78"/>
      <c r="D290" s="78"/>
      <c r="E290" s="78"/>
      <c r="F290" s="78"/>
      <c r="G290" s="78"/>
    </row>
    <row r="291" spans="1:7" x14ac:dyDescent="0.3">
      <c r="A291" s="78"/>
      <c r="B291" s="78"/>
      <c r="C291" s="78"/>
      <c r="D291" s="78"/>
      <c r="E291" s="78"/>
      <c r="F291" s="78"/>
      <c r="G291" s="78"/>
    </row>
    <row r="292" spans="1:7" x14ac:dyDescent="0.3">
      <c r="A292" s="78"/>
      <c r="B292" s="78"/>
      <c r="C292" s="78"/>
      <c r="D292" s="78"/>
      <c r="E292" s="78"/>
      <c r="F292" s="78"/>
      <c r="G292" s="78"/>
    </row>
  </sheetData>
  <protectedRanges>
    <protectedRange sqref="A3:B118 A120:B140 B119" name="Range1_1"/>
    <protectedRange sqref="F3:G140" name="Range2_1"/>
    <protectedRange sqref="H7:I8 H17:I17 H26:I26 H29:I29 H52:I52 H69:I71 H85:I86 H110:I110 H95:I98 H19:I19 H18 H94 H109" name="Range2_1_2"/>
    <protectedRange sqref="A119" name="Range1_1_1"/>
  </protectedRanges>
  <autoFilter ref="A2:HO146" xr:uid="{147CCB6F-A5A9-4F51-8BA7-02AD30FAE456}">
    <sortState xmlns:xlrd2="http://schemas.microsoft.com/office/spreadsheetml/2017/richdata2" ref="A3:HO144">
      <sortCondition ref="A2:A141"/>
    </sortState>
  </autoFilter>
  <sortState xmlns:xlrd2="http://schemas.microsoft.com/office/spreadsheetml/2017/richdata2" ref="A4:G142">
    <sortCondition ref="A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I137" activePane="bottomRight" state="frozen"/>
      <selection pane="topRight" activeCell="E1" sqref="E1"/>
      <selection pane="bottomLeft" activeCell="A5" sqref="A5"/>
      <selection pane="bottomRight" activeCell="V147" sqref="V147"/>
    </sheetView>
  </sheetViews>
  <sheetFormatPr defaultColWidth="9.44140625" defaultRowHeight="14.4" x14ac:dyDescent="0.3"/>
  <cols>
    <col min="1" max="1" width="37.5546875" style="50" customWidth="1"/>
    <col min="2" max="2" width="20.5546875" style="50" customWidth="1"/>
    <col min="3" max="3" width="11" style="50" bestFit="1" customWidth="1"/>
    <col min="4" max="4" width="15.44140625" style="50" customWidth="1"/>
    <col min="5" max="5" width="9.44140625" style="50"/>
    <col min="6" max="6" width="26.44140625" style="50" customWidth="1"/>
    <col min="7" max="8" width="8.44140625" style="50" bestFit="1" customWidth="1"/>
    <col min="9" max="9" width="11.44140625" style="50" customWidth="1"/>
    <col min="10" max="10" width="12.5546875" style="50" customWidth="1"/>
    <col min="11" max="11" width="10.5546875" style="50" customWidth="1"/>
    <col min="12" max="15" width="8.44140625" style="50" customWidth="1"/>
    <col min="16" max="17" width="8.44140625" style="51" customWidth="1"/>
    <col min="18" max="20" width="8.44140625" style="50" customWidth="1"/>
    <col min="21" max="21" width="9.44140625" style="50"/>
    <col min="22" max="22" width="12" style="50" customWidth="1"/>
    <col min="23" max="16384" width="9.44140625" style="50"/>
  </cols>
  <sheetData>
    <row r="1" spans="1:22" s="58" customFormat="1" ht="15.75" customHeight="1" x14ac:dyDescent="0.4">
      <c r="A1" s="297"/>
      <c r="B1" s="297"/>
      <c r="C1" s="297"/>
      <c r="D1" s="297"/>
      <c r="E1" s="297"/>
      <c r="F1" s="297"/>
      <c r="G1" s="297"/>
      <c r="H1" s="297"/>
      <c r="I1" s="297"/>
      <c r="J1" s="297"/>
      <c r="K1" s="297"/>
      <c r="L1" s="297"/>
      <c r="M1" s="297"/>
      <c r="N1" s="297"/>
      <c r="O1" s="297"/>
      <c r="P1" s="297"/>
      <c r="Q1" s="297"/>
      <c r="R1" s="297"/>
      <c r="S1" s="297"/>
      <c r="T1" s="297"/>
      <c r="U1" s="59"/>
      <c r="V1" s="59"/>
    </row>
    <row r="2" spans="1:22" s="2" customFormat="1" ht="107.25" customHeight="1" thickBot="1" x14ac:dyDescent="0.4">
      <c r="A2" s="13" t="s">
        <v>399</v>
      </c>
      <c r="B2" s="13" t="s">
        <v>1158</v>
      </c>
      <c r="C2" s="13" t="s">
        <v>400</v>
      </c>
      <c r="D2" s="13" t="s">
        <v>367</v>
      </c>
      <c r="E2" s="6" t="s">
        <v>356</v>
      </c>
      <c r="F2" s="13" t="s">
        <v>410</v>
      </c>
      <c r="G2" s="142" t="s">
        <v>2961</v>
      </c>
      <c r="H2" s="106" t="s">
        <v>2962</v>
      </c>
      <c r="I2" s="105" t="s">
        <v>2962</v>
      </c>
      <c r="J2" s="107" t="s">
        <v>2969</v>
      </c>
      <c r="K2" s="107" t="s">
        <v>565</v>
      </c>
      <c r="L2" s="109" t="s">
        <v>2953</v>
      </c>
      <c r="M2" s="108" t="s">
        <v>419</v>
      </c>
      <c r="N2" s="108" t="s">
        <v>396</v>
      </c>
      <c r="O2" s="60" t="s">
        <v>2955</v>
      </c>
      <c r="P2" s="110" t="s">
        <v>1355</v>
      </c>
      <c r="Q2" s="110" t="s">
        <v>2954</v>
      </c>
      <c r="R2" s="111" t="s">
        <v>444</v>
      </c>
      <c r="S2" s="112" t="s">
        <v>445</v>
      </c>
      <c r="T2" s="112" t="s">
        <v>446</v>
      </c>
      <c r="U2" s="80" t="s">
        <v>1502</v>
      </c>
      <c r="V2" s="161" t="s">
        <v>3002</v>
      </c>
    </row>
    <row r="3" spans="1:22" s="2" customFormat="1" ht="16.5" hidden="1" customHeight="1" thickTop="1" x14ac:dyDescent="0.35">
      <c r="A3" s="57" t="s">
        <v>421</v>
      </c>
      <c r="B3" s="57"/>
      <c r="C3" s="57"/>
      <c r="D3" s="57"/>
      <c r="E3" s="57"/>
      <c r="F3" s="57"/>
      <c r="G3" s="49"/>
      <c r="H3" s="49"/>
      <c r="I3" s="49"/>
      <c r="J3" s="49"/>
      <c r="K3" s="102"/>
      <c r="L3" s="48"/>
      <c r="M3" s="47"/>
      <c r="N3" s="47"/>
      <c r="O3" s="48"/>
      <c r="P3" s="49"/>
      <c r="Q3" s="49"/>
      <c r="R3" s="48">
        <v>0.3</v>
      </c>
      <c r="S3" s="47"/>
      <c r="T3" s="47"/>
      <c r="U3" s="157"/>
      <c r="V3" s="158"/>
    </row>
    <row r="4" spans="1:22" s="2" customFormat="1" ht="15" customHeight="1" thickTop="1" x14ac:dyDescent="0.35">
      <c r="A4" s="14" t="s">
        <v>378</v>
      </c>
      <c r="B4" s="14"/>
      <c r="C4" s="14"/>
      <c r="D4" s="14"/>
      <c r="E4" s="7" t="s">
        <v>378</v>
      </c>
      <c r="F4" s="14"/>
      <c r="G4" s="35" t="s">
        <v>431</v>
      </c>
      <c r="H4" s="35" t="s">
        <v>431</v>
      </c>
      <c r="I4" s="35" t="s">
        <v>394</v>
      </c>
      <c r="J4" s="35" t="s">
        <v>2968</v>
      </c>
      <c r="K4" s="35" t="s">
        <v>394</v>
      </c>
      <c r="L4" s="35" t="s">
        <v>431</v>
      </c>
      <c r="M4" s="35" t="s">
        <v>431</v>
      </c>
      <c r="N4" s="35" t="s">
        <v>431</v>
      </c>
      <c r="O4" s="35" t="s">
        <v>431</v>
      </c>
      <c r="P4" s="35" t="s">
        <v>431</v>
      </c>
      <c r="Q4" s="35" t="s">
        <v>431</v>
      </c>
      <c r="R4" s="35" t="s">
        <v>431</v>
      </c>
      <c r="S4" s="35" t="s">
        <v>431</v>
      </c>
      <c r="T4" s="35" t="s">
        <v>431</v>
      </c>
      <c r="U4" s="157"/>
      <c r="V4" s="158"/>
    </row>
    <row r="5" spans="1:22" ht="15.75" customHeight="1" x14ac:dyDescent="0.3">
      <c r="A5" s="56" t="str">
        <f>'Crisis Indicator Data'!A3</f>
        <v>Complex crisis in Afghanistan</v>
      </c>
      <c r="B5" s="56" t="str">
        <f>Lists!G3</f>
        <v>Complex crisis</v>
      </c>
      <c r="C5" s="56" t="str">
        <f>'Crisis Indicator Data'!C3</f>
        <v>AFG001</v>
      </c>
      <c r="D5" s="56" t="str">
        <f>'Crisis Indicator Data'!D3</f>
        <v>Afghanistan</v>
      </c>
      <c r="E5" s="56" t="str">
        <f>'Crisis Indicator Data'!E3</f>
        <v>AFG</v>
      </c>
      <c r="F5" s="56" t="str">
        <f>'Crisis Indicator Data'!B3</f>
        <v>Complex crisis</v>
      </c>
      <c r="G5" s="53">
        <f>IF(OR(O5="x",L5="x"),"x",ROUND((5-GEOMEAN(((5-L5)/5*4+1),((5-O5)/5*4+1),((5-O5)/5*4+1)))/4*3.5+R5*0.3,1))</f>
        <v>4.5999999999999996</v>
      </c>
      <c r="H5" s="52">
        <f>IF(G5="x","x",ROUNDUP(G5,0))</f>
        <v>5</v>
      </c>
      <c r="I5" s="150" t="str">
        <f>IF(O5="x","x",IF(L5="x","x",(IF(H5=5,"Very High",IF(H5=4,"High",IF(H5=3,"Medium",IF(H5=2,"Low","Very Low")))))))</f>
        <v>Very High</v>
      </c>
      <c r="J5" s="153" t="str">
        <f>INDEX(Trends!$D$3:$D$400,MATCH(C5,Trends!$C$3:$C$400,0))</f>
        <v>Increasing</v>
      </c>
      <c r="K5" s="143" t="str">
        <f>IF(Reliability!B3="x","x",(IF(ROUNDUP(Reliability!B3,0)=1,"Very High",IF(ROUNDUP(Reliability!B3,0)=2,"High",IF(ROUNDUP(Reliability!B3,0)=3,"Medium",IF(ROUNDUP(Reliability!B3,0)=4,"Low","Very Low"))))))</f>
        <v>High</v>
      </c>
      <c r="L5" s="55">
        <f>IF(OR(N5="x",M5="x"),"x",ROUND((5-GEOMEAN(((5-M5)/5*4+1),((5-N5)/5*4+1),((5-N5)/5*4+1)))/4*5,1))</f>
        <v>5</v>
      </c>
      <c r="M5" s="54">
        <f>'Impact of the crisis'!N6</f>
        <v>4.9000000000000004</v>
      </c>
      <c r="N5" s="54">
        <f>'Impact of the crisis'!AB6</f>
        <v>5</v>
      </c>
      <c r="O5" s="55">
        <f>'Conditions of people affected'!R6</f>
        <v>4.5</v>
      </c>
      <c r="P5" s="54">
        <f>'Conditions of people affected'!K6</f>
        <v>5</v>
      </c>
      <c r="Q5" s="54">
        <f>'Conditions of people affected'!Q6</f>
        <v>4</v>
      </c>
      <c r="R5" s="54">
        <f>IF(OR(T5="x",S5="x"),S5,ROUND((5-GEOMEAN(((5-S5)/5*4+1),((5-T5)/5*4+1)))/4*5,1))</f>
        <v>4.3</v>
      </c>
      <c r="S5" s="54">
        <f>'Complexity of the crisis'!X6</f>
        <v>4</v>
      </c>
      <c r="T5" s="54">
        <f>'Complexity of the crisis'!AN6</f>
        <v>4.5</v>
      </c>
      <c r="U5" s="159" t="str">
        <f>VLOOKUP(C5,Lists!$C$3:$E$167,3,FALSE)</f>
        <v>Asia</v>
      </c>
      <c r="V5" s="160">
        <v>44131</v>
      </c>
    </row>
    <row r="6" spans="1:22" ht="15.75" customHeight="1" x14ac:dyDescent="0.3">
      <c r="A6" s="56" t="str">
        <f>'Crisis Indicator Data'!A4</f>
        <v>Mixed migration flows in Algeria</v>
      </c>
      <c r="B6" s="56" t="str">
        <f>Lists!G4</f>
        <v>Mixed Migration</v>
      </c>
      <c r="C6" s="56" t="str">
        <f>'Crisis Indicator Data'!C4</f>
        <v>DZA002</v>
      </c>
      <c r="D6" s="56" t="str">
        <f>'Crisis Indicator Data'!D4</f>
        <v>Algeria</v>
      </c>
      <c r="E6" s="56" t="str">
        <f>'Crisis Indicator Data'!E4</f>
        <v>DZA</v>
      </c>
      <c r="F6" s="56" t="str">
        <f>'Crisis Indicator Data'!B4</f>
        <v>International displacement</v>
      </c>
      <c r="G6" s="53" t="str">
        <f t="shared" ref="G6:G69" si="0">IF(OR(O6="x",L6="x"),"x",ROUND((5-GEOMEAN(((5-L6)/5*4+1),((5-O6)/5*4+1),((5-O6)/5*4+1)))/4*3.5+R6*0.3,1))</f>
        <v>x</v>
      </c>
      <c r="H6" s="52" t="str">
        <f t="shared" ref="H6:H36" si="1">IF(G6="x","x",ROUNDUP(G6,0))</f>
        <v>x</v>
      </c>
      <c r="I6" s="150" t="str">
        <f t="shared" ref="I6:I36" si="2">IF(O6="x","x",IF(L6="x","x",(IF(H6=5,"Very High",IF(H6=4,"High",IF(H6=3,"Medium",IF(H6=2,"Low","Very Low")))))))</f>
        <v>x</v>
      </c>
      <c r="J6" s="153" t="str">
        <f>INDEX(Trends!$D$3:$D$400,MATCH(C6,Trends!$C$3:$C$400,0))</f>
        <v>-</v>
      </c>
      <c r="K6" s="143" t="str">
        <f>IF(Reliability!B4="x","x",(IF(ROUNDUP(Reliability!B4,0)=1,"Very High",IF(ROUNDUP(Reliability!B4,0)=2,"High",IF(ROUNDUP(Reliability!B4,0)=3,"Medium",IF(ROUNDUP(Reliability!B4,0)=4,"Low","Very Low"))))))</f>
        <v>Very Low</v>
      </c>
      <c r="L6" s="55">
        <f t="shared" ref="L6:L69" si="3">IF(OR(N6="x",M6="x"),"x",ROUND((5-GEOMEAN(((5-M6)/5*4+1),((5-N6)/5*4+1),((5-N6)/5*4+1)))/4*5,1))</f>
        <v>4.4000000000000004</v>
      </c>
      <c r="M6" s="54">
        <f>'Impact of the crisis'!N7</f>
        <v>5</v>
      </c>
      <c r="N6" s="54">
        <f>'Impact of the crisis'!AB7</f>
        <v>4</v>
      </c>
      <c r="O6" s="55" t="str">
        <f>'Conditions of people affected'!R7</f>
        <v>x</v>
      </c>
      <c r="P6" s="54" t="str">
        <f>'Conditions of people affected'!K7</f>
        <v>x</v>
      </c>
      <c r="Q6" s="54" t="str">
        <f>'Conditions of people affected'!Q7</f>
        <v>x</v>
      </c>
      <c r="R6" s="54">
        <f t="shared" ref="R6:R69" si="4">IF(OR(T6="x",S6="x"),S6,ROUND((5-GEOMEAN(((5-S6)/5*4+1),((5-T6)/5*4+1)))/4*5,1))</f>
        <v>2.1</v>
      </c>
      <c r="S6" s="54">
        <f>'Complexity of the crisis'!X7</f>
        <v>3</v>
      </c>
      <c r="T6" s="54">
        <f>'Complexity of the crisis'!AN7</f>
        <v>1</v>
      </c>
      <c r="U6" s="159" t="str">
        <f>VLOOKUP(C6,Lists!$C$3:$E$167,3,FALSE)</f>
        <v>Africa</v>
      </c>
      <c r="V6" s="160">
        <v>44133</v>
      </c>
    </row>
    <row r="7" spans="1:22" ht="15.75" customHeight="1" x14ac:dyDescent="0.3">
      <c r="A7" s="56" t="str">
        <f>'Crisis Indicator Data'!A5</f>
        <v>Sahrawi refugees in Algeria</v>
      </c>
      <c r="B7" s="56" t="str">
        <f>Lists!G5</f>
        <v>Sahrawi refugees</v>
      </c>
      <c r="C7" s="56" t="str">
        <f>'Crisis Indicator Data'!C5</f>
        <v>DZA003</v>
      </c>
      <c r="D7" s="56" t="str">
        <f>'Crisis Indicator Data'!D5</f>
        <v>Algeria</v>
      </c>
      <c r="E7" s="56" t="str">
        <f>'Crisis Indicator Data'!E5</f>
        <v>DZA</v>
      </c>
      <c r="F7" s="56" t="str">
        <f>'Crisis Indicator Data'!B5</f>
        <v>International displacement</v>
      </c>
      <c r="G7" s="53">
        <f t="shared" si="0"/>
        <v>2.2000000000000002</v>
      </c>
      <c r="H7" s="52">
        <f t="shared" si="1"/>
        <v>3</v>
      </c>
      <c r="I7" s="150" t="str">
        <f t="shared" si="2"/>
        <v>Medium</v>
      </c>
      <c r="J7" s="153" t="str">
        <f>INDEX(Trends!$D$3:$D$400,MATCH(C7,Trends!$C$3:$C$400,0))</f>
        <v>Stable</v>
      </c>
      <c r="K7" s="143" t="str">
        <f>IF(Reliability!B5="x","x",(IF(ROUNDUP(Reliability!B5,0)=1,"Very High",IF(ROUNDUP(Reliability!B5,0)=2,"High",IF(ROUNDUP(Reliability!B5,0)=3,"Medium",IF(ROUNDUP(Reliability!B5,0)=4,"Low","Very Low"))))))</f>
        <v>Medium</v>
      </c>
      <c r="L7" s="55">
        <f t="shared" si="3"/>
        <v>2.2000000000000002</v>
      </c>
      <c r="M7" s="54">
        <f>'Impact of the crisis'!N8</f>
        <v>1.1000000000000001</v>
      </c>
      <c r="N7" s="54">
        <f>'Impact of the crisis'!AB8</f>
        <v>2.6</v>
      </c>
      <c r="O7" s="55">
        <f>'Conditions of people affected'!R8</f>
        <v>2.2999999999999998</v>
      </c>
      <c r="P7" s="54">
        <f>'Conditions of people affected'!K8</f>
        <v>1.6</v>
      </c>
      <c r="Q7" s="54">
        <f>'Conditions of people affected'!Q8</f>
        <v>3</v>
      </c>
      <c r="R7" s="54">
        <f t="shared" si="4"/>
        <v>2.1</v>
      </c>
      <c r="S7" s="54">
        <f>'Complexity of the crisis'!X8</f>
        <v>3</v>
      </c>
      <c r="T7" s="54">
        <f>'Complexity of the crisis'!AN8</f>
        <v>1</v>
      </c>
      <c r="U7" s="159" t="str">
        <f>VLOOKUP(C7,Lists!$C$3:$E$167,3,FALSE)</f>
        <v>Africa</v>
      </c>
      <c r="V7" s="160">
        <v>44133</v>
      </c>
    </row>
    <row r="8" spans="1:22" ht="15.75" customHeight="1" x14ac:dyDescent="0.3">
      <c r="A8" s="56" t="str">
        <f>'Crisis Indicator Data'!A6</f>
        <v>Multiple crises in Algeria</v>
      </c>
      <c r="B8" s="56" t="str">
        <f>Lists!G6</f>
        <v>Country level</v>
      </c>
      <c r="C8" s="56" t="str">
        <f>'Crisis Indicator Data'!C6</f>
        <v>DZA004</v>
      </c>
      <c r="D8" s="56" t="str">
        <f>'Crisis Indicator Data'!D6</f>
        <v>Algeria</v>
      </c>
      <c r="E8" s="56" t="str">
        <f>'Crisis Indicator Data'!E6</f>
        <v>DZA</v>
      </c>
      <c r="F8" s="56" t="str">
        <f>'Crisis Indicator Data'!B6</f>
        <v>Multiple crises country</v>
      </c>
      <c r="G8" s="53" t="str">
        <f t="shared" si="0"/>
        <v>x</v>
      </c>
      <c r="H8" s="52" t="str">
        <f t="shared" si="1"/>
        <v>x</v>
      </c>
      <c r="I8" s="150" t="str">
        <f t="shared" si="2"/>
        <v>x</v>
      </c>
      <c r="J8" s="153" t="str">
        <f>INDEX(Trends!$D$3:$D$400,MATCH(C8,Trends!$C$3:$C$400,0))</f>
        <v>-</v>
      </c>
      <c r="K8" s="143" t="str">
        <f>IF(Reliability!B6="x","x",(IF(ROUNDUP(Reliability!B6,0)=1,"Very High",IF(ROUNDUP(Reliability!B6,0)=2,"High",IF(ROUNDUP(Reliability!B6,0)=3,"Medium",IF(ROUNDUP(Reliability!B6,0)=4,"Low","Very Low"))))))</f>
        <v>Low</v>
      </c>
      <c r="L8" s="55">
        <f t="shared" si="3"/>
        <v>4.4000000000000004</v>
      </c>
      <c r="M8" s="54">
        <f>'Impact of the crisis'!N9</f>
        <v>5</v>
      </c>
      <c r="N8" s="54">
        <f>'Impact of the crisis'!AB9</f>
        <v>4</v>
      </c>
      <c r="O8" s="55" t="str">
        <f>'Conditions of people affected'!R9</f>
        <v>x</v>
      </c>
      <c r="P8" s="54" t="str">
        <f>'Conditions of people affected'!K9</f>
        <v>x</v>
      </c>
      <c r="Q8" s="54" t="str">
        <f>'Conditions of people affected'!Q9</f>
        <v>x</v>
      </c>
      <c r="R8" s="54">
        <f t="shared" si="4"/>
        <v>2.5</v>
      </c>
      <c r="S8" s="54">
        <f>'Complexity of the crisis'!X9</f>
        <v>3</v>
      </c>
      <c r="T8" s="54">
        <f>'Complexity of the crisis'!AN9</f>
        <v>2</v>
      </c>
      <c r="U8" s="159" t="str">
        <f>VLOOKUP(C8,Lists!$C$3:$E$167,3,FALSE)</f>
        <v>Africa</v>
      </c>
      <c r="V8" s="160">
        <v>44133</v>
      </c>
    </row>
    <row r="9" spans="1:22" ht="15.75" customHeight="1" x14ac:dyDescent="0.3">
      <c r="A9" s="56" t="str">
        <f>'Crisis Indicator Data'!A7</f>
        <v>Western Mediterranean Route</v>
      </c>
      <c r="B9" s="56" t="str">
        <f>Lists!G7</f>
        <v>Western Mediterranean Route</v>
      </c>
      <c r="C9" s="56" t="str">
        <f>'Crisis Indicator Data'!C7</f>
        <v>REG008</v>
      </c>
      <c r="D9" s="56" t="str">
        <f>'Crisis Indicator Data'!D7</f>
        <v>Algeria, Morocco, Spain</v>
      </c>
      <c r="E9" s="56" t="str">
        <f>'Crisis Indicator Data'!E7</f>
        <v>DZA, MAR, ESP</v>
      </c>
      <c r="F9" s="56" t="str">
        <f>'Crisis Indicator Data'!B7</f>
        <v>Regional crisis</v>
      </c>
      <c r="G9" s="53" t="str">
        <f t="shared" si="0"/>
        <v>x</v>
      </c>
      <c r="H9" s="52" t="str">
        <f t="shared" si="1"/>
        <v>x</v>
      </c>
      <c r="I9" s="150" t="str">
        <f t="shared" si="2"/>
        <v>x</v>
      </c>
      <c r="J9" s="153" t="str">
        <f>INDEX(Trends!$D$3:$D$400,MATCH(C9,Trends!$C$3:$C$400,0))</f>
        <v>-</v>
      </c>
      <c r="K9" s="143" t="str">
        <f>IF(Reliability!B7="x","x",(IF(ROUNDUP(Reliability!B7,0)=1,"Very High",IF(ROUNDUP(Reliability!B7,0)=2,"High",IF(ROUNDUP(Reliability!B7,0)=3,"Medium",IF(ROUNDUP(Reliability!B7,0)=4,"Low","Very Low"))))))</f>
        <v>Very Low</v>
      </c>
      <c r="L9" s="55" t="str">
        <f t="shared" si="3"/>
        <v>x</v>
      </c>
      <c r="M9" s="54" t="str">
        <f>'Impact of the crisis'!N10</f>
        <v>x</v>
      </c>
      <c r="N9" s="54">
        <f>'Impact of the crisis'!AB10</f>
        <v>2.6</v>
      </c>
      <c r="O9" s="55" t="str">
        <f>'Conditions of people affected'!R10</f>
        <v>x</v>
      </c>
      <c r="P9" s="54" t="str">
        <f>'Conditions of people affected'!K10</f>
        <v>x</v>
      </c>
      <c r="Q9" s="54" t="str">
        <f>'Conditions of people affected'!Q10</f>
        <v>x</v>
      </c>
      <c r="R9" s="54">
        <f t="shared" si="4"/>
        <v>2.1</v>
      </c>
      <c r="S9" s="54">
        <f>'Complexity of the crisis'!X10</f>
        <v>2.6</v>
      </c>
      <c r="T9" s="54">
        <f>'Complexity of the crisis'!AN10</f>
        <v>1.5</v>
      </c>
      <c r="U9" s="159" t="str">
        <f>VLOOKUP(C9,Lists!$C$3:$E$167,3,FALSE)</f>
        <v>Europe</v>
      </c>
      <c r="V9" s="160">
        <v>44140</v>
      </c>
    </row>
    <row r="10" spans="1:22" ht="15.75" customHeight="1" x14ac:dyDescent="0.3">
      <c r="A10" s="56" t="str">
        <f>'Crisis Indicator Data'!A8</f>
        <v>Central Mediterranean Route</v>
      </c>
      <c r="B10" s="56" t="str">
        <f>Lists!G8</f>
        <v>Central Mediterranean Route</v>
      </c>
      <c r="C10" s="56" t="str">
        <f>'Crisis Indicator Data'!C8</f>
        <v>REG007</v>
      </c>
      <c r="D10" s="56" t="str">
        <f>'Crisis Indicator Data'!D8</f>
        <v>Algeria, Tunisia, Libya, Italy</v>
      </c>
      <c r="E10" s="56" t="str">
        <f>'Crisis Indicator Data'!E8</f>
        <v>DZA, TUN, LBY, ITA</v>
      </c>
      <c r="F10" s="56" t="str">
        <f>'Crisis Indicator Data'!B8</f>
        <v>Regional crisis</v>
      </c>
      <c r="G10" s="53" t="str">
        <f t="shared" si="0"/>
        <v>x</v>
      </c>
      <c r="H10" s="52" t="str">
        <f t="shared" si="1"/>
        <v>x</v>
      </c>
      <c r="I10" s="150" t="str">
        <f t="shared" si="2"/>
        <v>x</v>
      </c>
      <c r="J10" s="153" t="str">
        <f>INDEX(Trends!$D$3:$D$400,MATCH(C10,Trends!$C$3:$C$400,0))</f>
        <v>-</v>
      </c>
      <c r="K10" s="143" t="str">
        <f>IF(Reliability!B8="x","x",(IF(ROUNDUP(Reliability!B8,0)=1,"Very High",IF(ROUNDUP(Reliability!B8,0)=2,"High",IF(ROUNDUP(Reliability!B8,0)=3,"Medium",IF(ROUNDUP(Reliability!B8,0)=4,"Low","Very Low"))))))</f>
        <v>Very Low</v>
      </c>
      <c r="L10" s="55" t="str">
        <f t="shared" si="3"/>
        <v>x</v>
      </c>
      <c r="M10" s="54" t="str">
        <f>'Impact of the crisis'!N11</f>
        <v>x</v>
      </c>
      <c r="N10" s="54">
        <f>'Impact of the crisis'!AB11</f>
        <v>3.6</v>
      </c>
      <c r="O10" s="55" t="str">
        <f>'Conditions of people affected'!R11</f>
        <v>x</v>
      </c>
      <c r="P10" s="54" t="str">
        <f>'Conditions of people affected'!K11</f>
        <v>x</v>
      </c>
      <c r="Q10" s="54" t="str">
        <f>'Conditions of people affected'!Q11</f>
        <v>x</v>
      </c>
      <c r="R10" s="54">
        <f t="shared" si="4"/>
        <v>2.2999999999999998</v>
      </c>
      <c r="S10" s="54">
        <f>'Complexity of the crisis'!X11</f>
        <v>2.6</v>
      </c>
      <c r="T10" s="54">
        <f>'Complexity of the crisis'!AN11</f>
        <v>2</v>
      </c>
      <c r="U10" s="159" t="str">
        <f>VLOOKUP(C10,Lists!$C$3:$E$167,3,FALSE)</f>
        <v>Europe</v>
      </c>
      <c r="V10" s="160">
        <v>44140</v>
      </c>
    </row>
    <row r="11" spans="1:22" ht="15.75" customHeight="1" x14ac:dyDescent="0.3">
      <c r="A11" s="56" t="str">
        <f>'Crisis Indicator Data'!A9</f>
        <v>Nagorno-Karabakh Conflict in Armenia</v>
      </c>
      <c r="B11" s="56" t="str">
        <f>Lists!G9</f>
        <v>Conflict</v>
      </c>
      <c r="C11" s="56" t="str">
        <f>'Crisis Indicator Data'!C9</f>
        <v>ARM002</v>
      </c>
      <c r="D11" s="56" t="str">
        <f>'Crisis Indicator Data'!D9</f>
        <v>Armenia</v>
      </c>
      <c r="E11" s="56" t="str">
        <f>'Crisis Indicator Data'!E9</f>
        <v>ARM</v>
      </c>
      <c r="F11" s="56" t="str">
        <f>'Crisis Indicator Data'!B9</f>
        <v>Conflict</v>
      </c>
      <c r="G11" s="53" t="str">
        <f t="shared" si="0"/>
        <v>x</v>
      </c>
      <c r="H11" s="52" t="str">
        <f t="shared" si="1"/>
        <v>x</v>
      </c>
      <c r="I11" s="150" t="str">
        <f t="shared" si="2"/>
        <v>x</v>
      </c>
      <c r="J11" s="153" t="str">
        <f>INDEX(Trends!$D$3:$D$400,MATCH(C11,Trends!$C$3:$C$400,0))</f>
        <v>-</v>
      </c>
      <c r="K11" s="143" t="str">
        <f>IF(Reliability!B9="x","x",(IF(ROUNDUP(Reliability!B9,0)=1,"Very High",IF(ROUNDUP(Reliability!B9,0)=2,"High",IF(ROUNDUP(Reliability!B9,0)=3,"Medium",IF(ROUNDUP(Reliability!B9,0)=4,"Low","Very Low"))))))</f>
        <v>High</v>
      </c>
      <c r="L11" s="55">
        <f t="shared" si="3"/>
        <v>2.2999999999999998</v>
      </c>
      <c r="M11" s="54">
        <f>'Impact of the crisis'!N12</f>
        <v>0.6</v>
      </c>
      <c r="N11" s="54">
        <f>'Impact of the crisis'!AB12</f>
        <v>2.9</v>
      </c>
      <c r="O11" s="55" t="str">
        <f>'Conditions of people affected'!R12</f>
        <v>x</v>
      </c>
      <c r="P11" s="54" t="str">
        <f>'Conditions of people affected'!K12</f>
        <v>x</v>
      </c>
      <c r="Q11" s="54" t="str">
        <f>'Conditions of people affected'!Q12</f>
        <v>x</v>
      </c>
      <c r="R11" s="54">
        <f t="shared" si="4"/>
        <v>1.7</v>
      </c>
      <c r="S11" s="54">
        <f>'Complexity of the crisis'!X12</f>
        <v>1.8</v>
      </c>
      <c r="T11" s="54">
        <f>'Complexity of the crisis'!AN12</f>
        <v>1.5</v>
      </c>
      <c r="U11" s="159" t="str">
        <f>VLOOKUP(C11,Lists!$C$3:$E$167,3,FALSE)</f>
        <v>Middle east</v>
      </c>
      <c r="V11" s="160">
        <v>44139</v>
      </c>
    </row>
    <row r="12" spans="1:22" ht="15.75" customHeight="1" x14ac:dyDescent="0.3">
      <c r="A12" s="56" t="str">
        <f>'Crisis Indicator Data'!A10</f>
        <v>Nagorno-Karabakh Conflict</v>
      </c>
      <c r="B12" s="56" t="str">
        <f>Lists!G10</f>
        <v>Regional conflict</v>
      </c>
      <c r="C12" s="56" t="str">
        <f>'Crisis Indicator Data'!C10</f>
        <v>REG013</v>
      </c>
      <c r="D12" s="56" t="str">
        <f>'Crisis Indicator Data'!D10</f>
        <v>Armenia, Azerbaijan</v>
      </c>
      <c r="E12" s="56" t="str">
        <f>'Crisis Indicator Data'!E10</f>
        <v>ARM, AZE</v>
      </c>
      <c r="F12" s="56" t="str">
        <f>'Crisis Indicator Data'!B10</f>
        <v>Regional crisis</v>
      </c>
      <c r="G12" s="53" t="str">
        <f t="shared" si="0"/>
        <v>x</v>
      </c>
      <c r="H12" s="52" t="str">
        <f t="shared" si="1"/>
        <v>x</v>
      </c>
      <c r="I12" s="150" t="str">
        <f t="shared" si="2"/>
        <v>x</v>
      </c>
      <c r="J12" s="153" t="str">
        <f>INDEX(Trends!$D$3:$D$400,MATCH(C12,Trends!$C$3:$C$400,0))</f>
        <v>-</v>
      </c>
      <c r="K12" s="143" t="str">
        <f>IF(Reliability!B10="x","x",(IF(ROUNDUP(Reliability!B10,0)=1,"Very High",IF(ROUNDUP(Reliability!B10,0)=2,"High",IF(ROUNDUP(Reliability!B10,0)=3,"Medium",IF(ROUNDUP(Reliability!B10,0)=4,"Low","Very Low"))))))</f>
        <v>High</v>
      </c>
      <c r="L12" s="55">
        <f t="shared" si="3"/>
        <v>3</v>
      </c>
      <c r="M12" s="54">
        <f>'Impact of the crisis'!N13</f>
        <v>1.9</v>
      </c>
      <c r="N12" s="54">
        <f>'Impact of the crisis'!AB13</f>
        <v>3.4</v>
      </c>
      <c r="O12" s="55" t="str">
        <f>'Conditions of people affected'!R13</f>
        <v>x</v>
      </c>
      <c r="P12" s="54" t="str">
        <f>'Conditions of people affected'!K13</f>
        <v>x</v>
      </c>
      <c r="Q12" s="54" t="str">
        <f>'Conditions of people affected'!Q13</f>
        <v>x</v>
      </c>
      <c r="R12" s="54">
        <f t="shared" si="4"/>
        <v>2.2999999999999998</v>
      </c>
      <c r="S12" s="54">
        <f>'Complexity of the crisis'!X13</f>
        <v>2.6</v>
      </c>
      <c r="T12" s="54">
        <f>'Complexity of the crisis'!AN13</f>
        <v>2</v>
      </c>
      <c r="U12" s="159" t="str">
        <f>VLOOKUP(C12,Lists!$C$3:$E$167,3,FALSE)</f>
        <v>Asia</v>
      </c>
      <c r="V12" s="160">
        <v>44139</v>
      </c>
    </row>
    <row r="13" spans="1:22" ht="15.75" customHeight="1" x14ac:dyDescent="0.3">
      <c r="A13" s="56" t="str">
        <f>'Crisis Indicator Data'!A11</f>
        <v>Nagorno-Karabakh conflict in Azerbaijan</v>
      </c>
      <c r="B13" s="56" t="str">
        <f>Lists!G11</f>
        <v>Conflcit</v>
      </c>
      <c r="C13" s="56" t="str">
        <f>'Crisis Indicator Data'!C11</f>
        <v>AZE002</v>
      </c>
      <c r="D13" s="56" t="str">
        <f>'Crisis Indicator Data'!D11</f>
        <v>Azerbaijan</v>
      </c>
      <c r="E13" s="56" t="str">
        <f>'Crisis Indicator Data'!E11</f>
        <v>AZE</v>
      </c>
      <c r="F13" s="56" t="str">
        <f>'Crisis Indicator Data'!B11</f>
        <v>Conflict</v>
      </c>
      <c r="G13" s="53" t="str">
        <f t="shared" si="0"/>
        <v>x</v>
      </c>
      <c r="H13" s="52" t="str">
        <f t="shared" si="1"/>
        <v>x</v>
      </c>
      <c r="I13" s="150" t="str">
        <f t="shared" si="2"/>
        <v>x</v>
      </c>
      <c r="J13" s="153" t="str">
        <f>INDEX(Trends!$D$3:$D$400,MATCH(C13,Trends!$C$3:$C$400,0))</f>
        <v>-</v>
      </c>
      <c r="K13" s="143" t="str">
        <f>IF(Reliability!B11="x","x",(IF(ROUNDUP(Reliability!B11,0)=1,"Very High",IF(ROUNDUP(Reliability!B11,0)=2,"High",IF(ROUNDUP(Reliability!B11,0)=3,"Medium",IF(ROUNDUP(Reliability!B11,0)=4,"Low","Very Low"))))))</f>
        <v>High</v>
      </c>
      <c r="L13" s="55">
        <f t="shared" si="3"/>
        <v>2.9</v>
      </c>
      <c r="M13" s="54">
        <f>'Impact of the crisis'!N14</f>
        <v>1.8</v>
      </c>
      <c r="N13" s="54">
        <f>'Impact of the crisis'!AB14</f>
        <v>3.3</v>
      </c>
      <c r="O13" s="55" t="str">
        <f>'Conditions of people affected'!R14</f>
        <v>x</v>
      </c>
      <c r="P13" s="54" t="str">
        <f>'Conditions of people affected'!K14</f>
        <v>x</v>
      </c>
      <c r="Q13" s="54" t="str">
        <f>'Conditions of people affected'!Q14</f>
        <v>x</v>
      </c>
      <c r="R13" s="54">
        <f t="shared" si="4"/>
        <v>2.5</v>
      </c>
      <c r="S13" s="54">
        <f>'Complexity of the crisis'!X14</f>
        <v>2.9</v>
      </c>
      <c r="T13" s="54">
        <f>'Complexity of the crisis'!AN14</f>
        <v>2</v>
      </c>
      <c r="U13" s="159" t="str">
        <f>VLOOKUP(C13,Lists!$C$3:$E$167,3,FALSE)</f>
        <v>Middle east</v>
      </c>
      <c r="V13" s="160">
        <v>44139</v>
      </c>
    </row>
    <row r="14" spans="1:22" ht="15.75" customHeight="1" x14ac:dyDescent="0.3">
      <c r="A14" s="56" t="str">
        <f>'Crisis Indicator Data'!A12</f>
        <v>Mutliple crises in Bangladesh</v>
      </c>
      <c r="B14" s="56" t="str">
        <f>Lists!G12</f>
        <v>Country Level</v>
      </c>
      <c r="C14" s="56" t="str">
        <f>'Crisis Indicator Data'!C12</f>
        <v>BGD001</v>
      </c>
      <c r="D14" s="56" t="str">
        <f>'Crisis Indicator Data'!D12</f>
        <v>Bangladesh</v>
      </c>
      <c r="E14" s="56" t="str">
        <f>'Crisis Indicator Data'!E12</f>
        <v>BGD</v>
      </c>
      <c r="F14" s="56" t="str">
        <f>'Crisis Indicator Data'!B12</f>
        <v>Multiple crises country</v>
      </c>
      <c r="G14" s="53">
        <f t="shared" si="0"/>
        <v>2.9</v>
      </c>
      <c r="H14" s="52">
        <f t="shared" si="1"/>
        <v>3</v>
      </c>
      <c r="I14" s="150" t="str">
        <f t="shared" si="2"/>
        <v>Medium</v>
      </c>
      <c r="J14" s="153" t="str">
        <f>INDEX(Trends!$D$3:$D$400,MATCH(C14,Trends!$C$3:$C$400,0))</f>
        <v>Decreasing</v>
      </c>
      <c r="K14" s="143" t="str">
        <f>IF(Reliability!B12="x","x",(IF(ROUNDUP(Reliability!B12,0)=1,"Very High",IF(ROUNDUP(Reliability!B12,0)=2,"High",IF(ROUNDUP(Reliability!B12,0)=3,"Medium",IF(ROUNDUP(Reliability!B12,0)=4,"Low","Very Low"))))))</f>
        <v>High</v>
      </c>
      <c r="L14" s="55">
        <f t="shared" si="3"/>
        <v>2.9</v>
      </c>
      <c r="M14" s="54">
        <f>'Impact of the crisis'!N15</f>
        <v>3.3</v>
      </c>
      <c r="N14" s="54">
        <f>'Impact of the crisis'!AB15</f>
        <v>2.6</v>
      </c>
      <c r="O14" s="55">
        <f>'Conditions of people affected'!R15</f>
        <v>2.85</v>
      </c>
      <c r="P14" s="54">
        <f>'Conditions of people affected'!K15</f>
        <v>3.7</v>
      </c>
      <c r="Q14" s="54">
        <f>'Conditions of people affected'!Q15</f>
        <v>2</v>
      </c>
      <c r="R14" s="54">
        <f t="shared" si="4"/>
        <v>3.1</v>
      </c>
      <c r="S14" s="54">
        <f>'Complexity of the crisis'!X15</f>
        <v>2.7</v>
      </c>
      <c r="T14" s="54">
        <f>'Complexity of the crisis'!AN15</f>
        <v>3.5</v>
      </c>
      <c r="U14" s="159" t="str">
        <f>VLOOKUP(C14,Lists!$C$3:$E$167,3,FALSE)</f>
        <v>Asia</v>
      </c>
      <c r="V14" s="160">
        <v>44132</v>
      </c>
    </row>
    <row r="15" spans="1:22" ht="15.75" customHeight="1" x14ac:dyDescent="0.3">
      <c r="A15" s="56" t="str">
        <f>'Crisis Indicator Data'!A13</f>
        <v>Rohingya refugee crisis</v>
      </c>
      <c r="B15" s="56" t="str">
        <f>Lists!G13</f>
        <v>Rohingya Refugees</v>
      </c>
      <c r="C15" s="56" t="str">
        <f>'Crisis Indicator Data'!C13</f>
        <v>BGD002</v>
      </c>
      <c r="D15" s="56" t="str">
        <f>'Crisis Indicator Data'!D13</f>
        <v>Bangladesh</v>
      </c>
      <c r="E15" s="56" t="str">
        <f>'Crisis Indicator Data'!E13</f>
        <v>BGD</v>
      </c>
      <c r="F15" s="56" t="str">
        <f>'Crisis Indicator Data'!B13</f>
        <v>International displacement</v>
      </c>
      <c r="G15" s="53">
        <f t="shared" si="0"/>
        <v>3.2</v>
      </c>
      <c r="H15" s="52">
        <f t="shared" si="1"/>
        <v>4</v>
      </c>
      <c r="I15" s="150" t="str">
        <f t="shared" si="2"/>
        <v>High</v>
      </c>
      <c r="J15" s="153" t="str">
        <f>INDEX(Trends!$D$3:$D$400,MATCH(C15,Trends!$C$3:$C$400,0))</f>
        <v>Stable</v>
      </c>
      <c r="K15" s="143" t="str">
        <f>IF(Reliability!B13="x","x",(IF(ROUNDUP(Reliability!B13,0)=1,"Very High",IF(ROUNDUP(Reliability!B13,0)=2,"High",IF(ROUNDUP(Reliability!B13,0)=3,"Medium",IF(ROUNDUP(Reliability!B13,0)=4,"Low","Very Low"))))))</f>
        <v>Very High</v>
      </c>
      <c r="L15" s="55">
        <f t="shared" si="3"/>
        <v>2.7</v>
      </c>
      <c r="M15" s="54">
        <f>'Impact of the crisis'!N16</f>
        <v>0.1</v>
      </c>
      <c r="N15" s="54">
        <f>'Impact of the crisis'!AB16</f>
        <v>3.5</v>
      </c>
      <c r="O15" s="55">
        <f>'Conditions of people affected'!R16</f>
        <v>3.6</v>
      </c>
      <c r="P15" s="54">
        <f>'Conditions of people affected'!K16</f>
        <v>3.2</v>
      </c>
      <c r="Q15" s="54">
        <f>'Conditions of people affected'!Q16</f>
        <v>4</v>
      </c>
      <c r="R15" s="54">
        <f t="shared" si="4"/>
        <v>2.9</v>
      </c>
      <c r="S15" s="54">
        <f>'Complexity of the crisis'!X16</f>
        <v>2.7</v>
      </c>
      <c r="T15" s="54">
        <f>'Complexity of the crisis'!AN16</f>
        <v>3</v>
      </c>
      <c r="U15" s="159" t="str">
        <f>VLOOKUP(C15,Lists!$C$3:$E$167,3,FALSE)</f>
        <v>Asia</v>
      </c>
      <c r="V15" s="160">
        <v>44132</v>
      </c>
    </row>
    <row r="16" spans="1:22" ht="15.75" customHeight="1" x14ac:dyDescent="0.3">
      <c r="A16" s="56" t="str">
        <f>'Crisis Indicator Data'!A14</f>
        <v>Floods in Bangladesh</v>
      </c>
      <c r="B16" s="56" t="str">
        <f>Lists!G14</f>
        <v>Floods</v>
      </c>
      <c r="C16" s="56" t="str">
        <f>'Crisis Indicator Data'!C14</f>
        <v>BGD003</v>
      </c>
      <c r="D16" s="56" t="str">
        <f>'Crisis Indicator Data'!D14</f>
        <v>Bangladesh</v>
      </c>
      <c r="E16" s="56" t="str">
        <f>'Crisis Indicator Data'!E14</f>
        <v>BGD</v>
      </c>
      <c r="F16" s="56" t="str">
        <f>'Crisis Indicator Data'!B14</f>
        <v>Flood</v>
      </c>
      <c r="G16" s="53">
        <f t="shared" si="0"/>
        <v>2.1</v>
      </c>
      <c r="H16" s="52">
        <f t="shared" si="1"/>
        <v>3</v>
      </c>
      <c r="I16" s="150" t="str">
        <f t="shared" si="2"/>
        <v>Medium</v>
      </c>
      <c r="J16" s="153" t="str">
        <f>INDEX(Trends!$D$3:$D$400,MATCH(C16,Trends!$C$3:$C$400,0))</f>
        <v>-</v>
      </c>
      <c r="K16" s="143" t="str">
        <f>IF(Reliability!B14="x","x",(IF(ROUNDUP(Reliability!B14,0)=1,"Very High",IF(ROUNDUP(Reliability!B14,0)=2,"High",IF(ROUNDUP(Reliability!B14,0)=3,"Medium",IF(ROUNDUP(Reliability!B14,0)=4,"Low","Very Low"))))))</f>
        <v>High</v>
      </c>
      <c r="L16" s="55">
        <f t="shared" si="3"/>
        <v>2.2000000000000002</v>
      </c>
      <c r="M16" s="54">
        <f>'Impact of the crisis'!N17</f>
        <v>2.9</v>
      </c>
      <c r="N16" s="54">
        <f>'Impact of the crisis'!AB17</f>
        <v>1.8</v>
      </c>
      <c r="O16" s="55">
        <f>'Conditions of people affected'!R17</f>
        <v>1.8</v>
      </c>
      <c r="P16" s="54">
        <f>'Conditions of people affected'!K17</f>
        <v>1.6</v>
      </c>
      <c r="Q16" s="54">
        <f>'Conditions of people affected'!Q17</f>
        <v>2</v>
      </c>
      <c r="R16" s="54">
        <f t="shared" si="4"/>
        <v>2.6</v>
      </c>
      <c r="S16" s="54">
        <f>'Complexity of the crisis'!X17</f>
        <v>2.7</v>
      </c>
      <c r="T16" s="54">
        <f>'Complexity of the crisis'!AN17</f>
        <v>2.5</v>
      </c>
      <c r="U16" s="159" t="str">
        <f>VLOOKUP(C16,Lists!$C$3:$E$167,3,FALSE)</f>
        <v>Asia</v>
      </c>
      <c r="V16" s="160">
        <v>44132</v>
      </c>
    </row>
    <row r="17" spans="1:22" ht="15.75" customHeight="1" x14ac:dyDescent="0.3">
      <c r="A17" s="56" t="str">
        <f>'Crisis Indicator Data'!A15</f>
        <v>Cyclone Amphan Bangladesh</v>
      </c>
      <c r="B17" s="56" t="str">
        <f>Lists!G15</f>
        <v>Cyclone Amphan</v>
      </c>
      <c r="C17" s="56" t="str">
        <f>'Crisis Indicator Data'!C15</f>
        <v>BGD006</v>
      </c>
      <c r="D17" s="56" t="str">
        <f>'Crisis Indicator Data'!D15</f>
        <v>Bangladesh</v>
      </c>
      <c r="E17" s="56" t="str">
        <f>'Crisis Indicator Data'!E15</f>
        <v>BGD</v>
      </c>
      <c r="F17" s="56" t="str">
        <f>'Crisis Indicator Data'!B15</f>
        <v>Tropical cyclone</v>
      </c>
      <c r="G17" s="53">
        <f t="shared" si="0"/>
        <v>2.5</v>
      </c>
      <c r="H17" s="52">
        <f t="shared" si="1"/>
        <v>3</v>
      </c>
      <c r="I17" s="150" t="str">
        <f t="shared" si="2"/>
        <v>Medium</v>
      </c>
      <c r="J17" s="153" t="str">
        <f>INDEX(Trends!$D$3:$D$400,MATCH(C17,Trends!$C$3:$C$400,0))</f>
        <v>Stable</v>
      </c>
      <c r="K17" s="143" t="str">
        <f>IF(Reliability!B15="x","x",(IF(ROUNDUP(Reliability!B15,0)=1,"Very High",IF(ROUNDUP(Reliability!B15,0)=2,"High",IF(ROUNDUP(Reliability!B15,0)=3,"Medium",IF(ROUNDUP(Reliability!B15,0)=4,"Low","Very Low"))))))</f>
        <v>High</v>
      </c>
      <c r="L17" s="55">
        <f t="shared" si="3"/>
        <v>2.5</v>
      </c>
      <c r="M17" s="54">
        <f>'Impact of the crisis'!N18</f>
        <v>2.4</v>
      </c>
      <c r="N17" s="54">
        <f>'Impact of the crisis'!AB18</f>
        <v>2.5</v>
      </c>
      <c r="O17" s="55">
        <f>'Conditions of people affected'!R18</f>
        <v>2.5499999999999998</v>
      </c>
      <c r="P17" s="54">
        <f>'Conditions of people affected'!K18</f>
        <v>3.1</v>
      </c>
      <c r="Q17" s="54">
        <f>'Conditions of people affected'!Q18</f>
        <v>2</v>
      </c>
      <c r="R17" s="54">
        <f t="shared" si="4"/>
        <v>2.4</v>
      </c>
      <c r="S17" s="54">
        <f>'Complexity of the crisis'!X18</f>
        <v>2.7</v>
      </c>
      <c r="T17" s="54">
        <f>'Complexity of the crisis'!AN18</f>
        <v>2</v>
      </c>
      <c r="U17" s="159" t="str">
        <f>VLOOKUP(C17,Lists!$C$3:$E$167,3,FALSE)</f>
        <v>Asia</v>
      </c>
      <c r="V17" s="160">
        <v>44132</v>
      </c>
    </row>
    <row r="18" spans="1:22" ht="15.75" customHeight="1" x14ac:dyDescent="0.3">
      <c r="A18" s="56" t="str">
        <f>'Crisis Indicator Data'!A16</f>
        <v>Rohingya Regional Crisis</v>
      </c>
      <c r="B18" s="56" t="str">
        <f>Lists!G16</f>
        <v>Rohingya Regional Crisis</v>
      </c>
      <c r="C18" s="56" t="str">
        <f>'Crisis Indicator Data'!C16</f>
        <v>REG011</v>
      </c>
      <c r="D18" s="56" t="str">
        <f>'Crisis Indicator Data'!D16</f>
        <v>Bangladesh, Myanmar</v>
      </c>
      <c r="E18" s="56" t="str">
        <f>'Crisis Indicator Data'!E16</f>
        <v>BGD, MMR</v>
      </c>
      <c r="F18" s="56" t="str">
        <f>'Crisis Indicator Data'!B16</f>
        <v>Regional crisis</v>
      </c>
      <c r="G18" s="53">
        <f t="shared" si="0"/>
        <v>3.6</v>
      </c>
      <c r="H18" s="52">
        <f t="shared" si="1"/>
        <v>4</v>
      </c>
      <c r="I18" s="150" t="str">
        <f t="shared" si="2"/>
        <v>High</v>
      </c>
      <c r="J18" s="153" t="str">
        <f>INDEX(Trends!$D$3:$D$400,MATCH(C18,Trends!$C$3:$C$400,0))</f>
        <v>Decreasing</v>
      </c>
      <c r="K18" s="143" t="str">
        <f>IF(Reliability!B16="x","x",(IF(ROUNDUP(Reliability!B16,0)=1,"Very High",IF(ROUNDUP(Reliability!B16,0)=2,"High",IF(ROUNDUP(Reliability!B16,0)=3,"Medium",IF(ROUNDUP(Reliability!B16,0)=4,"Low","Very Low"))))))</f>
        <v>Very High</v>
      </c>
      <c r="L18" s="55">
        <f t="shared" si="3"/>
        <v>3</v>
      </c>
      <c r="M18" s="54">
        <f>'Impact of the crisis'!N19</f>
        <v>1.4</v>
      </c>
      <c r="N18" s="54">
        <f>'Impact of the crisis'!AB19</f>
        <v>3.6</v>
      </c>
      <c r="O18" s="55">
        <f>'Conditions of people affected'!R19</f>
        <v>3.85</v>
      </c>
      <c r="P18" s="54">
        <f>'Conditions of people affected'!K19</f>
        <v>3.7</v>
      </c>
      <c r="Q18" s="54">
        <f>'Conditions of people affected'!Q19</f>
        <v>4</v>
      </c>
      <c r="R18" s="54">
        <f t="shared" si="4"/>
        <v>3.6</v>
      </c>
      <c r="S18" s="54">
        <f>'Complexity of the crisis'!X19</f>
        <v>3.1</v>
      </c>
      <c r="T18" s="54">
        <f>'Complexity of the crisis'!AN19</f>
        <v>4</v>
      </c>
      <c r="U18" s="159" t="str">
        <f>VLOOKUP(C18,Lists!$C$3:$E$167,3,FALSE)</f>
        <v>Asia</v>
      </c>
      <c r="V18" s="160">
        <v>44132</v>
      </c>
    </row>
    <row r="19" spans="1:22" ht="15.75" customHeight="1" x14ac:dyDescent="0.3">
      <c r="A19" s="56" t="str">
        <f>'Crisis Indicator Data'!A17</f>
        <v>Venezuela displacement in Brazil</v>
      </c>
      <c r="B19" s="56" t="str">
        <f>Lists!G17</f>
        <v>Venezuelan refugees</v>
      </c>
      <c r="C19" s="56" t="str">
        <f>'Crisis Indicator Data'!C17</f>
        <v>BRA002</v>
      </c>
      <c r="D19" s="56" t="str">
        <f>'Crisis Indicator Data'!D17</f>
        <v>Brazil</v>
      </c>
      <c r="E19" s="56" t="str">
        <f>'Crisis Indicator Data'!E17</f>
        <v>BRA</v>
      </c>
      <c r="F19" s="56" t="str">
        <f>'Crisis Indicator Data'!B17</f>
        <v>International displacement</v>
      </c>
      <c r="G19" s="53">
        <f t="shared" si="0"/>
        <v>2.2999999999999998</v>
      </c>
      <c r="H19" s="52">
        <f t="shared" si="1"/>
        <v>3</v>
      </c>
      <c r="I19" s="150" t="str">
        <f t="shared" si="2"/>
        <v>Medium</v>
      </c>
      <c r="J19" s="153" t="str">
        <f>INDEX(Trends!$D$3:$D$400,MATCH(C19,Trends!$C$3:$C$400,0))</f>
        <v>Increasing</v>
      </c>
      <c r="K19" s="143" t="str">
        <f>IF(Reliability!B17="x","x",(IF(ROUNDUP(Reliability!B17,0)=1,"Very High",IF(ROUNDUP(Reliability!B17,0)=2,"High",IF(ROUNDUP(Reliability!B17,0)=3,"Medium",IF(ROUNDUP(Reliability!B17,0)=4,"Low","Very Low"))))))</f>
        <v>High</v>
      </c>
      <c r="L19" s="55">
        <f t="shared" si="3"/>
        <v>2.4</v>
      </c>
      <c r="M19" s="54">
        <f>'Impact of the crisis'!N20</f>
        <v>1.1000000000000001</v>
      </c>
      <c r="N19" s="54">
        <f>'Impact of the crisis'!AB20</f>
        <v>2.9</v>
      </c>
      <c r="O19" s="55">
        <f>'Conditions of people affected'!R20</f>
        <v>2.7</v>
      </c>
      <c r="P19" s="54">
        <f>'Conditions of people affected'!K20</f>
        <v>2.4</v>
      </c>
      <c r="Q19" s="54">
        <f>'Conditions of people affected'!Q20</f>
        <v>3</v>
      </c>
      <c r="R19" s="54">
        <f t="shared" si="4"/>
        <v>1.6</v>
      </c>
      <c r="S19" s="54">
        <f>'Complexity of the crisis'!X20</f>
        <v>2.2000000000000002</v>
      </c>
      <c r="T19" s="54">
        <f>'Complexity of the crisis'!AN20</f>
        <v>1</v>
      </c>
      <c r="U19" s="159" t="str">
        <f>VLOOKUP(C19,Lists!$C$3:$E$167,3,FALSE)</f>
        <v>Americas</v>
      </c>
      <c r="V19" s="160">
        <v>44110</v>
      </c>
    </row>
    <row r="20" spans="1:22" ht="15.75" customHeight="1" x14ac:dyDescent="0.3">
      <c r="A20" s="56" t="str">
        <f>'Crisis Indicator Data'!A18</f>
        <v>Conflict in Burkina Faso</v>
      </c>
      <c r="B20" s="56" t="str">
        <f>Lists!G18</f>
        <v>Conflict</v>
      </c>
      <c r="C20" s="56" t="str">
        <f>'Crisis Indicator Data'!C18</f>
        <v>BFA002</v>
      </c>
      <c r="D20" s="56" t="str">
        <f>'Crisis Indicator Data'!D18</f>
        <v>Burkina Faso</v>
      </c>
      <c r="E20" s="56" t="str">
        <f>'Crisis Indicator Data'!E18</f>
        <v>BFA</v>
      </c>
      <c r="F20" s="56" t="str">
        <f>'Crisis Indicator Data'!B18</f>
        <v>Conflict</v>
      </c>
      <c r="G20" s="53">
        <f t="shared" si="0"/>
        <v>3.8</v>
      </c>
      <c r="H20" s="52">
        <f t="shared" si="1"/>
        <v>4</v>
      </c>
      <c r="I20" s="150" t="str">
        <f t="shared" si="2"/>
        <v>High</v>
      </c>
      <c r="J20" s="153" t="str">
        <f>INDEX(Trends!$D$3:$D$400,MATCH(C20,Trends!$C$3:$C$400,0))</f>
        <v>Increasing</v>
      </c>
      <c r="K20" s="143" t="str">
        <f>IF(Reliability!B18="x","x",(IF(ROUNDUP(Reliability!B18,0)=1,"Very High",IF(ROUNDUP(Reliability!B18,0)=2,"High",IF(ROUNDUP(Reliability!B18,0)=3,"Medium",IF(ROUNDUP(Reliability!B18,0)=4,"Low","Very Low"))))))</f>
        <v>High</v>
      </c>
      <c r="L20" s="55">
        <f t="shared" si="3"/>
        <v>3.8</v>
      </c>
      <c r="M20" s="54">
        <f>'Impact of the crisis'!N21</f>
        <v>2.9</v>
      </c>
      <c r="N20" s="54">
        <f>'Impact of the crisis'!AB21</f>
        <v>4.0999999999999996</v>
      </c>
      <c r="O20" s="55">
        <f>'Conditions of people affected'!R21</f>
        <v>4.45</v>
      </c>
      <c r="P20" s="54">
        <f>'Conditions of people affected'!K21</f>
        <v>3.9</v>
      </c>
      <c r="Q20" s="54">
        <f>'Conditions of people affected'!Q21</f>
        <v>5</v>
      </c>
      <c r="R20" s="54">
        <f t="shared" si="4"/>
        <v>2.9</v>
      </c>
      <c r="S20" s="54">
        <f>'Complexity of the crisis'!X21</f>
        <v>2.8</v>
      </c>
      <c r="T20" s="54">
        <f>'Complexity of the crisis'!AN21</f>
        <v>3</v>
      </c>
      <c r="U20" s="159" t="str">
        <f>VLOOKUP(C20,Lists!$C$3:$E$167,3,FALSE)</f>
        <v>Africa</v>
      </c>
      <c r="V20" s="160">
        <v>44134</v>
      </c>
    </row>
    <row r="21" spans="1:22" ht="15.75" customHeight="1" x14ac:dyDescent="0.3">
      <c r="A21" s="56" t="str">
        <f>'Crisis Indicator Data'!A19</f>
        <v>Floods in Burkina Faso</v>
      </c>
      <c r="B21" s="56" t="str">
        <f>Lists!G19</f>
        <v>Floods</v>
      </c>
      <c r="C21" s="56" t="str">
        <f>'Crisis Indicator Data'!C19</f>
        <v>BFA003</v>
      </c>
      <c r="D21" s="56" t="str">
        <f>'Crisis Indicator Data'!D19</f>
        <v>Burkina Faso</v>
      </c>
      <c r="E21" s="56" t="str">
        <f>'Crisis Indicator Data'!E19</f>
        <v>BFA</v>
      </c>
      <c r="F21" s="56" t="str">
        <f>'Crisis Indicator Data'!B19</f>
        <v>Flood</v>
      </c>
      <c r="G21" s="53">
        <f t="shared" si="0"/>
        <v>2.2999999999999998</v>
      </c>
      <c r="H21" s="52">
        <f t="shared" si="1"/>
        <v>3</v>
      </c>
      <c r="I21" s="150" t="str">
        <f t="shared" si="2"/>
        <v>Medium</v>
      </c>
      <c r="J21" s="153" t="str">
        <f>INDEX(Trends!$D$3:$D$400,MATCH(C21,Trends!$C$3:$C$400,0))</f>
        <v>-</v>
      </c>
      <c r="K21" s="143" t="str">
        <f>IF(Reliability!B19="x","x",(IF(ROUNDUP(Reliability!B19,0)=1,"Very High",IF(ROUNDUP(Reliability!B19,0)=2,"High",IF(ROUNDUP(Reliability!B19,0)=3,"Medium",IF(ROUNDUP(Reliability!B19,0)=4,"Low","Very Low"))))))</f>
        <v>High</v>
      </c>
      <c r="L21" s="55">
        <f t="shared" si="3"/>
        <v>3.3</v>
      </c>
      <c r="M21" s="54">
        <f>'Impact of the crisis'!N22</f>
        <v>4.5999999999999996</v>
      </c>
      <c r="N21" s="54">
        <f>'Impact of the crisis'!AB22</f>
        <v>2.4</v>
      </c>
      <c r="O21" s="55">
        <f>'Conditions of people affected'!R22</f>
        <v>1.1000000000000001</v>
      </c>
      <c r="P21" s="54">
        <f>'Conditions of people affected'!K22</f>
        <v>1.2</v>
      </c>
      <c r="Q21" s="54">
        <f>'Conditions of people affected'!Q22</f>
        <v>1</v>
      </c>
      <c r="R21" s="54">
        <f t="shared" si="4"/>
        <v>3.2</v>
      </c>
      <c r="S21" s="54">
        <f>'Complexity of the crisis'!X22</f>
        <v>2.8</v>
      </c>
      <c r="T21" s="54">
        <f>'Complexity of the crisis'!AN22</f>
        <v>3.5</v>
      </c>
      <c r="U21" s="159" t="str">
        <f>VLOOKUP(C21,Lists!$C$3:$E$167,3,FALSE)</f>
        <v>Africa</v>
      </c>
      <c r="V21" s="160">
        <v>44134</v>
      </c>
    </row>
    <row r="22" spans="1:22" ht="15.75" customHeight="1" x14ac:dyDescent="0.3">
      <c r="A22" s="56" t="str">
        <f>'Crisis Indicator Data'!A20</f>
        <v>Multiple crises in Burkina Faso</v>
      </c>
      <c r="B22" s="56" t="str">
        <f>Lists!G20</f>
        <v>Country level</v>
      </c>
      <c r="C22" s="56" t="str">
        <f>'Crisis Indicator Data'!C20</f>
        <v>BFA004</v>
      </c>
      <c r="D22" s="56" t="str">
        <f>'Crisis Indicator Data'!D20</f>
        <v>Burkina Faso</v>
      </c>
      <c r="E22" s="56" t="str">
        <f>'Crisis Indicator Data'!E20</f>
        <v>BFA</v>
      </c>
      <c r="F22" s="56" t="str">
        <f>'Crisis Indicator Data'!B20</f>
        <v>Multiple crises country</v>
      </c>
      <c r="G22" s="53">
        <f t="shared" si="0"/>
        <v>3.8</v>
      </c>
      <c r="H22" s="52">
        <f t="shared" si="1"/>
        <v>4</v>
      </c>
      <c r="I22" s="150" t="str">
        <f t="shared" si="2"/>
        <v>High</v>
      </c>
      <c r="J22" s="153" t="str">
        <f>INDEX(Trends!$D$3:$D$400,MATCH(C22,Trends!$C$3:$C$400,0))</f>
        <v>-</v>
      </c>
      <c r="K22" s="143" t="str">
        <f>IF(Reliability!B20="x","x",(IF(ROUNDUP(Reliability!B20,0)=1,"Very High",IF(ROUNDUP(Reliability!B20,0)=2,"High",IF(ROUNDUP(Reliability!B20,0)=3,"Medium",IF(ROUNDUP(Reliability!B20,0)=4,"Low","Very Low"))))))</f>
        <v>High</v>
      </c>
      <c r="L22" s="55">
        <f t="shared" si="3"/>
        <v>4.0999999999999996</v>
      </c>
      <c r="M22" s="54">
        <f>'Impact of the crisis'!N23</f>
        <v>4.5999999999999996</v>
      </c>
      <c r="N22" s="54">
        <f>'Impact of the crisis'!AB23</f>
        <v>3.8</v>
      </c>
      <c r="O22" s="55">
        <f>'Conditions of people affected'!R23</f>
        <v>3.95</v>
      </c>
      <c r="P22" s="54">
        <f>'Conditions of people affected'!K23</f>
        <v>3.9</v>
      </c>
      <c r="Q22" s="54">
        <f>'Conditions of people affected'!Q23</f>
        <v>4</v>
      </c>
      <c r="R22" s="54">
        <f t="shared" si="4"/>
        <v>3.2</v>
      </c>
      <c r="S22" s="54">
        <f>'Complexity of the crisis'!X23</f>
        <v>2.8</v>
      </c>
      <c r="T22" s="54">
        <f>'Complexity of the crisis'!AN23</f>
        <v>3.5</v>
      </c>
      <c r="U22" s="159" t="str">
        <f>VLOOKUP(C22,Lists!$C$3:$E$167,3,FALSE)</f>
        <v>Africa</v>
      </c>
      <c r="V22" s="160">
        <v>44134</v>
      </c>
    </row>
    <row r="23" spans="1:22" ht="15.75" customHeight="1" x14ac:dyDescent="0.3">
      <c r="A23" s="56" t="str">
        <f>'Crisis Indicator Data'!A21</f>
        <v>Complex in Burundi</v>
      </c>
      <c r="B23" s="56" t="str">
        <f>Lists!G21</f>
        <v xml:space="preserve">Complex crisis </v>
      </c>
      <c r="C23" s="56" t="str">
        <f>'Crisis Indicator Data'!C21</f>
        <v>BDI001</v>
      </c>
      <c r="D23" s="56" t="str">
        <f>'Crisis Indicator Data'!D21</f>
        <v>Burundi</v>
      </c>
      <c r="E23" s="56" t="str">
        <f>'Crisis Indicator Data'!E21</f>
        <v>BDI</v>
      </c>
      <c r="F23" s="56" t="str">
        <f>'Crisis Indicator Data'!B21</f>
        <v>Complex crisis</v>
      </c>
      <c r="G23" s="53">
        <f t="shared" si="0"/>
        <v>3.4</v>
      </c>
      <c r="H23" s="52">
        <f t="shared" si="1"/>
        <v>4</v>
      </c>
      <c r="I23" s="150" t="str">
        <f t="shared" si="2"/>
        <v>High</v>
      </c>
      <c r="J23" s="153" t="str">
        <f>INDEX(Trends!$D$3:$D$400,MATCH(C23,Trends!$C$3:$C$400,0))</f>
        <v>Stable</v>
      </c>
      <c r="K23" s="143" t="str">
        <f>IF(Reliability!B21="x","x",(IF(ROUNDUP(Reliability!B21,0)=1,"Very High",IF(ROUNDUP(Reliability!B21,0)=2,"High",IF(ROUNDUP(Reliability!B21,0)=3,"Medium",IF(ROUNDUP(Reliability!B21,0)=4,"Low","Very Low"))))))</f>
        <v>High</v>
      </c>
      <c r="L23" s="55">
        <f t="shared" si="3"/>
        <v>3.4</v>
      </c>
      <c r="M23" s="54">
        <f>'Impact of the crisis'!N24</f>
        <v>4</v>
      </c>
      <c r="N23" s="54">
        <f>'Impact of the crisis'!AB24</f>
        <v>3.1</v>
      </c>
      <c r="O23" s="55">
        <f>'Conditions of people affected'!R24</f>
        <v>3.25</v>
      </c>
      <c r="P23" s="54">
        <f>'Conditions of people affected'!K24</f>
        <v>3.5</v>
      </c>
      <c r="Q23" s="54">
        <f>'Conditions of people affected'!Q24</f>
        <v>3</v>
      </c>
      <c r="R23" s="54">
        <f t="shared" si="4"/>
        <v>3.6</v>
      </c>
      <c r="S23" s="54">
        <f>'Complexity of the crisis'!X24</f>
        <v>3.1</v>
      </c>
      <c r="T23" s="54">
        <f>'Complexity of the crisis'!AN24</f>
        <v>4</v>
      </c>
      <c r="U23" s="159" t="str">
        <f>VLOOKUP(C23,Lists!$C$3:$E$167,3,FALSE)</f>
        <v>Africa</v>
      </c>
      <c r="V23" s="160">
        <v>44134</v>
      </c>
    </row>
    <row r="24" spans="1:22" ht="15.75" customHeight="1" x14ac:dyDescent="0.3">
      <c r="A24" s="56" t="str">
        <f>'Crisis Indicator Data'!A22</f>
        <v>Multiple crises in Cameroon</v>
      </c>
      <c r="B24" s="56" t="str">
        <f>Lists!G22</f>
        <v>Country level</v>
      </c>
      <c r="C24" s="56" t="str">
        <f>'Crisis Indicator Data'!C22</f>
        <v>CMR001</v>
      </c>
      <c r="D24" s="56" t="str">
        <f>'Crisis Indicator Data'!D22</f>
        <v>Cameroon</v>
      </c>
      <c r="E24" s="56" t="str">
        <f>'Crisis Indicator Data'!E22</f>
        <v>CMR</v>
      </c>
      <c r="F24" s="56" t="str">
        <f>'Crisis Indicator Data'!B22</f>
        <v>Multiple crises country</v>
      </c>
      <c r="G24" s="53">
        <f t="shared" si="0"/>
        <v>3.7</v>
      </c>
      <c r="H24" s="52">
        <f t="shared" si="1"/>
        <v>4</v>
      </c>
      <c r="I24" s="150" t="str">
        <f t="shared" si="2"/>
        <v>High</v>
      </c>
      <c r="J24" s="153" t="str">
        <f>INDEX(Trends!$D$3:$D$400,MATCH(C24,Trends!$C$3:$C$400,0))</f>
        <v>Increasing</v>
      </c>
      <c r="K24" s="143" t="str">
        <f>IF(Reliability!B22="x","x",(IF(ROUNDUP(Reliability!B22,0)=1,"Very High",IF(ROUNDUP(Reliability!B22,0)=2,"High",IF(ROUNDUP(Reliability!B22,0)=3,"Medium",IF(ROUNDUP(Reliability!B22,0)=4,"Low","Very Low"))))))</f>
        <v>High</v>
      </c>
      <c r="L24" s="55">
        <f t="shared" si="3"/>
        <v>3.8</v>
      </c>
      <c r="M24" s="54">
        <f>'Impact of the crisis'!N25</f>
        <v>3.2</v>
      </c>
      <c r="N24" s="54">
        <f>'Impact of the crisis'!AB25</f>
        <v>4</v>
      </c>
      <c r="O24" s="55">
        <f>'Conditions of people affected'!R25</f>
        <v>3.35</v>
      </c>
      <c r="P24" s="54">
        <f>'Conditions of people affected'!K25</f>
        <v>3.7</v>
      </c>
      <c r="Q24" s="54">
        <f>'Conditions of people affected'!Q25</f>
        <v>3</v>
      </c>
      <c r="R24" s="54">
        <f t="shared" si="4"/>
        <v>4.0999999999999996</v>
      </c>
      <c r="S24" s="54">
        <f>'Complexity of the crisis'!X25</f>
        <v>3.5</v>
      </c>
      <c r="T24" s="54">
        <f>'Complexity of the crisis'!AN25</f>
        <v>4.5</v>
      </c>
      <c r="U24" s="159" t="str">
        <f>VLOOKUP(C24,Lists!$C$3:$E$167,3,FALSE)</f>
        <v>Africa</v>
      </c>
      <c r="V24" s="160">
        <v>44134</v>
      </c>
    </row>
    <row r="25" spans="1:22" ht="15.75" customHeight="1" x14ac:dyDescent="0.3">
      <c r="A25" s="56" t="str">
        <f>'Crisis Indicator Data'!A23</f>
        <v>Boko Haram in Cameroon</v>
      </c>
      <c r="B25" s="56" t="str">
        <f>Lists!G23</f>
        <v>Boko Haram</v>
      </c>
      <c r="C25" s="56" t="str">
        <f>'Crisis Indicator Data'!C23</f>
        <v>CMR002</v>
      </c>
      <c r="D25" s="56" t="str">
        <f>'Crisis Indicator Data'!D23</f>
        <v>Cameroon</v>
      </c>
      <c r="E25" s="56" t="str">
        <f>'Crisis Indicator Data'!E23</f>
        <v>CMR</v>
      </c>
      <c r="F25" s="56" t="str">
        <f>'Crisis Indicator Data'!B23</f>
        <v>Conflict</v>
      </c>
      <c r="G25" s="53">
        <f t="shared" si="0"/>
        <v>3.2</v>
      </c>
      <c r="H25" s="52">
        <f t="shared" si="1"/>
        <v>4</v>
      </c>
      <c r="I25" s="150" t="str">
        <f t="shared" si="2"/>
        <v>High</v>
      </c>
      <c r="J25" s="153" t="str">
        <f>INDEX(Trends!$D$3:$D$400,MATCH(C25,Trends!$C$3:$C$400,0))</f>
        <v>Decreasing</v>
      </c>
      <c r="K25" s="143" t="str">
        <f>IF(Reliability!B23="x","x",(IF(ROUNDUP(Reliability!B23,0)=1,"Very High",IF(ROUNDUP(Reliability!B23,0)=2,"High",IF(ROUNDUP(Reliability!B23,0)=3,"Medium",IF(ROUNDUP(Reliability!B23,0)=4,"Low","Very Low"))))))</f>
        <v>High</v>
      </c>
      <c r="L25" s="55">
        <f t="shared" si="3"/>
        <v>3</v>
      </c>
      <c r="M25" s="54">
        <f>'Impact of the crisis'!N26</f>
        <v>1.5</v>
      </c>
      <c r="N25" s="54">
        <f>'Impact of the crisis'!AB26</f>
        <v>3.6</v>
      </c>
      <c r="O25" s="55">
        <f>'Conditions of people affected'!R26</f>
        <v>3</v>
      </c>
      <c r="P25" s="54">
        <f>'Conditions of people affected'!K26</f>
        <v>3</v>
      </c>
      <c r="Q25" s="54">
        <f>'Conditions of people affected'!Q26</f>
        <v>3</v>
      </c>
      <c r="R25" s="54">
        <f t="shared" si="4"/>
        <v>3.5</v>
      </c>
      <c r="S25" s="54">
        <f>'Complexity of the crisis'!X26</f>
        <v>3.5</v>
      </c>
      <c r="T25" s="54">
        <f>'Complexity of the crisis'!AN26</f>
        <v>3.5</v>
      </c>
      <c r="U25" s="159" t="str">
        <f>VLOOKUP(C25,Lists!$C$3:$E$167,3,FALSE)</f>
        <v>Africa</v>
      </c>
      <c r="V25" s="160">
        <v>44134</v>
      </c>
    </row>
    <row r="26" spans="1:22" ht="15.75" customHeight="1" x14ac:dyDescent="0.3">
      <c r="A26" s="56" t="str">
        <f>'Crisis Indicator Data'!A24</f>
        <v>Anglophone Crisis in Cameroon</v>
      </c>
      <c r="B26" s="56" t="str">
        <f>Lists!G24</f>
        <v>Anglophone crisis</v>
      </c>
      <c r="C26" s="56" t="str">
        <f>'Crisis Indicator Data'!C24</f>
        <v>CMR003</v>
      </c>
      <c r="D26" s="56" t="str">
        <f>'Crisis Indicator Data'!D24</f>
        <v>Cameroon</v>
      </c>
      <c r="E26" s="56" t="str">
        <f>'Crisis Indicator Data'!E24</f>
        <v>CMR</v>
      </c>
      <c r="F26" s="56" t="str">
        <f>'Crisis Indicator Data'!B24</f>
        <v>Conflict</v>
      </c>
      <c r="G26" s="53">
        <f t="shared" si="0"/>
        <v>3.3</v>
      </c>
      <c r="H26" s="52">
        <f t="shared" si="1"/>
        <v>4</v>
      </c>
      <c r="I26" s="150" t="str">
        <f t="shared" si="2"/>
        <v>High</v>
      </c>
      <c r="J26" s="153" t="str">
        <f>INDEX(Trends!$D$3:$D$400,MATCH(C26,Trends!$C$3:$C$400,0))</f>
        <v>Increasing</v>
      </c>
      <c r="K26" s="143" t="str">
        <f>IF(Reliability!B24="x","x",(IF(ROUNDUP(Reliability!B24,0)=1,"Very High",IF(ROUNDUP(Reliability!B24,0)=2,"High",IF(ROUNDUP(Reliability!B24,0)=3,"Medium",IF(ROUNDUP(Reliability!B24,0)=4,"Low","Very Low"))))))</f>
        <v>High</v>
      </c>
      <c r="L26" s="55">
        <f t="shared" si="3"/>
        <v>3.3</v>
      </c>
      <c r="M26" s="54">
        <f>'Impact of the crisis'!N27</f>
        <v>1.7</v>
      </c>
      <c r="N26" s="54">
        <f>'Impact of the crisis'!AB27</f>
        <v>3.9</v>
      </c>
      <c r="O26" s="55">
        <f>'Conditions of people affected'!R27</f>
        <v>3.1</v>
      </c>
      <c r="P26" s="54">
        <f>'Conditions of people affected'!K27</f>
        <v>3.2</v>
      </c>
      <c r="Q26" s="54">
        <f>'Conditions of people affected'!Q27</f>
        <v>3</v>
      </c>
      <c r="R26" s="54">
        <f t="shared" si="4"/>
        <v>3.5</v>
      </c>
      <c r="S26" s="54">
        <f>'Complexity of the crisis'!X27</f>
        <v>3.5</v>
      </c>
      <c r="T26" s="54">
        <f>'Complexity of the crisis'!AN27</f>
        <v>3.5</v>
      </c>
      <c r="U26" s="159" t="str">
        <f>VLOOKUP(C26,Lists!$C$3:$E$167,3,FALSE)</f>
        <v>Africa</v>
      </c>
      <c r="V26" s="160">
        <v>44134</v>
      </c>
    </row>
    <row r="27" spans="1:22" ht="15.75" customHeight="1" x14ac:dyDescent="0.3">
      <c r="A27" s="56" t="str">
        <f>'Crisis Indicator Data'!A25</f>
        <v>CAR refugees in Cameroon</v>
      </c>
      <c r="B27" s="56" t="str">
        <f>Lists!G25</f>
        <v>CAR refugees</v>
      </c>
      <c r="C27" s="56" t="str">
        <f>'Crisis Indicator Data'!C25</f>
        <v>CMR004</v>
      </c>
      <c r="D27" s="56" t="str">
        <f>'Crisis Indicator Data'!D25</f>
        <v>Cameroon</v>
      </c>
      <c r="E27" s="56" t="str">
        <f>'Crisis Indicator Data'!E25</f>
        <v>CMR</v>
      </c>
      <c r="F27" s="56" t="str">
        <f>'Crisis Indicator Data'!B25</f>
        <v>International displacement</v>
      </c>
      <c r="G27" s="53">
        <f t="shared" si="0"/>
        <v>2.6</v>
      </c>
      <c r="H27" s="52">
        <f t="shared" si="1"/>
        <v>3</v>
      </c>
      <c r="I27" s="150" t="str">
        <f t="shared" si="2"/>
        <v>Medium</v>
      </c>
      <c r="J27" s="153" t="str">
        <f>INDEX(Trends!$D$3:$D$400,MATCH(C27,Trends!$C$3:$C$400,0))</f>
        <v>Stable</v>
      </c>
      <c r="K27" s="143" t="str">
        <f>IF(Reliability!B25="x","x",(IF(ROUNDUP(Reliability!B25,0)=1,"Very High",IF(ROUNDUP(Reliability!B25,0)=2,"High",IF(ROUNDUP(Reliability!B25,0)=3,"Medium",IF(ROUNDUP(Reliability!B25,0)=4,"Low","Very Low"))))))</f>
        <v>High</v>
      </c>
      <c r="L27" s="55">
        <f t="shared" si="3"/>
        <v>2</v>
      </c>
      <c r="M27" s="54">
        <f>'Impact of the crisis'!N28</f>
        <v>1.7</v>
      </c>
      <c r="N27" s="54">
        <f>'Impact of the crisis'!AB28</f>
        <v>2.1</v>
      </c>
      <c r="O27" s="55">
        <f>'Conditions of people affected'!R28</f>
        <v>2.7</v>
      </c>
      <c r="P27" s="54">
        <f>'Conditions of people affected'!K28</f>
        <v>2.4</v>
      </c>
      <c r="Q27" s="54">
        <f>'Conditions of people affected'!Q28</f>
        <v>3</v>
      </c>
      <c r="R27" s="54">
        <f t="shared" si="4"/>
        <v>2.8</v>
      </c>
      <c r="S27" s="54">
        <f>'Complexity of the crisis'!X28</f>
        <v>3.5</v>
      </c>
      <c r="T27" s="54">
        <f>'Complexity of the crisis'!AN28</f>
        <v>2</v>
      </c>
      <c r="U27" s="159" t="str">
        <f>VLOOKUP(C27,Lists!$C$3:$E$167,3,FALSE)</f>
        <v>Africa</v>
      </c>
      <c r="V27" s="160">
        <v>44134</v>
      </c>
    </row>
    <row r="28" spans="1:22" ht="15.75" customHeight="1" x14ac:dyDescent="0.3">
      <c r="A28" s="56" t="str">
        <f>'Crisis Indicator Data'!A26</f>
        <v>Complex crisis in CAR</v>
      </c>
      <c r="B28" s="56" t="str">
        <f>Lists!G26</f>
        <v>Complex crisis</v>
      </c>
      <c r="C28" s="56" t="str">
        <f>'Crisis Indicator Data'!C26</f>
        <v>CAF001</v>
      </c>
      <c r="D28" s="56" t="str">
        <f>'Crisis Indicator Data'!D26</f>
        <v>CAR</v>
      </c>
      <c r="E28" s="56" t="str">
        <f>'Crisis Indicator Data'!E26</f>
        <v>CAF</v>
      </c>
      <c r="F28" s="56" t="str">
        <f>'Crisis Indicator Data'!B26</f>
        <v>Complex crisis</v>
      </c>
      <c r="G28" s="53">
        <f t="shared" si="0"/>
        <v>4</v>
      </c>
      <c r="H28" s="52">
        <f t="shared" si="1"/>
        <v>4</v>
      </c>
      <c r="I28" s="150" t="str">
        <f t="shared" si="2"/>
        <v>High</v>
      </c>
      <c r="J28" s="153" t="str">
        <f>INDEX(Trends!$D$3:$D$400,MATCH(C28,Trends!$C$3:$C$400,0))</f>
        <v>Stable</v>
      </c>
      <c r="K28" s="143" t="str">
        <f>IF(Reliability!B26="x","x",(IF(ROUNDUP(Reliability!B26,0)=1,"Very High",IF(ROUNDUP(Reliability!B26,0)=2,"High",IF(ROUNDUP(Reliability!B26,0)=3,"Medium",IF(ROUNDUP(Reliability!B26,0)=4,"Low","Very Low"))))))</f>
        <v>High</v>
      </c>
      <c r="L28" s="55">
        <f t="shared" si="3"/>
        <v>4.2</v>
      </c>
      <c r="M28" s="54">
        <f>'Impact of the crisis'!N29</f>
        <v>4.3</v>
      </c>
      <c r="N28" s="54">
        <f>'Impact of the crisis'!AB29</f>
        <v>4.0999999999999996</v>
      </c>
      <c r="O28" s="55">
        <f>'Conditions of people affected'!R29</f>
        <v>4.05</v>
      </c>
      <c r="P28" s="54">
        <f>'Conditions of people affected'!K29</f>
        <v>4.0999999999999996</v>
      </c>
      <c r="Q28" s="54">
        <f>'Conditions of people affected'!Q29</f>
        <v>4</v>
      </c>
      <c r="R28" s="54">
        <f t="shared" si="4"/>
        <v>3.9</v>
      </c>
      <c r="S28" s="54">
        <f>'Complexity of the crisis'!X29</f>
        <v>3.7</v>
      </c>
      <c r="T28" s="54">
        <f>'Complexity of the crisis'!AN29</f>
        <v>4</v>
      </c>
      <c r="U28" s="159" t="str">
        <f>VLOOKUP(C28,Lists!$C$3:$E$167,3,FALSE)</f>
        <v>Africa</v>
      </c>
      <c r="V28" s="160">
        <v>44133</v>
      </c>
    </row>
    <row r="29" spans="1:22" ht="15.75" customHeight="1" x14ac:dyDescent="0.3">
      <c r="A29" s="56" t="str">
        <f>'Crisis Indicator Data'!A27</f>
        <v>Complex crisis in Chad</v>
      </c>
      <c r="B29" s="56" t="str">
        <f>Lists!G27</f>
        <v>Complex crisis</v>
      </c>
      <c r="C29" s="56" t="str">
        <f>'Crisis Indicator Data'!C27</f>
        <v>TCD001</v>
      </c>
      <c r="D29" s="56" t="str">
        <f>'Crisis Indicator Data'!D27</f>
        <v>Chad</v>
      </c>
      <c r="E29" s="56" t="str">
        <f>'Crisis Indicator Data'!E27</f>
        <v>TCD</v>
      </c>
      <c r="F29" s="56" t="str">
        <f>'Crisis Indicator Data'!B27</f>
        <v>Multiple crises country</v>
      </c>
      <c r="G29" s="53">
        <f t="shared" si="0"/>
        <v>4.2</v>
      </c>
      <c r="H29" s="52">
        <f t="shared" si="1"/>
        <v>5</v>
      </c>
      <c r="I29" s="150" t="str">
        <f t="shared" si="2"/>
        <v>Very High</v>
      </c>
      <c r="J29" s="153" t="str">
        <f>INDEX(Trends!$D$3:$D$400,MATCH(C29,Trends!$C$3:$C$400,0))</f>
        <v>Stable</v>
      </c>
      <c r="K29" s="143" t="str">
        <f>IF(Reliability!B27="x","x",(IF(ROUNDUP(Reliability!B27,0)=1,"Very High",IF(ROUNDUP(Reliability!B27,0)=2,"High",IF(ROUNDUP(Reliability!B27,0)=3,"Medium",IF(ROUNDUP(Reliability!B27,0)=4,"Low","Very Low"))))))</f>
        <v>High</v>
      </c>
      <c r="L29" s="55">
        <f t="shared" si="3"/>
        <v>4.2</v>
      </c>
      <c r="M29" s="54">
        <f>'Impact of the crisis'!N30</f>
        <v>4.8</v>
      </c>
      <c r="N29" s="54">
        <f>'Impact of the crisis'!AB30</f>
        <v>3.9</v>
      </c>
      <c r="O29" s="55">
        <f>'Conditions of people affected'!R30</f>
        <v>4.3499999999999996</v>
      </c>
      <c r="P29" s="54">
        <f>'Conditions of people affected'!K30</f>
        <v>4.7</v>
      </c>
      <c r="Q29" s="54">
        <f>'Conditions of people affected'!Q30</f>
        <v>4</v>
      </c>
      <c r="R29" s="54">
        <f t="shared" si="4"/>
        <v>3.8</v>
      </c>
      <c r="S29" s="54">
        <f>'Complexity of the crisis'!X30</f>
        <v>3.5</v>
      </c>
      <c r="T29" s="54">
        <f>'Complexity of the crisis'!AN30</f>
        <v>4</v>
      </c>
      <c r="U29" s="159" t="str">
        <f>VLOOKUP(C29,Lists!$C$3:$E$167,3,FALSE)</f>
        <v>Africa</v>
      </c>
      <c r="V29" s="160">
        <v>44139</v>
      </c>
    </row>
    <row r="30" spans="1:22" ht="15.75" customHeight="1" x14ac:dyDescent="0.3">
      <c r="A30" s="56" t="str">
        <f>'Crisis Indicator Data'!A28</f>
        <v>Boko Haram in Chad</v>
      </c>
      <c r="B30" s="56" t="str">
        <f>Lists!G28</f>
        <v xml:space="preserve">Boko Haram </v>
      </c>
      <c r="C30" s="56" t="str">
        <f>'Crisis Indicator Data'!C28</f>
        <v>TCD003</v>
      </c>
      <c r="D30" s="56" t="str">
        <f>'Crisis Indicator Data'!D28</f>
        <v>Chad</v>
      </c>
      <c r="E30" s="56" t="str">
        <f>'Crisis Indicator Data'!E28</f>
        <v>TCD</v>
      </c>
      <c r="F30" s="56" t="str">
        <f>'Crisis Indicator Data'!B28</f>
        <v>Conflict</v>
      </c>
      <c r="G30" s="53">
        <f t="shared" si="0"/>
        <v>3.7</v>
      </c>
      <c r="H30" s="52">
        <f t="shared" si="1"/>
        <v>4</v>
      </c>
      <c r="I30" s="150" t="str">
        <f t="shared" si="2"/>
        <v>High</v>
      </c>
      <c r="J30" s="153" t="str">
        <f>INDEX(Trends!$D$3:$D$400,MATCH(C30,Trends!$C$3:$C$400,0))</f>
        <v>Stable</v>
      </c>
      <c r="K30" s="143" t="str">
        <f>IF(Reliability!B28="x","x",(IF(ROUNDUP(Reliability!B28,0)=1,"Very High",IF(ROUNDUP(Reliability!B28,0)=2,"High",IF(ROUNDUP(Reliability!B28,0)=3,"Medium",IF(ROUNDUP(Reliability!B28,0)=4,"Low","Very Low"))))))</f>
        <v>High</v>
      </c>
      <c r="L30" s="55">
        <f t="shared" si="3"/>
        <v>3.2</v>
      </c>
      <c r="M30" s="54">
        <f>'Impact of the crisis'!N31</f>
        <v>0.6</v>
      </c>
      <c r="N30" s="54">
        <f>'Impact of the crisis'!AB31</f>
        <v>4</v>
      </c>
      <c r="O30" s="55">
        <f>'Conditions of people affected'!R31</f>
        <v>3.8</v>
      </c>
      <c r="P30" s="54">
        <f>'Conditions of people affected'!K31</f>
        <v>2.6</v>
      </c>
      <c r="Q30" s="54">
        <f>'Conditions of people affected'!Q31</f>
        <v>5</v>
      </c>
      <c r="R30" s="54">
        <f t="shared" si="4"/>
        <v>3.8</v>
      </c>
      <c r="S30" s="54">
        <f>'Complexity of the crisis'!X31</f>
        <v>3.5</v>
      </c>
      <c r="T30" s="54">
        <f>'Complexity of the crisis'!AN31</f>
        <v>4</v>
      </c>
      <c r="U30" s="159" t="str">
        <f>VLOOKUP(C30,Lists!$C$3:$E$167,3,FALSE)</f>
        <v>Africa</v>
      </c>
      <c r="V30" s="160">
        <v>44139</v>
      </c>
    </row>
    <row r="31" spans="1:22" x14ac:dyDescent="0.3">
      <c r="A31" s="56" t="str">
        <f>'Crisis Indicator Data'!A29</f>
        <v>CAR refugees in Chad</v>
      </c>
      <c r="B31" s="56" t="str">
        <f>Lists!G29</f>
        <v>CAR refugees</v>
      </c>
      <c r="C31" s="56" t="str">
        <f>'Crisis Indicator Data'!C29</f>
        <v>TCD004</v>
      </c>
      <c r="D31" s="56" t="str">
        <f>'Crisis Indicator Data'!D29</f>
        <v>Chad</v>
      </c>
      <c r="E31" s="56" t="str">
        <f>'Crisis Indicator Data'!E29</f>
        <v>TCD</v>
      </c>
      <c r="F31" s="56" t="str">
        <f>'Crisis Indicator Data'!B29</f>
        <v>International displacement</v>
      </c>
      <c r="G31" s="53">
        <f t="shared" si="0"/>
        <v>3.4</v>
      </c>
      <c r="H31" s="52">
        <f t="shared" si="1"/>
        <v>4</v>
      </c>
      <c r="I31" s="150" t="str">
        <f t="shared" si="2"/>
        <v>High</v>
      </c>
      <c r="J31" s="153" t="str">
        <f>INDEX(Trends!$D$3:$D$400,MATCH(C31,Trends!$C$3:$C$400,0))</f>
        <v>Stable</v>
      </c>
      <c r="K31" s="143" t="str">
        <f>IF(Reliability!B29="x","x",(IF(ROUNDUP(Reliability!B29,0)=1,"Very High",IF(ROUNDUP(Reliability!B29,0)=2,"High",IF(ROUNDUP(Reliability!B29,0)=3,"Medium",IF(ROUNDUP(Reliability!B29,0)=4,"Low","Very Low"))))))</f>
        <v>High</v>
      </c>
      <c r="L31" s="55">
        <f t="shared" si="3"/>
        <v>2.8</v>
      </c>
      <c r="M31" s="54">
        <f>'Impact of the crisis'!N32</f>
        <v>1.9</v>
      </c>
      <c r="N31" s="54">
        <f>'Impact of the crisis'!AB32</f>
        <v>3.2</v>
      </c>
      <c r="O31" s="55">
        <f>'Conditions of people affected'!R32</f>
        <v>3.65</v>
      </c>
      <c r="P31" s="54">
        <f>'Conditions of people affected'!K32</f>
        <v>3.3</v>
      </c>
      <c r="Q31" s="54">
        <f>'Conditions of people affected'!Q32</f>
        <v>4</v>
      </c>
      <c r="R31" s="54">
        <f t="shared" si="4"/>
        <v>3.3</v>
      </c>
      <c r="S31" s="54">
        <f>'Complexity of the crisis'!X32</f>
        <v>3.5</v>
      </c>
      <c r="T31" s="54">
        <f>'Complexity of the crisis'!AN32</f>
        <v>3</v>
      </c>
      <c r="U31" s="159" t="str">
        <f>VLOOKUP(C31,Lists!$C$3:$E$167,3,FALSE)</f>
        <v>Africa</v>
      </c>
      <c r="V31" s="160">
        <v>44139</v>
      </c>
    </row>
    <row r="32" spans="1:22" x14ac:dyDescent="0.3">
      <c r="A32" s="56" t="str">
        <f>'Crisis Indicator Data'!A30</f>
        <v>Darfur refugees in Chad</v>
      </c>
      <c r="B32" s="56" t="str">
        <f>Lists!G30</f>
        <v>Darfur refugees</v>
      </c>
      <c r="C32" s="56" t="str">
        <f>'Crisis Indicator Data'!C30</f>
        <v>TCD005</v>
      </c>
      <c r="D32" s="56" t="str">
        <f>'Crisis Indicator Data'!D30</f>
        <v>Chad</v>
      </c>
      <c r="E32" s="56" t="str">
        <f>'Crisis Indicator Data'!E30</f>
        <v>TCD</v>
      </c>
      <c r="F32" s="56" t="str">
        <f>'Crisis Indicator Data'!B30</f>
        <v>International displacement</v>
      </c>
      <c r="G32" s="53">
        <f t="shared" si="0"/>
        <v>3.2</v>
      </c>
      <c r="H32" s="52">
        <f t="shared" si="1"/>
        <v>4</v>
      </c>
      <c r="I32" s="150" t="str">
        <f t="shared" si="2"/>
        <v>High</v>
      </c>
      <c r="J32" s="153" t="str">
        <f>INDEX(Trends!$D$3:$D$400,MATCH(C32,Trends!$C$3:$C$400,0))</f>
        <v>Decreasing</v>
      </c>
      <c r="K32" s="143" t="str">
        <f>IF(Reliability!B30="x","x",(IF(ROUNDUP(Reliability!B30,0)=1,"Very High",IF(ROUNDUP(Reliability!B30,0)=2,"High",IF(ROUNDUP(Reliability!B30,0)=3,"Medium",IF(ROUNDUP(Reliability!B30,0)=4,"Low","Very Low"))))))</f>
        <v>High</v>
      </c>
      <c r="L32" s="55">
        <f t="shared" si="3"/>
        <v>2.4</v>
      </c>
      <c r="M32" s="54">
        <f>'Impact of the crisis'!N33</f>
        <v>1.7</v>
      </c>
      <c r="N32" s="54">
        <f>'Impact of the crisis'!AB33</f>
        <v>2.7</v>
      </c>
      <c r="O32" s="55">
        <f>'Conditions of people affected'!R33</f>
        <v>3.7</v>
      </c>
      <c r="P32" s="54">
        <f>'Conditions of people affected'!K33</f>
        <v>3.4</v>
      </c>
      <c r="Q32" s="54">
        <f>'Conditions of people affected'!Q33</f>
        <v>4</v>
      </c>
      <c r="R32" s="54">
        <f t="shared" si="4"/>
        <v>3</v>
      </c>
      <c r="S32" s="54">
        <f>'Complexity of the crisis'!X33</f>
        <v>3.5</v>
      </c>
      <c r="T32" s="54">
        <f>'Complexity of the crisis'!AN33</f>
        <v>2.5</v>
      </c>
      <c r="U32" s="159" t="str">
        <f>VLOOKUP(C32,Lists!$C$3:$E$167,3,FALSE)</f>
        <v>Africa</v>
      </c>
      <c r="V32" s="160">
        <v>44139</v>
      </c>
    </row>
    <row r="33" spans="1:22" x14ac:dyDescent="0.3">
      <c r="A33" s="56" t="str">
        <f>'Crisis Indicator Data'!A31</f>
        <v>Tibesti Conflict in Chad</v>
      </c>
      <c r="B33" s="56" t="str">
        <f>Lists!G31</f>
        <v>Tibesti conflict</v>
      </c>
      <c r="C33" s="56" t="str">
        <f>'Crisis Indicator Data'!C31</f>
        <v>TCD006</v>
      </c>
      <c r="D33" s="56" t="str">
        <f>'Crisis Indicator Data'!D31</f>
        <v>Chad</v>
      </c>
      <c r="E33" s="56" t="str">
        <f>'Crisis Indicator Data'!E31</f>
        <v>TCD</v>
      </c>
      <c r="F33" s="56" t="str">
        <f>'Crisis Indicator Data'!B31</f>
        <v>Conflict</v>
      </c>
      <c r="G33" s="53">
        <f t="shared" si="0"/>
        <v>2.5</v>
      </c>
      <c r="H33" s="52">
        <f t="shared" si="1"/>
        <v>3</v>
      </c>
      <c r="I33" s="150" t="str">
        <f t="shared" si="2"/>
        <v>Medium</v>
      </c>
      <c r="J33" s="153" t="str">
        <f>INDEX(Trends!$D$3:$D$400,MATCH(C33,Trends!$C$3:$C$400,0))</f>
        <v>Decreasing</v>
      </c>
      <c r="K33" s="143" t="str">
        <f>IF(Reliability!B31="x","x",(IF(ROUNDUP(Reliability!B31,0)=1,"Very High",IF(ROUNDUP(Reliability!B31,0)=2,"High",IF(ROUNDUP(Reliability!B31,0)=3,"Medium",IF(ROUNDUP(Reliability!B31,0)=4,"Low","Very Low"))))))</f>
        <v>Medium</v>
      </c>
      <c r="L33" s="55">
        <f t="shared" si="3"/>
        <v>2.6</v>
      </c>
      <c r="M33" s="54">
        <f>'Impact of the crisis'!N34</f>
        <v>1.3</v>
      </c>
      <c r="N33" s="54">
        <f>'Impact of the crisis'!AB34</f>
        <v>3.1</v>
      </c>
      <c r="O33" s="55">
        <f>'Conditions of people affected'!R34</f>
        <v>2.2000000000000002</v>
      </c>
      <c r="P33" s="54">
        <f>'Conditions of people affected'!K34</f>
        <v>0.4</v>
      </c>
      <c r="Q33" s="54">
        <f>'Conditions of people affected'!Q34</f>
        <v>4</v>
      </c>
      <c r="R33" s="54">
        <f t="shared" si="4"/>
        <v>3</v>
      </c>
      <c r="S33" s="54">
        <f>'Complexity of the crisis'!X34</f>
        <v>3.5</v>
      </c>
      <c r="T33" s="54">
        <f>'Complexity of the crisis'!AN34</f>
        <v>2.5</v>
      </c>
      <c r="U33" s="159" t="str">
        <f>VLOOKUP(C33,Lists!$C$3:$E$167,3,FALSE)</f>
        <v>Africa</v>
      </c>
      <c r="V33" s="160">
        <v>44139</v>
      </c>
    </row>
    <row r="34" spans="1:22" x14ac:dyDescent="0.3">
      <c r="A34" s="56" t="str">
        <f>'Crisis Indicator Data'!A32</f>
        <v>Floods in Chad</v>
      </c>
      <c r="B34" s="56" t="str">
        <f>Lists!G32</f>
        <v>Floods</v>
      </c>
      <c r="C34" s="56" t="str">
        <f>'Crisis Indicator Data'!C32</f>
        <v>TCD008</v>
      </c>
      <c r="D34" s="56" t="str">
        <f>'Crisis Indicator Data'!D32</f>
        <v>Chad</v>
      </c>
      <c r="E34" s="56" t="str">
        <f>'Crisis Indicator Data'!E32</f>
        <v>TCD</v>
      </c>
      <c r="F34" s="56" t="str">
        <f>'Crisis Indicator Data'!B32</f>
        <v>Flood</v>
      </c>
      <c r="G34" s="53">
        <f t="shared" si="0"/>
        <v>2.6</v>
      </c>
      <c r="H34" s="52">
        <f t="shared" si="1"/>
        <v>3</v>
      </c>
      <c r="I34" s="150" t="str">
        <f t="shared" si="2"/>
        <v>Medium</v>
      </c>
      <c r="J34" s="153" t="str">
        <f>INDEX(Trends!$D$3:$D$400,MATCH(C34,Trends!$C$3:$C$400,0))</f>
        <v>-</v>
      </c>
      <c r="K34" s="143" t="str">
        <f>IF(Reliability!B32="x","x",(IF(ROUNDUP(Reliability!B32,0)=1,"Very High",IF(ROUNDUP(Reliability!B32,0)=2,"High",IF(ROUNDUP(Reliability!B32,0)=3,"Medium",IF(ROUNDUP(Reliability!B32,0)=4,"Low","Very Low"))))))</f>
        <v>High</v>
      </c>
      <c r="L34" s="55">
        <f t="shared" si="3"/>
        <v>2.9</v>
      </c>
      <c r="M34" s="54">
        <f>'Impact of the crisis'!N35</f>
        <v>4.0999999999999996</v>
      </c>
      <c r="N34" s="54">
        <f>'Impact of the crisis'!AB35</f>
        <v>2</v>
      </c>
      <c r="O34" s="55">
        <f>'Conditions of people affected'!R35</f>
        <v>1.7</v>
      </c>
      <c r="P34" s="54">
        <f>'Conditions of people affected'!K35</f>
        <v>2.4</v>
      </c>
      <c r="Q34" s="54">
        <f>'Conditions of people affected'!Q35</f>
        <v>1</v>
      </c>
      <c r="R34" s="54">
        <f t="shared" si="4"/>
        <v>3.8</v>
      </c>
      <c r="S34" s="54">
        <f>'Complexity of the crisis'!X35</f>
        <v>3.5</v>
      </c>
      <c r="T34" s="54">
        <f>'Complexity of the crisis'!AN35</f>
        <v>4</v>
      </c>
      <c r="U34" s="159" t="str">
        <f>VLOOKUP(C34,Lists!$C$3:$E$167,3,FALSE)</f>
        <v>Africa</v>
      </c>
      <c r="V34" s="160">
        <v>44139</v>
      </c>
    </row>
    <row r="35" spans="1:22" x14ac:dyDescent="0.3">
      <c r="A35" s="56" t="str">
        <f>'Crisis Indicator Data'!A33</f>
        <v>Complex crisis in Colombia</v>
      </c>
      <c r="B35" s="56" t="str">
        <f>Lists!G33</f>
        <v>Complex crisis</v>
      </c>
      <c r="C35" s="56" t="str">
        <f>'Crisis Indicator Data'!C33</f>
        <v>COL001</v>
      </c>
      <c r="D35" s="56" t="str">
        <f>'Crisis Indicator Data'!D33</f>
        <v>Colombia</v>
      </c>
      <c r="E35" s="56" t="str">
        <f>'Crisis Indicator Data'!E33</f>
        <v>COL</v>
      </c>
      <c r="F35" s="56" t="str">
        <f>'Crisis Indicator Data'!B33</f>
        <v>Complex crisis</v>
      </c>
      <c r="G35" s="53">
        <f t="shared" si="0"/>
        <v>4.2</v>
      </c>
      <c r="H35" s="52">
        <f t="shared" si="1"/>
        <v>5</v>
      </c>
      <c r="I35" s="150" t="str">
        <f t="shared" si="2"/>
        <v>Very High</v>
      </c>
      <c r="J35" s="153" t="str">
        <f>INDEX(Trends!$D$3:$D$400,MATCH(C35,Trends!$C$3:$C$400,0))</f>
        <v>Stable</v>
      </c>
      <c r="K35" s="143" t="str">
        <f>IF(Reliability!B33="x","x",(IF(ROUNDUP(Reliability!B33,0)=1,"Very High",IF(ROUNDUP(Reliability!B33,0)=2,"High",IF(ROUNDUP(Reliability!B33,0)=3,"Medium",IF(ROUNDUP(Reliability!B33,0)=4,"Low","Very Low"))))))</f>
        <v>Medium</v>
      </c>
      <c r="L35" s="55">
        <f t="shared" si="3"/>
        <v>4.5</v>
      </c>
      <c r="M35" s="54">
        <f>'Impact of the crisis'!N36</f>
        <v>5</v>
      </c>
      <c r="N35" s="54">
        <f>'Impact of the crisis'!AB36</f>
        <v>4.2</v>
      </c>
      <c r="O35" s="55">
        <f>'Conditions of people affected'!R36</f>
        <v>4.45</v>
      </c>
      <c r="P35" s="54">
        <f>'Conditions of people affected'!K36</f>
        <v>4.9000000000000004</v>
      </c>
      <c r="Q35" s="54">
        <f>'Conditions of people affected'!Q36</f>
        <v>4</v>
      </c>
      <c r="R35" s="54">
        <f t="shared" si="4"/>
        <v>3.5</v>
      </c>
      <c r="S35" s="54">
        <f>'Complexity of the crisis'!X36</f>
        <v>2.9</v>
      </c>
      <c r="T35" s="54">
        <f>'Complexity of the crisis'!AN36</f>
        <v>4</v>
      </c>
      <c r="U35" s="159" t="str">
        <f>VLOOKUP(C35,Lists!$C$3:$E$167,3,FALSE)</f>
        <v>Americas</v>
      </c>
      <c r="V35" s="160">
        <v>44119</v>
      </c>
    </row>
    <row r="36" spans="1:22" x14ac:dyDescent="0.3">
      <c r="A36" s="56" t="str">
        <f>'Crisis Indicator Data'!A34</f>
        <v>Venezuela displacement in Colombia</v>
      </c>
      <c r="B36" s="56" t="str">
        <f>Lists!G34</f>
        <v xml:space="preserve">Venezuelan refugees </v>
      </c>
      <c r="C36" s="56" t="str">
        <f>'Crisis Indicator Data'!C34</f>
        <v>COL002</v>
      </c>
      <c r="D36" s="56" t="str">
        <f>'Crisis Indicator Data'!D34</f>
        <v>Colombia</v>
      </c>
      <c r="E36" s="56" t="str">
        <f>'Crisis Indicator Data'!E34</f>
        <v>COL</v>
      </c>
      <c r="F36" s="56" t="str">
        <f>'Crisis Indicator Data'!B34</f>
        <v>International displacement</v>
      </c>
      <c r="G36" s="53">
        <f t="shared" si="0"/>
        <v>3.4</v>
      </c>
      <c r="H36" s="52">
        <f t="shared" si="1"/>
        <v>4</v>
      </c>
      <c r="I36" s="150" t="str">
        <f t="shared" si="2"/>
        <v>High</v>
      </c>
      <c r="J36" s="153" t="str">
        <f>INDEX(Trends!$D$3:$D$400,MATCH(C36,Trends!$C$3:$C$400,0))</f>
        <v>Stable</v>
      </c>
      <c r="K36" s="143" t="str">
        <f>IF(Reliability!B34="x","x",(IF(ROUNDUP(Reliability!B34,0)=1,"Very High",IF(ROUNDUP(Reliability!B34,0)=2,"High",IF(ROUNDUP(Reliability!B34,0)=3,"Medium",IF(ROUNDUP(Reliability!B34,0)=4,"Low","Very Low"))))))</f>
        <v>Medium</v>
      </c>
      <c r="L36" s="55">
        <f t="shared" si="3"/>
        <v>3.6</v>
      </c>
      <c r="M36" s="54">
        <f>'Impact of the crisis'!N37</f>
        <v>3</v>
      </c>
      <c r="N36" s="54">
        <f>'Impact of the crisis'!AB37</f>
        <v>3.9</v>
      </c>
      <c r="O36" s="55">
        <f>'Conditions of people affected'!R37</f>
        <v>3.6</v>
      </c>
      <c r="P36" s="54">
        <f>'Conditions of people affected'!K37</f>
        <v>4.2</v>
      </c>
      <c r="Q36" s="54">
        <f>'Conditions of people affected'!Q37</f>
        <v>3</v>
      </c>
      <c r="R36" s="54">
        <f t="shared" si="4"/>
        <v>3</v>
      </c>
      <c r="S36" s="54">
        <f>'Complexity of the crisis'!X37</f>
        <v>2.9</v>
      </c>
      <c r="T36" s="54">
        <f>'Complexity of the crisis'!AN37</f>
        <v>3</v>
      </c>
      <c r="U36" s="159" t="str">
        <f>VLOOKUP(C36,Lists!$C$3:$E$167,3,FALSE)</f>
        <v>Americas</v>
      </c>
      <c r="V36" s="160">
        <v>44110</v>
      </c>
    </row>
    <row r="37" spans="1:22" x14ac:dyDescent="0.3">
      <c r="A37" s="56" t="str">
        <f>'Crisis Indicator Data'!A35</f>
        <v>Floods in Congo</v>
      </c>
      <c r="B37" s="56" t="str">
        <f>Lists!G35</f>
        <v>Floods</v>
      </c>
      <c r="C37" s="56" t="str">
        <f>'Crisis Indicator Data'!C35</f>
        <v>COG004</v>
      </c>
      <c r="D37" s="56" t="str">
        <f>'Crisis Indicator Data'!D35</f>
        <v>Congo</v>
      </c>
      <c r="E37" s="56" t="str">
        <f>'Crisis Indicator Data'!E35</f>
        <v>COG</v>
      </c>
      <c r="F37" s="56" t="str">
        <f>'Crisis Indicator Data'!B35</f>
        <v>Flood</v>
      </c>
      <c r="G37" s="53">
        <f t="shared" si="0"/>
        <v>2</v>
      </c>
      <c r="H37" s="52">
        <f t="shared" ref="H37:H68" si="5">IF(G37="x","x",ROUNDUP(G37,0))</f>
        <v>2</v>
      </c>
      <c r="I37" s="150" t="str">
        <f t="shared" ref="I37:I68" si="6">IF(O37="x","x",IF(L37="x","x",(IF(H37=5,"Very High",IF(H37=4,"High",IF(H37=3,"Medium",IF(H37=2,"Low","Very Low")))))))</f>
        <v>Low</v>
      </c>
      <c r="J37" s="153" t="str">
        <f>INDEX(Trends!$D$3:$D$400,MATCH(C37,Trends!$C$3:$C$400,0))</f>
        <v>-</v>
      </c>
      <c r="K37" s="143" t="str">
        <f>IF(Reliability!B35="x","x",(IF(ROUNDUP(Reliability!B35,0)=1,"Very High",IF(ROUNDUP(Reliability!B35,0)=2,"High",IF(ROUNDUP(Reliability!B35,0)=3,"Medium",IF(ROUNDUP(Reliability!B35,0)=4,"Low","Very Low"))))))</f>
        <v>Medium</v>
      </c>
      <c r="L37" s="55">
        <f t="shared" si="3"/>
        <v>1.2</v>
      </c>
      <c r="M37" s="54">
        <f>'Impact of the crisis'!N38</f>
        <v>1.1000000000000001</v>
      </c>
      <c r="N37" s="54">
        <f>'Impact of the crisis'!AB38</f>
        <v>1.3</v>
      </c>
      <c r="O37" s="55">
        <f>'Conditions of people affected'!R38</f>
        <v>2.2000000000000002</v>
      </c>
      <c r="P37" s="54">
        <f>'Conditions of people affected'!K38</f>
        <v>1.4</v>
      </c>
      <c r="Q37" s="54">
        <f>'Conditions of people affected'!Q38</f>
        <v>3</v>
      </c>
      <c r="R37" s="54">
        <f t="shared" si="4"/>
        <v>2.4</v>
      </c>
      <c r="S37" s="54">
        <f>'Complexity of the crisis'!X38</f>
        <v>2.8</v>
      </c>
      <c r="T37" s="54">
        <f>'Complexity of the crisis'!AN38</f>
        <v>2</v>
      </c>
      <c r="U37" s="159" t="str">
        <f>VLOOKUP(C37,Lists!$C$3:$E$167,3,FALSE)</f>
        <v>Africa</v>
      </c>
      <c r="V37" s="160">
        <v>44140</v>
      </c>
    </row>
    <row r="38" spans="1:22" x14ac:dyDescent="0.3">
      <c r="A38" s="56" t="str">
        <f>'Crisis Indicator Data'!A36</f>
        <v>Nicaraguan refugees in Costa Rica</v>
      </c>
      <c r="B38" s="56" t="str">
        <f>Lists!G36</f>
        <v>Nicaraguan refugees</v>
      </c>
      <c r="C38" s="56" t="str">
        <f>'Crisis Indicator Data'!C36</f>
        <v>CRI002</v>
      </c>
      <c r="D38" s="56" t="str">
        <f>'Crisis Indicator Data'!D36</f>
        <v>Costa Rica</v>
      </c>
      <c r="E38" s="56" t="str">
        <f>'Crisis Indicator Data'!E36</f>
        <v>CRI</v>
      </c>
      <c r="F38" s="56" t="str">
        <f>'Crisis Indicator Data'!B36</f>
        <v>International displacement</v>
      </c>
      <c r="G38" s="53">
        <f t="shared" si="0"/>
        <v>1.1000000000000001</v>
      </c>
      <c r="H38" s="52">
        <f t="shared" si="5"/>
        <v>2</v>
      </c>
      <c r="I38" s="150" t="str">
        <f t="shared" si="6"/>
        <v>Low</v>
      </c>
      <c r="J38" s="153" t="str">
        <f>INDEX(Trends!$D$3:$D$400,MATCH(C38,Trends!$C$3:$C$400,0))</f>
        <v>Increasing</v>
      </c>
      <c r="K38" s="143" t="str">
        <f>IF(Reliability!B36="x","x",(IF(ROUNDUP(Reliability!B36,0)=1,"Very High",IF(ROUNDUP(Reliability!B36,0)=2,"High",IF(ROUNDUP(Reliability!B36,0)=3,"Medium",IF(ROUNDUP(Reliability!B36,0)=4,"Low","Very Low"))))))</f>
        <v>High</v>
      </c>
      <c r="L38" s="55">
        <f t="shared" si="3"/>
        <v>1.3</v>
      </c>
      <c r="M38" s="54">
        <f>'Impact of the crisis'!N39</f>
        <v>1</v>
      </c>
      <c r="N38" s="54">
        <f>'Impact of the crisis'!AB39</f>
        <v>1.5</v>
      </c>
      <c r="O38" s="55">
        <f>'Conditions of people affected'!R39</f>
        <v>1</v>
      </c>
      <c r="P38" s="54">
        <f>'Conditions of people affected'!K39</f>
        <v>1</v>
      </c>
      <c r="Q38" s="54">
        <f>'Conditions of people affected'!Q39</f>
        <v>1</v>
      </c>
      <c r="R38" s="54">
        <f t="shared" si="4"/>
        <v>1</v>
      </c>
      <c r="S38" s="54">
        <f>'Complexity of the crisis'!X39</f>
        <v>0.9</v>
      </c>
      <c r="T38" s="54">
        <f>'Complexity of the crisis'!AN39</f>
        <v>1</v>
      </c>
      <c r="U38" s="159" t="str">
        <f>VLOOKUP(C38,Lists!$C$3:$E$167,3,FALSE)</f>
        <v>Americas</v>
      </c>
      <c r="V38" s="160">
        <v>44110</v>
      </c>
    </row>
    <row r="39" spans="1:22" x14ac:dyDescent="0.3">
      <c r="A39" s="56" t="str">
        <f>'Crisis Indicator Data'!A37</f>
        <v>Multiple crises in Djibouti</v>
      </c>
      <c r="B39" s="56" t="str">
        <f>Lists!G37</f>
        <v>Country level</v>
      </c>
      <c r="C39" s="56" t="str">
        <f>'Crisis Indicator Data'!C37</f>
        <v>DJI001</v>
      </c>
      <c r="D39" s="56" t="str">
        <f>'Crisis Indicator Data'!D37</f>
        <v>Djibouti</v>
      </c>
      <c r="E39" s="56" t="str">
        <f>'Crisis Indicator Data'!E37</f>
        <v>DJI</v>
      </c>
      <c r="F39" s="56" t="str">
        <f>'Crisis Indicator Data'!B37</f>
        <v>Multiple crises country</v>
      </c>
      <c r="G39" s="53">
        <f t="shared" si="0"/>
        <v>2.9</v>
      </c>
      <c r="H39" s="52">
        <f t="shared" si="5"/>
        <v>3</v>
      </c>
      <c r="I39" s="150" t="str">
        <f t="shared" si="6"/>
        <v>Medium</v>
      </c>
      <c r="J39" s="153" t="str">
        <f>INDEX(Trends!$D$3:$D$400,MATCH(C39,Trends!$C$3:$C$400,0))</f>
        <v>Stable</v>
      </c>
      <c r="K39" s="143" t="str">
        <f>IF(Reliability!B37="x","x",(IF(ROUNDUP(Reliability!B37,0)=1,"Very High",IF(ROUNDUP(Reliability!B37,0)=2,"High",IF(ROUNDUP(Reliability!B37,0)=3,"Medium",IF(ROUNDUP(Reliability!B37,0)=4,"Low","Very Low"))))))</f>
        <v>High</v>
      </c>
      <c r="L39" s="55">
        <f t="shared" si="3"/>
        <v>2.1</v>
      </c>
      <c r="M39" s="54">
        <f>'Impact of the crisis'!N40</f>
        <v>3.1</v>
      </c>
      <c r="N39" s="54">
        <f>'Impact of the crisis'!AB40</f>
        <v>1.5</v>
      </c>
      <c r="O39" s="55">
        <f>'Conditions of people affected'!R40</f>
        <v>3.25</v>
      </c>
      <c r="P39" s="54">
        <f>'Conditions of people affected'!K40</f>
        <v>2.5</v>
      </c>
      <c r="Q39" s="54">
        <f>'Conditions of people affected'!Q40</f>
        <v>4</v>
      </c>
      <c r="R39" s="54">
        <f t="shared" si="4"/>
        <v>2.9</v>
      </c>
      <c r="S39" s="54">
        <f>'Complexity of the crisis'!X40</f>
        <v>2.7</v>
      </c>
      <c r="T39" s="54">
        <f>'Complexity of the crisis'!AN40</f>
        <v>3</v>
      </c>
      <c r="U39" s="159" t="str">
        <f>VLOOKUP(C39,Lists!$C$3:$E$167,3,FALSE)</f>
        <v>Africa</v>
      </c>
      <c r="V39" s="160">
        <v>44140</v>
      </c>
    </row>
    <row r="40" spans="1:22" x14ac:dyDescent="0.3">
      <c r="A40" s="56" t="str">
        <f>'Crisis Indicator Data'!A38</f>
        <v>Mixed migration in Djibouti</v>
      </c>
      <c r="B40" s="56" t="str">
        <f>Lists!G38</f>
        <v>Mixed Migration</v>
      </c>
      <c r="C40" s="56" t="str">
        <f>'Crisis Indicator Data'!C38</f>
        <v>DJI002</v>
      </c>
      <c r="D40" s="56" t="str">
        <f>'Crisis Indicator Data'!D38</f>
        <v>Djibouti</v>
      </c>
      <c r="E40" s="56" t="str">
        <f>'Crisis Indicator Data'!E38</f>
        <v>DJI</v>
      </c>
      <c r="F40" s="56" t="str">
        <f>'Crisis Indicator Data'!B38</f>
        <v>International displacement</v>
      </c>
      <c r="G40" s="53">
        <f t="shared" si="0"/>
        <v>1.5</v>
      </c>
      <c r="H40" s="52">
        <f t="shared" si="5"/>
        <v>2</v>
      </c>
      <c r="I40" s="150" t="str">
        <f t="shared" si="6"/>
        <v>Low</v>
      </c>
      <c r="J40" s="153" t="str">
        <f>INDEX(Trends!$D$3:$D$400,MATCH(C40,Trends!$C$3:$C$400,0))</f>
        <v>Increasing</v>
      </c>
      <c r="K40" s="143" t="str">
        <f>IF(Reliability!B38="x","x",(IF(ROUNDUP(Reliability!B38,0)=1,"Very High",IF(ROUNDUP(Reliability!B38,0)=2,"High",IF(ROUNDUP(Reliability!B38,0)=3,"Medium",IF(ROUNDUP(Reliability!B38,0)=4,"Low","Very Low"))))))</f>
        <v>Medium</v>
      </c>
      <c r="L40" s="55">
        <f t="shared" si="3"/>
        <v>1.9</v>
      </c>
      <c r="M40" s="54">
        <f>'Impact of the crisis'!N41</f>
        <v>3.1</v>
      </c>
      <c r="N40" s="54">
        <f>'Impact of the crisis'!AB41</f>
        <v>1.2</v>
      </c>
      <c r="O40" s="55">
        <f>'Conditions of people affected'!R41</f>
        <v>0.9</v>
      </c>
      <c r="P40" s="54">
        <f>'Conditions of people affected'!K41</f>
        <v>0.8</v>
      </c>
      <c r="Q40" s="54">
        <f>'Conditions of people affected'!Q41</f>
        <v>1</v>
      </c>
      <c r="R40" s="54">
        <f t="shared" si="4"/>
        <v>2.1</v>
      </c>
      <c r="S40" s="54">
        <f>'Complexity of the crisis'!X41</f>
        <v>2.7</v>
      </c>
      <c r="T40" s="54">
        <f>'Complexity of the crisis'!AN41</f>
        <v>1.5</v>
      </c>
      <c r="U40" s="159" t="str">
        <f>VLOOKUP(C40,Lists!$C$3:$E$167,3,FALSE)</f>
        <v>Africa</v>
      </c>
      <c r="V40" s="160">
        <v>44111</v>
      </c>
    </row>
    <row r="41" spans="1:22" x14ac:dyDescent="0.3">
      <c r="A41" s="56" t="str">
        <f>'Crisis Indicator Data'!A39</f>
        <v>Drought in Djibouti</v>
      </c>
      <c r="B41" s="56" t="str">
        <f>Lists!G39</f>
        <v>Drought</v>
      </c>
      <c r="C41" s="56" t="str">
        <f>'Crisis Indicator Data'!C39</f>
        <v>DJI003</v>
      </c>
      <c r="D41" s="56" t="str">
        <f>'Crisis Indicator Data'!D39</f>
        <v>Djibouti</v>
      </c>
      <c r="E41" s="56" t="str">
        <f>'Crisis Indicator Data'!E39</f>
        <v>DJI</v>
      </c>
      <c r="F41" s="56" t="str">
        <f>'Crisis Indicator Data'!B39</f>
        <v>Drought</v>
      </c>
      <c r="G41" s="53">
        <f t="shared" si="0"/>
        <v>2.9</v>
      </c>
      <c r="H41" s="52">
        <f t="shared" si="5"/>
        <v>3</v>
      </c>
      <c r="I41" s="150" t="str">
        <f t="shared" si="6"/>
        <v>Medium</v>
      </c>
      <c r="J41" s="153" t="str">
        <f>INDEX(Trends!$D$3:$D$400,MATCH(C41,Trends!$C$3:$C$400,0))</f>
        <v>Increasing</v>
      </c>
      <c r="K41" s="143" t="str">
        <f>IF(Reliability!B39="x","x",(IF(ROUNDUP(Reliability!B39,0)=1,"Very High",IF(ROUNDUP(Reliability!B39,0)=2,"High",IF(ROUNDUP(Reliability!B39,0)=3,"Medium",IF(ROUNDUP(Reliability!B39,0)=4,"Low","Very Low"))))))</f>
        <v>Medium</v>
      </c>
      <c r="L41" s="55">
        <f t="shared" si="3"/>
        <v>2.1</v>
      </c>
      <c r="M41" s="54">
        <f>'Impact of the crisis'!N42</f>
        <v>3.1</v>
      </c>
      <c r="N41" s="54">
        <f>'Impact of the crisis'!AB42</f>
        <v>1.5</v>
      </c>
      <c r="O41" s="55">
        <f>'Conditions of people affected'!R42</f>
        <v>3.25</v>
      </c>
      <c r="P41" s="54">
        <f>'Conditions of people affected'!K42</f>
        <v>2.5</v>
      </c>
      <c r="Q41" s="54">
        <f>'Conditions of people affected'!Q42</f>
        <v>4</v>
      </c>
      <c r="R41" s="54">
        <f t="shared" si="4"/>
        <v>2.9</v>
      </c>
      <c r="S41" s="54">
        <f>'Complexity of the crisis'!X42</f>
        <v>2.7</v>
      </c>
      <c r="T41" s="54">
        <f>'Complexity of the crisis'!AN42</f>
        <v>3</v>
      </c>
      <c r="U41" s="159" t="str">
        <f>VLOOKUP(C41,Lists!$C$3:$E$167,3,FALSE)</f>
        <v>Africa</v>
      </c>
      <c r="V41" s="160">
        <v>44111</v>
      </c>
    </row>
    <row r="42" spans="1:22" x14ac:dyDescent="0.3">
      <c r="A42" s="56" t="str">
        <f>'Crisis Indicator Data'!A40</f>
        <v>Complex crisis in DPRK</v>
      </c>
      <c r="B42" s="56" t="str">
        <f>Lists!G40</f>
        <v>Complex crisis</v>
      </c>
      <c r="C42" s="56" t="str">
        <f>'Crisis Indicator Data'!C40</f>
        <v>PRK001</v>
      </c>
      <c r="D42" s="56" t="str">
        <f>'Crisis Indicator Data'!D40</f>
        <v>DPRK</v>
      </c>
      <c r="E42" s="56" t="str">
        <f>'Crisis Indicator Data'!E40</f>
        <v>PRK</v>
      </c>
      <c r="F42" s="56" t="str">
        <f>'Crisis Indicator Data'!B40</f>
        <v>Complex crisis</v>
      </c>
      <c r="G42" s="53">
        <f t="shared" si="0"/>
        <v>4.0999999999999996</v>
      </c>
      <c r="H42" s="52">
        <f t="shared" si="5"/>
        <v>5</v>
      </c>
      <c r="I42" s="150" t="str">
        <f t="shared" si="6"/>
        <v>Very High</v>
      </c>
      <c r="J42" s="153" t="str">
        <f>INDEX(Trends!$D$3:$D$400,MATCH(C42,Trends!$C$3:$C$400,0))</f>
        <v>Stable</v>
      </c>
      <c r="K42" s="143" t="str">
        <f>IF(Reliability!B40="x","x",(IF(ROUNDUP(Reliability!B40,0)=1,"Very High",IF(ROUNDUP(Reliability!B40,0)=2,"High",IF(ROUNDUP(Reliability!B40,0)=3,"Medium",IF(ROUNDUP(Reliability!B40,0)=4,"Low","Very Low"))))))</f>
        <v>Very Low</v>
      </c>
      <c r="L42" s="55">
        <f t="shared" si="3"/>
        <v>4.8</v>
      </c>
      <c r="M42" s="54">
        <f>'Impact of the crisis'!N43</f>
        <v>4.5999999999999996</v>
      </c>
      <c r="N42" s="54">
        <f>'Impact of the crisis'!AB43</f>
        <v>4.9000000000000004</v>
      </c>
      <c r="O42" s="55">
        <f>'Conditions of people affected'!R43</f>
        <v>4.5</v>
      </c>
      <c r="P42" s="54">
        <f>'Conditions of people affected'!K43</f>
        <v>5</v>
      </c>
      <c r="Q42" s="54">
        <f>'Conditions of people affected'!Q43</f>
        <v>4</v>
      </c>
      <c r="R42" s="54">
        <f t="shared" si="4"/>
        <v>2.9</v>
      </c>
      <c r="S42" s="54">
        <f>'Complexity of the crisis'!X43</f>
        <v>3.2</v>
      </c>
      <c r="T42" s="54">
        <f>'Complexity of the crisis'!AN43</f>
        <v>2.5</v>
      </c>
      <c r="U42" s="159" t="str">
        <f>VLOOKUP(C42,Lists!$C$3:$E$167,3,FALSE)</f>
        <v>Asia</v>
      </c>
      <c r="V42" s="160">
        <v>43920</v>
      </c>
    </row>
    <row r="43" spans="1:22" x14ac:dyDescent="0.3">
      <c r="A43" s="56" t="str">
        <f>'Crisis Indicator Data'!A41</f>
        <v>Complex crisis in DRC</v>
      </c>
      <c r="B43" s="56" t="str">
        <f>Lists!G41</f>
        <v>Complex crisis</v>
      </c>
      <c r="C43" s="56" t="str">
        <f>'Crisis Indicator Data'!C41</f>
        <v>COD001</v>
      </c>
      <c r="D43" s="56" t="str">
        <f>'Crisis Indicator Data'!D41</f>
        <v>DRC</v>
      </c>
      <c r="E43" s="56" t="str">
        <f>'Crisis Indicator Data'!E41</f>
        <v>COD</v>
      </c>
      <c r="F43" s="56" t="str">
        <f>'Crisis Indicator Data'!B41</f>
        <v>Complex crisis</v>
      </c>
      <c r="G43" s="53">
        <f t="shared" si="0"/>
        <v>4.5</v>
      </c>
      <c r="H43" s="52">
        <f t="shared" si="5"/>
        <v>5</v>
      </c>
      <c r="I43" s="150" t="str">
        <f t="shared" si="6"/>
        <v>Very High</v>
      </c>
      <c r="J43" s="153" t="str">
        <f>INDEX(Trends!$D$3:$D$400,MATCH(C43,Trends!$C$3:$C$400,0))</f>
        <v>Increasing</v>
      </c>
      <c r="K43" s="143" t="str">
        <f>IF(Reliability!B41="x","x",(IF(ROUNDUP(Reliability!B41,0)=1,"Very High",IF(ROUNDUP(Reliability!B41,0)=2,"High",IF(ROUNDUP(Reliability!B41,0)=3,"Medium",IF(ROUNDUP(Reliability!B41,0)=4,"Low","Very Low"))))))</f>
        <v>High</v>
      </c>
      <c r="L43" s="55">
        <f t="shared" si="3"/>
        <v>4.5999999999999996</v>
      </c>
      <c r="M43" s="54">
        <f>'Impact of the crisis'!N44</f>
        <v>5</v>
      </c>
      <c r="N43" s="54">
        <f>'Impact of the crisis'!AB44</f>
        <v>4.3</v>
      </c>
      <c r="O43" s="55">
        <f>'Conditions of people affected'!R44</f>
        <v>4.5</v>
      </c>
      <c r="P43" s="54">
        <f>'Conditions of people affected'!K44</f>
        <v>5</v>
      </c>
      <c r="Q43" s="54">
        <f>'Conditions of people affected'!Q44</f>
        <v>4</v>
      </c>
      <c r="R43" s="54">
        <f t="shared" si="4"/>
        <v>4.4000000000000004</v>
      </c>
      <c r="S43" s="54">
        <f>'Complexity of the crisis'!X44</f>
        <v>4.3</v>
      </c>
      <c r="T43" s="54">
        <f>'Complexity of the crisis'!AN44</f>
        <v>4.5</v>
      </c>
      <c r="U43" s="159" t="str">
        <f>VLOOKUP(C43,Lists!$C$3:$E$167,3,FALSE)</f>
        <v>Africa</v>
      </c>
      <c r="V43" s="160">
        <v>44139</v>
      </c>
    </row>
    <row r="44" spans="1:22" x14ac:dyDescent="0.3">
      <c r="A44" s="56" t="str">
        <f>'Crisis Indicator Data'!A42</f>
        <v>Floods in south-eastern DRC</v>
      </c>
      <c r="B44" s="56" t="str">
        <f>Lists!G42</f>
        <v>Floods</v>
      </c>
      <c r="C44" s="56" t="str">
        <f>'Crisis Indicator Data'!C42</f>
        <v>COD003</v>
      </c>
      <c r="D44" s="56" t="str">
        <f>'Crisis Indicator Data'!D42</f>
        <v>DRC</v>
      </c>
      <c r="E44" s="56" t="str">
        <f>'Crisis Indicator Data'!E42</f>
        <v>COD</v>
      </c>
      <c r="F44" s="56" t="str">
        <f>'Crisis Indicator Data'!B42</f>
        <v>Flood</v>
      </c>
      <c r="G44" s="53">
        <f t="shared" si="0"/>
        <v>2.6</v>
      </c>
      <c r="H44" s="52">
        <f t="shared" si="5"/>
        <v>3</v>
      </c>
      <c r="I44" s="150" t="str">
        <f t="shared" si="6"/>
        <v>Medium</v>
      </c>
      <c r="J44" s="153" t="str">
        <f>INDEX(Trends!$D$3:$D$400,MATCH(C44,Trends!$C$3:$C$400,0))</f>
        <v>Stable</v>
      </c>
      <c r="K44" s="143" t="str">
        <f>IF(Reliability!B42="x","x",(IF(ROUNDUP(Reliability!B42,0)=1,"Very High",IF(ROUNDUP(Reliability!B42,0)=2,"High",IF(ROUNDUP(Reliability!B42,0)=3,"Medium",IF(ROUNDUP(Reliability!B42,0)=4,"Low","Very Low"))))))</f>
        <v>Medium</v>
      </c>
      <c r="L44" s="55">
        <f t="shared" si="3"/>
        <v>1.8</v>
      </c>
      <c r="M44" s="54">
        <f>'Impact of the crisis'!N45</f>
        <v>2.9</v>
      </c>
      <c r="N44" s="54">
        <f>'Impact of the crisis'!AB45</f>
        <v>1.1000000000000001</v>
      </c>
      <c r="O44" s="55">
        <f>'Conditions of people affected'!R45</f>
        <v>1.95</v>
      </c>
      <c r="P44" s="54">
        <f>'Conditions of people affected'!K45</f>
        <v>2.9</v>
      </c>
      <c r="Q44" s="54">
        <f>'Conditions of people affected'!Q45</f>
        <v>1</v>
      </c>
      <c r="R44" s="54">
        <f t="shared" si="4"/>
        <v>4.2</v>
      </c>
      <c r="S44" s="54">
        <f>'Complexity of the crisis'!X45</f>
        <v>4.3</v>
      </c>
      <c r="T44" s="54">
        <f>'Complexity of the crisis'!AN45</f>
        <v>4</v>
      </c>
      <c r="U44" s="159" t="str">
        <f>VLOOKUP(C44,Lists!$C$3:$E$167,3,FALSE)</f>
        <v>Africa</v>
      </c>
      <c r="V44" s="160">
        <v>44139</v>
      </c>
    </row>
    <row r="45" spans="1:22" x14ac:dyDescent="0.3">
      <c r="A45" s="56" t="str">
        <f>'Crisis Indicator Data'!A43</f>
        <v>Venezuela displacement in Ecuador</v>
      </c>
      <c r="B45" s="56" t="str">
        <f>Lists!G43</f>
        <v xml:space="preserve">Venezuelan refugees </v>
      </c>
      <c r="C45" s="56" t="str">
        <f>'Crisis Indicator Data'!C43</f>
        <v>ECU002</v>
      </c>
      <c r="D45" s="56" t="str">
        <f>'Crisis Indicator Data'!D43</f>
        <v>Ecuador</v>
      </c>
      <c r="E45" s="56" t="str">
        <f>'Crisis Indicator Data'!E43</f>
        <v>ECU</v>
      </c>
      <c r="F45" s="56" t="str">
        <f>'Crisis Indicator Data'!B43</f>
        <v>International displacement</v>
      </c>
      <c r="G45" s="53">
        <f t="shared" si="0"/>
        <v>2.4</v>
      </c>
      <c r="H45" s="52">
        <f t="shared" si="5"/>
        <v>3</v>
      </c>
      <c r="I45" s="150" t="str">
        <f t="shared" si="6"/>
        <v>Medium</v>
      </c>
      <c r="J45" s="153" t="str">
        <f>INDEX(Trends!$D$3:$D$400,MATCH(C45,Trends!$C$3:$C$400,0))</f>
        <v>Stable</v>
      </c>
      <c r="K45" s="143" t="str">
        <f>IF(Reliability!B43="x","x",(IF(ROUNDUP(Reliability!B43,0)=1,"Very High",IF(ROUNDUP(Reliability!B43,0)=2,"High",IF(ROUNDUP(Reliability!B43,0)=3,"Medium",IF(ROUNDUP(Reliability!B43,0)=4,"Low","Very Low"))))))</f>
        <v>High</v>
      </c>
      <c r="L45" s="55">
        <f t="shared" si="3"/>
        <v>1.9</v>
      </c>
      <c r="M45" s="54">
        <f>'Impact of the crisis'!N46</f>
        <v>1.3</v>
      </c>
      <c r="N45" s="54">
        <f>'Impact of the crisis'!AB46</f>
        <v>2.2000000000000002</v>
      </c>
      <c r="O45" s="55">
        <f>'Conditions of people affected'!R46</f>
        <v>2.95</v>
      </c>
      <c r="P45" s="54">
        <f>'Conditions of people affected'!K46</f>
        <v>2.9</v>
      </c>
      <c r="Q45" s="54">
        <f>'Conditions of people affected'!Q46</f>
        <v>3</v>
      </c>
      <c r="R45" s="54">
        <f t="shared" si="4"/>
        <v>1.8</v>
      </c>
      <c r="S45" s="54">
        <f>'Complexity of the crisis'!X46</f>
        <v>2.1</v>
      </c>
      <c r="T45" s="54">
        <f>'Complexity of the crisis'!AN46</f>
        <v>1.5</v>
      </c>
      <c r="U45" s="159" t="str">
        <f>VLOOKUP(C45,Lists!$C$3:$E$167,3,FALSE)</f>
        <v>Americas</v>
      </c>
      <c r="V45" s="160">
        <v>44110</v>
      </c>
    </row>
    <row r="46" spans="1:22" x14ac:dyDescent="0.3">
      <c r="A46" s="56" t="str">
        <f>'Crisis Indicator Data'!A44</f>
        <v>Syrian Refugee Crisis in Egypt</v>
      </c>
      <c r="B46" s="56" t="str">
        <f>Lists!G44</f>
        <v>Syrian refugees</v>
      </c>
      <c r="C46" s="56" t="str">
        <f>'Crisis Indicator Data'!C44</f>
        <v>EGY002</v>
      </c>
      <c r="D46" s="56" t="str">
        <f>'Crisis Indicator Data'!D44</f>
        <v>Egypt</v>
      </c>
      <c r="E46" s="56" t="str">
        <f>'Crisis Indicator Data'!E44</f>
        <v>EGY</v>
      </c>
      <c r="F46" s="56" t="str">
        <f>'Crisis Indicator Data'!B44</f>
        <v>International displacement</v>
      </c>
      <c r="G46" s="53">
        <f t="shared" si="0"/>
        <v>2.2000000000000002</v>
      </c>
      <c r="H46" s="52">
        <f t="shared" si="5"/>
        <v>3</v>
      </c>
      <c r="I46" s="150" t="str">
        <f t="shared" si="6"/>
        <v>Medium</v>
      </c>
      <c r="J46" s="153" t="str">
        <f>INDEX(Trends!$D$3:$D$400,MATCH(C46,Trends!$C$3:$C$400,0))</f>
        <v>Stable</v>
      </c>
      <c r="K46" s="143" t="str">
        <f>IF(Reliability!B44="x","x",(IF(ROUNDUP(Reliability!B44,0)=1,"Very High",IF(ROUNDUP(Reliability!B44,0)=2,"High",IF(ROUNDUP(Reliability!B44,0)=3,"Medium",IF(ROUNDUP(Reliability!B44,0)=4,"Low","Very Low"))))))</f>
        <v>High</v>
      </c>
      <c r="L46" s="55">
        <f t="shared" si="3"/>
        <v>2.5</v>
      </c>
      <c r="M46" s="54">
        <f>'Impact of the crisis'!N47</f>
        <v>2.4</v>
      </c>
      <c r="N46" s="54">
        <f>'Impact of the crisis'!AB47</f>
        <v>2.5</v>
      </c>
      <c r="O46" s="55">
        <f>'Conditions of people affected'!R47</f>
        <v>1.9</v>
      </c>
      <c r="P46" s="54">
        <f>'Conditions of people affected'!K47</f>
        <v>1.8</v>
      </c>
      <c r="Q46" s="54">
        <f>'Conditions of people affected'!Q47</f>
        <v>2</v>
      </c>
      <c r="R46" s="54">
        <f t="shared" si="4"/>
        <v>2.4</v>
      </c>
      <c r="S46" s="54">
        <f>'Complexity of the crisis'!X47</f>
        <v>2.7</v>
      </c>
      <c r="T46" s="54">
        <f>'Complexity of the crisis'!AN47</f>
        <v>2</v>
      </c>
      <c r="U46" s="159" t="str">
        <f>VLOOKUP(C46,Lists!$C$3:$E$167,3,FALSE)</f>
        <v>Africa</v>
      </c>
      <c r="V46" s="160">
        <v>44064</v>
      </c>
    </row>
    <row r="47" spans="1:22" x14ac:dyDescent="0.3">
      <c r="A47" s="56" t="str">
        <f>'Crisis Indicator Data'!A45</f>
        <v>Complex crisis in El Salvador</v>
      </c>
      <c r="B47" s="56" t="str">
        <f>Lists!G45</f>
        <v>Complex crisis</v>
      </c>
      <c r="C47" s="56" t="str">
        <f>'Crisis Indicator Data'!C45</f>
        <v>SLV001</v>
      </c>
      <c r="D47" s="56" t="str">
        <f>'Crisis Indicator Data'!D45</f>
        <v>El Salvador</v>
      </c>
      <c r="E47" s="56" t="str">
        <f>'Crisis Indicator Data'!E45</f>
        <v>SLV</v>
      </c>
      <c r="F47" s="56" t="str">
        <f>'Crisis Indicator Data'!B45</f>
        <v>Complex crisis</v>
      </c>
      <c r="G47" s="53">
        <f t="shared" si="0"/>
        <v>3</v>
      </c>
      <c r="H47" s="52">
        <f t="shared" si="5"/>
        <v>3</v>
      </c>
      <c r="I47" s="150" t="str">
        <f t="shared" si="6"/>
        <v>Medium</v>
      </c>
      <c r="J47" s="153" t="str">
        <f>INDEX(Trends!$D$3:$D$400,MATCH(C47,Trends!$C$3:$C$400,0))</f>
        <v>Increasing</v>
      </c>
      <c r="K47" s="143" t="str">
        <f>IF(Reliability!B45="x","x",(IF(ROUNDUP(Reliability!B45,0)=1,"Very High",IF(ROUNDUP(Reliability!B45,0)=2,"High",IF(ROUNDUP(Reliability!B45,0)=3,"Medium",IF(ROUNDUP(Reliability!B45,0)=4,"Low","Very Low"))))))</f>
        <v>High</v>
      </c>
      <c r="L47" s="55">
        <f t="shared" si="3"/>
        <v>3.5</v>
      </c>
      <c r="M47" s="54">
        <f>'Impact of the crisis'!N48</f>
        <v>3.8</v>
      </c>
      <c r="N47" s="54">
        <f>'Impact of the crisis'!AB48</f>
        <v>3.4</v>
      </c>
      <c r="O47" s="55">
        <f>'Conditions of people affected'!R48</f>
        <v>3</v>
      </c>
      <c r="P47" s="54">
        <f>'Conditions of people affected'!K48</f>
        <v>3</v>
      </c>
      <c r="Q47" s="54">
        <f>'Conditions of people affected'!Q48</f>
        <v>3</v>
      </c>
      <c r="R47" s="54">
        <f t="shared" si="4"/>
        <v>2.5</v>
      </c>
      <c r="S47" s="54">
        <f>'Complexity of the crisis'!X48</f>
        <v>2.4</v>
      </c>
      <c r="T47" s="54">
        <f>'Complexity of the crisis'!AN48</f>
        <v>2.5</v>
      </c>
      <c r="U47" s="159" t="str">
        <f>VLOOKUP(C47,Lists!$C$3:$E$167,3,FALSE)</f>
        <v>Americas</v>
      </c>
      <c r="V47" s="160">
        <v>44111</v>
      </c>
    </row>
    <row r="48" spans="1:22" x14ac:dyDescent="0.3">
      <c r="A48" s="56" t="str">
        <f>'Crisis Indicator Data'!A46</f>
        <v>Complex crisis in Eritrea</v>
      </c>
      <c r="B48" s="56" t="str">
        <f>Lists!G46</f>
        <v>Complex crisis</v>
      </c>
      <c r="C48" s="56" t="str">
        <f>'Crisis Indicator Data'!C46</f>
        <v>ERI001</v>
      </c>
      <c r="D48" s="56" t="str">
        <f>'Crisis Indicator Data'!D46</f>
        <v>Eritrea</v>
      </c>
      <c r="E48" s="56" t="str">
        <f>'Crisis Indicator Data'!E46</f>
        <v>ERI</v>
      </c>
      <c r="F48" s="56" t="str">
        <f>'Crisis Indicator Data'!B46</f>
        <v>Complex crisis</v>
      </c>
      <c r="G48" s="53">
        <f t="shared" si="0"/>
        <v>3.7</v>
      </c>
      <c r="H48" s="52">
        <f t="shared" si="5"/>
        <v>4</v>
      </c>
      <c r="I48" s="150" t="str">
        <f t="shared" si="6"/>
        <v>High</v>
      </c>
      <c r="J48" s="153" t="str">
        <f>INDEX(Trends!$D$3:$D$400,MATCH(C48,Trends!$C$3:$C$400,0))</f>
        <v>Stable</v>
      </c>
      <c r="K48" s="143" t="str">
        <f>IF(Reliability!B46="x","x",(IF(ROUNDUP(Reliability!B46,0)=1,"Very High",IF(ROUNDUP(Reliability!B46,0)=2,"High",IF(ROUNDUP(Reliability!B46,0)=3,"Medium",IF(ROUNDUP(Reliability!B46,0)=4,"Low","Very Low"))))))</f>
        <v>Low</v>
      </c>
      <c r="L48" s="55">
        <f t="shared" si="3"/>
        <v>3.5</v>
      </c>
      <c r="M48" s="54">
        <f>'Impact of the crisis'!N49</f>
        <v>3.8</v>
      </c>
      <c r="N48" s="54">
        <f>'Impact of the crisis'!AB49</f>
        <v>3.3</v>
      </c>
      <c r="O48" s="55">
        <f>'Conditions of people affected'!R49</f>
        <v>3.5</v>
      </c>
      <c r="P48" s="54">
        <f>'Conditions of people affected'!K49</f>
        <v>4</v>
      </c>
      <c r="Q48" s="54">
        <f>'Conditions of people affected'!Q49</f>
        <v>3</v>
      </c>
      <c r="R48" s="54">
        <f t="shared" si="4"/>
        <v>4.2</v>
      </c>
      <c r="S48" s="54">
        <f>'Complexity of the crisis'!X49</f>
        <v>2.8</v>
      </c>
      <c r="T48" s="54">
        <f>'Complexity of the crisis'!AN49</f>
        <v>5</v>
      </c>
      <c r="U48" s="159" t="str">
        <f>VLOOKUP(C48,Lists!$C$3:$E$167,3,FALSE)</f>
        <v>Africa</v>
      </c>
      <c r="V48" s="160">
        <v>44140</v>
      </c>
    </row>
    <row r="49" spans="1:22" x14ac:dyDescent="0.3">
      <c r="A49" s="56" t="str">
        <f>'Crisis Indicator Data'!A47</f>
        <v>Food Security Crisis in Eswatini</v>
      </c>
      <c r="B49" s="56" t="str">
        <f>Lists!G47</f>
        <v>Food Security Crisis in Swaziland</v>
      </c>
      <c r="C49" s="56" t="str">
        <f>'Crisis Indicator Data'!C47</f>
        <v>SWZ001</v>
      </c>
      <c r="D49" s="56" t="str">
        <f>'Crisis Indicator Data'!D47</f>
        <v>Eswatini</v>
      </c>
      <c r="E49" s="56" t="str">
        <f>'Crisis Indicator Data'!E47</f>
        <v>SWZ</v>
      </c>
      <c r="F49" s="56" t="str">
        <f>'Crisis Indicator Data'!B47</f>
        <v>Food Security</v>
      </c>
      <c r="G49" s="53">
        <f t="shared" si="0"/>
        <v>2.6</v>
      </c>
      <c r="H49" s="52">
        <f t="shared" si="5"/>
        <v>3</v>
      </c>
      <c r="I49" s="150" t="str">
        <f t="shared" si="6"/>
        <v>Medium</v>
      </c>
      <c r="J49" s="153" t="str">
        <f>INDEX(Trends!$D$3:$D$400,MATCH(C49,Trends!$C$3:$C$400,0))</f>
        <v>-</v>
      </c>
      <c r="K49" s="143" t="str">
        <f>IF(Reliability!B47="x","x",(IF(ROUNDUP(Reliability!B47,0)=1,"Very High",IF(ROUNDUP(Reliability!B47,0)=2,"High",IF(ROUNDUP(Reliability!B47,0)=3,"Medium",IF(ROUNDUP(Reliability!B47,0)=4,"Low","Very Low"))))))</f>
        <v>Medium</v>
      </c>
      <c r="L49" s="55">
        <f t="shared" si="3"/>
        <v>2.2000000000000002</v>
      </c>
      <c r="M49" s="54">
        <f>'Impact of the crisis'!N50</f>
        <v>3.1</v>
      </c>
      <c r="N49" s="54">
        <f>'Impact of the crisis'!AB50</f>
        <v>1.6</v>
      </c>
      <c r="O49" s="55">
        <f>'Conditions of people affected'!R50</f>
        <v>3.3</v>
      </c>
      <c r="P49" s="54">
        <f>'Conditions of people affected'!K50</f>
        <v>2.6</v>
      </c>
      <c r="Q49" s="54">
        <f>'Conditions of people affected'!Q50</f>
        <v>4</v>
      </c>
      <c r="R49" s="54">
        <f t="shared" si="4"/>
        <v>1.9</v>
      </c>
      <c r="S49" s="54">
        <f>'Complexity of the crisis'!X50</f>
        <v>3</v>
      </c>
      <c r="T49" s="54">
        <f>'Complexity of the crisis'!AN50</f>
        <v>0.5</v>
      </c>
      <c r="U49" s="159" t="str">
        <f>VLOOKUP(C49,Lists!$C$3:$E$167,3,FALSE)</f>
        <v>Africa</v>
      </c>
      <c r="V49" s="160">
        <v>44134</v>
      </c>
    </row>
    <row r="50" spans="1:22" x14ac:dyDescent="0.3">
      <c r="A50" s="56" t="str">
        <f>'Crisis Indicator Data'!A48</f>
        <v>Complex crisis in Ethiopia</v>
      </c>
      <c r="B50" s="56" t="str">
        <f>Lists!G48</f>
        <v>Complex crisis</v>
      </c>
      <c r="C50" s="56" t="str">
        <f>'Crisis Indicator Data'!C48</f>
        <v>ETH001</v>
      </c>
      <c r="D50" s="56" t="str">
        <f>'Crisis Indicator Data'!D48</f>
        <v>Ethiopia</v>
      </c>
      <c r="E50" s="56" t="str">
        <f>'Crisis Indicator Data'!E48</f>
        <v>ETH</v>
      </c>
      <c r="F50" s="56" t="str">
        <f>'Crisis Indicator Data'!B48</f>
        <v>Complex crisis</v>
      </c>
      <c r="G50" s="53">
        <f t="shared" si="0"/>
        <v>4</v>
      </c>
      <c r="H50" s="52">
        <f t="shared" si="5"/>
        <v>4</v>
      </c>
      <c r="I50" s="150" t="str">
        <f t="shared" si="6"/>
        <v>High</v>
      </c>
      <c r="J50" s="153" t="str">
        <f>INDEX(Trends!$D$3:$D$400,MATCH(C50,Trends!$C$3:$C$400,0))</f>
        <v>Stable</v>
      </c>
      <c r="K50" s="143" t="str">
        <f>IF(Reliability!B48="x","x",(IF(ROUNDUP(Reliability!B48,0)=1,"Very High",IF(ROUNDUP(Reliability!B48,0)=2,"High",IF(ROUNDUP(Reliability!B48,0)=3,"Medium",IF(ROUNDUP(Reliability!B48,0)=4,"Low","Very Low"))))))</f>
        <v>High</v>
      </c>
      <c r="L50" s="55">
        <f t="shared" si="3"/>
        <v>3.9</v>
      </c>
      <c r="M50" s="54">
        <f>'Impact of the crisis'!N51</f>
        <v>4.3</v>
      </c>
      <c r="N50" s="54">
        <f>'Impact of the crisis'!AB51</f>
        <v>3.7</v>
      </c>
      <c r="O50" s="55">
        <f>'Conditions of people affected'!R51</f>
        <v>4.45</v>
      </c>
      <c r="P50" s="54">
        <f>'Conditions of people affected'!K51</f>
        <v>4.9000000000000004</v>
      </c>
      <c r="Q50" s="54">
        <f>'Conditions of people affected'!Q51</f>
        <v>4</v>
      </c>
      <c r="R50" s="54">
        <f t="shared" si="4"/>
        <v>3.4</v>
      </c>
      <c r="S50" s="54">
        <f>'Complexity of the crisis'!X51</f>
        <v>3.3</v>
      </c>
      <c r="T50" s="54">
        <f>'Complexity of the crisis'!AN51</f>
        <v>3.5</v>
      </c>
      <c r="U50" s="159" t="str">
        <f>VLOOKUP(C50,Lists!$C$3:$E$167,3,FALSE)</f>
        <v>Africa</v>
      </c>
      <c r="V50" s="160">
        <v>44140</v>
      </c>
    </row>
    <row r="51" spans="1:22" ht="14.1" customHeight="1" x14ac:dyDescent="0.3">
      <c r="A51" s="56" t="str">
        <f>'Crisis Indicator Data'!A49</f>
        <v>Flood Crisis in Ethiopia</v>
      </c>
      <c r="B51" s="56" t="str">
        <f>Lists!G49</f>
        <v>Floods</v>
      </c>
      <c r="C51" s="56" t="str">
        <f>'Crisis Indicator Data'!C49</f>
        <v>ETH002</v>
      </c>
      <c r="D51" s="56" t="str">
        <f>'Crisis Indicator Data'!D49</f>
        <v>Ethiopia</v>
      </c>
      <c r="E51" s="56" t="str">
        <f>'Crisis Indicator Data'!E49</f>
        <v>ETH</v>
      </c>
      <c r="F51" s="56" t="str">
        <f>'Crisis Indicator Data'!B49</f>
        <v>Flood</v>
      </c>
      <c r="G51" s="53">
        <f t="shared" si="0"/>
        <v>2.4</v>
      </c>
      <c r="H51" s="52">
        <f t="shared" si="5"/>
        <v>3</v>
      </c>
      <c r="I51" s="150" t="str">
        <f t="shared" si="6"/>
        <v>Medium</v>
      </c>
      <c r="J51" s="153" t="str">
        <f>INDEX(Trends!$D$3:$D$400,MATCH(C51,Trends!$C$3:$C$400,0))</f>
        <v>Stable</v>
      </c>
      <c r="K51" s="143" t="str">
        <f>IF(Reliability!B49="x","x",(IF(ROUNDUP(Reliability!B49,0)=1,"Very High",IF(ROUNDUP(Reliability!B49,0)=2,"High",IF(ROUNDUP(Reliability!B49,0)=3,"Medium",IF(ROUNDUP(Reliability!B49,0)=4,"Low","Very Low"))))))</f>
        <v>Very High</v>
      </c>
      <c r="L51" s="55">
        <f t="shared" si="3"/>
        <v>3</v>
      </c>
      <c r="M51" s="54">
        <f>'Impact of the crisis'!N52</f>
        <v>4.0999999999999996</v>
      </c>
      <c r="N51" s="54">
        <f>'Impact of the crisis'!AB52</f>
        <v>2.2999999999999998</v>
      </c>
      <c r="O51" s="55">
        <f>'Conditions of people affected'!R52</f>
        <v>1.85</v>
      </c>
      <c r="P51" s="54">
        <f>'Conditions of people affected'!K52</f>
        <v>2.7</v>
      </c>
      <c r="Q51" s="54">
        <f>'Conditions of people affected'!Q52</f>
        <v>1</v>
      </c>
      <c r="R51" s="54">
        <f t="shared" si="4"/>
        <v>2.7</v>
      </c>
      <c r="S51" s="54">
        <f>'Complexity of the crisis'!X52</f>
        <v>3.3</v>
      </c>
      <c r="T51" s="54">
        <f>'Complexity of the crisis'!AN52</f>
        <v>2</v>
      </c>
      <c r="U51" s="159" t="str">
        <f>VLOOKUP(C51,Lists!$C$3:$E$167,3,FALSE)</f>
        <v>Africa</v>
      </c>
      <c r="V51" s="160">
        <v>44123</v>
      </c>
    </row>
    <row r="52" spans="1:22" ht="14.1" customHeight="1" x14ac:dyDescent="0.3">
      <c r="A52" s="56" t="str">
        <f>'Crisis Indicator Data'!A50</f>
        <v>International Displacement</v>
      </c>
      <c r="B52" s="56" t="str">
        <f>Lists!G50</f>
        <v>International Displacement</v>
      </c>
      <c r="C52" s="56" t="str">
        <f>'Crisis Indicator Data'!C50</f>
        <v>ETH003</v>
      </c>
      <c r="D52" s="56" t="str">
        <f>'Crisis Indicator Data'!D50</f>
        <v>Ethiopia</v>
      </c>
      <c r="E52" s="56" t="str">
        <f>'Crisis Indicator Data'!E50</f>
        <v>ETH</v>
      </c>
      <c r="F52" s="56" t="str">
        <f>'Crisis Indicator Data'!B50</f>
        <v>International displacement</v>
      </c>
      <c r="G52" s="53">
        <f t="shared" si="0"/>
        <v>2.8</v>
      </c>
      <c r="H52" s="52">
        <f t="shared" si="5"/>
        <v>3</v>
      </c>
      <c r="I52" s="150" t="str">
        <f t="shared" si="6"/>
        <v>Medium</v>
      </c>
      <c r="J52" s="153" t="str">
        <f>INDEX(Trends!$D$3:$D$400,MATCH(C52,Trends!$C$3:$C$400,0))</f>
        <v>Stable</v>
      </c>
      <c r="K52" s="143" t="str">
        <f>IF(Reliability!B50="x","x",(IF(ROUNDUP(Reliability!B50,0)=1,"Very High",IF(ROUNDUP(Reliability!B50,0)=2,"High",IF(ROUNDUP(Reliability!B50,0)=3,"Medium",IF(ROUNDUP(Reliability!B50,0)=4,"Low","Very Low"))))))</f>
        <v>High</v>
      </c>
      <c r="L52" s="55">
        <f t="shared" si="3"/>
        <v>3.7</v>
      </c>
      <c r="M52" s="54">
        <f>'Impact of the crisis'!N53</f>
        <v>4.4000000000000004</v>
      </c>
      <c r="N52" s="54">
        <f>'Impact of the crisis'!AB53</f>
        <v>3.3</v>
      </c>
      <c r="O52" s="55">
        <f>'Conditions of people affected'!R53</f>
        <v>2.0499999999999998</v>
      </c>
      <c r="P52" s="54">
        <f>'Conditions of people affected'!K53</f>
        <v>3.1</v>
      </c>
      <c r="Q52" s="54">
        <f>'Conditions of people affected'!Q53</f>
        <v>1</v>
      </c>
      <c r="R52" s="54">
        <f t="shared" si="4"/>
        <v>3.2</v>
      </c>
      <c r="S52" s="54">
        <f>'Complexity of the crisis'!X53</f>
        <v>3.3</v>
      </c>
      <c r="T52" s="54">
        <f>'Complexity of the crisis'!AN53</f>
        <v>3</v>
      </c>
      <c r="U52" s="159" t="str">
        <f>VLOOKUP(C52,Lists!$C$3:$E$167,3,FALSE)</f>
        <v>Africa</v>
      </c>
      <c r="V52" s="160">
        <v>44071</v>
      </c>
    </row>
    <row r="53" spans="1:22" x14ac:dyDescent="0.3">
      <c r="A53" s="56" t="str">
        <f>'Crisis Indicator Data'!A51</f>
        <v>Mixed migration flows in Greece</v>
      </c>
      <c r="B53" s="56" t="str">
        <f>Lists!G51</f>
        <v>Mixed Migration</v>
      </c>
      <c r="C53" s="56" t="str">
        <f>'Crisis Indicator Data'!C51</f>
        <v>GRC002</v>
      </c>
      <c r="D53" s="56" t="str">
        <f>'Crisis Indicator Data'!D51</f>
        <v>Greece</v>
      </c>
      <c r="E53" s="56" t="str">
        <f>'Crisis Indicator Data'!E51</f>
        <v>GRC</v>
      </c>
      <c r="F53" s="56" t="str">
        <f>'Crisis Indicator Data'!B51</f>
        <v>International displacement</v>
      </c>
      <c r="G53" s="53">
        <f t="shared" si="0"/>
        <v>1.8</v>
      </c>
      <c r="H53" s="52">
        <f t="shared" si="5"/>
        <v>2</v>
      </c>
      <c r="I53" s="150" t="str">
        <f t="shared" si="6"/>
        <v>Low</v>
      </c>
      <c r="J53" s="153" t="str">
        <f>INDEX(Trends!$D$3:$D$400,MATCH(C53,Trends!$C$3:$C$400,0))</f>
        <v>Decreasing</v>
      </c>
      <c r="K53" s="143" t="str">
        <f>IF(Reliability!B51="x","x",(IF(ROUNDUP(Reliability!B51,0)=1,"Very High",IF(ROUNDUP(Reliability!B51,0)=2,"High",IF(ROUNDUP(Reliability!B51,0)=3,"Medium",IF(ROUNDUP(Reliability!B51,0)=4,"Low","Very Low"))))))</f>
        <v>Very High</v>
      </c>
      <c r="L53" s="55">
        <f t="shared" si="3"/>
        <v>2</v>
      </c>
      <c r="M53" s="54">
        <f>'Impact of the crisis'!N54</f>
        <v>0.3</v>
      </c>
      <c r="N53" s="54">
        <f>'Impact of the crisis'!AB54</f>
        <v>2.7</v>
      </c>
      <c r="O53" s="55">
        <f>'Conditions of people affected'!R54</f>
        <v>1.8</v>
      </c>
      <c r="P53" s="54">
        <f>'Conditions of people affected'!K54</f>
        <v>0.6</v>
      </c>
      <c r="Q53" s="54">
        <f>'Conditions of people affected'!Q54</f>
        <v>3</v>
      </c>
      <c r="R53" s="54">
        <f t="shared" si="4"/>
        <v>1.7</v>
      </c>
      <c r="S53" s="54">
        <f>'Complexity of the crisis'!X54</f>
        <v>1.8</v>
      </c>
      <c r="T53" s="54">
        <f>'Complexity of the crisis'!AN54</f>
        <v>1.5</v>
      </c>
      <c r="U53" s="159" t="str">
        <f>VLOOKUP(C53,Lists!$C$3:$E$167,3,FALSE)</f>
        <v>Europe</v>
      </c>
      <c r="V53" s="160">
        <v>44140</v>
      </c>
    </row>
    <row r="54" spans="1:22" x14ac:dyDescent="0.3">
      <c r="A54" s="56" t="str">
        <f>'Crisis Indicator Data'!A52</f>
        <v>Complex crisis in Guatemala</v>
      </c>
      <c r="B54" s="56" t="str">
        <f>Lists!G52</f>
        <v>Complex crisis</v>
      </c>
      <c r="C54" s="56" t="str">
        <f>'Crisis Indicator Data'!C52</f>
        <v>GTM001</v>
      </c>
      <c r="D54" s="56" t="str">
        <f>'Crisis Indicator Data'!D52</f>
        <v>Guatemala</v>
      </c>
      <c r="E54" s="56" t="str">
        <f>'Crisis Indicator Data'!E52</f>
        <v>GTM</v>
      </c>
      <c r="F54" s="56" t="str">
        <f>'Crisis Indicator Data'!B52</f>
        <v>Complex crisis</v>
      </c>
      <c r="G54" s="53">
        <f t="shared" si="0"/>
        <v>3.4</v>
      </c>
      <c r="H54" s="52">
        <f t="shared" si="5"/>
        <v>4</v>
      </c>
      <c r="I54" s="150" t="str">
        <f t="shared" si="6"/>
        <v>High</v>
      </c>
      <c r="J54" s="153" t="str">
        <f>INDEX(Trends!$D$3:$D$400,MATCH(C54,Trends!$C$3:$C$400,0))</f>
        <v>Stable</v>
      </c>
      <c r="K54" s="143" t="str">
        <f>IF(Reliability!B52="x","x",(IF(ROUNDUP(Reliability!B52,0)=1,"Very High",IF(ROUNDUP(Reliability!B52,0)=2,"High",IF(ROUNDUP(Reliability!B52,0)=3,"Medium",IF(ROUNDUP(Reliability!B52,0)=4,"Low","Very Low"))))))</f>
        <v>Very High</v>
      </c>
      <c r="L54" s="55">
        <f t="shared" si="3"/>
        <v>3.7</v>
      </c>
      <c r="M54" s="54">
        <f>'Impact of the crisis'!N55</f>
        <v>4.3</v>
      </c>
      <c r="N54" s="54">
        <f>'Impact of the crisis'!AB55</f>
        <v>3.4</v>
      </c>
      <c r="O54" s="55">
        <f>'Conditions of people affected'!R55</f>
        <v>3.6</v>
      </c>
      <c r="P54" s="54">
        <f>'Conditions of people affected'!K55</f>
        <v>4.2</v>
      </c>
      <c r="Q54" s="54">
        <f>'Conditions of people affected'!Q55</f>
        <v>3</v>
      </c>
      <c r="R54" s="54">
        <f t="shared" si="4"/>
        <v>2.9</v>
      </c>
      <c r="S54" s="54">
        <f>'Complexity of the crisis'!X55</f>
        <v>3.3</v>
      </c>
      <c r="T54" s="54">
        <f>'Complexity of the crisis'!AN55</f>
        <v>2.5</v>
      </c>
      <c r="U54" s="159" t="str">
        <f>VLOOKUP(C54,Lists!$C$3:$E$167,3,FALSE)</f>
        <v>Americas</v>
      </c>
      <c r="V54" s="160">
        <v>44111</v>
      </c>
    </row>
    <row r="55" spans="1:22" x14ac:dyDescent="0.3">
      <c r="A55" s="56" t="str">
        <f>'Crisis Indicator Data'!A53</f>
        <v>Complex crisis in Haiti</v>
      </c>
      <c r="B55" s="56" t="str">
        <f>Lists!G53</f>
        <v>Complex crisis</v>
      </c>
      <c r="C55" s="56" t="str">
        <f>'Crisis Indicator Data'!C53</f>
        <v>HTI001</v>
      </c>
      <c r="D55" s="56" t="str">
        <f>'Crisis Indicator Data'!D53</f>
        <v>Haiti</v>
      </c>
      <c r="E55" s="56" t="str">
        <f>'Crisis Indicator Data'!E53</f>
        <v>HTI</v>
      </c>
      <c r="F55" s="56" t="str">
        <f>'Crisis Indicator Data'!B53</f>
        <v>Complex crisis</v>
      </c>
      <c r="G55" s="53">
        <f t="shared" si="0"/>
        <v>3.5</v>
      </c>
      <c r="H55" s="52">
        <f t="shared" si="5"/>
        <v>4</v>
      </c>
      <c r="I55" s="150" t="str">
        <f t="shared" si="6"/>
        <v>High</v>
      </c>
      <c r="J55" s="153" t="str">
        <f>INDEX(Trends!$D$3:$D$400,MATCH(C55,Trends!$C$3:$C$400,0))</f>
        <v>Stable</v>
      </c>
      <c r="K55" s="143" t="str">
        <f>IF(Reliability!B53="x","x",(IF(ROUNDUP(Reliability!B53,0)=1,"Very High",IF(ROUNDUP(Reliability!B53,0)=2,"High",IF(ROUNDUP(Reliability!B53,0)=3,"Medium",IF(ROUNDUP(Reliability!B53,0)=4,"Low","Very Low"))))))</f>
        <v>High</v>
      </c>
      <c r="L55" s="55">
        <f t="shared" si="3"/>
        <v>3.2</v>
      </c>
      <c r="M55" s="54">
        <f>'Impact of the crisis'!N56</f>
        <v>4</v>
      </c>
      <c r="N55" s="54">
        <f>'Impact of the crisis'!AB56</f>
        <v>2.7</v>
      </c>
      <c r="O55" s="55">
        <f>'Conditions of people affected'!R56</f>
        <v>4.1500000000000004</v>
      </c>
      <c r="P55" s="54">
        <f>'Conditions of people affected'!K56</f>
        <v>4.3</v>
      </c>
      <c r="Q55" s="54">
        <f>'Conditions of people affected'!Q56</f>
        <v>4</v>
      </c>
      <c r="R55" s="54">
        <f t="shared" si="4"/>
        <v>2.5</v>
      </c>
      <c r="S55" s="54">
        <f>'Complexity of the crisis'!X56</f>
        <v>2.9</v>
      </c>
      <c r="T55" s="54">
        <f>'Complexity of the crisis'!AN56</f>
        <v>2</v>
      </c>
      <c r="U55" s="159" t="str">
        <f>VLOOKUP(C55,Lists!$C$3:$E$167,3,FALSE)</f>
        <v>Americas</v>
      </c>
      <c r="V55" s="160">
        <v>44140</v>
      </c>
    </row>
    <row r="56" spans="1:22" x14ac:dyDescent="0.3">
      <c r="A56" s="56" t="str">
        <f>'Crisis Indicator Data'!A54</f>
        <v>Complex crisis in Honduras</v>
      </c>
      <c r="B56" s="56" t="str">
        <f>Lists!G54</f>
        <v>Complex crisis</v>
      </c>
      <c r="C56" s="56" t="str">
        <f>'Crisis Indicator Data'!C54</f>
        <v>HND001</v>
      </c>
      <c r="D56" s="56" t="str">
        <f>'Crisis Indicator Data'!D54</f>
        <v>Honduras</v>
      </c>
      <c r="E56" s="56" t="str">
        <f>'Crisis Indicator Data'!E54</f>
        <v>HND</v>
      </c>
      <c r="F56" s="56" t="str">
        <f>'Crisis Indicator Data'!B54</f>
        <v>Complex crisis</v>
      </c>
      <c r="G56" s="53">
        <f t="shared" si="0"/>
        <v>3.2</v>
      </c>
      <c r="H56" s="52">
        <f t="shared" si="5"/>
        <v>4</v>
      </c>
      <c r="I56" s="150" t="str">
        <f t="shared" si="6"/>
        <v>High</v>
      </c>
      <c r="J56" s="153" t="str">
        <f>INDEX(Trends!$D$3:$D$400,MATCH(C56,Trends!$C$3:$C$400,0))</f>
        <v>Decreasing</v>
      </c>
      <c r="K56" s="143" t="str">
        <f>IF(Reliability!B54="x","x",(IF(ROUNDUP(Reliability!B54,0)=1,"Very High",IF(ROUNDUP(Reliability!B54,0)=2,"High",IF(ROUNDUP(Reliability!B54,0)=3,"Medium",IF(ROUNDUP(Reliability!B54,0)=4,"Low","Very Low"))))))</f>
        <v>High</v>
      </c>
      <c r="L56" s="55">
        <f t="shared" si="3"/>
        <v>3.7</v>
      </c>
      <c r="M56" s="54">
        <f>'Impact of the crisis'!N57</f>
        <v>4.2</v>
      </c>
      <c r="N56" s="54">
        <f>'Impact of the crisis'!AB57</f>
        <v>3.4</v>
      </c>
      <c r="O56" s="55">
        <f>'Conditions of people affected'!R57</f>
        <v>3.25</v>
      </c>
      <c r="P56" s="54">
        <f>'Conditions of people affected'!K57</f>
        <v>3.5</v>
      </c>
      <c r="Q56" s="54">
        <f>'Conditions of people affected'!Q57</f>
        <v>3</v>
      </c>
      <c r="R56" s="54">
        <f t="shared" si="4"/>
        <v>2.8</v>
      </c>
      <c r="S56" s="54">
        <f>'Complexity of the crisis'!X57</f>
        <v>3.1</v>
      </c>
      <c r="T56" s="54">
        <f>'Complexity of the crisis'!AN57</f>
        <v>2.5</v>
      </c>
      <c r="U56" s="159" t="str">
        <f>VLOOKUP(C56,Lists!$C$3:$E$167,3,FALSE)</f>
        <v>Americas</v>
      </c>
      <c r="V56" s="160">
        <v>44111</v>
      </c>
    </row>
    <row r="57" spans="1:22" x14ac:dyDescent="0.3">
      <c r="A57" s="56" t="str">
        <f>'Crisis Indicator Data'!A55</f>
        <v>Multiple Crises in India</v>
      </c>
      <c r="B57" s="56" t="str">
        <f>Lists!G55</f>
        <v>Country Level</v>
      </c>
      <c r="C57" s="56" t="str">
        <f>'Crisis Indicator Data'!C55</f>
        <v>IND001</v>
      </c>
      <c r="D57" s="56" t="str">
        <f>'Crisis Indicator Data'!D55</f>
        <v>India</v>
      </c>
      <c r="E57" s="56" t="str">
        <f>'Crisis Indicator Data'!E55</f>
        <v>IND</v>
      </c>
      <c r="F57" s="56" t="str">
        <f>'Crisis Indicator Data'!B55</f>
        <v>Multiple crises country</v>
      </c>
      <c r="G57" s="53">
        <f t="shared" si="0"/>
        <v>2.6</v>
      </c>
      <c r="H57" s="52">
        <f t="shared" si="5"/>
        <v>3</v>
      </c>
      <c r="I57" s="150" t="str">
        <f t="shared" si="6"/>
        <v>Medium</v>
      </c>
      <c r="J57" s="153" t="str">
        <f>INDEX(Trends!$D$3:$D$400,MATCH(C57,Trends!$C$3:$C$400,0))</f>
        <v>Increasing</v>
      </c>
      <c r="K57" s="143" t="str">
        <f>IF(Reliability!B55="x","x",(IF(ROUNDUP(Reliability!B55,0)=1,"Very High",IF(ROUNDUP(Reliability!B55,0)=2,"High",IF(ROUNDUP(Reliability!B55,0)=3,"Medium",IF(ROUNDUP(Reliability!B55,0)=4,"Low","Very Low"))))))</f>
        <v>High</v>
      </c>
      <c r="L57" s="55">
        <f t="shared" si="3"/>
        <v>3.8</v>
      </c>
      <c r="M57" s="54">
        <f>'Impact of the crisis'!N58</f>
        <v>4.2</v>
      </c>
      <c r="N57" s="54">
        <f>'Impact of the crisis'!AB58</f>
        <v>3.5</v>
      </c>
      <c r="O57" s="55">
        <f>'Conditions of people affected'!R58</f>
        <v>2.4</v>
      </c>
      <c r="P57" s="54">
        <f>'Conditions of people affected'!K58</f>
        <v>3.8</v>
      </c>
      <c r="Q57" s="54">
        <f>'Conditions of people affected'!Q58</f>
        <v>1</v>
      </c>
      <c r="R57" s="54">
        <f t="shared" si="4"/>
        <v>1.7</v>
      </c>
      <c r="S57" s="54">
        <f>'Complexity of the crisis'!X58</f>
        <v>2.9</v>
      </c>
      <c r="T57" s="54">
        <f>'Complexity of the crisis'!AN58</f>
        <v>0</v>
      </c>
      <c r="U57" s="159" t="str">
        <f>VLOOKUP(C57,Lists!$C$3:$E$167,3,FALSE)</f>
        <v>Asia</v>
      </c>
      <c r="V57" s="160">
        <v>44132</v>
      </c>
    </row>
    <row r="58" spans="1:22" x14ac:dyDescent="0.3">
      <c r="A58" s="56" t="str">
        <f>'Crisis Indicator Data'!A56</f>
        <v>Conflict in Jammu and Kashmir</v>
      </c>
      <c r="B58" s="56" t="str">
        <f>Lists!G56</f>
        <v xml:space="preserve">Kashmir conflict </v>
      </c>
      <c r="C58" s="56" t="str">
        <f>'Crisis Indicator Data'!C56</f>
        <v>IND002</v>
      </c>
      <c r="D58" s="56" t="str">
        <f>'Crisis Indicator Data'!D56</f>
        <v>India</v>
      </c>
      <c r="E58" s="56" t="str">
        <f>'Crisis Indicator Data'!E56</f>
        <v>IND</v>
      </c>
      <c r="F58" s="56" t="str">
        <f>'Crisis Indicator Data'!B56</f>
        <v>Conflict</v>
      </c>
      <c r="G58" s="53" t="str">
        <f t="shared" si="0"/>
        <v>x</v>
      </c>
      <c r="H58" s="52" t="str">
        <f t="shared" si="5"/>
        <v>x</v>
      </c>
      <c r="I58" s="150" t="str">
        <f t="shared" si="6"/>
        <v>x</v>
      </c>
      <c r="J58" s="153" t="str">
        <f>INDEX(Trends!$D$3:$D$400,MATCH(C58,Trends!$C$3:$C$400,0))</f>
        <v>-</v>
      </c>
      <c r="K58" s="143" t="str">
        <f>IF(Reliability!B56="x","x",(IF(ROUNDUP(Reliability!B56,0)=1,"Very High",IF(ROUNDUP(Reliability!B56,0)=2,"High",IF(ROUNDUP(Reliability!B56,0)=3,"Medium",IF(ROUNDUP(Reliability!B56,0)=4,"Low","Very Low"))))))</f>
        <v>Very Low</v>
      </c>
      <c r="L58" s="55">
        <f t="shared" si="3"/>
        <v>3.1</v>
      </c>
      <c r="M58" s="54">
        <f>'Impact of the crisis'!N59</f>
        <v>2</v>
      </c>
      <c r="N58" s="54">
        <f>'Impact of the crisis'!AB59</f>
        <v>3.5</v>
      </c>
      <c r="O58" s="55" t="str">
        <f>'Conditions of people affected'!R59</f>
        <v>x</v>
      </c>
      <c r="P58" s="54" t="str">
        <f>'Conditions of people affected'!K59</f>
        <v>x</v>
      </c>
      <c r="Q58" s="54" t="str">
        <f>'Conditions of people affected'!Q59</f>
        <v>x</v>
      </c>
      <c r="R58" s="54">
        <f t="shared" si="4"/>
        <v>2.5</v>
      </c>
      <c r="S58" s="54">
        <f>'Complexity of the crisis'!X59</f>
        <v>2.9</v>
      </c>
      <c r="T58" s="54">
        <f>'Complexity of the crisis'!AN59</f>
        <v>2</v>
      </c>
      <c r="U58" s="159" t="str">
        <f>VLOOKUP(C58,Lists!$C$3:$E$167,3,FALSE)</f>
        <v>Asia</v>
      </c>
      <c r="V58" s="160">
        <v>44132</v>
      </c>
    </row>
    <row r="59" spans="1:22" x14ac:dyDescent="0.3">
      <c r="A59" s="56" t="str">
        <f>'Crisis Indicator Data'!A57</f>
        <v>Cyclone Amphan India</v>
      </c>
      <c r="B59" s="56" t="str">
        <f>Lists!G57</f>
        <v>Cyclone Amphan</v>
      </c>
      <c r="C59" s="56" t="str">
        <f>'Crisis Indicator Data'!C57</f>
        <v>IND003</v>
      </c>
      <c r="D59" s="56" t="str">
        <f>'Crisis Indicator Data'!D57</f>
        <v>India</v>
      </c>
      <c r="E59" s="56" t="str">
        <f>'Crisis Indicator Data'!E57</f>
        <v>IND</v>
      </c>
      <c r="F59" s="56" t="str">
        <f>'Crisis Indicator Data'!B57</f>
        <v>Tropical cyclone</v>
      </c>
      <c r="G59" s="53">
        <f t="shared" si="0"/>
        <v>2.2999999999999998</v>
      </c>
      <c r="H59" s="52">
        <f t="shared" si="5"/>
        <v>3</v>
      </c>
      <c r="I59" s="150" t="str">
        <f t="shared" si="6"/>
        <v>Medium</v>
      </c>
      <c r="J59" s="153" t="str">
        <f>INDEX(Trends!$D$3:$D$400,MATCH(C59,Trends!$C$3:$C$400,0))</f>
        <v>Stable</v>
      </c>
      <c r="K59" s="143" t="str">
        <f>IF(Reliability!B57="x","x",(IF(ROUNDUP(Reliability!B57,0)=1,"Very High",IF(ROUNDUP(Reliability!B57,0)=2,"High",IF(ROUNDUP(Reliability!B57,0)=3,"Medium",IF(ROUNDUP(Reliability!B57,0)=4,"Low","Very Low"))))))</f>
        <v>Low</v>
      </c>
      <c r="L59" s="55">
        <f t="shared" si="3"/>
        <v>2.7</v>
      </c>
      <c r="M59" s="54">
        <f>'Impact of the crisis'!N60</f>
        <v>2.4</v>
      </c>
      <c r="N59" s="54">
        <f>'Impact of the crisis'!AB60</f>
        <v>2.8</v>
      </c>
      <c r="O59" s="55">
        <f>'Conditions of people affected'!R60</f>
        <v>2.5</v>
      </c>
      <c r="P59" s="54">
        <f>'Conditions of people affected'!K60</f>
        <v>3</v>
      </c>
      <c r="Q59" s="54">
        <f>'Conditions of people affected'!Q60</f>
        <v>2</v>
      </c>
      <c r="R59" s="54">
        <f t="shared" si="4"/>
        <v>1.7</v>
      </c>
      <c r="S59" s="54">
        <f>'Complexity of the crisis'!X60</f>
        <v>2.9</v>
      </c>
      <c r="T59" s="54">
        <f>'Complexity of the crisis'!AN60</f>
        <v>0</v>
      </c>
      <c r="U59" s="159" t="str">
        <f>VLOOKUP(C59,Lists!$C$3:$E$167,3,FALSE)</f>
        <v>Asia</v>
      </c>
      <c r="V59" s="160">
        <v>44132</v>
      </c>
    </row>
    <row r="60" spans="1:22" x14ac:dyDescent="0.3">
      <c r="A60" s="81" t="str">
        <f>'Crisis Indicator Data'!A58</f>
        <v>Floods in India</v>
      </c>
      <c r="B60" s="56" t="str">
        <f>Lists!G58</f>
        <v>Floods</v>
      </c>
      <c r="C60" s="81" t="str">
        <f>'Crisis Indicator Data'!C58</f>
        <v>IND005</v>
      </c>
      <c r="D60" s="81" t="str">
        <f>'Crisis Indicator Data'!D58</f>
        <v>India</v>
      </c>
      <c r="E60" s="81" t="str">
        <f>'Crisis Indicator Data'!E58</f>
        <v>IND</v>
      </c>
      <c r="F60" s="81" t="str">
        <f>'Crisis Indicator Data'!B58</f>
        <v>Flood</v>
      </c>
      <c r="G60" s="53">
        <f t="shared" si="0"/>
        <v>2.6</v>
      </c>
      <c r="H60" s="82">
        <f t="shared" si="5"/>
        <v>3</v>
      </c>
      <c r="I60" s="151" t="str">
        <f t="shared" si="6"/>
        <v>Medium</v>
      </c>
      <c r="J60" s="153" t="str">
        <f>INDEX(Trends!$D$3:$D$400,MATCH(C60,Trends!$C$3:$C$400,0))</f>
        <v>-</v>
      </c>
      <c r="K60" s="143" t="str">
        <f>IF(Reliability!B58="x","x",(IF(ROUNDUP(Reliability!B58,0)=1,"Very High",IF(ROUNDUP(Reliability!B58,0)=2,"High",IF(ROUNDUP(Reliability!B58,0)=3,"Medium",IF(ROUNDUP(Reliability!B58,0)=4,"Low","Very Low"))))))</f>
        <v>High</v>
      </c>
      <c r="L60" s="55">
        <f t="shared" si="3"/>
        <v>3.5</v>
      </c>
      <c r="M60" s="83">
        <f>'Impact of the crisis'!N61</f>
        <v>4.0999999999999996</v>
      </c>
      <c r="N60" s="83">
        <f>'Impact of the crisis'!AB61</f>
        <v>3.1</v>
      </c>
      <c r="O60" s="55">
        <f>'Conditions of people affected'!R61</f>
        <v>2.2000000000000002</v>
      </c>
      <c r="P60" s="83">
        <f>'Conditions of people affected'!K61</f>
        <v>3.4</v>
      </c>
      <c r="Q60" s="83">
        <f>'Conditions of people affected'!Q61</f>
        <v>1</v>
      </c>
      <c r="R60" s="54">
        <f t="shared" si="4"/>
        <v>2.5</v>
      </c>
      <c r="S60" s="54">
        <f>'Complexity of the crisis'!X61</f>
        <v>2.9</v>
      </c>
      <c r="T60" s="54">
        <f>'Complexity of the crisis'!AN61</f>
        <v>2</v>
      </c>
      <c r="U60" s="159" t="str">
        <f>VLOOKUP(C60,Lists!$C$3:$E$167,3,FALSE)</f>
        <v>Asia</v>
      </c>
      <c r="V60" s="160">
        <v>44132</v>
      </c>
    </row>
    <row r="61" spans="1:22" x14ac:dyDescent="0.3">
      <c r="A61" s="81" t="str">
        <f>'Crisis Indicator Data'!A59</f>
        <v>Regional Kashmir conflict</v>
      </c>
      <c r="B61" s="56" t="str">
        <f>Lists!G59</f>
        <v>Regional Kashmir conflict</v>
      </c>
      <c r="C61" s="81" t="str">
        <f>'Crisis Indicator Data'!C59</f>
        <v>REG003</v>
      </c>
      <c r="D61" s="81" t="str">
        <f>'Crisis Indicator Data'!D59</f>
        <v>India, Pakistan</v>
      </c>
      <c r="E61" s="81" t="str">
        <f>'Crisis Indicator Data'!E59</f>
        <v>IND, PAK</v>
      </c>
      <c r="F61" s="81" t="str">
        <f>'Crisis Indicator Data'!B59</f>
        <v>Regional crisis</v>
      </c>
      <c r="G61" s="53" t="str">
        <f t="shared" si="0"/>
        <v>x</v>
      </c>
      <c r="H61" s="82" t="str">
        <f t="shared" si="5"/>
        <v>x</v>
      </c>
      <c r="I61" s="151" t="str">
        <f t="shared" si="6"/>
        <v>x</v>
      </c>
      <c r="J61" s="153" t="str">
        <f>INDEX(Trends!$D$3:$D$400,MATCH(C61,Trends!$C$3:$C$400,0))</f>
        <v>-</v>
      </c>
      <c r="K61" s="143" t="str">
        <f>IF(Reliability!B59="x","x",(IF(ROUNDUP(Reliability!B59,0)=1,"Very High",IF(ROUNDUP(Reliability!B59,0)=2,"High",IF(ROUNDUP(Reliability!B59,0)=3,"Medium",IF(ROUNDUP(Reliability!B59,0)=4,"Low","Very Low"))))))</f>
        <v>Very Low</v>
      </c>
      <c r="L61" s="55">
        <f t="shared" si="3"/>
        <v>3.5</v>
      </c>
      <c r="M61" s="83">
        <f>'Impact of the crisis'!N62</f>
        <v>2.4</v>
      </c>
      <c r="N61" s="83">
        <f>'Impact of the crisis'!AB62</f>
        <v>3.9</v>
      </c>
      <c r="O61" s="55" t="str">
        <f>'Conditions of people affected'!R62</f>
        <v>x</v>
      </c>
      <c r="P61" s="83" t="str">
        <f>'Conditions of people affected'!K62</f>
        <v>x</v>
      </c>
      <c r="Q61" s="83" t="str">
        <f>'Conditions of people affected'!Q62</f>
        <v>x</v>
      </c>
      <c r="R61" s="54">
        <f t="shared" si="4"/>
        <v>2.8</v>
      </c>
      <c r="S61" s="54">
        <f>'Complexity of the crisis'!X62</f>
        <v>3.1</v>
      </c>
      <c r="T61" s="54">
        <f>'Complexity of the crisis'!AN62</f>
        <v>2.5</v>
      </c>
      <c r="U61" s="159" t="str">
        <f>VLOOKUP(C61,Lists!$C$3:$E$167,3,FALSE)</f>
        <v>Asia</v>
      </c>
      <c r="V61" s="160">
        <v>44132</v>
      </c>
    </row>
    <row r="62" spans="1:22" ht="13.35" customHeight="1" x14ac:dyDescent="0.3">
      <c r="A62" s="81" t="str">
        <f>'Crisis Indicator Data'!A60</f>
        <v>Papua Conflict</v>
      </c>
      <c r="B62" s="56" t="str">
        <f>Lists!G60</f>
        <v>Papua Conflict</v>
      </c>
      <c r="C62" s="81" t="str">
        <f>'Crisis Indicator Data'!C60</f>
        <v>IDN002</v>
      </c>
      <c r="D62" s="81" t="str">
        <f>'Crisis Indicator Data'!D60</f>
        <v>Indonesia</v>
      </c>
      <c r="E62" s="81" t="str">
        <f>'Crisis Indicator Data'!E60</f>
        <v>IDN</v>
      </c>
      <c r="F62" s="81" t="str">
        <f>'Crisis Indicator Data'!B60</f>
        <v>Conflict</v>
      </c>
      <c r="G62" s="53" t="str">
        <f t="shared" si="0"/>
        <v>x</v>
      </c>
      <c r="H62" s="82" t="str">
        <f t="shared" si="5"/>
        <v>x</v>
      </c>
      <c r="I62" s="151" t="str">
        <f t="shared" si="6"/>
        <v>x</v>
      </c>
      <c r="J62" s="153" t="str">
        <f>INDEX(Trends!$D$3:$D$400,MATCH(C62,Trends!$C$3:$C$400,0))</f>
        <v>-</v>
      </c>
      <c r="K62" s="143" t="str">
        <f>IF(Reliability!B60="x","x",(IF(ROUNDUP(Reliability!B60,0)=1,"Very High",IF(ROUNDUP(Reliability!B60,0)=2,"High",IF(ROUNDUP(Reliability!B60,0)=3,"Medium",IF(ROUNDUP(Reliability!B60,0)=4,"Low","Very Low"))))))</f>
        <v>Low</v>
      </c>
      <c r="L62" s="55">
        <f t="shared" si="3"/>
        <v>2.7</v>
      </c>
      <c r="M62" s="83">
        <f>'Impact of the crisis'!N63</f>
        <v>1.9</v>
      </c>
      <c r="N62" s="83">
        <f>'Impact of the crisis'!AB63</f>
        <v>3.1</v>
      </c>
      <c r="O62" s="55" t="str">
        <f>'Conditions of people affected'!R63</f>
        <v>x</v>
      </c>
      <c r="P62" s="83" t="str">
        <f>'Conditions of people affected'!K63</f>
        <v>x</v>
      </c>
      <c r="Q62" s="83" t="str">
        <f>'Conditions of people affected'!Q63</f>
        <v>x</v>
      </c>
      <c r="R62" s="54">
        <f t="shared" si="4"/>
        <v>2.9</v>
      </c>
      <c r="S62" s="54">
        <f>'Complexity of the crisis'!X63</f>
        <v>2.7</v>
      </c>
      <c r="T62" s="54">
        <f>'Complexity of the crisis'!AN63</f>
        <v>3</v>
      </c>
      <c r="U62" s="159" t="str">
        <f>VLOOKUP(C62,Lists!$C$3:$E$167,3,FALSE)</f>
        <v>Asia</v>
      </c>
      <c r="V62" s="160">
        <v>44132</v>
      </c>
    </row>
    <row r="63" spans="1:22" x14ac:dyDescent="0.3">
      <c r="A63" s="81" t="str">
        <f>'Crisis Indicator Data'!A61</f>
        <v>Afghan Refugees in Iran</v>
      </c>
      <c r="B63" s="56" t="str">
        <f>Lists!G61</f>
        <v>Afghan Refugees</v>
      </c>
      <c r="C63" s="81" t="str">
        <f>'Crisis Indicator Data'!C61</f>
        <v>IRN004</v>
      </c>
      <c r="D63" s="81" t="str">
        <f>'Crisis Indicator Data'!D61</f>
        <v>Iran</v>
      </c>
      <c r="E63" s="81" t="str">
        <f>'Crisis Indicator Data'!E61</f>
        <v>IRN</v>
      </c>
      <c r="F63" s="81" t="str">
        <f>'Crisis Indicator Data'!B61</f>
        <v>International displacement</v>
      </c>
      <c r="G63" s="53">
        <f t="shared" si="0"/>
        <v>3.4</v>
      </c>
      <c r="H63" s="82">
        <f t="shared" si="5"/>
        <v>4</v>
      </c>
      <c r="I63" s="151" t="str">
        <f t="shared" si="6"/>
        <v>High</v>
      </c>
      <c r="J63" s="153" t="str">
        <f>INDEX(Trends!$D$3:$D$400,MATCH(C63,Trends!$C$3:$C$400,0))</f>
        <v>Stable</v>
      </c>
      <c r="K63" s="143" t="str">
        <f>IF(Reliability!B61="x","x",(IF(ROUNDUP(Reliability!B61,0)=1,"Very High",IF(ROUNDUP(Reliability!B61,0)=2,"High",IF(ROUNDUP(Reliability!B61,0)=3,"Medium",IF(ROUNDUP(Reliability!B61,0)=4,"Low","Very Low"))))))</f>
        <v>Medium</v>
      </c>
      <c r="L63" s="55">
        <f t="shared" si="3"/>
        <v>2.8</v>
      </c>
      <c r="M63" s="83">
        <f>'Impact of the crisis'!N64</f>
        <v>2.7</v>
      </c>
      <c r="N63" s="83">
        <f>'Impact of the crisis'!AB64</f>
        <v>2.8</v>
      </c>
      <c r="O63" s="55">
        <f>'Conditions of people affected'!R64</f>
        <v>4.05</v>
      </c>
      <c r="P63" s="83">
        <f>'Conditions of people affected'!K64</f>
        <v>4.0999999999999996</v>
      </c>
      <c r="Q63" s="83">
        <f>'Conditions of people affected'!Q64</f>
        <v>4</v>
      </c>
      <c r="R63" s="54">
        <f t="shared" si="4"/>
        <v>2.7</v>
      </c>
      <c r="S63" s="54">
        <f>'Complexity of the crisis'!X64</f>
        <v>2.8</v>
      </c>
      <c r="T63" s="54">
        <f>'Complexity of the crisis'!AN64</f>
        <v>2.5</v>
      </c>
      <c r="U63" s="159" t="str">
        <f>VLOOKUP(C63,Lists!$C$3:$E$167,3,FALSE)</f>
        <v>Middle east</v>
      </c>
      <c r="V63" s="160">
        <v>44132</v>
      </c>
    </row>
    <row r="64" spans="1:22" x14ac:dyDescent="0.3">
      <c r="A64" s="81" t="str">
        <f>'Crisis Indicator Data'!A62</f>
        <v>Multiple crises in Iraq</v>
      </c>
      <c r="B64" s="56" t="str">
        <f>Lists!G62</f>
        <v>Country level</v>
      </c>
      <c r="C64" s="81" t="str">
        <f>'Crisis Indicator Data'!C62</f>
        <v>IRQ001</v>
      </c>
      <c r="D64" s="81" t="str">
        <f>'Crisis Indicator Data'!D62</f>
        <v>Iraq</v>
      </c>
      <c r="E64" s="81" t="str">
        <f>'Crisis Indicator Data'!E62</f>
        <v>IRQ</v>
      </c>
      <c r="F64" s="81" t="str">
        <f>'Crisis Indicator Data'!B62</f>
        <v>Multiple crises country</v>
      </c>
      <c r="G64" s="53">
        <f t="shared" si="0"/>
        <v>3.9</v>
      </c>
      <c r="H64" s="82">
        <f t="shared" si="5"/>
        <v>4</v>
      </c>
      <c r="I64" s="151" t="str">
        <f t="shared" si="6"/>
        <v>High</v>
      </c>
      <c r="J64" s="153" t="str">
        <f>INDEX(Trends!$D$3:$D$400,MATCH(C64,Trends!$C$3:$C$400,0))</f>
        <v>Stable</v>
      </c>
      <c r="K64" s="143" t="str">
        <f>IF(Reliability!B62="x","x",(IF(ROUNDUP(Reliability!B62,0)=1,"Very High",IF(ROUNDUP(Reliability!B62,0)=2,"High",IF(ROUNDUP(Reliability!B62,0)=3,"Medium",IF(ROUNDUP(Reliability!B62,0)=4,"Low","Very Low"))))))</f>
        <v>High</v>
      </c>
      <c r="L64" s="55">
        <f t="shared" si="3"/>
        <v>4.4000000000000004</v>
      </c>
      <c r="M64" s="83">
        <f>'Impact of the crisis'!N65</f>
        <v>4.9000000000000004</v>
      </c>
      <c r="N64" s="83">
        <f>'Impact of the crisis'!AB65</f>
        <v>4</v>
      </c>
      <c r="O64" s="55">
        <f>'Conditions of people affected'!R65</f>
        <v>3.7</v>
      </c>
      <c r="P64" s="83">
        <f>'Conditions of people affected'!K65</f>
        <v>4.4000000000000004</v>
      </c>
      <c r="Q64" s="83">
        <f>'Conditions of people affected'!Q65</f>
        <v>3</v>
      </c>
      <c r="R64" s="54">
        <f t="shared" si="4"/>
        <v>3.7</v>
      </c>
      <c r="S64" s="54">
        <f>'Complexity of the crisis'!X65</f>
        <v>3.4</v>
      </c>
      <c r="T64" s="54">
        <f>'Complexity of the crisis'!AN65</f>
        <v>4</v>
      </c>
      <c r="U64" s="159" t="str">
        <f>VLOOKUP(C64,Lists!$C$3:$E$167,3,FALSE)</f>
        <v>Middle east</v>
      </c>
      <c r="V64" s="160">
        <v>44130</v>
      </c>
    </row>
    <row r="65" spans="1:22" x14ac:dyDescent="0.3">
      <c r="A65" s="81" t="str">
        <f>'Crisis Indicator Data'!A63</f>
        <v>Conflict  in Iraq</v>
      </c>
      <c r="B65" s="56" t="str">
        <f>Lists!G63</f>
        <v>Conflict</v>
      </c>
      <c r="C65" s="81" t="str">
        <f>'Crisis Indicator Data'!C63</f>
        <v>IRQ002</v>
      </c>
      <c r="D65" s="81" t="str">
        <f>'Crisis Indicator Data'!D63</f>
        <v>Iraq</v>
      </c>
      <c r="E65" s="81" t="str">
        <f>'Crisis Indicator Data'!E63</f>
        <v>IRQ</v>
      </c>
      <c r="F65" s="81" t="str">
        <f>'Crisis Indicator Data'!B63</f>
        <v>Conflict</v>
      </c>
      <c r="G65" s="53">
        <f t="shared" si="0"/>
        <v>4</v>
      </c>
      <c r="H65" s="82">
        <f t="shared" si="5"/>
        <v>4</v>
      </c>
      <c r="I65" s="151" t="str">
        <f t="shared" si="6"/>
        <v>High</v>
      </c>
      <c r="J65" s="153" t="str">
        <f>INDEX(Trends!$D$3:$D$400,MATCH(C65,Trends!$C$3:$C$400,0))</f>
        <v>Stable</v>
      </c>
      <c r="K65" s="143" t="str">
        <f>IF(Reliability!B63="x","x",(IF(ROUNDUP(Reliability!B63,0)=1,"Very High",IF(ROUNDUP(Reliability!B63,0)=2,"High",IF(ROUNDUP(Reliability!B63,0)=3,"Medium",IF(ROUNDUP(Reliability!B63,0)=4,"Low","Very Low"))))))</f>
        <v>High</v>
      </c>
      <c r="L65" s="55">
        <f t="shared" si="3"/>
        <v>4.0999999999999996</v>
      </c>
      <c r="M65" s="83">
        <f>'Impact of the crisis'!N66</f>
        <v>3.8</v>
      </c>
      <c r="N65" s="83">
        <f>'Impact of the crisis'!AB66</f>
        <v>4.3</v>
      </c>
      <c r="O65" s="55">
        <f>'Conditions of people affected'!R66</f>
        <v>4.1500000000000004</v>
      </c>
      <c r="P65" s="83">
        <f>'Conditions of people affected'!K66</f>
        <v>4.3</v>
      </c>
      <c r="Q65" s="83">
        <f>'Conditions of people affected'!Q66</f>
        <v>4</v>
      </c>
      <c r="R65" s="54">
        <f t="shared" si="4"/>
        <v>3.7</v>
      </c>
      <c r="S65" s="54">
        <f>'Complexity of the crisis'!X66</f>
        <v>3.4</v>
      </c>
      <c r="T65" s="54">
        <f>'Complexity of the crisis'!AN66</f>
        <v>4</v>
      </c>
      <c r="U65" s="159" t="str">
        <f>VLOOKUP(C65,Lists!$C$3:$E$167,3,FALSE)</f>
        <v>Middle east</v>
      </c>
      <c r="V65" s="160">
        <v>44130</v>
      </c>
    </row>
    <row r="66" spans="1:22" x14ac:dyDescent="0.3">
      <c r="A66" s="81" t="str">
        <f>'Crisis Indicator Data'!A64</f>
        <v>Syrian and Palestinian refugees in iraq</v>
      </c>
      <c r="B66" s="56" t="str">
        <f>Lists!G64</f>
        <v>Syrian Refugees</v>
      </c>
      <c r="C66" s="81" t="str">
        <f>'Crisis Indicator Data'!C64</f>
        <v>IRQ003</v>
      </c>
      <c r="D66" s="81" t="str">
        <f>'Crisis Indicator Data'!D64</f>
        <v>Iraq</v>
      </c>
      <c r="E66" s="81" t="str">
        <f>'Crisis Indicator Data'!E64</f>
        <v>IRQ</v>
      </c>
      <c r="F66" s="81" t="str">
        <f>'Crisis Indicator Data'!B64</f>
        <v>International displacement</v>
      </c>
      <c r="G66" s="53">
        <f t="shared" si="0"/>
        <v>2.8</v>
      </c>
      <c r="H66" s="82">
        <f t="shared" si="5"/>
        <v>3</v>
      </c>
      <c r="I66" s="151" t="str">
        <f t="shared" si="6"/>
        <v>Medium</v>
      </c>
      <c r="J66" s="153" t="str">
        <f>INDEX(Trends!$D$3:$D$400,MATCH(C66,Trends!$C$3:$C$400,0))</f>
        <v>Decreasing</v>
      </c>
      <c r="K66" s="143" t="str">
        <f>IF(Reliability!B64="x","x",(IF(ROUNDUP(Reliability!B64,0)=1,"Very High",IF(ROUNDUP(Reliability!B64,0)=2,"High",IF(ROUNDUP(Reliability!B64,0)=3,"Medium",IF(ROUNDUP(Reliability!B64,0)=4,"Low","Very Low"))))))</f>
        <v>High</v>
      </c>
      <c r="L66" s="55">
        <f t="shared" si="3"/>
        <v>1.8</v>
      </c>
      <c r="M66" s="83">
        <f>'Impact of the crisis'!N67</f>
        <v>1.5</v>
      </c>
      <c r="N66" s="83">
        <f>'Impact of the crisis'!AB67</f>
        <v>2</v>
      </c>
      <c r="O66" s="55">
        <f>'Conditions of people affected'!R67</f>
        <v>2.9</v>
      </c>
      <c r="P66" s="83">
        <f>'Conditions of people affected'!K67</f>
        <v>2.8</v>
      </c>
      <c r="Q66" s="83">
        <f>'Conditions of people affected'!Q67</f>
        <v>3</v>
      </c>
      <c r="R66" s="54">
        <f t="shared" si="4"/>
        <v>3.5</v>
      </c>
      <c r="S66" s="54">
        <f>'Complexity of the crisis'!X67</f>
        <v>3.4</v>
      </c>
      <c r="T66" s="54">
        <f>'Complexity of the crisis'!AN67</f>
        <v>3.5</v>
      </c>
      <c r="U66" s="159" t="str">
        <f>VLOOKUP(C66,Lists!$C$3:$E$167,3,FALSE)</f>
        <v>Middle east</v>
      </c>
      <c r="V66" s="160">
        <v>44130</v>
      </c>
    </row>
    <row r="67" spans="1:22" x14ac:dyDescent="0.3">
      <c r="A67" s="81" t="str">
        <f>'Crisis Indicator Data'!A65</f>
        <v>Syrian refugees in Jordan</v>
      </c>
      <c r="B67" s="56" t="str">
        <f>Lists!G65</f>
        <v>Syrian refugees</v>
      </c>
      <c r="C67" s="81" t="str">
        <f>'Crisis Indicator Data'!C65</f>
        <v>JOR002</v>
      </c>
      <c r="D67" s="81" t="str">
        <f>'Crisis Indicator Data'!D65</f>
        <v>Jordan</v>
      </c>
      <c r="E67" s="81" t="str">
        <f>'Crisis Indicator Data'!E65</f>
        <v>JOR</v>
      </c>
      <c r="F67" s="81" t="str">
        <f>'Crisis Indicator Data'!B65</f>
        <v>International displacement</v>
      </c>
      <c r="G67" s="53">
        <f t="shared" si="0"/>
        <v>2.6</v>
      </c>
      <c r="H67" s="82">
        <f t="shared" si="5"/>
        <v>3</v>
      </c>
      <c r="I67" s="151" t="str">
        <f t="shared" si="6"/>
        <v>Medium</v>
      </c>
      <c r="J67" s="153" t="str">
        <f>INDEX(Trends!$D$3:$D$400,MATCH(C67,Trends!$C$3:$C$400,0))</f>
        <v>Increasing</v>
      </c>
      <c r="K67" s="143" t="str">
        <f>IF(Reliability!B65="x","x",(IF(ROUNDUP(Reliability!B65,0)=1,"Very High",IF(ROUNDUP(Reliability!B65,0)=2,"High",IF(ROUNDUP(Reliability!B65,0)=3,"Medium",IF(ROUNDUP(Reliability!B65,0)=4,"Low","Very Low"))))))</f>
        <v>High</v>
      </c>
      <c r="L67" s="55">
        <f t="shared" si="3"/>
        <v>2.7</v>
      </c>
      <c r="M67" s="83">
        <f>'Impact of the crisis'!N68</f>
        <v>3</v>
      </c>
      <c r="N67" s="83">
        <f>'Impact of the crisis'!AB68</f>
        <v>2.5</v>
      </c>
      <c r="O67" s="55">
        <f>'Conditions of people affected'!R68</f>
        <v>3</v>
      </c>
      <c r="P67" s="83">
        <f>'Conditions of people affected'!K68</f>
        <v>3</v>
      </c>
      <c r="Q67" s="83">
        <f>'Conditions of people affected'!Q68</f>
        <v>3</v>
      </c>
      <c r="R67" s="54">
        <f t="shared" si="4"/>
        <v>1.8</v>
      </c>
      <c r="S67" s="54">
        <f>'Complexity of the crisis'!X68</f>
        <v>2.5</v>
      </c>
      <c r="T67" s="54">
        <f>'Complexity of the crisis'!AN68</f>
        <v>1</v>
      </c>
      <c r="U67" s="159" t="str">
        <f>VLOOKUP(C67,Lists!$C$3:$E$167,3,FALSE)</f>
        <v>Middle east</v>
      </c>
      <c r="V67" s="160">
        <v>44102</v>
      </c>
    </row>
    <row r="68" spans="1:22" x14ac:dyDescent="0.3">
      <c r="A68" s="81" t="str">
        <f>'Crisis Indicator Data'!A66</f>
        <v xml:space="preserve">Multiple crisis in Kenya </v>
      </c>
      <c r="B68" s="56" t="str">
        <f>Lists!G66</f>
        <v xml:space="preserve">Country level </v>
      </c>
      <c r="C68" s="81" t="str">
        <f>'Crisis Indicator Data'!C66</f>
        <v>KEN001</v>
      </c>
      <c r="D68" s="81" t="str">
        <f>'Crisis Indicator Data'!D66</f>
        <v>Kenya</v>
      </c>
      <c r="E68" s="81" t="str">
        <f>'Crisis Indicator Data'!E66</f>
        <v>KEN</v>
      </c>
      <c r="F68" s="81" t="str">
        <f>'Crisis Indicator Data'!B66</f>
        <v>Multiple crises country</v>
      </c>
      <c r="G68" s="53">
        <f t="shared" si="0"/>
        <v>2.9</v>
      </c>
      <c r="H68" s="82">
        <f t="shared" si="5"/>
        <v>3</v>
      </c>
      <c r="I68" s="151" t="str">
        <f t="shared" si="6"/>
        <v>Medium</v>
      </c>
      <c r="J68" s="153" t="str">
        <f>INDEX(Trends!$D$3:$D$400,MATCH(C68,Trends!$C$3:$C$400,0))</f>
        <v>Decreasing</v>
      </c>
      <c r="K68" s="143" t="str">
        <f>IF(Reliability!B66="x","x",(IF(ROUNDUP(Reliability!B66,0)=1,"Very High",IF(ROUNDUP(Reliability!B66,0)=2,"High",IF(ROUNDUP(Reliability!B66,0)=3,"Medium",IF(ROUNDUP(Reliability!B66,0)=4,"Low","Very Low"))))))</f>
        <v>High</v>
      </c>
      <c r="L68" s="55">
        <f t="shared" si="3"/>
        <v>3.6</v>
      </c>
      <c r="M68" s="83">
        <f>'Impact of the crisis'!N69</f>
        <v>4.9000000000000004</v>
      </c>
      <c r="N68" s="83">
        <f>'Impact of the crisis'!AB69</f>
        <v>2.5</v>
      </c>
      <c r="O68" s="55">
        <f>'Conditions of people affected'!R69</f>
        <v>2.8</v>
      </c>
      <c r="P68" s="83">
        <f>'Conditions of people affected'!K69</f>
        <v>3.6</v>
      </c>
      <c r="Q68" s="83">
        <f>'Conditions of people affected'!Q69</f>
        <v>2</v>
      </c>
      <c r="R68" s="54">
        <f t="shared" si="4"/>
        <v>2.5</v>
      </c>
      <c r="S68" s="54">
        <f>'Complexity of the crisis'!X69</f>
        <v>3</v>
      </c>
      <c r="T68" s="54">
        <f>'Complexity of the crisis'!AN69</f>
        <v>2</v>
      </c>
      <c r="U68" s="159" t="str">
        <f>VLOOKUP(C68,Lists!$C$3:$E$167,3,FALSE)</f>
        <v>Africa</v>
      </c>
      <c r="V68" s="160">
        <v>44140</v>
      </c>
    </row>
    <row r="69" spans="1:22" x14ac:dyDescent="0.3">
      <c r="A69" s="81" t="str">
        <f>'Crisis Indicator Data'!A67</f>
        <v>Refugee situation in Kenya</v>
      </c>
      <c r="B69" s="56" t="str">
        <f>Lists!G67</f>
        <v>Refugee situation</v>
      </c>
      <c r="C69" s="81" t="str">
        <f>'Crisis Indicator Data'!C67</f>
        <v>KEN002</v>
      </c>
      <c r="D69" s="81" t="str">
        <f>'Crisis Indicator Data'!D67</f>
        <v>Kenya</v>
      </c>
      <c r="E69" s="81" t="str">
        <f>'Crisis Indicator Data'!E67</f>
        <v>KEN</v>
      </c>
      <c r="F69" s="81" t="str">
        <f>'Crisis Indicator Data'!B67</f>
        <v>International displacement</v>
      </c>
      <c r="G69" s="53">
        <f t="shared" si="0"/>
        <v>2.6</v>
      </c>
      <c r="H69" s="82">
        <f t="shared" ref="H69:H100" si="7">IF(G69="x","x",ROUNDUP(G69,0))</f>
        <v>3</v>
      </c>
      <c r="I69" s="151" t="str">
        <f t="shared" ref="I69:I100" si="8">IF(O69="x","x",IF(L69="x","x",(IF(H69=5,"Very High",IF(H69=4,"High",IF(H69=3,"Medium",IF(H69=2,"Low","Very Low")))))))</f>
        <v>Medium</v>
      </c>
      <c r="J69" s="153" t="str">
        <f>INDEX(Trends!$D$3:$D$400,MATCH(C69,Trends!$C$3:$C$400,0))</f>
        <v>Decreasing</v>
      </c>
      <c r="K69" s="143" t="str">
        <f>IF(Reliability!B67="x","x",(IF(ROUNDUP(Reliability!B67,0)=1,"Very High",IF(ROUNDUP(Reliability!B67,0)=2,"High",IF(ROUNDUP(Reliability!B67,0)=3,"Medium",IF(ROUNDUP(Reliability!B67,0)=4,"Low","Very Low"))))))</f>
        <v>Medium</v>
      </c>
      <c r="L69" s="55">
        <f t="shared" si="3"/>
        <v>2.8</v>
      </c>
      <c r="M69" s="83">
        <f>'Impact of the crisis'!N70</f>
        <v>1.9</v>
      </c>
      <c r="N69" s="83">
        <f>'Impact of the crisis'!AB70</f>
        <v>3.2</v>
      </c>
      <c r="O69" s="55">
        <f>'Conditions of people affected'!R70</f>
        <v>2.9</v>
      </c>
      <c r="P69" s="83">
        <f>'Conditions of people affected'!K70</f>
        <v>2.8</v>
      </c>
      <c r="Q69" s="83">
        <f>'Conditions of people affected'!Q70</f>
        <v>3</v>
      </c>
      <c r="R69" s="54">
        <f t="shared" si="4"/>
        <v>2.1</v>
      </c>
      <c r="S69" s="54">
        <f>'Complexity of the crisis'!X70</f>
        <v>3</v>
      </c>
      <c r="T69" s="54">
        <f>'Complexity of the crisis'!AN70</f>
        <v>1</v>
      </c>
      <c r="U69" s="159" t="str">
        <f>VLOOKUP(C69,Lists!$C$3:$E$167,3,FALSE)</f>
        <v>Africa</v>
      </c>
      <c r="V69" s="160">
        <v>44014</v>
      </c>
    </row>
    <row r="70" spans="1:22" x14ac:dyDescent="0.3">
      <c r="A70" s="81" t="str">
        <f>'Crisis Indicator Data'!A68</f>
        <v>Drought in Kenya</v>
      </c>
      <c r="B70" s="56" t="str">
        <f>Lists!G68</f>
        <v>Drought</v>
      </c>
      <c r="C70" s="81" t="str">
        <f>'Crisis Indicator Data'!C68</f>
        <v>KEN003</v>
      </c>
      <c r="D70" s="81" t="str">
        <f>'Crisis Indicator Data'!D68</f>
        <v>Kenya</v>
      </c>
      <c r="E70" s="81" t="str">
        <f>'Crisis Indicator Data'!E68</f>
        <v>KEN</v>
      </c>
      <c r="F70" s="81" t="str">
        <f>'Crisis Indicator Data'!B68</f>
        <v>Drought</v>
      </c>
      <c r="G70" s="53">
        <f t="shared" ref="G70:G133" si="9">IF(OR(O70="x",L70="x"),"x",ROUND((5-GEOMEAN(((5-L70)/5*4+1),((5-O70)/5*4+1),((5-O70)/5*4+1)))/4*3.5+R70*0.3,1))</f>
        <v>2.8</v>
      </c>
      <c r="H70" s="82">
        <f t="shared" si="7"/>
        <v>3</v>
      </c>
      <c r="I70" s="151" t="str">
        <f t="shared" si="8"/>
        <v>Medium</v>
      </c>
      <c r="J70" s="153" t="str">
        <f>INDEX(Trends!$D$3:$D$400,MATCH(C70,Trends!$C$3:$C$400,0))</f>
        <v>Decreasing</v>
      </c>
      <c r="K70" s="143" t="str">
        <f>IF(Reliability!B68="x","x",(IF(ROUNDUP(Reliability!B68,0)=1,"Very High",IF(ROUNDUP(Reliability!B68,0)=2,"High",IF(ROUNDUP(Reliability!B68,0)=3,"Medium",IF(ROUNDUP(Reliability!B68,0)=4,"Low","Very Low"))))))</f>
        <v>Low</v>
      </c>
      <c r="L70" s="55">
        <f t="shared" ref="L70:L133" si="10">IF(OR(N70="x",M70="x"),"x",ROUND((5-GEOMEAN(((5-M70)/5*4+1),((5-N70)/5*4+1),((5-N70)/5*4+1)))/4*5,1))</f>
        <v>3.6</v>
      </c>
      <c r="M70" s="83">
        <f>'Impact of the crisis'!N71</f>
        <v>4.9000000000000004</v>
      </c>
      <c r="N70" s="83">
        <f>'Impact of the crisis'!AB71</f>
        <v>2.6</v>
      </c>
      <c r="O70" s="55">
        <f>'Conditions of people affected'!R71</f>
        <v>2.65</v>
      </c>
      <c r="P70" s="83">
        <f>'Conditions of people affected'!K71</f>
        <v>3.3</v>
      </c>
      <c r="Q70" s="83">
        <f>'Conditions of people affected'!Q71</f>
        <v>2</v>
      </c>
      <c r="R70" s="54">
        <f t="shared" ref="R70:R133" si="11">IF(OR(T70="x",S70="x"),S70,ROUND((5-GEOMEAN(((5-S70)/5*4+1),((5-T70)/5*4+1)))/4*5,1))</f>
        <v>2.2999999999999998</v>
      </c>
      <c r="S70" s="54">
        <f>'Complexity of the crisis'!X71</f>
        <v>3</v>
      </c>
      <c r="T70" s="54">
        <f>'Complexity of the crisis'!AN71</f>
        <v>1.5</v>
      </c>
      <c r="U70" s="159" t="str">
        <f>VLOOKUP(C70,Lists!$C$3:$E$167,3,FALSE)</f>
        <v>Africa</v>
      </c>
      <c r="V70" s="160">
        <v>44111</v>
      </c>
    </row>
    <row r="71" spans="1:22" x14ac:dyDescent="0.3">
      <c r="A71" s="81" t="str">
        <f>'Crisis Indicator Data'!A69</f>
        <v>Flooding and Landslides in Kenya</v>
      </c>
      <c r="B71" s="56" t="str">
        <f>Lists!G69</f>
        <v>Flooding and Landslides</v>
      </c>
      <c r="C71" s="81" t="str">
        <f>'Crisis Indicator Data'!C69</f>
        <v>KEN005</v>
      </c>
      <c r="D71" s="81" t="str">
        <f>'Crisis Indicator Data'!D69</f>
        <v>Kenya</v>
      </c>
      <c r="E71" s="81" t="str">
        <f>'Crisis Indicator Data'!E69</f>
        <v>KEN</v>
      </c>
      <c r="F71" s="81" t="str">
        <f>'Crisis Indicator Data'!B69</f>
        <v>Flood</v>
      </c>
      <c r="G71" s="53">
        <f t="shared" si="9"/>
        <v>2.2000000000000002</v>
      </c>
      <c r="H71" s="82">
        <f t="shared" si="7"/>
        <v>3</v>
      </c>
      <c r="I71" s="151" t="str">
        <f t="shared" si="8"/>
        <v>Medium</v>
      </c>
      <c r="J71" s="153" t="str">
        <f>INDEX(Trends!$D$3:$D$400,MATCH(C71,Trends!$C$3:$C$400,0))</f>
        <v>Stable</v>
      </c>
      <c r="K71" s="143" t="str">
        <f>IF(Reliability!B69="x","x",(IF(ROUNDUP(Reliability!B69,0)=1,"Very High",IF(ROUNDUP(Reliability!B69,0)=2,"High",IF(ROUNDUP(Reliability!B69,0)=3,"Medium",IF(ROUNDUP(Reliability!B69,0)=4,"Low","Very Low"))))))</f>
        <v>Medium</v>
      </c>
      <c r="L71" s="55">
        <f t="shared" si="10"/>
        <v>3.1</v>
      </c>
      <c r="M71" s="83">
        <f>'Impact of the crisis'!N72</f>
        <v>4.4000000000000004</v>
      </c>
      <c r="N71" s="83">
        <f>'Impact of the crisis'!AB72</f>
        <v>2.2000000000000002</v>
      </c>
      <c r="O71" s="55">
        <f>'Conditions of people affected'!R72</f>
        <v>1.4</v>
      </c>
      <c r="P71" s="83">
        <f>'Conditions of people affected'!K72</f>
        <v>1.8</v>
      </c>
      <c r="Q71" s="83">
        <f>'Conditions of people affected'!Q72</f>
        <v>1</v>
      </c>
      <c r="R71" s="54">
        <f t="shared" si="11"/>
        <v>2.5</v>
      </c>
      <c r="S71" s="54">
        <f>'Complexity of the crisis'!X72</f>
        <v>3</v>
      </c>
      <c r="T71" s="54">
        <f>'Complexity of the crisis'!AN72</f>
        <v>2</v>
      </c>
      <c r="U71" s="159" t="str">
        <f>VLOOKUP(C71,Lists!$C$3:$E$167,3,FALSE)</f>
        <v>Africa</v>
      </c>
      <c r="V71" s="160">
        <v>44014</v>
      </c>
    </row>
    <row r="72" spans="1:22" x14ac:dyDescent="0.3">
      <c r="A72" s="81" t="str">
        <f>'Crisis Indicator Data'!A70</f>
        <v>Syrian refugees in Lebanon</v>
      </c>
      <c r="B72" s="56" t="str">
        <f>Lists!G70</f>
        <v>Syrian refugees</v>
      </c>
      <c r="C72" s="81" t="str">
        <f>'Crisis Indicator Data'!C70</f>
        <v>LBN002</v>
      </c>
      <c r="D72" s="81" t="str">
        <f>'Crisis Indicator Data'!D70</f>
        <v>Lebanon</v>
      </c>
      <c r="E72" s="81" t="str">
        <f>'Crisis Indicator Data'!E70</f>
        <v>LBN</v>
      </c>
      <c r="F72" s="81" t="str">
        <f>'Crisis Indicator Data'!B70</f>
        <v>International displacement</v>
      </c>
      <c r="G72" s="53">
        <f t="shared" si="9"/>
        <v>3.2</v>
      </c>
      <c r="H72" s="82">
        <f t="shared" si="7"/>
        <v>4</v>
      </c>
      <c r="I72" s="151" t="str">
        <f t="shared" si="8"/>
        <v>High</v>
      </c>
      <c r="J72" s="153" t="str">
        <f>INDEX(Trends!$D$3:$D$400,MATCH(C72,Trends!$C$3:$C$400,0))</f>
        <v>Increasing</v>
      </c>
      <c r="K72" s="143" t="str">
        <f>IF(Reliability!B70="x","x",(IF(ROUNDUP(Reliability!B70,0)=1,"Very High",IF(ROUNDUP(Reliability!B70,0)=2,"High",IF(ROUNDUP(Reliability!B70,0)=3,"Medium",IF(ROUNDUP(Reliability!B70,0)=4,"Low","Very Low"))))))</f>
        <v>High</v>
      </c>
      <c r="L72" s="55">
        <f t="shared" si="10"/>
        <v>3.2</v>
      </c>
      <c r="M72" s="83">
        <f>'Impact of the crisis'!N73</f>
        <v>3.6</v>
      </c>
      <c r="N72" s="83">
        <f>'Impact of the crisis'!AB73</f>
        <v>3</v>
      </c>
      <c r="O72" s="55">
        <f>'Conditions of people affected'!R73</f>
        <v>3.5</v>
      </c>
      <c r="P72" s="83">
        <f>'Conditions of people affected'!K73</f>
        <v>3</v>
      </c>
      <c r="Q72" s="83">
        <f>'Conditions of people affected'!Q73</f>
        <v>4</v>
      </c>
      <c r="R72" s="54">
        <f t="shared" si="11"/>
        <v>2.7</v>
      </c>
      <c r="S72" s="54">
        <f>'Complexity of the crisis'!X73</f>
        <v>2.8</v>
      </c>
      <c r="T72" s="54">
        <f>'Complexity of the crisis'!AN73</f>
        <v>2.5</v>
      </c>
      <c r="U72" s="159" t="str">
        <f>VLOOKUP(C72,Lists!$C$3:$E$167,3,FALSE)</f>
        <v>Middle east</v>
      </c>
      <c r="V72" s="160">
        <v>44132</v>
      </c>
    </row>
    <row r="73" spans="1:22" x14ac:dyDescent="0.3">
      <c r="A73" s="81" t="str">
        <f>'Crisis Indicator Data'!A71</f>
        <v>Socioeconomic crisis in Lebanon</v>
      </c>
      <c r="B73" s="56" t="str">
        <f>Lists!G71</f>
        <v>Socioeconomic crisis</v>
      </c>
      <c r="C73" s="81" t="str">
        <f>'Crisis Indicator Data'!C71</f>
        <v>LBN004</v>
      </c>
      <c r="D73" s="81" t="str">
        <f>'Crisis Indicator Data'!D71</f>
        <v>Lebanon</v>
      </c>
      <c r="E73" s="81" t="str">
        <f>'Crisis Indicator Data'!E71</f>
        <v>LBN</v>
      </c>
      <c r="F73" s="81" t="str">
        <f>'Crisis Indicator Data'!B71</f>
        <v>Political and economic crisis</v>
      </c>
      <c r="G73" s="53">
        <f t="shared" si="9"/>
        <v>3.5</v>
      </c>
      <c r="H73" s="82">
        <f t="shared" si="7"/>
        <v>4</v>
      </c>
      <c r="I73" s="151" t="str">
        <f t="shared" si="8"/>
        <v>High</v>
      </c>
      <c r="J73" s="153" t="str">
        <f>INDEX(Trends!$D$3:$D$400,MATCH(C73,Trends!$C$3:$C$400,0))</f>
        <v>Increasing</v>
      </c>
      <c r="K73" s="143" t="str">
        <f>IF(Reliability!B71="x","x",(IF(ROUNDUP(Reliability!B71,0)=1,"Very High",IF(ROUNDUP(Reliability!B71,0)=2,"High",IF(ROUNDUP(Reliability!B71,0)=3,"Medium",IF(ROUNDUP(Reliability!B71,0)=4,"Low","Very Low"))))))</f>
        <v>Medium</v>
      </c>
      <c r="L73" s="55">
        <f t="shared" si="10"/>
        <v>2.6</v>
      </c>
      <c r="M73" s="83">
        <f>'Impact of the crisis'!N74</f>
        <v>3.6</v>
      </c>
      <c r="N73" s="83">
        <f>'Impact of the crisis'!AB74</f>
        <v>2</v>
      </c>
      <c r="O73" s="55">
        <f>'Conditions of people affected'!R74</f>
        <v>4.1500000000000004</v>
      </c>
      <c r="P73" s="83">
        <f>'Conditions of people affected'!K74</f>
        <v>4.3</v>
      </c>
      <c r="Q73" s="83">
        <f>'Conditions of people affected'!Q74</f>
        <v>4</v>
      </c>
      <c r="R73" s="54">
        <f t="shared" si="11"/>
        <v>2.9</v>
      </c>
      <c r="S73" s="54">
        <f>'Complexity of the crisis'!X74</f>
        <v>2.8</v>
      </c>
      <c r="T73" s="54">
        <f>'Complexity of the crisis'!AN74</f>
        <v>3</v>
      </c>
      <c r="U73" s="159" t="str">
        <f>VLOOKUP(C73,Lists!$C$3:$E$167,3,FALSE)</f>
        <v>Middle east</v>
      </c>
      <c r="V73" s="160">
        <v>44132</v>
      </c>
    </row>
    <row r="74" spans="1:22" x14ac:dyDescent="0.3">
      <c r="A74" s="81" t="str">
        <f>'Crisis Indicator Data'!A72</f>
        <v>Explosion in Beirut</v>
      </c>
      <c r="B74" s="56" t="str">
        <f>Lists!G72</f>
        <v>Beirut Explosion</v>
      </c>
      <c r="C74" s="81" t="str">
        <f>'Crisis Indicator Data'!C72</f>
        <v>LBN005</v>
      </c>
      <c r="D74" s="81" t="str">
        <f>'Crisis Indicator Data'!D72</f>
        <v>Lebanon</v>
      </c>
      <c r="E74" s="81" t="str">
        <f>'Crisis Indicator Data'!E72</f>
        <v>LBN</v>
      </c>
      <c r="F74" s="81" t="str">
        <f>'Crisis Indicator Data'!B72</f>
        <v>Industrial Accidents</v>
      </c>
      <c r="G74" s="53">
        <f t="shared" si="9"/>
        <v>3.2</v>
      </c>
      <c r="H74" s="82">
        <f t="shared" si="7"/>
        <v>4</v>
      </c>
      <c r="I74" s="151" t="str">
        <f t="shared" si="8"/>
        <v>High</v>
      </c>
      <c r="J74" s="153" t="str">
        <f>INDEX(Trends!$D$3:$D$400,MATCH(C74,Trends!$C$3:$C$400,0))</f>
        <v>-</v>
      </c>
      <c r="K74" s="143" t="str">
        <f>IF(Reliability!B72="x","x",(IF(ROUNDUP(Reliability!B72,0)=1,"Very High",IF(ROUNDUP(Reliability!B72,0)=2,"High",IF(ROUNDUP(Reliability!B72,0)=3,"Medium",IF(ROUNDUP(Reliability!B72,0)=4,"Low","Very Low"))))))</f>
        <v>High</v>
      </c>
      <c r="L74" s="55">
        <f t="shared" si="10"/>
        <v>3.3</v>
      </c>
      <c r="M74" s="83">
        <f>'Impact of the crisis'!N75</f>
        <v>1</v>
      </c>
      <c r="N74" s="83">
        <f>'Impact of the crisis'!AB75</f>
        <v>4</v>
      </c>
      <c r="O74" s="55">
        <f>'Conditions of people affected'!R75</f>
        <v>3.15</v>
      </c>
      <c r="P74" s="83">
        <f>'Conditions of people affected'!K75</f>
        <v>3.3</v>
      </c>
      <c r="Q74" s="83">
        <f>'Conditions of people affected'!Q75</f>
        <v>3</v>
      </c>
      <c r="R74" s="54">
        <f t="shared" si="11"/>
        <v>3.2</v>
      </c>
      <c r="S74" s="54">
        <f>'Complexity of the crisis'!X75</f>
        <v>2.8</v>
      </c>
      <c r="T74" s="54">
        <f>'Complexity of the crisis'!AN75</f>
        <v>3.5</v>
      </c>
      <c r="U74" s="159" t="str">
        <f>VLOOKUP(C74,Lists!$C$3:$E$167,3,FALSE)</f>
        <v>Middle east</v>
      </c>
      <c r="V74" s="160">
        <v>44132</v>
      </c>
    </row>
    <row r="75" spans="1:22" x14ac:dyDescent="0.3">
      <c r="A75" s="81" t="str">
        <f>'Crisis Indicator Data'!A73</f>
        <v>Drought in Lesotho</v>
      </c>
      <c r="B75" s="56" t="str">
        <f>Lists!G73</f>
        <v>Drought</v>
      </c>
      <c r="C75" s="81" t="str">
        <f>'Crisis Indicator Data'!C73</f>
        <v>LSO002</v>
      </c>
      <c r="D75" s="81" t="str">
        <f>'Crisis Indicator Data'!D73</f>
        <v>Lesotho</v>
      </c>
      <c r="E75" s="81" t="str">
        <f>'Crisis Indicator Data'!E73</f>
        <v>LSO</v>
      </c>
      <c r="F75" s="81" t="str">
        <f>'Crisis Indicator Data'!B73</f>
        <v>Drought</v>
      </c>
      <c r="G75" s="53">
        <f t="shared" si="9"/>
        <v>2.5</v>
      </c>
      <c r="H75" s="82">
        <f t="shared" si="7"/>
        <v>3</v>
      </c>
      <c r="I75" s="151" t="str">
        <f t="shared" si="8"/>
        <v>Medium</v>
      </c>
      <c r="J75" s="153" t="str">
        <f>INDEX(Trends!$D$3:$D$400,MATCH(C75,Trends!$C$3:$C$400,0))</f>
        <v>Decreasing</v>
      </c>
      <c r="K75" s="143" t="str">
        <f>IF(Reliability!B73="x","x",(IF(ROUNDUP(Reliability!B73,0)=1,"Very High",IF(ROUNDUP(Reliability!B73,0)=2,"High",IF(ROUNDUP(Reliability!B73,0)=3,"Medium",IF(ROUNDUP(Reliability!B73,0)=4,"Low","Very Low"))))))</f>
        <v>High</v>
      </c>
      <c r="L75" s="55">
        <f t="shared" si="10"/>
        <v>2.2000000000000002</v>
      </c>
      <c r="M75" s="83">
        <f>'Impact of the crisis'!N76</f>
        <v>3</v>
      </c>
      <c r="N75" s="83">
        <f>'Impact of the crisis'!AB76</f>
        <v>1.8</v>
      </c>
      <c r="O75" s="55">
        <f>'Conditions of people affected'!R76</f>
        <v>3.45</v>
      </c>
      <c r="P75" s="83">
        <f>'Conditions of people affected'!K76</f>
        <v>2.9</v>
      </c>
      <c r="Q75" s="83">
        <f>'Conditions of people affected'!Q76</f>
        <v>4</v>
      </c>
      <c r="R75" s="54">
        <f t="shared" si="11"/>
        <v>1</v>
      </c>
      <c r="S75" s="54">
        <f>'Complexity of the crisis'!X76</f>
        <v>1.4</v>
      </c>
      <c r="T75" s="54">
        <f>'Complexity of the crisis'!AN76</f>
        <v>0.5</v>
      </c>
      <c r="U75" s="159" t="str">
        <f>VLOOKUP(C75,Lists!$C$3:$E$167,3,FALSE)</f>
        <v>Africa</v>
      </c>
      <c r="V75" s="160">
        <v>44134</v>
      </c>
    </row>
    <row r="76" spans="1:22" x14ac:dyDescent="0.3">
      <c r="A76" s="81" t="str">
        <f>'Crisis Indicator Data'!A74</f>
        <v>Southern Africa Regional Food Security Crisis</v>
      </c>
      <c r="B76" s="56" t="str">
        <f>Lists!G74</f>
        <v>Southern Africa Regional Food Security Crisis</v>
      </c>
      <c r="C76" s="81" t="str">
        <f>'Crisis Indicator Data'!C74</f>
        <v>REG012</v>
      </c>
      <c r="D76" s="81" t="str">
        <f>'Crisis Indicator Data'!D74</f>
        <v>Lesotho,Madagascar,Malawi,Mozambique,Namibia,Eswatini,Tanzania,Zambia,Zimbabwe</v>
      </c>
      <c r="E76" s="81" t="str">
        <f>'Crisis Indicator Data'!E74</f>
        <v>LSO, MDG, MWI, MOZ, NAM, SWZ, TZA, ZMB, ZWE</v>
      </c>
      <c r="F76" s="81" t="str">
        <f>'Crisis Indicator Data'!B74</f>
        <v>Regional crisis</v>
      </c>
      <c r="G76" s="53">
        <f t="shared" si="9"/>
        <v>3.5</v>
      </c>
      <c r="H76" s="82">
        <f t="shared" si="7"/>
        <v>4</v>
      </c>
      <c r="I76" s="151" t="str">
        <f t="shared" si="8"/>
        <v>High</v>
      </c>
      <c r="J76" s="153" t="str">
        <f>INDEX(Trends!$D$3:$D$400,MATCH(C76,Trends!$C$3:$C$400,0))</f>
        <v>Stable</v>
      </c>
      <c r="K76" s="143" t="str">
        <f>IF(Reliability!B74="x","x",(IF(ROUNDUP(Reliability!B74,0)=1,"Very High",IF(ROUNDUP(Reliability!B74,0)=2,"High",IF(ROUNDUP(Reliability!B74,0)=3,"Medium",IF(ROUNDUP(Reliability!B74,0)=4,"Low","Very Low"))))))</f>
        <v>Very High</v>
      </c>
      <c r="L76" s="55">
        <f t="shared" si="10"/>
        <v>3</v>
      </c>
      <c r="M76" s="83">
        <f>'Impact of the crisis'!N77</f>
        <v>3.6</v>
      </c>
      <c r="N76" s="83">
        <f>'Impact of the crisis'!AB77</f>
        <v>2.7</v>
      </c>
      <c r="O76" s="55">
        <f>'Conditions of people affected'!R77</f>
        <v>4</v>
      </c>
      <c r="P76" s="83">
        <f>'Conditions of people affected'!K77</f>
        <v>5</v>
      </c>
      <c r="Q76" s="83">
        <f>'Conditions of people affected'!Q77</f>
        <v>3</v>
      </c>
      <c r="R76" s="54">
        <f t="shared" si="11"/>
        <v>2.9</v>
      </c>
      <c r="S76" s="54">
        <f>'Complexity of the crisis'!X77</f>
        <v>2.7</v>
      </c>
      <c r="T76" s="54">
        <f>'Complexity of the crisis'!AN77</f>
        <v>3</v>
      </c>
      <c r="U76" s="159" t="str">
        <f>VLOOKUP(C76,Lists!$C$3:$E$167,3,FALSE)</f>
        <v>Africa</v>
      </c>
      <c r="V76" s="160">
        <v>44136</v>
      </c>
    </row>
    <row r="77" spans="1:22" x14ac:dyDescent="0.3">
      <c r="A77" s="81" t="str">
        <f>'Crisis Indicator Data'!A75</f>
        <v>Complex crisis in Libya</v>
      </c>
      <c r="B77" s="56" t="str">
        <f>Lists!G75</f>
        <v>Complex crisis</v>
      </c>
      <c r="C77" s="81" t="str">
        <f>'Crisis Indicator Data'!C75</f>
        <v>LBY001</v>
      </c>
      <c r="D77" s="81" t="str">
        <f>'Crisis Indicator Data'!D75</f>
        <v>Libya</v>
      </c>
      <c r="E77" s="81" t="str">
        <f>'Crisis Indicator Data'!E75</f>
        <v>LBY</v>
      </c>
      <c r="F77" s="81" t="str">
        <f>'Crisis Indicator Data'!B75</f>
        <v>Multiple crises country</v>
      </c>
      <c r="G77" s="53">
        <f t="shared" si="9"/>
        <v>4.0999999999999996</v>
      </c>
      <c r="H77" s="82">
        <f t="shared" si="7"/>
        <v>5</v>
      </c>
      <c r="I77" s="151" t="str">
        <f t="shared" si="8"/>
        <v>Very High</v>
      </c>
      <c r="J77" s="153" t="str">
        <f>INDEX(Trends!$D$3:$D$400,MATCH(C77,Trends!$C$3:$C$400,0))</f>
        <v>Decreasing</v>
      </c>
      <c r="K77" s="143" t="str">
        <f>IF(Reliability!B75="x","x",(IF(ROUNDUP(Reliability!B75,0)=1,"Very High",IF(ROUNDUP(Reliability!B75,0)=2,"High",IF(ROUNDUP(Reliability!B75,0)=3,"Medium",IF(ROUNDUP(Reliability!B75,0)=4,"Low","Very Low"))))))</f>
        <v>High</v>
      </c>
      <c r="L77" s="55">
        <f t="shared" si="10"/>
        <v>4</v>
      </c>
      <c r="M77" s="83">
        <f>'Impact of the crisis'!N78</f>
        <v>4.5</v>
      </c>
      <c r="N77" s="83">
        <f>'Impact of the crisis'!AB78</f>
        <v>3.7</v>
      </c>
      <c r="O77" s="55">
        <f>'Conditions of people affected'!R78</f>
        <v>4.2</v>
      </c>
      <c r="P77" s="83">
        <f>'Conditions of people affected'!K78</f>
        <v>3.4</v>
      </c>
      <c r="Q77" s="83">
        <f>'Conditions of people affected'!Q78</f>
        <v>5</v>
      </c>
      <c r="R77" s="54">
        <f t="shared" si="11"/>
        <v>4.0999999999999996</v>
      </c>
      <c r="S77" s="54">
        <f>'Complexity of the crisis'!X78</f>
        <v>3.6</v>
      </c>
      <c r="T77" s="54">
        <f>'Complexity of the crisis'!AN78</f>
        <v>4.5</v>
      </c>
      <c r="U77" s="159" t="str">
        <f>VLOOKUP(C77,Lists!$C$3:$E$167,3,FALSE)</f>
        <v>Africa</v>
      </c>
      <c r="V77" s="160">
        <v>44130</v>
      </c>
    </row>
    <row r="78" spans="1:22" x14ac:dyDescent="0.3">
      <c r="A78" s="81" t="str">
        <f>'Crisis Indicator Data'!A76</f>
        <v>Mixed migration flows in Libya</v>
      </c>
      <c r="B78" s="56" t="str">
        <f>Lists!G76</f>
        <v>Mixed Migration</v>
      </c>
      <c r="C78" s="81" t="str">
        <f>'Crisis Indicator Data'!C76</f>
        <v>LBY002</v>
      </c>
      <c r="D78" s="81" t="str">
        <f>'Crisis Indicator Data'!D76</f>
        <v>Libya</v>
      </c>
      <c r="E78" s="81" t="str">
        <f>'Crisis Indicator Data'!E76</f>
        <v>LBY</v>
      </c>
      <c r="F78" s="81" t="str">
        <f>'Crisis Indicator Data'!B76</f>
        <v>International displacement</v>
      </c>
      <c r="G78" s="53">
        <f t="shared" si="9"/>
        <v>3</v>
      </c>
      <c r="H78" s="82">
        <f t="shared" si="7"/>
        <v>3</v>
      </c>
      <c r="I78" s="151" t="str">
        <f t="shared" si="8"/>
        <v>Medium</v>
      </c>
      <c r="J78" s="153" t="str">
        <f>INDEX(Trends!$D$3:$D$400,MATCH(C78,Trends!$C$3:$C$400,0))</f>
        <v>Stable</v>
      </c>
      <c r="K78" s="143" t="str">
        <f>IF(Reliability!B76="x","x",(IF(ROUNDUP(Reliability!B76,0)=1,"Very High",IF(ROUNDUP(Reliability!B76,0)=2,"High",IF(ROUNDUP(Reliability!B76,0)=3,"Medium",IF(ROUNDUP(Reliability!B76,0)=4,"Low","Very Low"))))))</f>
        <v>Very High</v>
      </c>
      <c r="L78" s="55">
        <f t="shared" si="10"/>
        <v>3.7</v>
      </c>
      <c r="M78" s="83">
        <f>'Impact of the crisis'!N79</f>
        <v>4.5</v>
      </c>
      <c r="N78" s="83">
        <f>'Impact of the crisis'!AB79</f>
        <v>3.2</v>
      </c>
      <c r="O78" s="55">
        <f>'Conditions of people affected'!R79</f>
        <v>2.25</v>
      </c>
      <c r="P78" s="83">
        <f>'Conditions of people affected'!K79</f>
        <v>2.5</v>
      </c>
      <c r="Q78" s="83">
        <f>'Conditions of people affected'!Q79</f>
        <v>2</v>
      </c>
      <c r="R78" s="54">
        <f t="shared" si="11"/>
        <v>3.3</v>
      </c>
      <c r="S78" s="54">
        <f>'Complexity of the crisis'!X79</f>
        <v>3.6</v>
      </c>
      <c r="T78" s="54">
        <f>'Complexity of the crisis'!AN79</f>
        <v>3</v>
      </c>
      <c r="U78" s="159" t="str">
        <f>VLOOKUP(C78,Lists!$C$3:$E$167,3,FALSE)</f>
        <v>Africa</v>
      </c>
      <c r="V78" s="160">
        <v>44130</v>
      </c>
    </row>
    <row r="79" spans="1:22" x14ac:dyDescent="0.3">
      <c r="A79" s="81" t="str">
        <f>'Crisis Indicator Data'!A77</f>
        <v>Drought in Madagascar</v>
      </c>
      <c r="B79" s="56" t="str">
        <f>Lists!G77</f>
        <v>Drought</v>
      </c>
      <c r="C79" s="81" t="str">
        <f>'Crisis Indicator Data'!C77</f>
        <v>MDG002</v>
      </c>
      <c r="D79" s="81" t="str">
        <f>'Crisis Indicator Data'!D77</f>
        <v>Madagascar</v>
      </c>
      <c r="E79" s="81" t="str">
        <f>'Crisis Indicator Data'!E77</f>
        <v>MDG</v>
      </c>
      <c r="F79" s="81" t="str">
        <f>'Crisis Indicator Data'!B77</f>
        <v>Drought</v>
      </c>
      <c r="G79" s="53">
        <f t="shared" si="9"/>
        <v>2.5</v>
      </c>
      <c r="H79" s="82">
        <f t="shared" si="7"/>
        <v>3</v>
      </c>
      <c r="I79" s="151" t="str">
        <f t="shared" si="8"/>
        <v>Medium</v>
      </c>
      <c r="J79" s="153" t="str">
        <f>INDEX(Trends!$D$3:$D$400,MATCH(C79,Trends!$C$3:$C$400,0))</f>
        <v>Stable</v>
      </c>
      <c r="K79" s="143" t="str">
        <f>IF(Reliability!B77="x","x",(IF(ROUNDUP(Reliability!B77,0)=1,"Very High",IF(ROUNDUP(Reliability!B77,0)=2,"High",IF(ROUNDUP(Reliability!B77,0)=3,"Medium",IF(ROUNDUP(Reliability!B77,0)=4,"Low","Very Low"))))))</f>
        <v>Medium</v>
      </c>
      <c r="L79" s="55">
        <f t="shared" si="10"/>
        <v>2.7</v>
      </c>
      <c r="M79" s="83">
        <f>'Impact of the crisis'!N80</f>
        <v>1.7</v>
      </c>
      <c r="N79" s="83">
        <f>'Impact of the crisis'!AB80</f>
        <v>3.15</v>
      </c>
      <c r="O79" s="55">
        <f>'Conditions of people affected'!R80</f>
        <v>2.95</v>
      </c>
      <c r="P79" s="83">
        <f>'Conditions of people affected'!K80</f>
        <v>2.9</v>
      </c>
      <c r="Q79" s="83">
        <f>'Conditions of people affected'!Q80</f>
        <v>3</v>
      </c>
      <c r="R79" s="54">
        <f t="shared" si="11"/>
        <v>1.5</v>
      </c>
      <c r="S79" s="54">
        <f>'Complexity of the crisis'!X80</f>
        <v>2.4</v>
      </c>
      <c r="T79" s="54">
        <f>'Complexity of the crisis'!AN80</f>
        <v>0.5</v>
      </c>
      <c r="U79" s="159" t="str">
        <f>VLOOKUP(C79,Lists!$C$3:$E$167,3,FALSE)</f>
        <v>Africa</v>
      </c>
      <c r="V79" s="160">
        <v>44134</v>
      </c>
    </row>
    <row r="80" spans="1:22" x14ac:dyDescent="0.3">
      <c r="A80" s="81" t="str">
        <f>'Crisis Indicator Data'!A78</f>
        <v>Floods in Madagascar</v>
      </c>
      <c r="B80" s="56" t="str">
        <f>Lists!G78</f>
        <v>Floods in Madagascar</v>
      </c>
      <c r="C80" s="81" t="str">
        <f>'Crisis Indicator Data'!C78</f>
        <v>MDG004</v>
      </c>
      <c r="D80" s="81" t="str">
        <f>'Crisis Indicator Data'!D78</f>
        <v>Madagascar</v>
      </c>
      <c r="E80" s="81" t="str">
        <f>'Crisis Indicator Data'!E78</f>
        <v>MDG</v>
      </c>
      <c r="F80" s="81" t="str">
        <f>'Crisis Indicator Data'!B78</f>
        <v>Flood</v>
      </c>
      <c r="G80" s="53">
        <f t="shared" si="9"/>
        <v>1.3</v>
      </c>
      <c r="H80" s="82">
        <f t="shared" si="7"/>
        <v>2</v>
      </c>
      <c r="I80" s="151" t="str">
        <f t="shared" si="8"/>
        <v>Low</v>
      </c>
      <c r="J80" s="153" t="str">
        <f>INDEX(Trends!$D$3:$D$400,MATCH(C80,Trends!$C$3:$C$400,0))</f>
        <v>Stable</v>
      </c>
      <c r="K80" s="143" t="str">
        <f>IF(Reliability!B78="x","x",(IF(ROUNDUP(Reliability!B78,0)=1,"Very High",IF(ROUNDUP(Reliability!B78,0)=2,"High",IF(ROUNDUP(Reliability!B78,0)=3,"Medium",IF(ROUNDUP(Reliability!B78,0)=4,"Low","Very Low"))))))</f>
        <v>High</v>
      </c>
      <c r="L80" s="55">
        <f t="shared" si="10"/>
        <v>2.2000000000000002</v>
      </c>
      <c r="M80" s="83">
        <f>'Impact of the crisis'!N81</f>
        <v>1.7</v>
      </c>
      <c r="N80" s="83">
        <f>'Impact of the crisis'!AB81</f>
        <v>2.4</v>
      </c>
      <c r="O80" s="55">
        <f>'Conditions of people affected'!R81</f>
        <v>0.5</v>
      </c>
      <c r="P80" s="83">
        <f>'Conditions of people affected'!K81</f>
        <v>0</v>
      </c>
      <c r="Q80" s="83">
        <f>'Conditions of people affected'!Q81</f>
        <v>1</v>
      </c>
      <c r="R80" s="54">
        <f t="shared" si="11"/>
        <v>1.8</v>
      </c>
      <c r="S80" s="54">
        <f>'Complexity of the crisis'!X81</f>
        <v>2.4</v>
      </c>
      <c r="T80" s="54">
        <f>'Complexity of the crisis'!AN81</f>
        <v>1</v>
      </c>
      <c r="U80" s="159" t="str">
        <f>VLOOKUP(C80,Lists!$C$3:$E$167,3,FALSE)</f>
        <v>Africa</v>
      </c>
      <c r="V80" s="160">
        <v>44134</v>
      </c>
    </row>
    <row r="81" spans="1:22" x14ac:dyDescent="0.3">
      <c r="A81" s="81" t="str">
        <f>'Crisis Indicator Data'!A79</f>
        <v>Complex Country Crisis in Madagascar</v>
      </c>
      <c r="B81" s="56" t="str">
        <f>Lists!G79</f>
        <v>Complex Country Crisis in Madagascar</v>
      </c>
      <c r="C81" s="81" t="str">
        <f>'Crisis Indicator Data'!C79</f>
        <v>MDG005</v>
      </c>
      <c r="D81" s="81" t="str">
        <f>'Crisis Indicator Data'!D79</f>
        <v>Madagascar</v>
      </c>
      <c r="E81" s="81" t="str">
        <f>'Crisis Indicator Data'!E79</f>
        <v>MDG</v>
      </c>
      <c r="F81" s="81" t="str">
        <f>'Crisis Indicator Data'!B79</f>
        <v>Complex crisis</v>
      </c>
      <c r="G81" s="53">
        <f t="shared" si="9"/>
        <v>2.6</v>
      </c>
      <c r="H81" s="82">
        <f t="shared" si="7"/>
        <v>3</v>
      </c>
      <c r="I81" s="151" t="str">
        <f t="shared" si="8"/>
        <v>Medium</v>
      </c>
      <c r="J81" s="153" t="str">
        <f>INDEX(Trends!$D$3:$D$400,MATCH(C81,Trends!$C$3:$C$400,0))</f>
        <v>Stable</v>
      </c>
      <c r="K81" s="143" t="str">
        <f>IF(Reliability!B79="x","x",(IF(ROUNDUP(Reliability!B79,0)=1,"Very High",IF(ROUNDUP(Reliability!B79,0)=2,"High",IF(ROUNDUP(Reliability!B79,0)=3,"Medium",IF(ROUNDUP(Reliability!B79,0)=4,"Low","Very Low"))))))</f>
        <v>High</v>
      </c>
      <c r="L81" s="55">
        <f t="shared" si="10"/>
        <v>2.2999999999999998</v>
      </c>
      <c r="M81" s="83">
        <f>'Impact of the crisis'!N82</f>
        <v>1.9</v>
      </c>
      <c r="N81" s="83">
        <f>'Impact of the crisis'!AB82</f>
        <v>2.5</v>
      </c>
      <c r="O81" s="55">
        <f>'Conditions of people affected'!R82</f>
        <v>3.05</v>
      </c>
      <c r="P81" s="83">
        <f>'Conditions of people affected'!K82</f>
        <v>3.1</v>
      </c>
      <c r="Q81" s="83">
        <f>'Conditions of people affected'!Q82</f>
        <v>3</v>
      </c>
      <c r="R81" s="54">
        <f t="shared" si="11"/>
        <v>2</v>
      </c>
      <c r="S81" s="54">
        <f>'Complexity of the crisis'!X82</f>
        <v>2.4</v>
      </c>
      <c r="T81" s="54">
        <f>'Complexity of the crisis'!AN82</f>
        <v>1.5</v>
      </c>
      <c r="U81" s="159" t="str">
        <f>VLOOKUP(C81,Lists!$C$3:$E$167,3,FALSE)</f>
        <v>Africa</v>
      </c>
      <c r="V81" s="160">
        <v>44134</v>
      </c>
    </row>
    <row r="82" spans="1:22" x14ac:dyDescent="0.3">
      <c r="A82" s="81" t="str">
        <f>'Crisis Indicator Data'!A80</f>
        <v>Complex crisis in Malawi</v>
      </c>
      <c r="B82" s="56" t="str">
        <f>Lists!G80</f>
        <v>Complex</v>
      </c>
      <c r="C82" s="81" t="str">
        <f>'Crisis Indicator Data'!C80</f>
        <v>MWI002</v>
      </c>
      <c r="D82" s="81" t="str">
        <f>'Crisis Indicator Data'!D80</f>
        <v>Malawi</v>
      </c>
      <c r="E82" s="81" t="str">
        <f>'Crisis Indicator Data'!E80</f>
        <v>MWI</v>
      </c>
      <c r="F82" s="81" t="str">
        <f>'Crisis Indicator Data'!B80</f>
        <v>Complex crisis</v>
      </c>
      <c r="G82" s="53">
        <f t="shared" si="9"/>
        <v>2.7</v>
      </c>
      <c r="H82" s="82">
        <f t="shared" si="7"/>
        <v>3</v>
      </c>
      <c r="I82" s="151" t="str">
        <f t="shared" si="8"/>
        <v>Medium</v>
      </c>
      <c r="J82" s="153" t="str">
        <f>INDEX(Trends!$D$3:$D$400,MATCH(C82,Trends!$C$3:$C$400,0))</f>
        <v>Decreasing</v>
      </c>
      <c r="K82" s="143" t="str">
        <f>IF(Reliability!B80="x","x",(IF(ROUNDUP(Reliability!B80,0)=1,"Very High",IF(ROUNDUP(Reliability!B80,0)=2,"High",IF(ROUNDUP(Reliability!B80,0)=3,"Medium",IF(ROUNDUP(Reliability!B80,0)=4,"Low","Very Low"))))))</f>
        <v>High</v>
      </c>
      <c r="L82" s="55">
        <f t="shared" si="10"/>
        <v>3.1</v>
      </c>
      <c r="M82" s="83">
        <f>'Impact of the crisis'!N83</f>
        <v>4.3</v>
      </c>
      <c r="N82" s="83">
        <f>'Impact of the crisis'!AB83</f>
        <v>2.2000000000000002</v>
      </c>
      <c r="O82" s="55">
        <f>'Conditions of people affected'!R83</f>
        <v>3.5</v>
      </c>
      <c r="P82" s="83">
        <f>'Conditions of people affected'!K83</f>
        <v>4</v>
      </c>
      <c r="Q82" s="83">
        <f>'Conditions of people affected'!Q83</f>
        <v>3</v>
      </c>
      <c r="R82" s="54">
        <f t="shared" si="11"/>
        <v>1.2</v>
      </c>
      <c r="S82" s="54">
        <f>'Complexity of the crisis'!X83</f>
        <v>1.9</v>
      </c>
      <c r="T82" s="54">
        <f>'Complexity of the crisis'!AN83</f>
        <v>0.5</v>
      </c>
      <c r="U82" s="159" t="str">
        <f>VLOOKUP(C82,Lists!$C$3:$E$167,3,FALSE)</f>
        <v>Africa</v>
      </c>
      <c r="V82" s="160">
        <v>44134</v>
      </c>
    </row>
    <row r="83" spans="1:22" x14ac:dyDescent="0.3">
      <c r="A83" s="81" t="str">
        <f>'Crisis Indicator Data'!A81</f>
        <v>Complex crisis in Mali</v>
      </c>
      <c r="B83" s="56" t="str">
        <f>Lists!G81</f>
        <v>Complex crisis</v>
      </c>
      <c r="C83" s="81" t="str">
        <f>'Crisis Indicator Data'!C81</f>
        <v>MLI001</v>
      </c>
      <c r="D83" s="81" t="str">
        <f>'Crisis Indicator Data'!D81</f>
        <v>Mali</v>
      </c>
      <c r="E83" s="81" t="str">
        <f>'Crisis Indicator Data'!E81</f>
        <v>MLI</v>
      </c>
      <c r="F83" s="81" t="str">
        <f>'Crisis Indicator Data'!B81</f>
        <v>Complex crisis</v>
      </c>
      <c r="G83" s="53">
        <f t="shared" si="9"/>
        <v>3.8</v>
      </c>
      <c r="H83" s="82">
        <f t="shared" si="7"/>
        <v>4</v>
      </c>
      <c r="I83" s="151" t="str">
        <f t="shared" si="8"/>
        <v>High</v>
      </c>
      <c r="J83" s="153" t="str">
        <f>INDEX(Trends!$D$3:$D$400,MATCH(C83,Trends!$C$3:$C$400,0))</f>
        <v>Stable</v>
      </c>
      <c r="K83" s="143" t="str">
        <f>IF(Reliability!B81="x","x",(IF(ROUNDUP(Reliability!B81,0)=1,"Very High",IF(ROUNDUP(Reliability!B81,0)=2,"High",IF(ROUNDUP(Reliability!B81,0)=3,"Medium",IF(ROUNDUP(Reliability!B81,0)=4,"Low","Very Low"))))))</f>
        <v>High</v>
      </c>
      <c r="L83" s="55">
        <f t="shared" si="10"/>
        <v>4</v>
      </c>
      <c r="M83" s="83">
        <f>'Impact of the crisis'!N84</f>
        <v>4.8</v>
      </c>
      <c r="N83" s="83">
        <f>'Impact of the crisis'!AB84</f>
        <v>3.5</v>
      </c>
      <c r="O83" s="55">
        <f>'Conditions of people affected'!R84</f>
        <v>3.7</v>
      </c>
      <c r="P83" s="83">
        <f>'Conditions of people affected'!K84</f>
        <v>4.4000000000000004</v>
      </c>
      <c r="Q83" s="83">
        <f>'Conditions of people affected'!Q84</f>
        <v>3</v>
      </c>
      <c r="R83" s="54">
        <f t="shared" si="11"/>
        <v>3.9</v>
      </c>
      <c r="S83" s="54">
        <f>'Complexity of the crisis'!X84</f>
        <v>3.2</v>
      </c>
      <c r="T83" s="54">
        <f>'Complexity of the crisis'!AN84</f>
        <v>4.5</v>
      </c>
      <c r="U83" s="159" t="str">
        <f>VLOOKUP(C83,Lists!$C$3:$E$167,3,FALSE)</f>
        <v>Africa</v>
      </c>
      <c r="V83" s="160">
        <v>44140</v>
      </c>
    </row>
    <row r="84" spans="1:22" x14ac:dyDescent="0.3">
      <c r="A84" s="81" t="str">
        <f>'Crisis Indicator Data'!A82</f>
        <v>Refugees from Mali in Mauritania</v>
      </c>
      <c r="B84" s="56" t="str">
        <f>Lists!G82</f>
        <v>Malian refugees</v>
      </c>
      <c r="C84" s="81" t="str">
        <f>'Crisis Indicator Data'!C82</f>
        <v>MRT002</v>
      </c>
      <c r="D84" s="81" t="str">
        <f>'Crisis Indicator Data'!D82</f>
        <v>Mauritania</v>
      </c>
      <c r="E84" s="81" t="str">
        <f>'Crisis Indicator Data'!E82</f>
        <v>MRT</v>
      </c>
      <c r="F84" s="81" t="str">
        <f>'Crisis Indicator Data'!B82</f>
        <v>International displacement</v>
      </c>
      <c r="G84" s="53">
        <f t="shared" si="9"/>
        <v>2.2000000000000002</v>
      </c>
      <c r="H84" s="82">
        <f t="shared" si="7"/>
        <v>3</v>
      </c>
      <c r="I84" s="151" t="str">
        <f t="shared" si="8"/>
        <v>Medium</v>
      </c>
      <c r="J84" s="153" t="str">
        <f>INDEX(Trends!$D$3:$D$400,MATCH(C84,Trends!$C$3:$C$400,0))</f>
        <v>Decreasing</v>
      </c>
      <c r="K84" s="143" t="str">
        <f>IF(Reliability!B82="x","x",(IF(ROUNDUP(Reliability!B82,0)=1,"Very High",IF(ROUNDUP(Reliability!B82,0)=2,"High",IF(ROUNDUP(Reliability!B82,0)=3,"Medium",IF(ROUNDUP(Reliability!B82,0)=4,"Low","Very Low"))))))</f>
        <v>Medium</v>
      </c>
      <c r="L84" s="55">
        <f t="shared" si="10"/>
        <v>2.4</v>
      </c>
      <c r="M84" s="83">
        <f>'Impact of the crisis'!N85</f>
        <v>0</v>
      </c>
      <c r="N84" s="83">
        <f>'Impact of the crisis'!AB85</f>
        <v>3.2</v>
      </c>
      <c r="O84" s="55">
        <f>'Conditions of people affected'!R85</f>
        <v>2.15</v>
      </c>
      <c r="P84" s="83">
        <f>'Conditions of people affected'!K85</f>
        <v>1.3</v>
      </c>
      <c r="Q84" s="83">
        <f>'Conditions of people affected'!Q85</f>
        <v>3</v>
      </c>
      <c r="R84" s="54">
        <f t="shared" si="11"/>
        <v>2.1</v>
      </c>
      <c r="S84" s="54">
        <f>'Complexity of the crisis'!X85</f>
        <v>2.6</v>
      </c>
      <c r="T84" s="54">
        <f>'Complexity of the crisis'!AN85</f>
        <v>1.5</v>
      </c>
      <c r="U84" s="159" t="str">
        <f>VLOOKUP(C84,Lists!$C$3:$E$167,3,FALSE)</f>
        <v>Africa</v>
      </c>
      <c r="V84" s="160">
        <v>44130</v>
      </c>
    </row>
    <row r="85" spans="1:22" x14ac:dyDescent="0.3">
      <c r="A85" s="81" t="str">
        <f>'Crisis Indicator Data'!A83</f>
        <v>Food Security in Mauritania</v>
      </c>
      <c r="B85" s="56" t="str">
        <f>Lists!G83</f>
        <v>Food security</v>
      </c>
      <c r="C85" s="81" t="str">
        <f>'Crisis Indicator Data'!C83</f>
        <v>MRT003</v>
      </c>
      <c r="D85" s="81" t="str">
        <f>'Crisis Indicator Data'!D83</f>
        <v>Mauritania</v>
      </c>
      <c r="E85" s="81" t="str">
        <f>'Crisis Indicator Data'!E83</f>
        <v>MRT</v>
      </c>
      <c r="F85" s="81" t="str">
        <f>'Crisis Indicator Data'!B83</f>
        <v>Drought</v>
      </c>
      <c r="G85" s="53">
        <f t="shared" si="9"/>
        <v>2.9</v>
      </c>
      <c r="H85" s="82">
        <f t="shared" si="7"/>
        <v>3</v>
      </c>
      <c r="I85" s="151" t="str">
        <f t="shared" si="8"/>
        <v>Medium</v>
      </c>
      <c r="J85" s="153" t="str">
        <f>INDEX(Trends!$D$3:$D$400,MATCH(C85,Trends!$C$3:$C$400,0))</f>
        <v>Increasing</v>
      </c>
      <c r="K85" s="143" t="str">
        <f>IF(Reliability!B83="x","x",(IF(ROUNDUP(Reliability!B83,0)=1,"Very High",IF(ROUNDUP(Reliability!B83,0)=2,"High",IF(ROUNDUP(Reliability!B83,0)=3,"Medium",IF(ROUNDUP(Reliability!B83,0)=4,"Low","Very Low"))))))</f>
        <v>Medium</v>
      </c>
      <c r="L85" s="55">
        <f t="shared" si="10"/>
        <v>3.2</v>
      </c>
      <c r="M85" s="83">
        <f>'Impact of the crisis'!N86</f>
        <v>4.4000000000000004</v>
      </c>
      <c r="N85" s="83">
        <f>'Impact of the crisis'!AB86</f>
        <v>2.25</v>
      </c>
      <c r="O85" s="55">
        <f>'Conditions of people affected'!R86</f>
        <v>3</v>
      </c>
      <c r="P85" s="83">
        <f>'Conditions of people affected'!K86</f>
        <v>3</v>
      </c>
      <c r="Q85" s="83">
        <f>'Conditions of people affected'!Q86</f>
        <v>3</v>
      </c>
      <c r="R85" s="54">
        <f t="shared" si="11"/>
        <v>2.6</v>
      </c>
      <c r="S85" s="54">
        <f>'Complexity of the crisis'!X86</f>
        <v>2.6</v>
      </c>
      <c r="T85" s="54">
        <f>'Complexity of the crisis'!AN86</f>
        <v>2.5</v>
      </c>
      <c r="U85" s="159" t="str">
        <f>VLOOKUP(C85,Lists!$C$3:$E$167,3,FALSE)</f>
        <v>Africa</v>
      </c>
      <c r="V85" s="160">
        <v>44130</v>
      </c>
    </row>
    <row r="86" spans="1:22" x14ac:dyDescent="0.3">
      <c r="A86" s="81" t="str">
        <f>'Crisis Indicator Data'!A84</f>
        <v>Multiple crisis in Mexico</v>
      </c>
      <c r="B86" s="56" t="str">
        <f>Lists!G84</f>
        <v>Country Level</v>
      </c>
      <c r="C86" s="81" t="str">
        <f>'Crisis Indicator Data'!C84</f>
        <v>MEX001</v>
      </c>
      <c r="D86" s="81" t="str">
        <f>'Crisis Indicator Data'!D84</f>
        <v>Mexico</v>
      </c>
      <c r="E86" s="81" t="str">
        <f>'Crisis Indicator Data'!E84</f>
        <v>MEX</v>
      </c>
      <c r="F86" s="81" t="str">
        <f>'Crisis Indicator Data'!B84</f>
        <v>Multiple crises country</v>
      </c>
      <c r="G86" s="53" t="str">
        <f t="shared" si="9"/>
        <v>x</v>
      </c>
      <c r="H86" s="82" t="str">
        <f t="shared" si="7"/>
        <v>x</v>
      </c>
      <c r="I86" s="151" t="str">
        <f t="shared" si="8"/>
        <v>x</v>
      </c>
      <c r="J86" s="153" t="str">
        <f>INDEX(Trends!$D$3:$D$400,MATCH(C86,Trends!$C$3:$C$400,0))</f>
        <v>-</v>
      </c>
      <c r="K86" s="143" t="str">
        <f>IF(Reliability!B84="x","x",(IF(ROUNDUP(Reliability!B84,0)=1,"Very High",IF(ROUNDUP(Reliability!B84,0)=2,"High",IF(ROUNDUP(Reliability!B84,0)=3,"Medium",IF(ROUNDUP(Reliability!B84,0)=4,"Low","Very Low"))))))</f>
        <v>Very Low</v>
      </c>
      <c r="L86" s="55">
        <f t="shared" si="10"/>
        <v>4.2</v>
      </c>
      <c r="M86" s="83">
        <f>'Impact of the crisis'!N87</f>
        <v>4.5999999999999996</v>
      </c>
      <c r="N86" s="83">
        <f>'Impact of the crisis'!AB87</f>
        <v>4</v>
      </c>
      <c r="O86" s="55" t="str">
        <f>'Conditions of people affected'!R87</f>
        <v>x</v>
      </c>
      <c r="P86" s="83" t="str">
        <f>'Conditions of people affected'!K87</f>
        <v>x</v>
      </c>
      <c r="Q86" s="83" t="str">
        <f>'Conditions of people affected'!Q87</f>
        <v>x</v>
      </c>
      <c r="R86" s="54">
        <f t="shared" si="11"/>
        <v>3</v>
      </c>
      <c r="S86" s="54">
        <f>'Complexity of the crisis'!X87</f>
        <v>2.9</v>
      </c>
      <c r="T86" s="54">
        <f>'Complexity of the crisis'!AN87</f>
        <v>3</v>
      </c>
      <c r="U86" s="159" t="str">
        <f>VLOOKUP(C86,Lists!$C$3:$E$167,3,FALSE)</f>
        <v>Americas</v>
      </c>
      <c r="V86" s="160">
        <v>44110</v>
      </c>
    </row>
    <row r="87" spans="1:22" x14ac:dyDescent="0.3">
      <c r="A87" s="81" t="str">
        <f>'Crisis Indicator Data'!A85</f>
        <v>Criminal Violence in Mexico</v>
      </c>
      <c r="B87" s="56" t="str">
        <f>Lists!G85</f>
        <v>Criminal Violence</v>
      </c>
      <c r="C87" s="81" t="str">
        <f>'Crisis Indicator Data'!C85</f>
        <v>MEX002</v>
      </c>
      <c r="D87" s="81" t="str">
        <f>'Crisis Indicator Data'!D85</f>
        <v>Mexico</v>
      </c>
      <c r="E87" s="81" t="str">
        <f>'Crisis Indicator Data'!E85</f>
        <v>MEX</v>
      </c>
      <c r="F87" s="81" t="str">
        <f>'Crisis Indicator Data'!B85</f>
        <v>Other type of violence</v>
      </c>
      <c r="G87" s="53" t="str">
        <f t="shared" si="9"/>
        <v>x</v>
      </c>
      <c r="H87" s="82" t="str">
        <f t="shared" si="7"/>
        <v>x</v>
      </c>
      <c r="I87" s="151" t="str">
        <f t="shared" si="8"/>
        <v>x</v>
      </c>
      <c r="J87" s="153" t="str">
        <f>INDEX(Trends!$D$3:$D$400,MATCH(C87,Trends!$C$3:$C$400,0))</f>
        <v>-</v>
      </c>
      <c r="K87" s="143" t="str">
        <f>IF(Reliability!B85="x","x",(IF(ROUNDUP(Reliability!B85,0)=1,"Very High",IF(ROUNDUP(Reliability!B85,0)=2,"High",IF(ROUNDUP(Reliability!B85,0)=3,"Medium",IF(ROUNDUP(Reliability!B85,0)=4,"Low","Very Low"))))))</f>
        <v>Very Low</v>
      </c>
      <c r="L87" s="55">
        <f t="shared" si="10"/>
        <v>3.7</v>
      </c>
      <c r="M87" s="83">
        <f>'Impact of the crisis'!N88</f>
        <v>3.9</v>
      </c>
      <c r="N87" s="83">
        <f>'Impact of the crisis'!AB88</f>
        <v>3.6</v>
      </c>
      <c r="O87" s="55" t="str">
        <f>'Conditions of people affected'!R88</f>
        <v>x</v>
      </c>
      <c r="P87" s="83" t="str">
        <f>'Conditions of people affected'!K88</f>
        <v>x</v>
      </c>
      <c r="Q87" s="83" t="str">
        <f>'Conditions of people affected'!Q88</f>
        <v>x</v>
      </c>
      <c r="R87" s="54">
        <f t="shared" si="11"/>
        <v>2.7</v>
      </c>
      <c r="S87" s="54">
        <f>'Complexity of the crisis'!X88</f>
        <v>2.9</v>
      </c>
      <c r="T87" s="54">
        <f>'Complexity of the crisis'!AN88</f>
        <v>2.5</v>
      </c>
      <c r="U87" s="159" t="str">
        <f>VLOOKUP(C87,Lists!$C$3:$E$167,3,FALSE)</f>
        <v>Americas</v>
      </c>
      <c r="V87" s="160">
        <v>44110</v>
      </c>
    </row>
    <row r="88" spans="1:22" x14ac:dyDescent="0.3">
      <c r="A88" s="81" t="str">
        <f>'Crisis Indicator Data'!A86</f>
        <v>Mixed Migration in Mexico</v>
      </c>
      <c r="B88" s="56" t="str">
        <f>Lists!G86</f>
        <v>Mixed Migration</v>
      </c>
      <c r="C88" s="81" t="str">
        <f>'Crisis Indicator Data'!C86</f>
        <v>MEX003</v>
      </c>
      <c r="D88" s="81" t="str">
        <f>'Crisis Indicator Data'!D86</f>
        <v>Mexico</v>
      </c>
      <c r="E88" s="81" t="str">
        <f>'Crisis Indicator Data'!E86</f>
        <v>MEX</v>
      </c>
      <c r="F88" s="81" t="str">
        <f>'Crisis Indicator Data'!B86</f>
        <v>International displacement</v>
      </c>
      <c r="G88" s="53" t="str">
        <f t="shared" si="9"/>
        <v>x</v>
      </c>
      <c r="H88" s="82" t="str">
        <f t="shared" si="7"/>
        <v>x</v>
      </c>
      <c r="I88" s="151" t="str">
        <f t="shared" si="8"/>
        <v>x</v>
      </c>
      <c r="J88" s="153" t="str">
        <f>INDEX(Trends!$D$3:$D$400,MATCH(C88,Trends!$C$3:$C$400,0))</f>
        <v>-</v>
      </c>
      <c r="K88" s="143" t="str">
        <f>IF(Reliability!B86="x","x",(IF(ROUNDUP(Reliability!B86,0)=1,"Very High",IF(ROUNDUP(Reliability!B86,0)=2,"High",IF(ROUNDUP(Reliability!B86,0)=3,"Medium",IF(ROUNDUP(Reliability!B86,0)=4,"Low","Very Low"))))))</f>
        <v>Medium</v>
      </c>
      <c r="L88" s="55">
        <f t="shared" si="10"/>
        <v>3.4</v>
      </c>
      <c r="M88" s="83">
        <f>'Impact of the crisis'!N89</f>
        <v>4.2</v>
      </c>
      <c r="N88" s="83">
        <f>'Impact of the crisis'!AB89</f>
        <v>2.9</v>
      </c>
      <c r="O88" s="55" t="str">
        <f>'Conditions of people affected'!R89</f>
        <v>x</v>
      </c>
      <c r="P88" s="83" t="str">
        <f>'Conditions of people affected'!K89</f>
        <v>x</v>
      </c>
      <c r="Q88" s="83" t="str">
        <f>'Conditions of people affected'!Q89</f>
        <v>x</v>
      </c>
      <c r="R88" s="54">
        <f t="shared" si="11"/>
        <v>2.7</v>
      </c>
      <c r="S88" s="54">
        <f>'Complexity of the crisis'!X89</f>
        <v>2.9</v>
      </c>
      <c r="T88" s="54">
        <f>'Complexity of the crisis'!AN89</f>
        <v>2.5</v>
      </c>
      <c r="U88" s="159" t="str">
        <f>VLOOKUP(C88,Lists!$C$3:$E$167,3,FALSE)</f>
        <v>Americas</v>
      </c>
      <c r="V88" s="160">
        <v>44110</v>
      </c>
    </row>
    <row r="89" spans="1:22" x14ac:dyDescent="0.3">
      <c r="A89" s="81" t="str">
        <f>'Crisis Indicator Data'!A87</f>
        <v>Mixed migration flows in Morocco</v>
      </c>
      <c r="B89" s="56" t="str">
        <f>Lists!G87</f>
        <v>Mixed Migration</v>
      </c>
      <c r="C89" s="81" t="str">
        <f>'Crisis Indicator Data'!C87</f>
        <v>MAR002</v>
      </c>
      <c r="D89" s="81" t="str">
        <f>'Crisis Indicator Data'!D87</f>
        <v>Morocco</v>
      </c>
      <c r="E89" s="81" t="str">
        <f>'Crisis Indicator Data'!E87</f>
        <v>MAR</v>
      </c>
      <c r="F89" s="81" t="str">
        <f>'Crisis Indicator Data'!B87</f>
        <v>International displacement</v>
      </c>
      <c r="G89" s="53" t="str">
        <f t="shared" si="9"/>
        <v>x</v>
      </c>
      <c r="H89" s="82" t="str">
        <f t="shared" si="7"/>
        <v>x</v>
      </c>
      <c r="I89" s="151" t="str">
        <f t="shared" si="8"/>
        <v>x</v>
      </c>
      <c r="J89" s="153" t="str">
        <f>INDEX(Trends!$D$3:$D$400,MATCH(C89,Trends!$C$3:$C$400,0))</f>
        <v>-</v>
      </c>
      <c r="K89" s="143" t="str">
        <f>IF(Reliability!B87="x","x",(IF(ROUNDUP(Reliability!B87,0)=1,"Very High",IF(ROUNDUP(Reliability!B87,0)=2,"High",IF(ROUNDUP(Reliability!B87,0)=3,"Medium",IF(ROUNDUP(Reliability!B87,0)=4,"Low","Very Low"))))))</f>
        <v>Very Low</v>
      </c>
      <c r="L89" s="55">
        <f t="shared" si="10"/>
        <v>3.5</v>
      </c>
      <c r="M89" s="83">
        <f>'Impact of the crisis'!N90</f>
        <v>4.8</v>
      </c>
      <c r="N89" s="83">
        <f>'Impact of the crisis'!AB90</f>
        <v>2.5</v>
      </c>
      <c r="O89" s="55" t="str">
        <f>'Conditions of people affected'!R90</f>
        <v>x</v>
      </c>
      <c r="P89" s="83" t="str">
        <f>'Conditions of people affected'!K90</f>
        <v>x</v>
      </c>
      <c r="Q89" s="83" t="str">
        <f>'Conditions of people affected'!Q90</f>
        <v>x</v>
      </c>
      <c r="R89" s="54">
        <f t="shared" si="11"/>
        <v>2.1</v>
      </c>
      <c r="S89" s="54">
        <f>'Complexity of the crisis'!X90</f>
        <v>3</v>
      </c>
      <c r="T89" s="54">
        <f>'Complexity of the crisis'!AN90</f>
        <v>1</v>
      </c>
      <c r="U89" s="159" t="str">
        <f>VLOOKUP(C89,Lists!$C$3:$E$167,3,FALSE)</f>
        <v>Africa</v>
      </c>
      <c r="V89" s="160">
        <v>44137</v>
      </c>
    </row>
    <row r="90" spans="1:22" x14ac:dyDescent="0.3">
      <c r="A90" s="81" t="str">
        <f>'Crisis Indicator Data'!A88</f>
        <v>Complex crisis in Mozambique</v>
      </c>
      <c r="B90" s="56" t="str">
        <f>Lists!G88</f>
        <v>Complex crisis in Mozambique</v>
      </c>
      <c r="C90" s="81" t="str">
        <f>'Crisis Indicator Data'!C88</f>
        <v>MOZ001</v>
      </c>
      <c r="D90" s="81" t="str">
        <f>'Crisis Indicator Data'!D88</f>
        <v>Mozambique</v>
      </c>
      <c r="E90" s="81" t="str">
        <f>'Crisis Indicator Data'!E88</f>
        <v>MOZ</v>
      </c>
      <c r="F90" s="81" t="str">
        <f>'Crisis Indicator Data'!B88</f>
        <v>Complex crisis</v>
      </c>
      <c r="G90" s="53">
        <f t="shared" si="9"/>
        <v>3.2</v>
      </c>
      <c r="H90" s="82">
        <f t="shared" si="7"/>
        <v>4</v>
      </c>
      <c r="I90" s="151" t="str">
        <f t="shared" si="8"/>
        <v>High</v>
      </c>
      <c r="J90" s="153" t="str">
        <f>INDEX(Trends!$D$3:$D$400,MATCH(C90,Trends!$C$3:$C$400,0))</f>
        <v>Stable</v>
      </c>
      <c r="K90" s="143" t="str">
        <f>IF(Reliability!B88="x","x",(IF(ROUNDUP(Reliability!B88,0)=1,"Very High",IF(ROUNDUP(Reliability!B88,0)=2,"High",IF(ROUNDUP(Reliability!B88,0)=3,"Medium",IF(ROUNDUP(Reliability!B88,0)=4,"Low","Very Low"))))))</f>
        <v>High</v>
      </c>
      <c r="L90" s="55">
        <f t="shared" si="10"/>
        <v>3.5</v>
      </c>
      <c r="M90" s="83">
        <f>'Impact of the crisis'!N91</f>
        <v>2.5</v>
      </c>
      <c r="N90" s="83">
        <f>'Impact of the crisis'!AB91</f>
        <v>3.9</v>
      </c>
      <c r="O90" s="55">
        <f>'Conditions of people affected'!R91</f>
        <v>3.2</v>
      </c>
      <c r="P90" s="83">
        <f>'Conditions of people affected'!K91</f>
        <v>3.4</v>
      </c>
      <c r="Q90" s="83">
        <f>'Conditions of people affected'!Q91</f>
        <v>3</v>
      </c>
      <c r="R90" s="54">
        <f t="shared" si="11"/>
        <v>3</v>
      </c>
      <c r="S90" s="54">
        <f>'Complexity of the crisis'!X91</f>
        <v>3.5</v>
      </c>
      <c r="T90" s="54">
        <f>'Complexity of the crisis'!AN91</f>
        <v>2.5</v>
      </c>
      <c r="U90" s="159" t="str">
        <f>VLOOKUP(C90,Lists!$C$3:$E$167,3,FALSE)</f>
        <v>Africa</v>
      </c>
      <c r="V90" s="160">
        <v>44140</v>
      </c>
    </row>
    <row r="91" spans="1:22" x14ac:dyDescent="0.3">
      <c r="A91" s="81" t="str">
        <f>'Crisis Indicator Data'!A89</f>
        <v>Cabo Delgado Islamist Insurgency</v>
      </c>
      <c r="B91" s="56" t="str">
        <f>Lists!G89</f>
        <v>Violent Insurgency in Cabo Delgado</v>
      </c>
      <c r="C91" s="81" t="str">
        <f>'Crisis Indicator Data'!C89</f>
        <v>MOZ004</v>
      </c>
      <c r="D91" s="81" t="str">
        <f>'Crisis Indicator Data'!D89</f>
        <v>Mozambique</v>
      </c>
      <c r="E91" s="81" t="str">
        <f>'Crisis Indicator Data'!E89</f>
        <v>MOZ</v>
      </c>
      <c r="F91" s="81" t="str">
        <f>'Crisis Indicator Data'!B89</f>
        <v>Other type of violence</v>
      </c>
      <c r="G91" s="53">
        <f t="shared" si="9"/>
        <v>2.9</v>
      </c>
      <c r="H91" s="82">
        <f t="shared" si="7"/>
        <v>3</v>
      </c>
      <c r="I91" s="151" t="str">
        <f t="shared" si="8"/>
        <v>Medium</v>
      </c>
      <c r="J91" s="153" t="str">
        <f>INDEX(Trends!$D$3:$D$400,MATCH(C91,Trends!$C$3:$C$400,0))</f>
        <v>Increasing</v>
      </c>
      <c r="K91" s="143" t="str">
        <f>IF(Reliability!B89="x","x",(IF(ROUNDUP(Reliability!B89,0)=1,"Very High",IF(ROUNDUP(Reliability!B89,0)=2,"High",IF(ROUNDUP(Reliability!B89,0)=3,"Medium",IF(ROUNDUP(Reliability!B89,0)=4,"Low","Very Low"))))))</f>
        <v>High</v>
      </c>
      <c r="L91" s="55">
        <f t="shared" si="10"/>
        <v>2.8</v>
      </c>
      <c r="M91" s="83">
        <f>'Impact of the crisis'!N92</f>
        <v>1.4</v>
      </c>
      <c r="N91" s="83">
        <f>'Impact of the crisis'!AB92</f>
        <v>3.4</v>
      </c>
      <c r="O91" s="55">
        <f>'Conditions of people affected'!R92</f>
        <v>3.05</v>
      </c>
      <c r="P91" s="83">
        <f>'Conditions of people affected'!K92</f>
        <v>3.1</v>
      </c>
      <c r="Q91" s="83">
        <f>'Conditions of people affected'!Q92</f>
        <v>3</v>
      </c>
      <c r="R91" s="54">
        <f t="shared" si="11"/>
        <v>2.8</v>
      </c>
      <c r="S91" s="54">
        <f>'Complexity of the crisis'!X92</f>
        <v>3.5</v>
      </c>
      <c r="T91" s="54">
        <f>'Complexity of the crisis'!AN92</f>
        <v>2</v>
      </c>
      <c r="U91" s="159" t="str">
        <f>VLOOKUP(C91,Lists!$C$3:$E$167,3,FALSE)</f>
        <v>Africa</v>
      </c>
      <c r="V91" s="160">
        <v>44120</v>
      </c>
    </row>
    <row r="92" spans="1:22" x14ac:dyDescent="0.3">
      <c r="A92" s="81" t="str">
        <f>'Crisis Indicator Data'!A90</f>
        <v>Food Security Crisis in Mozambique</v>
      </c>
      <c r="B92" s="56" t="str">
        <f>Lists!G90</f>
        <v>Food Security Crisis in Mozambique</v>
      </c>
      <c r="C92" s="81" t="str">
        <f>'Crisis Indicator Data'!C90</f>
        <v>MOZ006</v>
      </c>
      <c r="D92" s="81" t="str">
        <f>'Crisis Indicator Data'!D90</f>
        <v>Mozambique</v>
      </c>
      <c r="E92" s="81" t="str">
        <f>'Crisis Indicator Data'!E90</f>
        <v>MOZ</v>
      </c>
      <c r="F92" s="81" t="str">
        <f>'Crisis Indicator Data'!B90</f>
        <v>Food Security</v>
      </c>
      <c r="G92" s="53">
        <f t="shared" si="9"/>
        <v>2.8</v>
      </c>
      <c r="H92" s="82">
        <f t="shared" si="7"/>
        <v>3</v>
      </c>
      <c r="I92" s="151" t="str">
        <f t="shared" si="8"/>
        <v>Medium</v>
      </c>
      <c r="J92" s="153" t="str">
        <f>INDEX(Trends!$D$3:$D$400,MATCH(C92,Trends!$C$3:$C$400,0))</f>
        <v>Decreasing</v>
      </c>
      <c r="K92" s="143" t="str">
        <f>IF(Reliability!B90="x","x",(IF(ROUNDUP(Reliability!B90,0)=1,"Very High",IF(ROUNDUP(Reliability!B90,0)=2,"High",IF(ROUNDUP(Reliability!B90,0)=3,"Medium",IF(ROUNDUP(Reliability!B90,0)=4,"Low","Very Low"))))))</f>
        <v>Medium</v>
      </c>
      <c r="L92" s="55">
        <f t="shared" si="10"/>
        <v>2.9</v>
      </c>
      <c r="M92" s="83">
        <f>'Impact of the crisis'!N93</f>
        <v>2.2000000000000002</v>
      </c>
      <c r="N92" s="83">
        <f>'Impact of the crisis'!AB93</f>
        <v>3.2</v>
      </c>
      <c r="O92" s="55">
        <f>'Conditions of people affected'!R93</f>
        <v>2.8</v>
      </c>
      <c r="P92" s="83">
        <f>'Conditions of people affected'!K93</f>
        <v>2.6</v>
      </c>
      <c r="Q92" s="83">
        <f>'Conditions of people affected'!Q93</f>
        <v>3</v>
      </c>
      <c r="R92" s="54">
        <f t="shared" si="11"/>
        <v>2.8</v>
      </c>
      <c r="S92" s="54">
        <f>'Complexity of the crisis'!X93</f>
        <v>3.5</v>
      </c>
      <c r="T92" s="54">
        <f>'Complexity of the crisis'!AN93</f>
        <v>2</v>
      </c>
      <c r="U92" s="159" t="str">
        <f>VLOOKUP(C92,Lists!$C$3:$E$167,3,FALSE)</f>
        <v>Africa</v>
      </c>
      <c r="V92" s="160">
        <v>44123</v>
      </c>
    </row>
    <row r="93" spans="1:22" x14ac:dyDescent="0.3">
      <c r="A93" s="81" t="str">
        <f>'Crisis Indicator Data'!A91</f>
        <v>Multiple crises in Myanmar</v>
      </c>
      <c r="B93" s="56" t="str">
        <f>Lists!G91</f>
        <v>Country level</v>
      </c>
      <c r="C93" s="81" t="str">
        <f>'Crisis Indicator Data'!C91</f>
        <v>MMR001</v>
      </c>
      <c r="D93" s="81" t="str">
        <f>'Crisis Indicator Data'!D91</f>
        <v>Myanmar</v>
      </c>
      <c r="E93" s="81" t="str">
        <f>'Crisis Indicator Data'!E91</f>
        <v>MMR</v>
      </c>
      <c r="F93" s="81" t="str">
        <f>'Crisis Indicator Data'!B91</f>
        <v>Multiple crises country</v>
      </c>
      <c r="G93" s="53">
        <f t="shared" si="9"/>
        <v>3.5</v>
      </c>
      <c r="H93" s="82">
        <f t="shared" si="7"/>
        <v>4</v>
      </c>
      <c r="I93" s="151" t="str">
        <f t="shared" si="8"/>
        <v>High</v>
      </c>
      <c r="J93" s="153" t="str">
        <f>INDEX(Trends!$D$3:$D$400,MATCH(C93,Trends!$C$3:$C$400,0))</f>
        <v>Decreasing</v>
      </c>
      <c r="K93" s="143" t="str">
        <f>IF(Reliability!B91="x","x",(IF(ROUNDUP(Reliability!B91,0)=1,"Very High",IF(ROUNDUP(Reliability!B91,0)=2,"High",IF(ROUNDUP(Reliability!B91,0)=3,"Medium",IF(ROUNDUP(Reliability!B91,0)=4,"Low","Very Low"))))))</f>
        <v>High</v>
      </c>
      <c r="L93" s="55">
        <f t="shared" si="10"/>
        <v>3.3</v>
      </c>
      <c r="M93" s="83">
        <f>'Impact of the crisis'!N94</f>
        <v>2.7</v>
      </c>
      <c r="N93" s="83">
        <f>'Impact of the crisis'!AB94</f>
        <v>3.6</v>
      </c>
      <c r="O93" s="55">
        <f>'Conditions of people affected'!R94</f>
        <v>3.65</v>
      </c>
      <c r="P93" s="83">
        <f>'Conditions of people affected'!K94</f>
        <v>3.3</v>
      </c>
      <c r="Q93" s="83">
        <f>'Conditions of people affected'!Q94</f>
        <v>4</v>
      </c>
      <c r="R93" s="54">
        <f t="shared" si="11"/>
        <v>3.5</v>
      </c>
      <c r="S93" s="54">
        <f>'Complexity of the crisis'!X94</f>
        <v>3.4</v>
      </c>
      <c r="T93" s="54">
        <f>'Complexity of the crisis'!AN94</f>
        <v>3.5</v>
      </c>
      <c r="U93" s="159" t="str">
        <f>VLOOKUP(C93,Lists!$C$3:$E$167,3,FALSE)</f>
        <v>Asia</v>
      </c>
      <c r="V93" s="160">
        <v>44132</v>
      </c>
    </row>
    <row r="94" spans="1:22" x14ac:dyDescent="0.3">
      <c r="A94" s="81" t="str">
        <f>'Crisis Indicator Data'!A92</f>
        <v>Rakhine Conflict</v>
      </c>
      <c r="B94" s="56" t="str">
        <f>Lists!G92</f>
        <v>Rakhine conflict</v>
      </c>
      <c r="C94" s="81" t="str">
        <f>'Crisis Indicator Data'!C92</f>
        <v>MMR002</v>
      </c>
      <c r="D94" s="81" t="str">
        <f>'Crisis Indicator Data'!D92</f>
        <v>Myanmar</v>
      </c>
      <c r="E94" s="81" t="str">
        <f>'Crisis Indicator Data'!E92</f>
        <v>MMR</v>
      </c>
      <c r="F94" s="81" t="str">
        <f>'Crisis Indicator Data'!B92</f>
        <v>Conflict</v>
      </c>
      <c r="G94" s="53">
        <f t="shared" si="9"/>
        <v>3.5</v>
      </c>
      <c r="H94" s="82">
        <f t="shared" si="7"/>
        <v>4</v>
      </c>
      <c r="I94" s="151" t="str">
        <f t="shared" si="8"/>
        <v>High</v>
      </c>
      <c r="J94" s="153" t="str">
        <f>INDEX(Trends!$D$3:$D$400,MATCH(C94,Trends!$C$3:$C$400,0))</f>
        <v>Stable</v>
      </c>
      <c r="K94" s="143" t="str">
        <f>IF(Reliability!B92="x","x",(IF(ROUNDUP(Reliability!B92,0)=1,"Very High",IF(ROUNDUP(Reliability!B92,0)=2,"High",IF(ROUNDUP(Reliability!B92,0)=3,"Medium",IF(ROUNDUP(Reliability!B92,0)=4,"Low","Very Low"))))))</f>
        <v>High</v>
      </c>
      <c r="L94" s="55">
        <f t="shared" si="10"/>
        <v>3.1</v>
      </c>
      <c r="M94" s="83">
        <f>'Impact of the crisis'!N95</f>
        <v>1.3</v>
      </c>
      <c r="N94" s="83">
        <f>'Impact of the crisis'!AB95</f>
        <v>3.7</v>
      </c>
      <c r="O94" s="55">
        <f>'Conditions of people affected'!R95</f>
        <v>3.55</v>
      </c>
      <c r="P94" s="83">
        <f>'Conditions of people affected'!K95</f>
        <v>3.1</v>
      </c>
      <c r="Q94" s="83">
        <f>'Conditions of people affected'!Q95</f>
        <v>4</v>
      </c>
      <c r="R94" s="54">
        <f t="shared" si="11"/>
        <v>3.7</v>
      </c>
      <c r="S94" s="54">
        <f>'Complexity of the crisis'!X95</f>
        <v>3.4</v>
      </c>
      <c r="T94" s="54">
        <f>'Complexity of the crisis'!AN95</f>
        <v>4</v>
      </c>
      <c r="U94" s="159" t="str">
        <f>VLOOKUP(C94,Lists!$C$3:$E$167,3,FALSE)</f>
        <v>Asia</v>
      </c>
      <c r="V94" s="160">
        <v>44132</v>
      </c>
    </row>
    <row r="95" spans="1:22" x14ac:dyDescent="0.3">
      <c r="A95" s="81" t="str">
        <f>'Crisis Indicator Data'!A93</f>
        <v>Kachin and Shan Conflict</v>
      </c>
      <c r="B95" s="56" t="str">
        <f>Lists!G93</f>
        <v>Kachin and Shan conflict</v>
      </c>
      <c r="C95" s="81" t="str">
        <f>'Crisis Indicator Data'!C93</f>
        <v>MMR003</v>
      </c>
      <c r="D95" s="81" t="str">
        <f>'Crisis Indicator Data'!D93</f>
        <v>Myanmar</v>
      </c>
      <c r="E95" s="81" t="str">
        <f>'Crisis Indicator Data'!E93</f>
        <v>MMR</v>
      </c>
      <c r="F95" s="81" t="str">
        <f>'Crisis Indicator Data'!B93</f>
        <v>Conflict</v>
      </c>
      <c r="G95" s="53">
        <f t="shared" si="9"/>
        <v>2.6</v>
      </c>
      <c r="H95" s="82">
        <f t="shared" si="7"/>
        <v>3</v>
      </c>
      <c r="I95" s="151" t="str">
        <f t="shared" si="8"/>
        <v>Medium</v>
      </c>
      <c r="J95" s="153" t="str">
        <f>INDEX(Trends!$D$3:$D$400,MATCH(C95,Trends!$C$3:$C$400,0))</f>
        <v>Stable</v>
      </c>
      <c r="K95" s="143" t="str">
        <f>IF(Reliability!B93="x","x",(IF(ROUNDUP(Reliability!B93,0)=1,"Very High",IF(ROUNDUP(Reliability!B93,0)=2,"High",IF(ROUNDUP(Reliability!B93,0)=3,"Medium",IF(ROUNDUP(Reliability!B93,0)=4,"Low","Very Low"))))))</f>
        <v>High</v>
      </c>
      <c r="L95" s="55">
        <f t="shared" si="10"/>
        <v>2.4</v>
      </c>
      <c r="M95" s="83">
        <f>'Impact of the crisis'!N96</f>
        <v>2.2999999999999998</v>
      </c>
      <c r="N95" s="83">
        <f>'Impact of the crisis'!AB96</f>
        <v>2.5</v>
      </c>
      <c r="O95" s="55">
        <f>'Conditions of people affected'!R96</f>
        <v>2.1</v>
      </c>
      <c r="P95" s="83">
        <f>'Conditions of people affected'!K96</f>
        <v>2.2000000000000002</v>
      </c>
      <c r="Q95" s="83">
        <f>'Conditions of people affected'!Q96</f>
        <v>2</v>
      </c>
      <c r="R95" s="54">
        <f t="shared" si="11"/>
        <v>3.5</v>
      </c>
      <c r="S95" s="54">
        <f>'Complexity of the crisis'!X96</f>
        <v>3.4</v>
      </c>
      <c r="T95" s="54">
        <f>'Complexity of the crisis'!AN96</f>
        <v>3.5</v>
      </c>
      <c r="U95" s="159" t="str">
        <f>VLOOKUP(C95,Lists!$C$3:$E$167,3,FALSE)</f>
        <v>Asia</v>
      </c>
      <c r="V95" s="160">
        <v>44132</v>
      </c>
    </row>
    <row r="96" spans="1:22" x14ac:dyDescent="0.3">
      <c r="A96" s="81" t="str">
        <f>'Crisis Indicator Data'!A94</f>
        <v>Food Security Crisis in Namibia</v>
      </c>
      <c r="B96" s="56" t="str">
        <f>Lists!G94</f>
        <v>Food Security Crisis in Namibia</v>
      </c>
      <c r="C96" s="81" t="str">
        <f>'Crisis Indicator Data'!C94</f>
        <v>NAM002</v>
      </c>
      <c r="D96" s="81" t="str">
        <f>'Crisis Indicator Data'!D94</f>
        <v>Namibia</v>
      </c>
      <c r="E96" s="81" t="str">
        <f>'Crisis Indicator Data'!E94</f>
        <v>NAM</v>
      </c>
      <c r="F96" s="81" t="str">
        <f>'Crisis Indicator Data'!B94</f>
        <v>Food Security</v>
      </c>
      <c r="G96" s="53">
        <f t="shared" si="9"/>
        <v>2</v>
      </c>
      <c r="H96" s="82">
        <f t="shared" si="7"/>
        <v>2</v>
      </c>
      <c r="I96" s="151" t="str">
        <f t="shared" si="8"/>
        <v>Low</v>
      </c>
      <c r="J96" s="153" t="str">
        <f>INDEX(Trends!$D$3:$D$400,MATCH(C96,Trends!$C$3:$C$400,0))</f>
        <v>Decreasing</v>
      </c>
      <c r="K96" s="143" t="str">
        <f>IF(Reliability!B94="x","x",(IF(ROUNDUP(Reliability!B94,0)=1,"Very High",IF(ROUNDUP(Reliability!B94,0)=2,"High",IF(ROUNDUP(Reliability!B94,0)=3,"Medium",IF(ROUNDUP(Reliability!B94,0)=4,"Low","Very Low"))))))</f>
        <v>Medium</v>
      </c>
      <c r="L96" s="55">
        <f t="shared" si="10"/>
        <v>1.5</v>
      </c>
      <c r="M96" s="83">
        <f>'Impact of the crisis'!N97</f>
        <v>1.6</v>
      </c>
      <c r="N96" s="83">
        <f>'Impact of the crisis'!AB97</f>
        <v>1.4</v>
      </c>
      <c r="O96" s="55">
        <f>'Conditions of people affected'!R97</f>
        <v>2.85</v>
      </c>
      <c r="P96" s="83">
        <f>'Conditions of people affected'!K97</f>
        <v>2.7</v>
      </c>
      <c r="Q96" s="83">
        <f>'Conditions of people affected'!Q97</f>
        <v>3</v>
      </c>
      <c r="R96" s="54">
        <f t="shared" si="11"/>
        <v>1</v>
      </c>
      <c r="S96" s="54">
        <f>'Complexity of the crisis'!X97</f>
        <v>1.5</v>
      </c>
      <c r="T96" s="54">
        <f>'Complexity of the crisis'!AN97</f>
        <v>0.5</v>
      </c>
      <c r="U96" s="159" t="str">
        <f>VLOOKUP(C96,Lists!$C$3:$E$167,3,FALSE)</f>
        <v>Africa</v>
      </c>
      <c r="V96" s="160">
        <v>44134</v>
      </c>
    </row>
    <row r="97" spans="1:22" x14ac:dyDescent="0.3">
      <c r="A97" s="81" t="str">
        <f>'Crisis Indicator Data'!A95</f>
        <v>Socioeconomic crisis in Nicaragua</v>
      </c>
      <c r="B97" s="56" t="str">
        <f>Lists!G95</f>
        <v>Socioeconomic crisis</v>
      </c>
      <c r="C97" s="81" t="str">
        <f>'Crisis Indicator Data'!C95</f>
        <v>NIC001</v>
      </c>
      <c r="D97" s="81" t="str">
        <f>'Crisis Indicator Data'!D95</f>
        <v>Nicaragua</v>
      </c>
      <c r="E97" s="81" t="str">
        <f>'Crisis Indicator Data'!E95</f>
        <v>NIC</v>
      </c>
      <c r="F97" s="81" t="str">
        <f>'Crisis Indicator Data'!B95</f>
        <v>Political and economic crisis</v>
      </c>
      <c r="G97" s="53" t="str">
        <f t="shared" si="9"/>
        <v>x</v>
      </c>
      <c r="H97" s="82" t="str">
        <f t="shared" si="7"/>
        <v>x</v>
      </c>
      <c r="I97" s="151" t="str">
        <f t="shared" si="8"/>
        <v>x</v>
      </c>
      <c r="J97" s="153" t="str">
        <f>INDEX(Trends!$D$3:$D$400,MATCH(C97,Trends!$C$3:$C$400,0))</f>
        <v>-</v>
      </c>
      <c r="K97" s="143" t="str">
        <f>IF(Reliability!B95="x","x",(IF(ROUNDUP(Reliability!B95,0)=1,"Very High",IF(ROUNDUP(Reliability!B95,0)=2,"High",IF(ROUNDUP(Reliability!B95,0)=3,"Medium",IF(ROUNDUP(Reliability!B95,0)=4,"Low","Very Low"))))))</f>
        <v>Low</v>
      </c>
      <c r="L97" s="55">
        <f t="shared" si="10"/>
        <v>2.9</v>
      </c>
      <c r="M97" s="83">
        <f>'Impact of the crisis'!N98</f>
        <v>4.0999999999999996</v>
      </c>
      <c r="N97" s="83">
        <f>'Impact of the crisis'!AB98</f>
        <v>2</v>
      </c>
      <c r="O97" s="55" t="str">
        <f>'Conditions of people affected'!R98</f>
        <v>x</v>
      </c>
      <c r="P97" s="83" t="str">
        <f>'Conditions of people affected'!K98</f>
        <v>x</v>
      </c>
      <c r="Q97" s="83" t="str">
        <f>'Conditions of people affected'!Q98</f>
        <v>x</v>
      </c>
      <c r="R97" s="54">
        <f t="shared" si="11"/>
        <v>2.1</v>
      </c>
      <c r="S97" s="54">
        <f>'Complexity of the crisis'!X98</f>
        <v>2.7</v>
      </c>
      <c r="T97" s="54">
        <f>'Complexity of the crisis'!AN98</f>
        <v>1.5</v>
      </c>
      <c r="U97" s="159" t="str">
        <f>VLOOKUP(C97,Lists!$C$3:$E$167,3,FALSE)</f>
        <v>Americas</v>
      </c>
      <c r="V97" s="160">
        <v>44110</v>
      </c>
    </row>
    <row r="98" spans="1:22" x14ac:dyDescent="0.3">
      <c r="A98" s="81" t="str">
        <f>'Crisis Indicator Data'!A96</f>
        <v>Multiple crises in Niger</v>
      </c>
      <c r="B98" s="56" t="str">
        <f>Lists!G96</f>
        <v>Country level</v>
      </c>
      <c r="C98" s="81" t="str">
        <f>'Crisis Indicator Data'!C96</f>
        <v>NER001</v>
      </c>
      <c r="D98" s="81" t="str">
        <f>'Crisis Indicator Data'!D96</f>
        <v>Niger</v>
      </c>
      <c r="E98" s="81" t="str">
        <f>'Crisis Indicator Data'!E96</f>
        <v>NER</v>
      </c>
      <c r="F98" s="81" t="str">
        <f>'Crisis Indicator Data'!B96</f>
        <v>Multiple crises country</v>
      </c>
      <c r="G98" s="53">
        <f t="shared" si="9"/>
        <v>3.8</v>
      </c>
      <c r="H98" s="82">
        <f t="shared" si="7"/>
        <v>4</v>
      </c>
      <c r="I98" s="151" t="str">
        <f t="shared" si="8"/>
        <v>High</v>
      </c>
      <c r="J98" s="153" t="str">
        <f>INDEX(Trends!$D$3:$D$400,MATCH(C98,Trends!$C$3:$C$400,0))</f>
        <v>Increasing</v>
      </c>
      <c r="K98" s="143" t="str">
        <f>IF(Reliability!B96="x","x",(IF(ROUNDUP(Reliability!B96,0)=1,"Very High",IF(ROUNDUP(Reliability!B96,0)=2,"High",IF(ROUNDUP(Reliability!B96,0)=3,"Medium",IF(ROUNDUP(Reliability!B96,0)=4,"Low","Very Low"))))))</f>
        <v>High</v>
      </c>
      <c r="L98" s="55">
        <f t="shared" si="10"/>
        <v>4.4000000000000004</v>
      </c>
      <c r="M98" s="83">
        <f>'Impact of the crisis'!N99</f>
        <v>4.9000000000000004</v>
      </c>
      <c r="N98" s="83">
        <f>'Impact of the crisis'!AB99</f>
        <v>4</v>
      </c>
      <c r="O98" s="55">
        <f>'Conditions of people affected'!R99</f>
        <v>3.65</v>
      </c>
      <c r="P98" s="83">
        <f>'Conditions of people affected'!K99</f>
        <v>4.3</v>
      </c>
      <c r="Q98" s="83">
        <f>'Conditions of people affected'!Q99</f>
        <v>3</v>
      </c>
      <c r="R98" s="54">
        <f t="shared" si="11"/>
        <v>3.4</v>
      </c>
      <c r="S98" s="54">
        <f>'Complexity of the crisis'!X99</f>
        <v>2.7</v>
      </c>
      <c r="T98" s="54">
        <f>'Complexity of the crisis'!AN99</f>
        <v>4</v>
      </c>
      <c r="U98" s="159" t="str">
        <f>VLOOKUP(C98,Lists!$C$3:$E$167,3,FALSE)</f>
        <v>Africa</v>
      </c>
      <c r="V98" s="160">
        <v>44139</v>
      </c>
    </row>
    <row r="99" spans="1:22" x14ac:dyDescent="0.3">
      <c r="A99" s="81" t="str">
        <f>'Crisis Indicator Data'!A97</f>
        <v>Boko Haram in Niger</v>
      </c>
      <c r="B99" s="56" t="str">
        <f>Lists!G97</f>
        <v>Boko Haram</v>
      </c>
      <c r="C99" s="81" t="str">
        <f>'Crisis Indicator Data'!C97</f>
        <v>NER002</v>
      </c>
      <c r="D99" s="81" t="str">
        <f>'Crisis Indicator Data'!D97</f>
        <v>Niger</v>
      </c>
      <c r="E99" s="81" t="str">
        <f>'Crisis Indicator Data'!E97</f>
        <v>NER</v>
      </c>
      <c r="F99" s="81" t="str">
        <f>'Crisis Indicator Data'!B97</f>
        <v>Conflict</v>
      </c>
      <c r="G99" s="53">
        <f t="shared" si="9"/>
        <v>3.4</v>
      </c>
      <c r="H99" s="82">
        <f t="shared" si="7"/>
        <v>4</v>
      </c>
      <c r="I99" s="151" t="str">
        <f t="shared" si="8"/>
        <v>High</v>
      </c>
      <c r="J99" s="153" t="str">
        <f>INDEX(Trends!$D$3:$D$400,MATCH(C99,Trends!$C$3:$C$400,0))</f>
        <v>Stable</v>
      </c>
      <c r="K99" s="143" t="str">
        <f>IF(Reliability!B97="x","x",(IF(ROUNDUP(Reliability!B97,0)=1,"Very High",IF(ROUNDUP(Reliability!B97,0)=2,"High",IF(ROUNDUP(Reliability!B97,0)=3,"Medium",IF(ROUNDUP(Reliability!B97,0)=4,"Low","Very Low"))))))</f>
        <v>High</v>
      </c>
      <c r="L99" s="55">
        <f t="shared" si="10"/>
        <v>3.2</v>
      </c>
      <c r="M99" s="83">
        <f>'Impact of the crisis'!N100</f>
        <v>1.2</v>
      </c>
      <c r="N99" s="83">
        <f>'Impact of the crisis'!AB100</f>
        <v>3.9</v>
      </c>
      <c r="O99" s="55">
        <f>'Conditions of people affected'!R100</f>
        <v>3.45</v>
      </c>
      <c r="P99" s="83">
        <f>'Conditions of people affected'!K100</f>
        <v>2.9</v>
      </c>
      <c r="Q99" s="83">
        <f>'Conditions of people affected'!Q100</f>
        <v>4</v>
      </c>
      <c r="R99" s="54">
        <f t="shared" si="11"/>
        <v>3.4</v>
      </c>
      <c r="S99" s="54">
        <f>'Complexity of the crisis'!X100</f>
        <v>2.7</v>
      </c>
      <c r="T99" s="54">
        <f>'Complexity of the crisis'!AN100</f>
        <v>4</v>
      </c>
      <c r="U99" s="159" t="str">
        <f>VLOOKUP(C99,Lists!$C$3:$E$167,3,FALSE)</f>
        <v>Africa</v>
      </c>
      <c r="V99" s="160">
        <v>44139</v>
      </c>
    </row>
    <row r="100" spans="1:22" x14ac:dyDescent="0.3">
      <c r="A100" s="81" t="str">
        <f>'Crisis Indicator Data'!A98</f>
        <v>Mali/Burkina Faso conflict</v>
      </c>
      <c r="B100" s="56" t="str">
        <f>Lists!G98</f>
        <v xml:space="preserve">Cross-border violence </v>
      </c>
      <c r="C100" s="81" t="str">
        <f>'Crisis Indicator Data'!C98</f>
        <v>NER003</v>
      </c>
      <c r="D100" s="81" t="str">
        <f>'Crisis Indicator Data'!D98</f>
        <v>Niger</v>
      </c>
      <c r="E100" s="81" t="str">
        <f>'Crisis Indicator Data'!E98</f>
        <v>NER</v>
      </c>
      <c r="F100" s="81" t="str">
        <f>'Crisis Indicator Data'!B98</f>
        <v>Conflict</v>
      </c>
      <c r="G100" s="53">
        <f t="shared" si="9"/>
        <v>3.2</v>
      </c>
      <c r="H100" s="82">
        <f t="shared" si="7"/>
        <v>4</v>
      </c>
      <c r="I100" s="151" t="str">
        <f t="shared" si="8"/>
        <v>High</v>
      </c>
      <c r="J100" s="153" t="str">
        <f>INDEX(Trends!$D$3:$D$400,MATCH(C100,Trends!$C$3:$C$400,0))</f>
        <v>Stable</v>
      </c>
      <c r="K100" s="143" t="str">
        <f>IF(Reliability!B98="x","x",(IF(ROUNDUP(Reliability!B98,0)=1,"Very High",IF(ROUNDUP(Reliability!B98,0)=2,"High",IF(ROUNDUP(Reliability!B98,0)=3,"Medium",IF(ROUNDUP(Reliability!B98,0)=4,"Low","Very Low"))))))</f>
        <v>High</v>
      </c>
      <c r="L100" s="55">
        <f t="shared" si="10"/>
        <v>2.9</v>
      </c>
      <c r="M100" s="83">
        <f>'Impact of the crisis'!N101</f>
        <v>2.2999999999999998</v>
      </c>
      <c r="N100" s="83">
        <f>'Impact of the crisis'!AB101</f>
        <v>3.1</v>
      </c>
      <c r="O100" s="55">
        <f>'Conditions of people affected'!R101</f>
        <v>3.15</v>
      </c>
      <c r="P100" s="83">
        <f>'Conditions of people affected'!K101</f>
        <v>3.3</v>
      </c>
      <c r="Q100" s="83">
        <f>'Conditions of people affected'!Q101</f>
        <v>3</v>
      </c>
      <c r="R100" s="54">
        <f t="shared" si="11"/>
        <v>3.4</v>
      </c>
      <c r="S100" s="54">
        <f>'Complexity of the crisis'!X101</f>
        <v>2.7</v>
      </c>
      <c r="T100" s="54">
        <f>'Complexity of the crisis'!AN101</f>
        <v>4</v>
      </c>
      <c r="U100" s="159" t="str">
        <f>VLOOKUP(C100,Lists!$C$3:$E$167,3,FALSE)</f>
        <v>Africa</v>
      </c>
      <c r="V100" s="160">
        <v>44139</v>
      </c>
    </row>
    <row r="101" spans="1:22" x14ac:dyDescent="0.3">
      <c r="A101" s="81" t="str">
        <f>'Crisis Indicator Data'!A99</f>
        <v>Nigerian Refugees</v>
      </c>
      <c r="B101" s="56" t="str">
        <f>Lists!G99</f>
        <v>Nigerian Refugees</v>
      </c>
      <c r="C101" s="81" t="str">
        <f>'Crisis Indicator Data'!C99</f>
        <v>NER004</v>
      </c>
      <c r="D101" s="81" t="str">
        <f>'Crisis Indicator Data'!D99</f>
        <v>Niger</v>
      </c>
      <c r="E101" s="81" t="str">
        <f>'Crisis Indicator Data'!E99</f>
        <v>NER</v>
      </c>
      <c r="F101" s="81" t="str">
        <f>'Crisis Indicator Data'!B99</f>
        <v>International displacement</v>
      </c>
      <c r="G101" s="53">
        <f t="shared" si="9"/>
        <v>2.5</v>
      </c>
      <c r="H101" s="82">
        <f t="shared" ref="H101:H132" si="12">IF(G101="x","x",ROUNDUP(G101,0))</f>
        <v>3</v>
      </c>
      <c r="I101" s="151" t="str">
        <f t="shared" ref="I101:I132" si="13">IF(O101="x","x",IF(L101="x","x",(IF(H101=5,"Very High",IF(H101=4,"High",IF(H101=3,"Medium",IF(H101=2,"Low","Very Low")))))))</f>
        <v>Medium</v>
      </c>
      <c r="J101" s="153" t="str">
        <f>INDEX(Trends!$D$3:$D$400,MATCH(C101,Trends!$C$3:$C$400,0))</f>
        <v>Decreasing</v>
      </c>
      <c r="K101" s="143" t="str">
        <f>IF(Reliability!B99="x","x",(IF(ROUNDUP(Reliability!B99,0)=1,"Very High",IF(ROUNDUP(Reliability!B99,0)=2,"High",IF(ROUNDUP(Reliability!B99,0)=3,"Medium",IF(ROUNDUP(Reliability!B99,0)=4,"Low","Very Low"))))))</f>
        <v>High</v>
      </c>
      <c r="L101" s="55">
        <f t="shared" si="10"/>
        <v>1.5</v>
      </c>
      <c r="M101" s="83">
        <f>'Impact of the crisis'!N102</f>
        <v>0.3</v>
      </c>
      <c r="N101" s="83">
        <f>'Impact of the crisis'!AB102</f>
        <v>2</v>
      </c>
      <c r="O101" s="55">
        <f>'Conditions of people affected'!R102</f>
        <v>2.9</v>
      </c>
      <c r="P101" s="83">
        <f>'Conditions of people affected'!K102</f>
        <v>1.8</v>
      </c>
      <c r="Q101" s="83">
        <f>'Conditions of people affected'!Q102</f>
        <v>4</v>
      </c>
      <c r="R101" s="54">
        <f t="shared" si="11"/>
        <v>2.4</v>
      </c>
      <c r="S101" s="54">
        <f>'Complexity of the crisis'!X102</f>
        <v>2.7</v>
      </c>
      <c r="T101" s="54">
        <f>'Complexity of the crisis'!AN102</f>
        <v>2</v>
      </c>
      <c r="U101" s="159" t="str">
        <f>VLOOKUP(C101,Lists!$C$3:$E$167,3,FALSE)</f>
        <v>Africa</v>
      </c>
      <c r="V101" s="160">
        <v>44139</v>
      </c>
    </row>
    <row r="102" spans="1:22" x14ac:dyDescent="0.3">
      <c r="A102" s="81" t="str">
        <f>'Crisis Indicator Data'!A100</f>
        <v>Floods in Niger</v>
      </c>
      <c r="B102" s="56" t="str">
        <f>Lists!G100</f>
        <v>Floods</v>
      </c>
      <c r="C102" s="81" t="str">
        <f>'Crisis Indicator Data'!C100</f>
        <v>NER005</v>
      </c>
      <c r="D102" s="81" t="str">
        <f>'Crisis Indicator Data'!D100</f>
        <v>Niger</v>
      </c>
      <c r="E102" s="81" t="str">
        <f>'Crisis Indicator Data'!E100</f>
        <v>NER</v>
      </c>
      <c r="F102" s="81" t="str">
        <f>'Crisis Indicator Data'!B100</f>
        <v>Flood</v>
      </c>
      <c r="G102" s="53">
        <f t="shared" si="9"/>
        <v>2.9</v>
      </c>
      <c r="H102" s="82">
        <f t="shared" si="12"/>
        <v>3</v>
      </c>
      <c r="I102" s="151" t="str">
        <f t="shared" si="13"/>
        <v>Medium</v>
      </c>
      <c r="J102" s="153" t="str">
        <f>INDEX(Trends!$D$3:$D$400,MATCH(C102,Trends!$C$3:$C$400,0))</f>
        <v>-</v>
      </c>
      <c r="K102" s="143" t="str">
        <f>IF(Reliability!B100="x","x",(IF(ROUNDUP(Reliability!B100,0)=1,"Very High",IF(ROUNDUP(Reliability!B100,0)=2,"High",IF(ROUNDUP(Reliability!B100,0)=3,"Medium",IF(ROUNDUP(Reliability!B100,0)=4,"Low","Very Low"))))))</f>
        <v>High</v>
      </c>
      <c r="L102" s="55">
        <f t="shared" si="10"/>
        <v>3.7</v>
      </c>
      <c r="M102" s="83">
        <f>'Impact of the crisis'!N103</f>
        <v>4.9000000000000004</v>
      </c>
      <c r="N102" s="83">
        <f>'Impact of the crisis'!AB103</f>
        <v>2.7</v>
      </c>
      <c r="O102" s="55">
        <f>'Conditions of people affected'!R103</f>
        <v>1.95</v>
      </c>
      <c r="P102" s="83">
        <f>'Conditions of people affected'!K103</f>
        <v>2.9</v>
      </c>
      <c r="Q102" s="83">
        <f>'Conditions of people affected'!Q103</f>
        <v>1</v>
      </c>
      <c r="R102" s="54">
        <f t="shared" si="11"/>
        <v>3.4</v>
      </c>
      <c r="S102" s="54">
        <f>'Complexity of the crisis'!X103</f>
        <v>2.7</v>
      </c>
      <c r="T102" s="54">
        <f>'Complexity of the crisis'!AN103</f>
        <v>4</v>
      </c>
      <c r="U102" s="159" t="str">
        <f>VLOOKUP(C102,Lists!$C$3:$E$167,3,FALSE)</f>
        <v>Africa</v>
      </c>
      <c r="V102" s="160">
        <v>44139</v>
      </c>
    </row>
    <row r="103" spans="1:22" x14ac:dyDescent="0.3">
      <c r="A103" s="81" t="str">
        <f>'Crisis Indicator Data'!A101</f>
        <v>Complex crisis in Nigeria</v>
      </c>
      <c r="B103" s="56" t="str">
        <f>Lists!G101</f>
        <v>Complex crisis</v>
      </c>
      <c r="C103" s="81" t="str">
        <f>'Crisis Indicator Data'!C101</f>
        <v>NGA001</v>
      </c>
      <c r="D103" s="81" t="str">
        <f>'Crisis Indicator Data'!D101</f>
        <v>Nigeria</v>
      </c>
      <c r="E103" s="81" t="str">
        <f>'Crisis Indicator Data'!E101</f>
        <v>NGA</v>
      </c>
      <c r="F103" s="81" t="str">
        <f>'Crisis Indicator Data'!B101</f>
        <v>Complex crisis</v>
      </c>
      <c r="G103" s="53">
        <f t="shared" si="9"/>
        <v>4.2</v>
      </c>
      <c r="H103" s="82">
        <f t="shared" si="12"/>
        <v>5</v>
      </c>
      <c r="I103" s="151" t="str">
        <f t="shared" si="13"/>
        <v>Very High</v>
      </c>
      <c r="J103" s="153" t="str">
        <f>INDEX(Trends!$D$3:$D$400,MATCH(C103,Trends!$C$3:$C$400,0))</f>
        <v>Stable</v>
      </c>
      <c r="K103" s="143" t="str">
        <f>IF(Reliability!B101="x","x",(IF(ROUNDUP(Reliability!B101,0)=1,"Very High",IF(ROUNDUP(Reliability!B101,0)=2,"High",IF(ROUNDUP(Reliability!B101,0)=3,"Medium",IF(ROUNDUP(Reliability!B101,0)=4,"Low","Very Low"))))))</f>
        <v>High</v>
      </c>
      <c r="L103" s="55">
        <f t="shared" si="10"/>
        <v>4.0999999999999996</v>
      </c>
      <c r="M103" s="83">
        <f>'Impact of the crisis'!N104</f>
        <v>4.3</v>
      </c>
      <c r="N103" s="83">
        <f>'Impact of the crisis'!AB104</f>
        <v>4</v>
      </c>
      <c r="O103" s="55">
        <f>'Conditions of people affected'!R104</f>
        <v>4.3</v>
      </c>
      <c r="P103" s="83">
        <f>'Conditions of people affected'!K104</f>
        <v>4.5999999999999996</v>
      </c>
      <c r="Q103" s="83">
        <f>'Conditions of people affected'!Q104</f>
        <v>4</v>
      </c>
      <c r="R103" s="54">
        <f t="shared" si="11"/>
        <v>4.0999999999999996</v>
      </c>
      <c r="S103" s="54">
        <f>'Complexity of the crisis'!X104</f>
        <v>3.5</v>
      </c>
      <c r="T103" s="54">
        <f>'Complexity of the crisis'!AN104</f>
        <v>4.5</v>
      </c>
      <c r="U103" s="159" t="str">
        <f>VLOOKUP(C103,Lists!$C$3:$E$167,3,FALSE)</f>
        <v>Africa</v>
      </c>
      <c r="V103" s="160">
        <v>44134</v>
      </c>
    </row>
    <row r="104" spans="1:22" x14ac:dyDescent="0.3">
      <c r="A104" s="81" t="str">
        <f>'Crisis Indicator Data'!A102</f>
        <v>Middle belt conflict</v>
      </c>
      <c r="B104" s="56" t="str">
        <f>Lists!G102</f>
        <v>Middle Belt</v>
      </c>
      <c r="C104" s="81" t="str">
        <f>'Crisis Indicator Data'!C102</f>
        <v>NGA003</v>
      </c>
      <c r="D104" s="81" t="str">
        <f>'Crisis Indicator Data'!D102</f>
        <v>Nigeria</v>
      </c>
      <c r="E104" s="81" t="str">
        <f>'Crisis Indicator Data'!E102</f>
        <v>NGA</v>
      </c>
      <c r="F104" s="81" t="str">
        <f>'Crisis Indicator Data'!B102</f>
        <v>Conflict</v>
      </c>
      <c r="G104" s="53" t="str">
        <f t="shared" si="9"/>
        <v>x</v>
      </c>
      <c r="H104" s="82" t="str">
        <f t="shared" si="12"/>
        <v>x</v>
      </c>
      <c r="I104" s="151" t="str">
        <f t="shared" si="13"/>
        <v>x</v>
      </c>
      <c r="J104" s="153" t="str">
        <f>INDEX(Trends!$D$3:$D$400,MATCH(C104,Trends!$C$3:$C$400,0))</f>
        <v>-</v>
      </c>
      <c r="K104" s="143" t="str">
        <f>IF(Reliability!B102="x","x",(IF(ROUNDUP(Reliability!B102,0)=1,"Very High",IF(ROUNDUP(Reliability!B102,0)=2,"High",IF(ROUNDUP(Reliability!B102,0)=3,"Medium",IF(ROUNDUP(Reliability!B102,0)=4,"Low","Very Low"))))))</f>
        <v>Very Low</v>
      </c>
      <c r="L104" s="55">
        <f t="shared" si="10"/>
        <v>3.1</v>
      </c>
      <c r="M104" s="83">
        <f>'Impact of the crisis'!N105</f>
        <v>3.4</v>
      </c>
      <c r="N104" s="83">
        <f>'Impact of the crisis'!AB105</f>
        <v>3</v>
      </c>
      <c r="O104" s="55" t="str">
        <f>'Conditions of people affected'!R105</f>
        <v>x</v>
      </c>
      <c r="P104" s="83" t="str">
        <f>'Conditions of people affected'!K105</f>
        <v>x</v>
      </c>
      <c r="Q104" s="83" t="str">
        <f>'Conditions of people affected'!Q105</f>
        <v>x</v>
      </c>
      <c r="R104" s="54">
        <f t="shared" si="11"/>
        <v>3.5</v>
      </c>
      <c r="S104" s="54">
        <f>'Complexity of the crisis'!X105</f>
        <v>3.5</v>
      </c>
      <c r="T104" s="54">
        <f>'Complexity of the crisis'!AN105</f>
        <v>3.5</v>
      </c>
      <c r="U104" s="159" t="str">
        <f>VLOOKUP(C104,Lists!$C$3:$E$167,3,FALSE)</f>
        <v>Africa</v>
      </c>
      <c r="V104" s="160">
        <v>44109</v>
      </c>
    </row>
    <row r="105" spans="1:22" x14ac:dyDescent="0.3">
      <c r="A105" s="81" t="str">
        <f>'Crisis Indicator Data'!A103</f>
        <v>Boko Haram crisis in Nigeria</v>
      </c>
      <c r="B105" s="56" t="str">
        <f>Lists!G103</f>
        <v xml:space="preserve">Boko Haram </v>
      </c>
      <c r="C105" s="81" t="str">
        <f>'Crisis Indicator Data'!C103</f>
        <v>NGA004</v>
      </c>
      <c r="D105" s="81" t="str">
        <f>'Crisis Indicator Data'!D103</f>
        <v>Nigeria</v>
      </c>
      <c r="E105" s="81" t="str">
        <f>'Crisis Indicator Data'!E103</f>
        <v>NGA</v>
      </c>
      <c r="F105" s="81" t="str">
        <f>'Crisis Indicator Data'!B103</f>
        <v>Conflict</v>
      </c>
      <c r="G105" s="53">
        <f t="shared" si="9"/>
        <v>4</v>
      </c>
      <c r="H105" s="82">
        <f t="shared" si="12"/>
        <v>4</v>
      </c>
      <c r="I105" s="151" t="str">
        <f t="shared" si="13"/>
        <v>High</v>
      </c>
      <c r="J105" s="153" t="str">
        <f>INDEX(Trends!$D$3:$D$400,MATCH(C105,Trends!$C$3:$C$400,0))</f>
        <v>Stable</v>
      </c>
      <c r="K105" s="143" t="str">
        <f>IF(Reliability!B103="x","x",(IF(ROUNDUP(Reliability!B103,0)=1,"Very High",IF(ROUNDUP(Reliability!B103,0)=2,"High",IF(ROUNDUP(Reliability!B103,0)=3,"Medium",IF(ROUNDUP(Reliability!B103,0)=4,"Low","Very Low"))))))</f>
        <v>Medium</v>
      </c>
      <c r="L105" s="55">
        <f t="shared" si="10"/>
        <v>3.9</v>
      </c>
      <c r="M105" s="83">
        <f>'Impact of the crisis'!N106</f>
        <v>1.9</v>
      </c>
      <c r="N105" s="83">
        <f>'Impact of the crisis'!AB106</f>
        <v>4.5</v>
      </c>
      <c r="O105" s="55">
        <f>'Conditions of people affected'!R106</f>
        <v>4.25</v>
      </c>
      <c r="P105" s="83">
        <f>'Conditions of people affected'!K106</f>
        <v>4.5</v>
      </c>
      <c r="Q105" s="83">
        <f>'Conditions of people affected'!Q106</f>
        <v>4</v>
      </c>
      <c r="R105" s="54">
        <f t="shared" si="11"/>
        <v>3.8</v>
      </c>
      <c r="S105" s="54">
        <f>'Complexity of the crisis'!X106</f>
        <v>3.5</v>
      </c>
      <c r="T105" s="54">
        <f>'Complexity of the crisis'!AN106</f>
        <v>4</v>
      </c>
      <c r="U105" s="159" t="str">
        <f>VLOOKUP(C105,Lists!$C$3:$E$167,3,FALSE)</f>
        <v>Africa</v>
      </c>
      <c r="V105" s="160">
        <v>44134</v>
      </c>
    </row>
    <row r="106" spans="1:22" x14ac:dyDescent="0.3">
      <c r="A106" s="81" t="str">
        <f>'Crisis Indicator Data'!A104</f>
        <v>Northwest Banditry</v>
      </c>
      <c r="B106" s="56" t="str">
        <f>Lists!G104</f>
        <v>Northwest Banditry</v>
      </c>
      <c r="C106" s="81" t="str">
        <f>'Crisis Indicator Data'!C104</f>
        <v>NGA007</v>
      </c>
      <c r="D106" s="81" t="str">
        <f>'Crisis Indicator Data'!D104</f>
        <v>Nigeria</v>
      </c>
      <c r="E106" s="81" t="str">
        <f>'Crisis Indicator Data'!E104</f>
        <v>NGA</v>
      </c>
      <c r="F106" s="81" t="str">
        <f>'Crisis Indicator Data'!B104</f>
        <v>Other type of violence</v>
      </c>
      <c r="G106" s="53">
        <f t="shared" si="9"/>
        <v>2.5</v>
      </c>
      <c r="H106" s="82">
        <f t="shared" si="12"/>
        <v>3</v>
      </c>
      <c r="I106" s="151" t="str">
        <f t="shared" si="13"/>
        <v>Medium</v>
      </c>
      <c r="J106" s="153" t="str">
        <f>INDEX(Trends!$D$3:$D$400,MATCH(C106,Trends!$C$3:$C$400,0))</f>
        <v>Decreasing</v>
      </c>
      <c r="K106" s="143" t="str">
        <f>IF(Reliability!B104="x","x",(IF(ROUNDUP(Reliability!B104,0)=1,"Very High",IF(ROUNDUP(Reliability!B104,0)=2,"High",IF(ROUNDUP(Reliability!B104,0)=3,"Medium",IF(ROUNDUP(Reliability!B104,0)=4,"Low","Very Low"))))))</f>
        <v>High</v>
      </c>
      <c r="L106" s="55">
        <f t="shared" si="10"/>
        <v>3</v>
      </c>
      <c r="M106" s="83">
        <f>'Impact of the crisis'!N107</f>
        <v>2.7</v>
      </c>
      <c r="N106" s="83">
        <f>'Impact of the crisis'!AB107</f>
        <v>3.2</v>
      </c>
      <c r="O106" s="55">
        <f>'Conditions of people affected'!R107</f>
        <v>1.75</v>
      </c>
      <c r="P106" s="83">
        <f>'Conditions of people affected'!K107</f>
        <v>2.5</v>
      </c>
      <c r="Q106" s="83">
        <f>'Conditions of people affected'!Q107</f>
        <v>1</v>
      </c>
      <c r="R106" s="54">
        <f t="shared" si="11"/>
        <v>3.3</v>
      </c>
      <c r="S106" s="54">
        <f>'Complexity of the crisis'!X107</f>
        <v>3.5</v>
      </c>
      <c r="T106" s="54">
        <f>'Complexity of the crisis'!AN107</f>
        <v>3</v>
      </c>
      <c r="U106" s="159" t="str">
        <f>VLOOKUP(C106,Lists!$C$3:$E$167,3,FALSE)</f>
        <v>Africa</v>
      </c>
      <c r="V106" s="160">
        <v>44134</v>
      </c>
    </row>
    <row r="107" spans="1:22" x14ac:dyDescent="0.3">
      <c r="A107" s="81" t="str">
        <f>'Crisis Indicator Data'!A105</f>
        <v>Cameroonian Refugees in Nigeria</v>
      </c>
      <c r="B107" s="56" t="str">
        <f>Lists!G105</f>
        <v>Cameroonian Refugees in Nigeria</v>
      </c>
      <c r="C107" s="81" t="str">
        <f>'Crisis Indicator Data'!C105</f>
        <v>NGA008</v>
      </c>
      <c r="D107" s="81" t="str">
        <f>'Crisis Indicator Data'!D105</f>
        <v>Nigeria</v>
      </c>
      <c r="E107" s="81" t="str">
        <f>'Crisis Indicator Data'!E105</f>
        <v>NGA</v>
      </c>
      <c r="F107" s="81" t="str">
        <f>'Crisis Indicator Data'!B105</f>
        <v>International displacement</v>
      </c>
      <c r="G107" s="53">
        <f t="shared" si="9"/>
        <v>2.4</v>
      </c>
      <c r="H107" s="82">
        <f t="shared" si="12"/>
        <v>3</v>
      </c>
      <c r="I107" s="151" t="str">
        <f t="shared" si="13"/>
        <v>Medium</v>
      </c>
      <c r="J107" s="153" t="str">
        <f>INDEX(Trends!$D$3:$D$400,MATCH(C107,Trends!$C$3:$C$400,0))</f>
        <v>Decreasing</v>
      </c>
      <c r="K107" s="143" t="str">
        <f>IF(Reliability!B105="x","x",(IF(ROUNDUP(Reliability!B105,0)=1,"Very High",IF(ROUNDUP(Reliability!B105,0)=2,"High",IF(ROUNDUP(Reliability!B105,0)=3,"Medium",IF(ROUNDUP(Reliability!B105,0)=4,"Low","Very Low"))))))</f>
        <v>High</v>
      </c>
      <c r="L107" s="55">
        <f t="shared" si="10"/>
        <v>2.2999999999999998</v>
      </c>
      <c r="M107" s="83">
        <f>'Impact of the crisis'!N108</f>
        <v>2.1</v>
      </c>
      <c r="N107" s="83">
        <f>'Impact of the crisis'!AB108</f>
        <v>2.4</v>
      </c>
      <c r="O107" s="55">
        <f>'Conditions of people affected'!R108</f>
        <v>1.1499999999999999</v>
      </c>
      <c r="P107" s="83">
        <f>'Conditions of people affected'!K108</f>
        <v>1.3</v>
      </c>
      <c r="Q107" s="83">
        <f>'Conditions of people affected'!Q108</f>
        <v>1</v>
      </c>
      <c r="R107" s="54">
        <f t="shared" si="11"/>
        <v>4.4000000000000004</v>
      </c>
      <c r="S107" s="54">
        <f>'Complexity of the crisis'!X108</f>
        <v>3.5</v>
      </c>
      <c r="T107" s="54">
        <f>'Complexity of the crisis'!AN108</f>
        <v>5</v>
      </c>
      <c r="U107" s="159" t="str">
        <f>VLOOKUP(C107,Lists!$C$3:$E$167,3,FALSE)</f>
        <v>Africa</v>
      </c>
      <c r="V107" s="160">
        <v>44134</v>
      </c>
    </row>
    <row r="108" spans="1:22" x14ac:dyDescent="0.3">
      <c r="A108" s="81" t="str">
        <f>'Crisis Indicator Data'!A106</f>
        <v>Regional Boko Haram Crisis</v>
      </c>
      <c r="B108" s="56" t="str">
        <f>Lists!G106</f>
        <v>Regional Boko Haram</v>
      </c>
      <c r="C108" s="81" t="str">
        <f>'Crisis Indicator Data'!C106</f>
        <v>REG001</v>
      </c>
      <c r="D108" s="81" t="str">
        <f>'Crisis Indicator Data'!D106</f>
        <v>Nigeria, Niger, Chad, Cameroon</v>
      </c>
      <c r="E108" s="81" t="str">
        <f>'Crisis Indicator Data'!E106</f>
        <v>NGA, NER, TCD, CMR</v>
      </c>
      <c r="F108" s="81" t="str">
        <f>'Crisis Indicator Data'!B106</f>
        <v>Regional crisis</v>
      </c>
      <c r="G108" s="53">
        <f t="shared" si="9"/>
        <v>4.0999999999999996</v>
      </c>
      <c r="H108" s="82">
        <f t="shared" si="12"/>
        <v>5</v>
      </c>
      <c r="I108" s="151" t="str">
        <f t="shared" si="13"/>
        <v>Very High</v>
      </c>
      <c r="J108" s="153" t="str">
        <f>INDEX(Trends!$D$3:$D$400,MATCH(C108,Trends!$C$3:$C$400,0))</f>
        <v>Stable</v>
      </c>
      <c r="K108" s="143" t="str">
        <f>IF(Reliability!B106="x","x",(IF(ROUNDUP(Reliability!B106,0)=1,"Very High",IF(ROUNDUP(Reliability!B106,0)=2,"High",IF(ROUNDUP(Reliability!B106,0)=3,"Medium",IF(ROUNDUP(Reliability!B106,0)=4,"Low","Very Low"))))))</f>
        <v>High</v>
      </c>
      <c r="L108" s="55">
        <f t="shared" si="10"/>
        <v>3.9</v>
      </c>
      <c r="M108" s="83">
        <f>'Impact of the crisis'!N109</f>
        <v>2.2000000000000002</v>
      </c>
      <c r="N108" s="83">
        <f>'Impact of the crisis'!AB109</f>
        <v>4.5</v>
      </c>
      <c r="O108" s="55">
        <f>'Conditions of people affected'!R109</f>
        <v>4.3499999999999996</v>
      </c>
      <c r="P108" s="83">
        <f>'Conditions of people affected'!K109</f>
        <v>4.7</v>
      </c>
      <c r="Q108" s="83">
        <f>'Conditions of people affected'!Q109</f>
        <v>4</v>
      </c>
      <c r="R108" s="54">
        <f t="shared" si="11"/>
        <v>3.8</v>
      </c>
      <c r="S108" s="54">
        <f>'Complexity of the crisis'!X109</f>
        <v>3.5</v>
      </c>
      <c r="T108" s="54">
        <f>'Complexity of the crisis'!AN109</f>
        <v>4</v>
      </c>
      <c r="U108" s="159" t="str">
        <f>VLOOKUP(C108,Lists!$C$3:$E$167,3,FALSE)</f>
        <v>Africa</v>
      </c>
      <c r="V108" s="160">
        <v>44136</v>
      </c>
    </row>
    <row r="109" spans="1:22" x14ac:dyDescent="0.3">
      <c r="A109" s="81" t="str">
        <f>'Crisis Indicator Data'!A107</f>
        <v>Complex crisis in Pakistan</v>
      </c>
      <c r="B109" s="56" t="str">
        <f>Lists!G107</f>
        <v>Complex crisis</v>
      </c>
      <c r="C109" s="81" t="str">
        <f>'Crisis Indicator Data'!C107</f>
        <v>PAK001</v>
      </c>
      <c r="D109" s="81" t="str">
        <f>'Crisis Indicator Data'!D107</f>
        <v>Pakistan</v>
      </c>
      <c r="E109" s="81" t="str">
        <f>'Crisis Indicator Data'!E107</f>
        <v>PAK</v>
      </c>
      <c r="F109" s="81" t="str">
        <f>'Crisis Indicator Data'!B107</f>
        <v>Complex crisis</v>
      </c>
      <c r="G109" s="53">
        <f t="shared" si="9"/>
        <v>3.4</v>
      </c>
      <c r="H109" s="82">
        <f t="shared" si="12"/>
        <v>4</v>
      </c>
      <c r="I109" s="151" t="str">
        <f t="shared" si="13"/>
        <v>High</v>
      </c>
      <c r="J109" s="153" t="str">
        <f>INDEX(Trends!$D$3:$D$400,MATCH(C109,Trends!$C$3:$C$400,0))</f>
        <v>Stable</v>
      </c>
      <c r="K109" s="143" t="str">
        <f>IF(Reliability!B107="x","x",(IF(ROUNDUP(Reliability!B107,0)=1,"Very High",IF(ROUNDUP(Reliability!B107,0)=2,"High",IF(ROUNDUP(Reliability!B107,0)=3,"Medium",IF(ROUNDUP(Reliability!B107,0)=4,"Low","Very Low"))))))</f>
        <v>High</v>
      </c>
      <c r="L109" s="55">
        <f t="shared" si="10"/>
        <v>3.7</v>
      </c>
      <c r="M109" s="83">
        <f>'Impact of the crisis'!N110</f>
        <v>5</v>
      </c>
      <c r="N109" s="83">
        <f>'Impact of the crisis'!AB110</f>
        <v>2.7</v>
      </c>
      <c r="O109" s="55">
        <f>'Conditions of people affected'!R110</f>
        <v>3.05</v>
      </c>
      <c r="P109" s="83">
        <f>'Conditions of people affected'!K110</f>
        <v>4.0999999999999996</v>
      </c>
      <c r="Q109" s="83">
        <f>'Conditions of people affected'!Q110</f>
        <v>2</v>
      </c>
      <c r="R109" s="54">
        <f t="shared" si="11"/>
        <v>3.6</v>
      </c>
      <c r="S109" s="54">
        <f>'Complexity of the crisis'!X110</f>
        <v>3.2</v>
      </c>
      <c r="T109" s="54">
        <f>'Complexity of the crisis'!AN110</f>
        <v>4</v>
      </c>
      <c r="U109" s="159" t="str">
        <f>VLOOKUP(C109,Lists!$C$3:$E$167,3,FALSE)</f>
        <v>Asia</v>
      </c>
      <c r="V109" s="160">
        <v>44132</v>
      </c>
    </row>
    <row r="110" spans="1:22" x14ac:dyDescent="0.3">
      <c r="A110" s="81" t="str">
        <f>'Crisis Indicator Data'!A108</f>
        <v>Kashmir conflict in Pakistan</v>
      </c>
      <c r="B110" s="56" t="str">
        <f>Lists!G108</f>
        <v>Kashmir conflict</v>
      </c>
      <c r="C110" s="81" t="str">
        <f>'Crisis Indicator Data'!C108</f>
        <v>PAK004</v>
      </c>
      <c r="D110" s="81" t="str">
        <f>'Crisis Indicator Data'!D108</f>
        <v>Pakistan</v>
      </c>
      <c r="E110" s="81" t="str">
        <f>'Crisis Indicator Data'!E108</f>
        <v>PAK</v>
      </c>
      <c r="F110" s="81" t="str">
        <f>'Crisis Indicator Data'!B108</f>
        <v>Conflict</v>
      </c>
      <c r="G110" s="53" t="str">
        <f t="shared" si="9"/>
        <v>x</v>
      </c>
      <c r="H110" s="82" t="str">
        <f t="shared" si="12"/>
        <v>x</v>
      </c>
      <c r="I110" s="151" t="str">
        <f t="shared" si="13"/>
        <v>x</v>
      </c>
      <c r="J110" s="153" t="str">
        <f>INDEX(Trends!$D$3:$D$400,MATCH(C110,Trends!$C$3:$C$400,0))</f>
        <v>-</v>
      </c>
      <c r="K110" s="143" t="str">
        <f>IF(Reliability!B108="x","x",(IF(ROUNDUP(Reliability!B108,0)=1,"Very High",IF(ROUNDUP(Reliability!B108,0)=2,"High",IF(ROUNDUP(Reliability!B108,0)=3,"Medium",IF(ROUNDUP(Reliability!B108,0)=4,"Low","Very Low"))))))</f>
        <v>Low</v>
      </c>
      <c r="L110" s="55">
        <f t="shared" si="10"/>
        <v>1.9</v>
      </c>
      <c r="M110" s="83">
        <f>'Impact of the crisis'!N111</f>
        <v>1.1000000000000001</v>
      </c>
      <c r="N110" s="83">
        <f>'Impact of the crisis'!AB111</f>
        <v>2.2000000000000002</v>
      </c>
      <c r="O110" s="55" t="str">
        <f>'Conditions of people affected'!R111</f>
        <v>x</v>
      </c>
      <c r="P110" s="83" t="str">
        <f>'Conditions of people affected'!K111</f>
        <v>x</v>
      </c>
      <c r="Q110" s="83" t="str">
        <f>'Conditions of people affected'!Q111</f>
        <v>x</v>
      </c>
      <c r="R110" s="54">
        <f t="shared" si="11"/>
        <v>2.9</v>
      </c>
      <c r="S110" s="54">
        <f>'Complexity of the crisis'!X111</f>
        <v>3.2</v>
      </c>
      <c r="T110" s="54">
        <f>'Complexity of the crisis'!AN111</f>
        <v>2.5</v>
      </c>
      <c r="U110" s="159" t="str">
        <f>VLOOKUP(C110,Lists!$C$3:$E$167,3,FALSE)</f>
        <v>Asia</v>
      </c>
      <c r="V110" s="160">
        <v>44132</v>
      </c>
    </row>
    <row r="111" spans="1:22" x14ac:dyDescent="0.3">
      <c r="A111" s="81" t="str">
        <f>'Crisis Indicator Data'!A109</f>
        <v>Conflict in Palestine</v>
      </c>
      <c r="B111" s="56" t="str">
        <f>Lists!G109</f>
        <v>Complex</v>
      </c>
      <c r="C111" s="81" t="str">
        <f>'Crisis Indicator Data'!C109</f>
        <v>PSE002</v>
      </c>
      <c r="D111" s="81" t="str">
        <f>'Crisis Indicator Data'!D109</f>
        <v>Palestine</v>
      </c>
      <c r="E111" s="81" t="str">
        <f>'Crisis Indicator Data'!E109</f>
        <v>PSE</v>
      </c>
      <c r="F111" s="81" t="str">
        <f>'Crisis Indicator Data'!B109</f>
        <v>Conflict</v>
      </c>
      <c r="G111" s="53">
        <f t="shared" si="9"/>
        <v>3.9</v>
      </c>
      <c r="H111" s="82">
        <f t="shared" si="12"/>
        <v>4</v>
      </c>
      <c r="I111" s="151" t="str">
        <f t="shared" si="13"/>
        <v>High</v>
      </c>
      <c r="J111" s="153" t="str">
        <f>INDEX(Trends!$D$3:$D$400,MATCH(C111,Trends!$C$3:$C$400,0))</f>
        <v>Increasing</v>
      </c>
      <c r="K111" s="143" t="str">
        <f>IF(Reliability!B109="x","x",(IF(ROUNDUP(Reliability!B109,0)=1,"Very High",IF(ROUNDUP(Reliability!B109,0)=2,"High",IF(ROUNDUP(Reliability!B109,0)=3,"Medium",IF(ROUNDUP(Reliability!B109,0)=4,"Low","Very Low"))))))</f>
        <v>High</v>
      </c>
      <c r="L111" s="55">
        <f t="shared" si="10"/>
        <v>3.8</v>
      </c>
      <c r="M111" s="83">
        <f>'Impact of the crisis'!N112</f>
        <v>3.4</v>
      </c>
      <c r="N111" s="83">
        <f>'Impact of the crisis'!AB112</f>
        <v>4</v>
      </c>
      <c r="O111" s="55">
        <f>'Conditions of people affected'!R112</f>
        <v>4.45</v>
      </c>
      <c r="P111" s="83">
        <f>'Conditions of people affected'!K112</f>
        <v>3.9</v>
      </c>
      <c r="Q111" s="83">
        <f>'Conditions of people affected'!Q112</f>
        <v>5</v>
      </c>
      <c r="R111" s="54">
        <f t="shared" si="11"/>
        <v>3.2</v>
      </c>
      <c r="S111" s="54">
        <f>'Complexity of the crisis'!X112</f>
        <v>2.2000000000000002</v>
      </c>
      <c r="T111" s="54">
        <f>'Complexity of the crisis'!AN112</f>
        <v>4</v>
      </c>
      <c r="U111" s="159" t="str">
        <f>VLOOKUP(C111,Lists!$C$3:$E$167,3,FALSE)</f>
        <v>Middle east</v>
      </c>
      <c r="V111" s="160">
        <v>44130</v>
      </c>
    </row>
    <row r="112" spans="1:22" x14ac:dyDescent="0.3">
      <c r="A112" s="81" t="str">
        <f>'Crisis Indicator Data'!A110</f>
        <v>Venezuela displacement in Peru</v>
      </c>
      <c r="B112" s="56" t="str">
        <f>Lists!G110</f>
        <v>Venezuelan refugees</v>
      </c>
      <c r="C112" s="81" t="str">
        <f>'Crisis Indicator Data'!C110</f>
        <v>PER002</v>
      </c>
      <c r="D112" s="81" t="str">
        <f>'Crisis Indicator Data'!D110</f>
        <v>Peru</v>
      </c>
      <c r="E112" s="81" t="str">
        <f>'Crisis Indicator Data'!E110</f>
        <v>PER</v>
      </c>
      <c r="F112" s="81" t="str">
        <f>'Crisis Indicator Data'!B110</f>
        <v>International displacement</v>
      </c>
      <c r="G112" s="53">
        <f t="shared" si="9"/>
        <v>2.6</v>
      </c>
      <c r="H112" s="82">
        <f t="shared" si="12"/>
        <v>3</v>
      </c>
      <c r="I112" s="151" t="str">
        <f t="shared" si="13"/>
        <v>Medium</v>
      </c>
      <c r="J112" s="153" t="str">
        <f>INDEX(Trends!$D$3:$D$400,MATCH(C112,Trends!$C$3:$C$400,0))</f>
        <v>Stable</v>
      </c>
      <c r="K112" s="143" t="str">
        <f>IF(Reliability!B110="x","x",(IF(ROUNDUP(Reliability!B110,0)=1,"Very High",IF(ROUNDUP(Reliability!B110,0)=2,"High",IF(ROUNDUP(Reliability!B110,0)=3,"Medium",IF(ROUNDUP(Reliability!B110,0)=4,"Low","Very Low"))))))</f>
        <v>Medium</v>
      </c>
      <c r="L112" s="55">
        <f t="shared" si="10"/>
        <v>2.5</v>
      </c>
      <c r="M112" s="83">
        <f>'Impact of the crisis'!N113</f>
        <v>2.8</v>
      </c>
      <c r="N112" s="83">
        <f>'Impact of the crisis'!AB113</f>
        <v>2.4</v>
      </c>
      <c r="O112" s="55">
        <f>'Conditions of people affected'!R113</f>
        <v>3.1</v>
      </c>
      <c r="P112" s="83">
        <f>'Conditions of people affected'!K113</f>
        <v>3.2</v>
      </c>
      <c r="Q112" s="83">
        <f>'Conditions of people affected'!Q113</f>
        <v>3</v>
      </c>
      <c r="R112" s="54">
        <f t="shared" si="11"/>
        <v>1.9</v>
      </c>
      <c r="S112" s="54">
        <f>'Complexity of the crisis'!X113</f>
        <v>2.2999999999999998</v>
      </c>
      <c r="T112" s="54">
        <f>'Complexity of the crisis'!AN113</f>
        <v>1.5</v>
      </c>
      <c r="U112" s="159" t="str">
        <f>VLOOKUP(C112,Lists!$C$3:$E$167,3,FALSE)</f>
        <v>Americas</v>
      </c>
      <c r="V112" s="160">
        <v>44110</v>
      </c>
    </row>
    <row r="113" spans="1:22" x14ac:dyDescent="0.3">
      <c r="A113" s="81" t="str">
        <f>'Crisis Indicator Data'!A111</f>
        <v>Multiple crises in the Philippines</v>
      </c>
      <c r="B113" s="56" t="str">
        <f>Lists!G111</f>
        <v>Country level</v>
      </c>
      <c r="C113" s="81" t="str">
        <f>'Crisis Indicator Data'!C111</f>
        <v>PHL001</v>
      </c>
      <c r="D113" s="81" t="str">
        <f>'Crisis Indicator Data'!D111</f>
        <v>Philippines</v>
      </c>
      <c r="E113" s="81" t="str">
        <f>'Crisis Indicator Data'!E111</f>
        <v>PHL</v>
      </c>
      <c r="F113" s="81" t="str">
        <f>'Crisis Indicator Data'!B111</f>
        <v>Multiple crises country</v>
      </c>
      <c r="G113" s="53">
        <f t="shared" si="9"/>
        <v>2.4</v>
      </c>
      <c r="H113" s="82">
        <f t="shared" si="12"/>
        <v>3</v>
      </c>
      <c r="I113" s="151" t="str">
        <f t="shared" si="13"/>
        <v>Medium</v>
      </c>
      <c r="J113" s="153" t="str">
        <f>INDEX(Trends!$D$3:$D$400,MATCH(C113,Trends!$C$3:$C$400,0))</f>
        <v>Decreasing</v>
      </c>
      <c r="K113" s="143" t="str">
        <f>IF(Reliability!B111="x","x",(IF(ROUNDUP(Reliability!B111,0)=1,"Very High",IF(ROUNDUP(Reliability!B111,0)=2,"High",IF(ROUNDUP(Reliability!B111,0)=3,"Medium",IF(ROUNDUP(Reliability!B111,0)=4,"Low","Very Low"))))))</f>
        <v>Very High</v>
      </c>
      <c r="L113" s="55">
        <f t="shared" si="10"/>
        <v>3.1</v>
      </c>
      <c r="M113" s="83">
        <f>'Impact of the crisis'!N114</f>
        <v>3.3</v>
      </c>
      <c r="N113" s="83">
        <f>'Impact of the crisis'!AB114</f>
        <v>3</v>
      </c>
      <c r="O113" s="55">
        <f>'Conditions of people affected'!R114</f>
        <v>1.65</v>
      </c>
      <c r="P113" s="83">
        <f>'Conditions of people affected'!K114</f>
        <v>2.2999999999999998</v>
      </c>
      <c r="Q113" s="83">
        <f>'Conditions of people affected'!Q114</f>
        <v>1</v>
      </c>
      <c r="R113" s="54">
        <f t="shared" si="11"/>
        <v>3</v>
      </c>
      <c r="S113" s="54">
        <f>'Complexity of the crisis'!X114</f>
        <v>2.9</v>
      </c>
      <c r="T113" s="54">
        <f>'Complexity of the crisis'!AN114</f>
        <v>3</v>
      </c>
      <c r="U113" s="159" t="str">
        <f>VLOOKUP(C113,Lists!$C$3:$E$167,3,FALSE)</f>
        <v>Asia</v>
      </c>
      <c r="V113" s="160">
        <v>44132</v>
      </c>
    </row>
    <row r="114" spans="1:22" x14ac:dyDescent="0.3">
      <c r="A114" s="81" t="str">
        <f>'Crisis Indicator Data'!A112</f>
        <v>Mindanao conflict</v>
      </c>
      <c r="B114" s="56" t="str">
        <f>Lists!G112</f>
        <v>Mindanao Conflict</v>
      </c>
      <c r="C114" s="81" t="str">
        <f>'Crisis Indicator Data'!C112</f>
        <v>PHL003</v>
      </c>
      <c r="D114" s="81" t="str">
        <f>'Crisis Indicator Data'!D112</f>
        <v>Philippines</v>
      </c>
      <c r="E114" s="81" t="str">
        <f>'Crisis Indicator Data'!E112</f>
        <v>PHL</v>
      </c>
      <c r="F114" s="81" t="str">
        <f>'Crisis Indicator Data'!B112</f>
        <v>Conflict</v>
      </c>
      <c r="G114" s="53">
        <f t="shared" si="9"/>
        <v>2.2000000000000002</v>
      </c>
      <c r="H114" s="82">
        <f t="shared" si="12"/>
        <v>3</v>
      </c>
      <c r="I114" s="151" t="str">
        <f t="shared" si="13"/>
        <v>Medium</v>
      </c>
      <c r="J114" s="153" t="str">
        <f>INDEX(Trends!$D$3:$D$400,MATCH(C114,Trends!$C$3:$C$400,0))</f>
        <v>Stable</v>
      </c>
      <c r="K114" s="143" t="str">
        <f>IF(Reliability!B112="x","x",(IF(ROUNDUP(Reliability!B112,0)=1,"Very High",IF(ROUNDUP(Reliability!B112,0)=2,"High",IF(ROUNDUP(Reliability!B112,0)=3,"Medium",IF(ROUNDUP(Reliability!B112,0)=4,"Low","Very Low"))))))</f>
        <v>High</v>
      </c>
      <c r="L114" s="55">
        <f t="shared" si="10"/>
        <v>2.8</v>
      </c>
      <c r="M114" s="83">
        <f>'Impact of the crisis'!N115</f>
        <v>2.9</v>
      </c>
      <c r="N114" s="83">
        <f>'Impact of the crisis'!AB115</f>
        <v>2.8</v>
      </c>
      <c r="O114" s="55">
        <f>'Conditions of people affected'!R115</f>
        <v>1.5</v>
      </c>
      <c r="P114" s="83">
        <f>'Conditions of people affected'!K115</f>
        <v>2</v>
      </c>
      <c r="Q114" s="83">
        <f>'Conditions of people affected'!Q115</f>
        <v>1</v>
      </c>
      <c r="R114" s="54">
        <f t="shared" si="11"/>
        <v>2.7</v>
      </c>
      <c r="S114" s="54">
        <f>'Complexity of the crisis'!X115</f>
        <v>2.9</v>
      </c>
      <c r="T114" s="54">
        <f>'Complexity of the crisis'!AN115</f>
        <v>2.5</v>
      </c>
      <c r="U114" s="159" t="str">
        <f>VLOOKUP(C114,Lists!$C$3:$E$167,3,FALSE)</f>
        <v>Asia</v>
      </c>
      <c r="V114" s="160">
        <v>44132</v>
      </c>
    </row>
    <row r="115" spans="1:22" x14ac:dyDescent="0.3">
      <c r="A115" s="81" t="str">
        <f>'Crisis Indicator Data'!A113</f>
        <v>Mindanao Earthquake</v>
      </c>
      <c r="B115" s="56" t="str">
        <f>Lists!G113</f>
        <v>Mindanao Earthquake</v>
      </c>
      <c r="C115" s="81" t="str">
        <f>'Crisis Indicator Data'!C113</f>
        <v>PHL004</v>
      </c>
      <c r="D115" s="81" t="str">
        <f>'Crisis Indicator Data'!D113</f>
        <v>Philippines</v>
      </c>
      <c r="E115" s="81" t="str">
        <f>'Crisis Indicator Data'!E113</f>
        <v>PHL</v>
      </c>
      <c r="F115" s="81" t="str">
        <f>'Crisis Indicator Data'!B113</f>
        <v>Earthquake</v>
      </c>
      <c r="G115" s="53">
        <f t="shared" si="9"/>
        <v>1.8</v>
      </c>
      <c r="H115" s="82">
        <f t="shared" si="12"/>
        <v>2</v>
      </c>
      <c r="I115" s="151" t="str">
        <f t="shared" si="13"/>
        <v>Low</v>
      </c>
      <c r="J115" s="153" t="str">
        <f>INDEX(Trends!$D$3:$D$400,MATCH(C115,Trends!$C$3:$C$400,0))</f>
        <v>Decreasing</v>
      </c>
      <c r="K115" s="143" t="str">
        <f>IF(Reliability!B113="x","x",(IF(ROUNDUP(Reliability!B113,0)=1,"Very High",IF(ROUNDUP(Reliability!B113,0)=2,"High",IF(ROUNDUP(Reliability!B113,0)=3,"Medium",IF(ROUNDUP(Reliability!B113,0)=4,"Low","Very Low"))))))</f>
        <v>High</v>
      </c>
      <c r="L115" s="55">
        <f t="shared" si="10"/>
        <v>1.9</v>
      </c>
      <c r="M115" s="83">
        <f>'Impact of the crisis'!N116</f>
        <v>2.5</v>
      </c>
      <c r="N115" s="83">
        <f>'Impact of the crisis'!AB116</f>
        <v>1.5</v>
      </c>
      <c r="O115" s="55">
        <f>'Conditions of people affected'!R116</f>
        <v>1.25</v>
      </c>
      <c r="P115" s="83">
        <f>'Conditions of people affected'!K116</f>
        <v>1.5</v>
      </c>
      <c r="Q115" s="83">
        <f>'Conditions of people affected'!Q116</f>
        <v>1</v>
      </c>
      <c r="R115" s="54">
        <f t="shared" si="11"/>
        <v>2.7</v>
      </c>
      <c r="S115" s="54">
        <f>'Complexity of the crisis'!X116</f>
        <v>2.9</v>
      </c>
      <c r="T115" s="54">
        <f>'Complexity of the crisis'!AN116</f>
        <v>2.5</v>
      </c>
      <c r="U115" s="159" t="str">
        <f>VLOOKUP(C115,Lists!$C$3:$E$167,3,FALSE)</f>
        <v>Asia</v>
      </c>
      <c r="V115" s="160">
        <v>44132</v>
      </c>
    </row>
    <row r="116" spans="1:22" x14ac:dyDescent="0.3">
      <c r="A116" s="81" t="str">
        <f>'Crisis Indicator Data'!A114</f>
        <v>Burundi and DRC refugees in Rwanda</v>
      </c>
      <c r="B116" s="56" t="str">
        <f>Lists!G114</f>
        <v>Refugees</v>
      </c>
      <c r="C116" s="81" t="str">
        <f>'Crisis Indicator Data'!C114</f>
        <v>RWA002</v>
      </c>
      <c r="D116" s="81" t="str">
        <f>'Crisis Indicator Data'!D114</f>
        <v>Rwanda</v>
      </c>
      <c r="E116" s="81" t="str">
        <f>'Crisis Indicator Data'!E114</f>
        <v>RWA</v>
      </c>
      <c r="F116" s="81" t="str">
        <f>'Crisis Indicator Data'!B114</f>
        <v>International displacement</v>
      </c>
      <c r="G116" s="53">
        <f t="shared" si="9"/>
        <v>2</v>
      </c>
      <c r="H116" s="82">
        <f t="shared" si="12"/>
        <v>2</v>
      </c>
      <c r="I116" s="151" t="str">
        <f t="shared" si="13"/>
        <v>Low</v>
      </c>
      <c r="J116" s="153" t="str">
        <f>INDEX(Trends!$D$3:$D$400,MATCH(C116,Trends!$C$3:$C$400,0))</f>
        <v>Increasing</v>
      </c>
      <c r="K116" s="143" t="str">
        <f>IF(Reliability!B114="x","x",(IF(ROUNDUP(Reliability!B114,0)=1,"Very High",IF(ROUNDUP(Reliability!B114,0)=2,"High",IF(ROUNDUP(Reliability!B114,0)=3,"Medium",IF(ROUNDUP(Reliability!B114,0)=4,"Low","Very Low"))))))</f>
        <v>Medium</v>
      </c>
      <c r="L116" s="55">
        <f t="shared" si="10"/>
        <v>2.6</v>
      </c>
      <c r="M116" s="83">
        <f>'Impact of the crisis'!N117</f>
        <v>2.1</v>
      </c>
      <c r="N116" s="83">
        <f>'Impact of the crisis'!AB117</f>
        <v>2.8</v>
      </c>
      <c r="O116" s="55">
        <f>'Conditions of people affected'!R117</f>
        <v>1.5</v>
      </c>
      <c r="P116" s="83">
        <f>'Conditions of people affected'!K117</f>
        <v>2</v>
      </c>
      <c r="Q116" s="83">
        <f>'Conditions of people affected'!Q117</f>
        <v>1</v>
      </c>
      <c r="R116" s="54">
        <f t="shared" si="11"/>
        <v>2.1</v>
      </c>
      <c r="S116" s="54">
        <f>'Complexity of the crisis'!X117</f>
        <v>2.6</v>
      </c>
      <c r="T116" s="54">
        <f>'Complexity of the crisis'!AN117</f>
        <v>1.5</v>
      </c>
      <c r="U116" s="159" t="str">
        <f>VLOOKUP(C116,Lists!$C$3:$E$167,3,FALSE)</f>
        <v>Africa</v>
      </c>
      <c r="V116" s="160">
        <v>44134</v>
      </c>
    </row>
    <row r="117" spans="1:22" x14ac:dyDescent="0.3">
      <c r="A117" s="81" t="str">
        <f>'Crisis Indicator Data'!A115</f>
        <v>Drought in Senegal</v>
      </c>
      <c r="B117" s="56" t="str">
        <f>Lists!G115</f>
        <v>Drought</v>
      </c>
      <c r="C117" s="81" t="str">
        <f>'Crisis Indicator Data'!C115</f>
        <v>SEN002</v>
      </c>
      <c r="D117" s="81" t="str">
        <f>'Crisis Indicator Data'!D115</f>
        <v>Senegal</v>
      </c>
      <c r="E117" s="81" t="str">
        <f>'Crisis Indicator Data'!E115</f>
        <v>SEN</v>
      </c>
      <c r="F117" s="81" t="str">
        <f>'Crisis Indicator Data'!B115</f>
        <v>Drought</v>
      </c>
      <c r="G117" s="53">
        <f t="shared" si="9"/>
        <v>2.4</v>
      </c>
      <c r="H117" s="82">
        <f t="shared" si="12"/>
        <v>3</v>
      </c>
      <c r="I117" s="151" t="str">
        <f t="shared" si="13"/>
        <v>Medium</v>
      </c>
      <c r="J117" s="153" t="str">
        <f>INDEX(Trends!$D$3:$D$400,MATCH(C117,Trends!$C$3:$C$400,0))</f>
        <v>Decreasing</v>
      </c>
      <c r="K117" s="143" t="str">
        <f>IF(Reliability!B115="x","x",(IF(ROUNDUP(Reliability!B115,0)=1,"Very High",IF(ROUNDUP(Reliability!B115,0)=2,"High",IF(ROUNDUP(Reliability!B115,0)=3,"Medium",IF(ROUNDUP(Reliability!B115,0)=4,"Low","Very Low"))))))</f>
        <v>Medium</v>
      </c>
      <c r="L117" s="55">
        <f t="shared" si="10"/>
        <v>2.7</v>
      </c>
      <c r="M117" s="83">
        <f>'Impact of the crisis'!N118</f>
        <v>4.5</v>
      </c>
      <c r="N117" s="83">
        <f>'Impact of the crisis'!AB118</f>
        <v>1.2</v>
      </c>
      <c r="O117" s="55">
        <f>'Conditions of people affected'!R118</f>
        <v>2.35</v>
      </c>
      <c r="P117" s="83">
        <f>'Conditions of people affected'!K118</f>
        <v>2.7</v>
      </c>
      <c r="Q117" s="83">
        <f>'Conditions of people affected'!Q118</f>
        <v>2</v>
      </c>
      <c r="R117" s="54">
        <f t="shared" si="11"/>
        <v>2.2000000000000002</v>
      </c>
      <c r="S117" s="54">
        <f>'Complexity of the crisis'!X118</f>
        <v>1.8</v>
      </c>
      <c r="T117" s="54">
        <f>'Complexity of the crisis'!AN118</f>
        <v>2.5</v>
      </c>
      <c r="U117" s="159" t="str">
        <f>VLOOKUP(C117,Lists!$C$3:$E$167,3,FALSE)</f>
        <v>Africa</v>
      </c>
      <c r="V117" s="160">
        <v>44109</v>
      </c>
    </row>
    <row r="118" spans="1:22" x14ac:dyDescent="0.3">
      <c r="A118" s="81" t="str">
        <f>'Crisis Indicator Data'!A116</f>
        <v>Complex crisis in Somalia</v>
      </c>
      <c r="B118" s="56" t="str">
        <f>Lists!G116</f>
        <v>Complex crisis</v>
      </c>
      <c r="C118" s="81" t="str">
        <f>'Crisis Indicator Data'!C116</f>
        <v>SOM001</v>
      </c>
      <c r="D118" s="81" t="str">
        <f>'Crisis Indicator Data'!D116</f>
        <v>Somalia</v>
      </c>
      <c r="E118" s="81" t="str">
        <f>'Crisis Indicator Data'!E116</f>
        <v>SOM</v>
      </c>
      <c r="F118" s="81" t="str">
        <f>'Crisis Indicator Data'!B116</f>
        <v>Complex crisis</v>
      </c>
      <c r="G118" s="53">
        <f t="shared" si="9"/>
        <v>4.5999999999999996</v>
      </c>
      <c r="H118" s="82">
        <f t="shared" si="12"/>
        <v>5</v>
      </c>
      <c r="I118" s="151" t="str">
        <f t="shared" si="13"/>
        <v>Very High</v>
      </c>
      <c r="J118" s="153" t="str">
        <f>INDEX(Trends!$D$3:$D$400,MATCH(C118,Trends!$C$3:$C$400,0))</f>
        <v>Decreasing</v>
      </c>
      <c r="K118" s="143" t="str">
        <f>IF(Reliability!B116="x","x",(IF(ROUNDUP(Reliability!B116,0)=1,"Very High",IF(ROUNDUP(Reliability!B116,0)=2,"High",IF(ROUNDUP(Reliability!B116,0)=3,"Medium",IF(ROUNDUP(Reliability!B116,0)=4,"Low","Very Low"))))))</f>
        <v>High</v>
      </c>
      <c r="L118" s="55">
        <f t="shared" si="10"/>
        <v>4.7</v>
      </c>
      <c r="M118" s="83">
        <f>'Impact of the crisis'!N119</f>
        <v>4.5999999999999996</v>
      </c>
      <c r="N118" s="83">
        <f>'Impact of the crisis'!AB119</f>
        <v>4.8</v>
      </c>
      <c r="O118" s="55">
        <f>'Conditions of people affected'!R119</f>
        <v>4.75</v>
      </c>
      <c r="P118" s="83">
        <f>'Conditions of people affected'!K119</f>
        <v>4.5</v>
      </c>
      <c r="Q118" s="83">
        <f>'Conditions of people affected'!Q119</f>
        <v>5</v>
      </c>
      <c r="R118" s="54">
        <f t="shared" si="11"/>
        <v>4.2</v>
      </c>
      <c r="S118" s="54">
        <f>'Complexity of the crisis'!X119</f>
        <v>3.9</v>
      </c>
      <c r="T118" s="54">
        <f>'Complexity of the crisis'!AN119</f>
        <v>4.5</v>
      </c>
      <c r="U118" s="159" t="str">
        <f>VLOOKUP(C118,Lists!$C$3:$E$167,3,FALSE)</f>
        <v>Africa</v>
      </c>
      <c r="V118" s="160">
        <v>44140</v>
      </c>
    </row>
    <row r="119" spans="1:22" ht="13.5" customHeight="1" x14ac:dyDescent="0.3">
      <c r="A119" s="81" t="str">
        <f>'Crisis Indicator Data'!A117</f>
        <v>Mixed Migration Flows in Somalia</v>
      </c>
      <c r="B119" s="56" t="str">
        <f>Lists!G117</f>
        <v>Mixed Migration</v>
      </c>
      <c r="C119" s="81" t="str">
        <f>'Crisis Indicator Data'!C117</f>
        <v>SOM002</v>
      </c>
      <c r="D119" s="81" t="str">
        <f>'Crisis Indicator Data'!D117</f>
        <v>Somalia</v>
      </c>
      <c r="E119" s="81" t="str">
        <f>'Crisis Indicator Data'!E117</f>
        <v>SOM</v>
      </c>
      <c r="F119" s="81" t="str">
        <f>'Crisis Indicator Data'!B117</f>
        <v>International displacement</v>
      </c>
      <c r="G119" s="53">
        <f t="shared" si="9"/>
        <v>1.9</v>
      </c>
      <c r="H119" s="82">
        <f t="shared" si="12"/>
        <v>2</v>
      </c>
      <c r="I119" s="151" t="str">
        <f t="shared" si="13"/>
        <v>Low</v>
      </c>
      <c r="J119" s="153" t="str">
        <f>INDEX(Trends!$D$3:$D$400,MATCH(C119,Trends!$C$3:$C$400,0))</f>
        <v>Decreasing</v>
      </c>
      <c r="K119" s="143" t="str">
        <f>IF(Reliability!B117="x","x",(IF(ROUNDUP(Reliability!B117,0)=1,"Very High",IF(ROUNDUP(Reliability!B117,0)=2,"High",IF(ROUNDUP(Reliability!B117,0)=3,"Medium",IF(ROUNDUP(Reliability!B117,0)=4,"Low","Very Low"))))))</f>
        <v>Medium</v>
      </c>
      <c r="L119" s="55">
        <f t="shared" si="10"/>
        <v>1.8</v>
      </c>
      <c r="M119" s="83">
        <f>'Impact of the crisis'!N120</f>
        <v>0.8</v>
      </c>
      <c r="N119" s="83">
        <f>'Impact of the crisis'!AB120</f>
        <v>2.2000000000000002</v>
      </c>
      <c r="O119" s="55">
        <f>'Conditions of people affected'!R120</f>
        <v>0.95</v>
      </c>
      <c r="P119" s="83">
        <f>'Conditions of people affected'!K120</f>
        <v>0.9</v>
      </c>
      <c r="Q119" s="83">
        <f>'Conditions of people affected'!Q120</f>
        <v>1</v>
      </c>
      <c r="R119" s="54">
        <f t="shared" si="11"/>
        <v>3.5</v>
      </c>
      <c r="S119" s="54">
        <f>'Complexity of the crisis'!X120</f>
        <v>3.9</v>
      </c>
      <c r="T119" s="54">
        <f>'Complexity of the crisis'!AN120</f>
        <v>3</v>
      </c>
      <c r="U119" s="159" t="str">
        <f>VLOOKUP(C119,Lists!$C$3:$E$167,3,FALSE)</f>
        <v>Africa</v>
      </c>
      <c r="V119" s="160">
        <v>44064</v>
      </c>
    </row>
    <row r="120" spans="1:22" x14ac:dyDescent="0.3">
      <c r="A120" s="81" t="str">
        <f>'Crisis Indicator Data'!A118</f>
        <v>Floods in Somalia</v>
      </c>
      <c r="B120" s="56" t="str">
        <f>Lists!G118</f>
        <v>Floods</v>
      </c>
      <c r="C120" s="81" t="str">
        <f>'Crisis Indicator Data'!C118</f>
        <v>SOM004</v>
      </c>
      <c r="D120" s="81" t="str">
        <f>'Crisis Indicator Data'!D118</f>
        <v>Somalia</v>
      </c>
      <c r="E120" s="81" t="str">
        <f>'Crisis Indicator Data'!E118</f>
        <v>SOM</v>
      </c>
      <c r="F120" s="81" t="str">
        <f>'Crisis Indicator Data'!B118</f>
        <v>Flood</v>
      </c>
      <c r="G120" s="53">
        <f t="shared" si="9"/>
        <v>3</v>
      </c>
      <c r="H120" s="82">
        <f t="shared" si="12"/>
        <v>3</v>
      </c>
      <c r="I120" s="151" t="str">
        <f t="shared" si="13"/>
        <v>Medium</v>
      </c>
      <c r="J120" s="153" t="str">
        <f>INDEX(Trends!$D$3:$D$400,MATCH(C120,Trends!$C$3:$C$400,0))</f>
        <v>Increasing</v>
      </c>
      <c r="K120" s="143" t="str">
        <f>IF(Reliability!B118="x","x",(IF(ROUNDUP(Reliability!B118,0)=1,"Very High",IF(ROUNDUP(Reliability!B118,0)=2,"High",IF(ROUNDUP(Reliability!B118,0)=3,"Medium",IF(ROUNDUP(Reliability!B118,0)=4,"Low","Very Low"))))))</f>
        <v>Medium</v>
      </c>
      <c r="L120" s="55">
        <f t="shared" si="10"/>
        <v>2.5</v>
      </c>
      <c r="M120" s="83">
        <f>'Impact of the crisis'!N121</f>
        <v>2.6</v>
      </c>
      <c r="N120" s="83">
        <f>'Impact of the crisis'!AB121</f>
        <v>2.4</v>
      </c>
      <c r="O120" s="55">
        <f>'Conditions of people affected'!R121</f>
        <v>2.7</v>
      </c>
      <c r="P120" s="83">
        <f>'Conditions of people affected'!K121</f>
        <v>2.4</v>
      </c>
      <c r="Q120" s="83">
        <f>'Conditions of people affected'!Q121</f>
        <v>3</v>
      </c>
      <c r="R120" s="54">
        <f t="shared" si="11"/>
        <v>4</v>
      </c>
      <c r="S120" s="54">
        <f>'Complexity of the crisis'!X121</f>
        <v>3.9</v>
      </c>
      <c r="T120" s="54">
        <f>'Complexity of the crisis'!AN121</f>
        <v>4</v>
      </c>
      <c r="U120" s="159" t="str">
        <f>VLOOKUP(C120,Lists!$C$3:$E$167,3,FALSE)</f>
        <v>Africa</v>
      </c>
      <c r="V120" s="160">
        <v>44064</v>
      </c>
    </row>
    <row r="121" spans="1:22" x14ac:dyDescent="0.3">
      <c r="A121" s="81" t="str">
        <f>'Crisis Indicator Data'!A119</f>
        <v>Complex crisis in South Sudan</v>
      </c>
      <c r="B121" s="56" t="str">
        <f>Lists!G119</f>
        <v>Complex crisis</v>
      </c>
      <c r="C121" s="81" t="str">
        <f>'Crisis Indicator Data'!C119</f>
        <v>SSD001</v>
      </c>
      <c r="D121" s="81" t="str">
        <f>'Crisis Indicator Data'!D119</f>
        <v>South Sudan</v>
      </c>
      <c r="E121" s="81" t="str">
        <f>'Crisis Indicator Data'!E119</f>
        <v>SSD</v>
      </c>
      <c r="F121" s="81" t="str">
        <f>'Crisis Indicator Data'!B119</f>
        <v>Complex crisis</v>
      </c>
      <c r="G121" s="53">
        <f t="shared" si="9"/>
        <v>4.4000000000000004</v>
      </c>
      <c r="H121" s="82">
        <f t="shared" si="12"/>
        <v>5</v>
      </c>
      <c r="I121" s="151" t="str">
        <f t="shared" si="13"/>
        <v>Very High</v>
      </c>
      <c r="J121" s="153" t="str">
        <f>INDEX(Trends!$D$3:$D$400,MATCH(C121,Trends!$C$3:$C$400,0))</f>
        <v>Increasing</v>
      </c>
      <c r="K121" s="143" t="str">
        <f>IF(Reliability!B119="x","x",(IF(ROUNDUP(Reliability!B119,0)=1,"Very High",IF(ROUNDUP(Reliability!B119,0)=2,"High",IF(ROUNDUP(Reliability!B119,0)=3,"Medium",IF(ROUNDUP(Reliability!B119,0)=4,"Low","Very Low"))))))</f>
        <v>Medium</v>
      </c>
      <c r="L121" s="55">
        <f t="shared" si="10"/>
        <v>4.7</v>
      </c>
      <c r="M121" s="83">
        <f>'Impact of the crisis'!N122</f>
        <v>4.5999999999999996</v>
      </c>
      <c r="N121" s="83">
        <f>'Impact of the crisis'!AB122</f>
        <v>4.8</v>
      </c>
      <c r="O121" s="55">
        <f>'Conditions of people affected'!R122</f>
        <v>4.4000000000000004</v>
      </c>
      <c r="P121" s="83">
        <f>'Conditions of people affected'!K122</f>
        <v>4.8</v>
      </c>
      <c r="Q121" s="83">
        <f>'Conditions of people affected'!Q122</f>
        <v>4</v>
      </c>
      <c r="R121" s="54">
        <f t="shared" si="11"/>
        <v>4.0999999999999996</v>
      </c>
      <c r="S121" s="54">
        <f>'Complexity of the crisis'!X122</f>
        <v>3.7</v>
      </c>
      <c r="T121" s="54">
        <f>'Complexity of the crisis'!AN122</f>
        <v>4.5</v>
      </c>
      <c r="U121" s="159" t="str">
        <f>VLOOKUP(C121,Lists!$C$3:$E$167,3,FALSE)</f>
        <v>Africa</v>
      </c>
      <c r="V121" s="160">
        <v>44140</v>
      </c>
    </row>
    <row r="122" spans="1:22" x14ac:dyDescent="0.3">
      <c r="A122" s="81" t="str">
        <f>'Crisis Indicator Data'!A120</f>
        <v>Complex crisis in Sudan</v>
      </c>
      <c r="B122" s="56" t="str">
        <f>Lists!G120</f>
        <v>Complex crisis</v>
      </c>
      <c r="C122" s="81" t="str">
        <f>'Crisis Indicator Data'!C120</f>
        <v>SDN001</v>
      </c>
      <c r="D122" s="81" t="str">
        <f>'Crisis Indicator Data'!D120</f>
        <v>Sudan</v>
      </c>
      <c r="E122" s="81" t="str">
        <f>'Crisis Indicator Data'!E120</f>
        <v>SDN</v>
      </c>
      <c r="F122" s="81" t="str">
        <f>'Crisis Indicator Data'!B120</f>
        <v>Complex crisis</v>
      </c>
      <c r="G122" s="53">
        <f t="shared" si="9"/>
        <v>4.5999999999999996</v>
      </c>
      <c r="H122" s="82">
        <f t="shared" si="12"/>
        <v>5</v>
      </c>
      <c r="I122" s="151" t="str">
        <f t="shared" si="13"/>
        <v>Very High</v>
      </c>
      <c r="J122" s="153" t="str">
        <f>INDEX(Trends!$D$3:$D$400,MATCH(C122,Trends!$C$3:$C$400,0))</f>
        <v>Stable</v>
      </c>
      <c r="K122" s="143" t="str">
        <f>IF(Reliability!B120="x","x",(IF(ROUNDUP(Reliability!B120,0)=1,"Very High",IF(ROUNDUP(Reliability!B120,0)=2,"High",IF(ROUNDUP(Reliability!B120,0)=3,"Medium",IF(ROUNDUP(Reliability!B120,0)=4,"Low","Very Low"))))))</f>
        <v>High</v>
      </c>
      <c r="L122" s="55">
        <f t="shared" si="10"/>
        <v>4.2</v>
      </c>
      <c r="M122" s="83">
        <f>'Impact of the crisis'!N123</f>
        <v>4.8</v>
      </c>
      <c r="N122" s="83">
        <f>'Impact of the crisis'!AB123</f>
        <v>3.9</v>
      </c>
      <c r="O122" s="55">
        <f>'Conditions of people affected'!R123</f>
        <v>4.95</v>
      </c>
      <c r="P122" s="83">
        <f>'Conditions of people affected'!K123</f>
        <v>4.9000000000000004</v>
      </c>
      <c r="Q122" s="83">
        <f>'Conditions of people affected'!Q123</f>
        <v>5</v>
      </c>
      <c r="R122" s="54">
        <f t="shared" si="11"/>
        <v>4.2</v>
      </c>
      <c r="S122" s="54">
        <f>'Complexity of the crisis'!X123</f>
        <v>3.9</v>
      </c>
      <c r="T122" s="54">
        <f>'Complexity of the crisis'!AN123</f>
        <v>4.5</v>
      </c>
      <c r="U122" s="159" t="str">
        <f>VLOOKUP(C122,Lists!$C$3:$E$167,3,FALSE)</f>
        <v>Africa</v>
      </c>
      <c r="V122" s="160">
        <v>44140</v>
      </c>
    </row>
    <row r="123" spans="1:22" x14ac:dyDescent="0.3">
      <c r="A123" s="81" t="str">
        <f>'Crisis Indicator Data'!A121</f>
        <v>Refugees in Sudan</v>
      </c>
      <c r="B123" s="56" t="str">
        <f>Lists!G121</f>
        <v>Refugees</v>
      </c>
      <c r="C123" s="81" t="str">
        <f>'Crisis Indicator Data'!C121</f>
        <v>SDN005</v>
      </c>
      <c r="D123" s="81" t="str">
        <f>'Crisis Indicator Data'!D121</f>
        <v>Sudan</v>
      </c>
      <c r="E123" s="81" t="str">
        <f>'Crisis Indicator Data'!E121</f>
        <v>SDN</v>
      </c>
      <c r="F123" s="81" t="str">
        <f>'Crisis Indicator Data'!B121</f>
        <v>International displacement</v>
      </c>
      <c r="G123" s="53">
        <f t="shared" si="9"/>
        <v>3.8</v>
      </c>
      <c r="H123" s="82">
        <f t="shared" si="12"/>
        <v>4</v>
      </c>
      <c r="I123" s="151" t="str">
        <f t="shared" si="13"/>
        <v>High</v>
      </c>
      <c r="J123" s="153" t="str">
        <f>INDEX(Trends!$D$3:$D$400,MATCH(C123,Trends!$C$3:$C$400,0))</f>
        <v>Stable</v>
      </c>
      <c r="K123" s="143" t="str">
        <f>IF(Reliability!B121="x","x",(IF(ROUNDUP(Reliability!B121,0)=1,"Very High",IF(ROUNDUP(Reliability!B121,0)=2,"High",IF(ROUNDUP(Reliability!B121,0)=3,"Medium",IF(ROUNDUP(Reliability!B121,0)=4,"Low","Very Low"))))))</f>
        <v>Medium</v>
      </c>
      <c r="L123" s="55">
        <f t="shared" si="10"/>
        <v>3.5</v>
      </c>
      <c r="M123" s="83">
        <f>'Impact of the crisis'!N124</f>
        <v>0.6</v>
      </c>
      <c r="N123" s="83">
        <f>'Impact of the crisis'!AB124</f>
        <v>4.3</v>
      </c>
      <c r="O123" s="55">
        <f>'Conditions of people affected'!R124</f>
        <v>4.2</v>
      </c>
      <c r="P123" s="83">
        <f>'Conditions of people affected'!K124</f>
        <v>3.4</v>
      </c>
      <c r="Q123" s="83">
        <f>'Conditions of people affected'!Q124</f>
        <v>5</v>
      </c>
      <c r="R123" s="54">
        <f t="shared" si="11"/>
        <v>3.3</v>
      </c>
      <c r="S123" s="54">
        <f>'Complexity of the crisis'!X124</f>
        <v>3.9</v>
      </c>
      <c r="T123" s="54">
        <f>'Complexity of the crisis'!AN124</f>
        <v>2.5</v>
      </c>
      <c r="U123" s="159" t="str">
        <f>VLOOKUP(C123,Lists!$C$3:$E$167,3,FALSE)</f>
        <v>Africa</v>
      </c>
      <c r="V123" s="160">
        <v>44064</v>
      </c>
    </row>
    <row r="124" spans="1:22" x14ac:dyDescent="0.3">
      <c r="A124" s="81" t="str">
        <f>'Crisis Indicator Data'!A122</f>
        <v xml:space="preserve">Floods in Sudan </v>
      </c>
      <c r="B124" s="56" t="str">
        <f>Lists!G122</f>
        <v>Floods</v>
      </c>
      <c r="C124" s="81" t="str">
        <f>'Crisis Indicator Data'!C122</f>
        <v>SDN006</v>
      </c>
      <c r="D124" s="81" t="str">
        <f>'Crisis Indicator Data'!D122</f>
        <v>Sudan</v>
      </c>
      <c r="E124" s="81" t="str">
        <f>'Crisis Indicator Data'!E122</f>
        <v>SDN</v>
      </c>
      <c r="F124" s="81" t="str">
        <f>'Crisis Indicator Data'!B122</f>
        <v>Flood</v>
      </c>
      <c r="G124" s="53">
        <f t="shared" si="9"/>
        <v>2.6</v>
      </c>
      <c r="H124" s="82">
        <f t="shared" si="12"/>
        <v>3</v>
      </c>
      <c r="I124" s="151" t="str">
        <f t="shared" si="13"/>
        <v>Medium</v>
      </c>
      <c r="J124" s="153" t="str">
        <f>INDEX(Trends!$D$3:$D$400,MATCH(C124,Trends!$C$3:$C$400,0))</f>
        <v>-</v>
      </c>
      <c r="K124" s="143" t="str">
        <f>IF(Reliability!B122="x","x",(IF(ROUNDUP(Reliability!B122,0)=1,"Very High",IF(ROUNDUP(Reliability!B122,0)=2,"High",IF(ROUNDUP(Reliability!B122,0)=3,"Medium",IF(ROUNDUP(Reliability!B122,0)=4,"Low","Very Low"))))))</f>
        <v>High</v>
      </c>
      <c r="L124" s="55">
        <f t="shared" si="10"/>
        <v>3.8</v>
      </c>
      <c r="M124" s="83">
        <f>'Impact of the crisis'!N125</f>
        <v>4.8</v>
      </c>
      <c r="N124" s="83">
        <f>'Impact of the crisis'!AB125</f>
        <v>3.1</v>
      </c>
      <c r="O124" s="55">
        <f>'Conditions of people affected'!R125</f>
        <v>1.1000000000000001</v>
      </c>
      <c r="P124" s="83">
        <f>'Conditions of people affected'!K125</f>
        <v>1.2</v>
      </c>
      <c r="Q124" s="83">
        <f>'Conditions of people affected'!Q125</f>
        <v>1</v>
      </c>
      <c r="R124" s="54">
        <f t="shared" si="11"/>
        <v>3.5</v>
      </c>
      <c r="S124" s="54">
        <f>'Complexity of the crisis'!X125</f>
        <v>3.9</v>
      </c>
      <c r="T124" s="54">
        <f>'Complexity of the crisis'!AN125</f>
        <v>3</v>
      </c>
      <c r="U124" s="159" t="str">
        <f>VLOOKUP(C124,Lists!$C$3:$E$167,3,FALSE)</f>
        <v>Africa</v>
      </c>
      <c r="V124" s="160">
        <v>44140</v>
      </c>
    </row>
    <row r="125" spans="1:22" x14ac:dyDescent="0.3">
      <c r="A125" s="81" t="str">
        <f>'Crisis Indicator Data'!A123</f>
        <v>Syrian conflict</v>
      </c>
      <c r="B125" s="56" t="str">
        <f>Lists!G123</f>
        <v>Conflict</v>
      </c>
      <c r="C125" s="81" t="str">
        <f>'Crisis Indicator Data'!C123</f>
        <v>SYR001</v>
      </c>
      <c r="D125" s="81" t="str">
        <f>'Crisis Indicator Data'!D123</f>
        <v>Syria</v>
      </c>
      <c r="E125" s="81" t="str">
        <f>'Crisis Indicator Data'!E123</f>
        <v>SYR</v>
      </c>
      <c r="F125" s="81" t="str">
        <f>'Crisis Indicator Data'!B123</f>
        <v>Complex crisis</v>
      </c>
      <c r="G125" s="53">
        <f t="shared" si="9"/>
        <v>4.9000000000000004</v>
      </c>
      <c r="H125" s="82">
        <f t="shared" si="12"/>
        <v>5</v>
      </c>
      <c r="I125" s="151" t="str">
        <f t="shared" si="13"/>
        <v>Very High</v>
      </c>
      <c r="J125" s="153" t="str">
        <f>INDEX(Trends!$D$3:$D$400,MATCH(C125,Trends!$C$3:$C$400,0))</f>
        <v>Stable</v>
      </c>
      <c r="K125" s="143" t="str">
        <f>IF(Reliability!B123="x","x",(IF(ROUNDUP(Reliability!B123,0)=1,"Very High",IF(ROUNDUP(Reliability!B123,0)=2,"High",IF(ROUNDUP(Reliability!B123,0)=3,"Medium",IF(ROUNDUP(Reliability!B123,0)=4,"Low","Very Low"))))))</f>
        <v>Medium</v>
      </c>
      <c r="L125" s="55">
        <f t="shared" si="10"/>
        <v>4.8</v>
      </c>
      <c r="M125" s="83">
        <f>'Impact of the crisis'!N126</f>
        <v>4.5</v>
      </c>
      <c r="N125" s="83">
        <f>'Impact of the crisis'!AB126</f>
        <v>4.9000000000000004</v>
      </c>
      <c r="O125" s="55">
        <f>'Conditions of people affected'!R126</f>
        <v>5</v>
      </c>
      <c r="P125" s="83">
        <f>'Conditions of people affected'!K126</f>
        <v>5</v>
      </c>
      <c r="Q125" s="83">
        <f>'Conditions of people affected'!Q126</f>
        <v>5</v>
      </c>
      <c r="R125" s="54">
        <f t="shared" si="11"/>
        <v>4.8</v>
      </c>
      <c r="S125" s="54">
        <f>'Complexity of the crisis'!X126</f>
        <v>4.5</v>
      </c>
      <c r="T125" s="54">
        <f>'Complexity of the crisis'!AN126</f>
        <v>5</v>
      </c>
      <c r="U125" s="159" t="str">
        <f>VLOOKUP(C125,Lists!$C$3:$E$167,3,FALSE)</f>
        <v>Middle east</v>
      </c>
      <c r="V125" s="160">
        <v>44130</v>
      </c>
    </row>
    <row r="126" spans="1:22" x14ac:dyDescent="0.3">
      <c r="A126" s="81" t="str">
        <f>'Crisis Indicator Data'!A124</f>
        <v>Syrian Regional Crisis</v>
      </c>
      <c r="B126" s="56" t="str">
        <f>Lists!G124</f>
        <v>Syrian Regional Crisis</v>
      </c>
      <c r="C126" s="81" t="str">
        <f>'Crisis Indicator Data'!C124</f>
        <v>REG004</v>
      </c>
      <c r="D126" s="81" t="str">
        <f>'Crisis Indicator Data'!D124</f>
        <v>Syria, Turkey, Iraq, Egypt, Jordan, Lebanon</v>
      </c>
      <c r="E126" s="81" t="str">
        <f>'Crisis Indicator Data'!E124</f>
        <v>SYR, TUR, IRQ, EGY, JOR, LBN</v>
      </c>
      <c r="F126" s="81" t="str">
        <f>'Crisis Indicator Data'!B124</f>
        <v>Regional crisis</v>
      </c>
      <c r="G126" s="53">
        <f t="shared" si="9"/>
        <v>4.2</v>
      </c>
      <c r="H126" s="82">
        <f t="shared" si="12"/>
        <v>5</v>
      </c>
      <c r="I126" s="151" t="str">
        <f t="shared" si="13"/>
        <v>Very High</v>
      </c>
      <c r="J126" s="153" t="str">
        <f>INDEX(Trends!$D$3:$D$400,MATCH(C126,Trends!$C$3:$C$400,0))</f>
        <v>Stable</v>
      </c>
      <c r="K126" s="143" t="str">
        <f>IF(Reliability!B124="x","x",(IF(ROUNDUP(Reliability!B124,0)=1,"Very High",IF(ROUNDUP(Reliability!B124,0)=2,"High",IF(ROUNDUP(Reliability!B124,0)=3,"Medium",IF(ROUNDUP(Reliability!B124,0)=4,"Low","Very Low"))))))</f>
        <v>High</v>
      </c>
      <c r="L126" s="55">
        <f t="shared" si="10"/>
        <v>4</v>
      </c>
      <c r="M126" s="83">
        <f>'Impact of the crisis'!N127</f>
        <v>3.1</v>
      </c>
      <c r="N126" s="83">
        <f>'Impact of the crisis'!AB127</f>
        <v>4.3</v>
      </c>
      <c r="O126" s="55">
        <f>'Conditions of people affected'!R127</f>
        <v>4.5</v>
      </c>
      <c r="P126" s="83">
        <f>'Conditions of people affected'!K127</f>
        <v>5</v>
      </c>
      <c r="Q126" s="83">
        <f>'Conditions of people affected'!Q127</f>
        <v>4</v>
      </c>
      <c r="R126" s="54">
        <f t="shared" si="11"/>
        <v>3.8</v>
      </c>
      <c r="S126" s="54">
        <f>'Complexity of the crisis'!X127</f>
        <v>3.6</v>
      </c>
      <c r="T126" s="54">
        <f>'Complexity of the crisis'!AN127</f>
        <v>4</v>
      </c>
      <c r="U126" s="159" t="str">
        <f>VLOOKUP(C126,Lists!$C$3:$E$167,3,FALSE)</f>
        <v>Middle east</v>
      </c>
      <c r="V126" s="160">
        <v>44109</v>
      </c>
    </row>
    <row r="127" spans="1:22" x14ac:dyDescent="0.3">
      <c r="A127" s="81" t="str">
        <f>'Crisis Indicator Data'!A125</f>
        <v>International Displacement in Tanzania</v>
      </c>
      <c r="B127" s="56" t="str">
        <f>Lists!G125</f>
        <v>Refugees</v>
      </c>
      <c r="C127" s="81" t="str">
        <f>'Crisis Indicator Data'!C125</f>
        <v>TZA002</v>
      </c>
      <c r="D127" s="81" t="str">
        <f>'Crisis Indicator Data'!D125</f>
        <v>Tanzania</v>
      </c>
      <c r="E127" s="81" t="str">
        <f>'Crisis Indicator Data'!E125</f>
        <v>TZA</v>
      </c>
      <c r="F127" s="81" t="str">
        <f>'Crisis Indicator Data'!B125</f>
        <v>International displacement</v>
      </c>
      <c r="G127" s="53">
        <f t="shared" si="9"/>
        <v>1.7</v>
      </c>
      <c r="H127" s="82">
        <f t="shared" si="12"/>
        <v>2</v>
      </c>
      <c r="I127" s="151" t="str">
        <f t="shared" si="13"/>
        <v>Low</v>
      </c>
      <c r="J127" s="153" t="str">
        <f>INDEX(Trends!$D$3:$D$400,MATCH(C127,Trends!$C$3:$C$400,0))</f>
        <v>Increasing</v>
      </c>
      <c r="K127" s="143" t="str">
        <f>IF(Reliability!B125="x","x",(IF(ROUNDUP(Reliability!B125,0)=1,"Very High",IF(ROUNDUP(Reliability!B125,0)=2,"High",IF(ROUNDUP(Reliability!B125,0)=3,"Medium",IF(ROUNDUP(Reliability!B125,0)=4,"Low","Very Low"))))))</f>
        <v>High</v>
      </c>
      <c r="L127" s="55">
        <f t="shared" si="10"/>
        <v>2</v>
      </c>
      <c r="M127" s="83">
        <f>'Impact of the crisis'!N128</f>
        <v>2.2999999999999998</v>
      </c>
      <c r="N127" s="83">
        <f>'Impact of the crisis'!AB128</f>
        <v>1.9</v>
      </c>
      <c r="O127" s="55">
        <f>'Conditions of people affected'!R128</f>
        <v>1.7</v>
      </c>
      <c r="P127" s="83">
        <f>'Conditions of people affected'!K128</f>
        <v>2.4</v>
      </c>
      <c r="Q127" s="83">
        <f>'Conditions of people affected'!Q128</f>
        <v>1</v>
      </c>
      <c r="R127" s="54">
        <f t="shared" si="11"/>
        <v>1.6</v>
      </c>
      <c r="S127" s="54">
        <f>'Complexity of the crisis'!X128</f>
        <v>1.7</v>
      </c>
      <c r="T127" s="54">
        <f>'Complexity of the crisis'!AN128</f>
        <v>1.5</v>
      </c>
      <c r="U127" s="159" t="str">
        <f>VLOOKUP(C127,Lists!$C$3:$E$167,3,FALSE)</f>
        <v>Africa</v>
      </c>
      <c r="V127" s="160">
        <v>44134</v>
      </c>
    </row>
    <row r="128" spans="1:22" x14ac:dyDescent="0.3">
      <c r="A128" s="81" t="str">
        <f>'Crisis Indicator Data'!A126</f>
        <v>Multiple situations in Thailand</v>
      </c>
      <c r="B128" s="56" t="str">
        <f>Lists!G126</f>
        <v>Country level</v>
      </c>
      <c r="C128" s="81" t="str">
        <f>'Crisis Indicator Data'!C126</f>
        <v>THA001</v>
      </c>
      <c r="D128" s="81" t="str">
        <f>'Crisis Indicator Data'!D126</f>
        <v>Thailand</v>
      </c>
      <c r="E128" s="81" t="str">
        <f>'Crisis Indicator Data'!E126</f>
        <v>THA</v>
      </c>
      <c r="F128" s="81" t="str">
        <f>'Crisis Indicator Data'!B126</f>
        <v>Multiple crises country</v>
      </c>
      <c r="G128" s="53">
        <f t="shared" si="9"/>
        <v>2.1</v>
      </c>
      <c r="H128" s="82">
        <f t="shared" si="12"/>
        <v>3</v>
      </c>
      <c r="I128" s="151" t="str">
        <f t="shared" si="13"/>
        <v>Medium</v>
      </c>
      <c r="J128" s="153" t="str">
        <f>INDEX(Trends!$D$3:$D$400,MATCH(C128,Trends!$C$3:$C$400,0))</f>
        <v>Stable</v>
      </c>
      <c r="K128" s="143" t="str">
        <f>IF(Reliability!B126="x","x",(IF(ROUNDUP(Reliability!B126,0)=1,"Very High",IF(ROUNDUP(Reliability!B126,0)=2,"High",IF(ROUNDUP(Reliability!B126,0)=3,"Medium",IF(ROUNDUP(Reliability!B126,0)=4,"Low","Very Low"))))))</f>
        <v>High</v>
      </c>
      <c r="L128" s="55">
        <f t="shared" si="10"/>
        <v>2.6</v>
      </c>
      <c r="M128" s="83">
        <f>'Impact of the crisis'!N129</f>
        <v>1.2</v>
      </c>
      <c r="N128" s="83">
        <f>'Impact of the crisis'!AB129</f>
        <v>3.2</v>
      </c>
      <c r="O128" s="55">
        <f>'Conditions of people affected'!R129</f>
        <v>1.8</v>
      </c>
      <c r="P128" s="83">
        <f>'Conditions of people affected'!K129</f>
        <v>1.6</v>
      </c>
      <c r="Q128" s="83">
        <f>'Conditions of people affected'!Q129</f>
        <v>2</v>
      </c>
      <c r="R128" s="54">
        <f t="shared" si="11"/>
        <v>2.1</v>
      </c>
      <c r="S128" s="54">
        <f>'Complexity of the crisis'!X129</f>
        <v>2.6</v>
      </c>
      <c r="T128" s="54">
        <f>'Complexity of the crisis'!AN129</f>
        <v>1.5</v>
      </c>
      <c r="U128" s="159" t="str">
        <f>VLOOKUP(C128,Lists!$C$3:$E$167,3,FALSE)</f>
        <v>Asia</v>
      </c>
      <c r="V128" s="160">
        <v>44132</v>
      </c>
    </row>
    <row r="129" spans="1:22" x14ac:dyDescent="0.3">
      <c r="A129" s="81" t="str">
        <f>'Crisis Indicator Data'!A127</f>
        <v xml:space="preserve">Conflict in southern Thailand </v>
      </c>
      <c r="B129" s="56" t="str">
        <f>Lists!G127</f>
        <v>Conflict</v>
      </c>
      <c r="C129" s="81" t="str">
        <f>'Crisis Indicator Data'!C127</f>
        <v>THA002</v>
      </c>
      <c r="D129" s="81" t="str">
        <f>'Crisis Indicator Data'!D127</f>
        <v>Thailand</v>
      </c>
      <c r="E129" s="81" t="str">
        <f>'Crisis Indicator Data'!E127</f>
        <v>THA</v>
      </c>
      <c r="F129" s="81" t="str">
        <f>'Crisis Indicator Data'!B127</f>
        <v>Conflict</v>
      </c>
      <c r="G129" s="53" t="str">
        <f t="shared" si="9"/>
        <v>x</v>
      </c>
      <c r="H129" s="82" t="str">
        <f t="shared" si="12"/>
        <v>x</v>
      </c>
      <c r="I129" s="151" t="str">
        <f t="shared" si="13"/>
        <v>x</v>
      </c>
      <c r="J129" s="153" t="str">
        <f>INDEX(Trends!$D$3:$D$400,MATCH(C129,Trends!$C$3:$C$400,0))</f>
        <v>-</v>
      </c>
      <c r="K129" s="143" t="str">
        <f>IF(Reliability!B127="x","x",(IF(ROUNDUP(Reliability!B127,0)=1,"Very High",IF(ROUNDUP(Reliability!B127,0)=2,"High",IF(ROUNDUP(Reliability!B127,0)=3,"Medium",IF(ROUNDUP(Reliability!B127,0)=4,"Low","Very Low"))))))</f>
        <v>Low</v>
      </c>
      <c r="L129" s="55">
        <f t="shared" si="10"/>
        <v>2.6</v>
      </c>
      <c r="M129" s="83">
        <f>'Impact of the crisis'!N130</f>
        <v>1.1000000000000001</v>
      </c>
      <c r="N129" s="83">
        <f>'Impact of the crisis'!AB130</f>
        <v>3.2</v>
      </c>
      <c r="O129" s="55" t="str">
        <f>'Conditions of people affected'!R130</f>
        <v>x</v>
      </c>
      <c r="P129" s="83" t="str">
        <f>'Conditions of people affected'!K130</f>
        <v>x</v>
      </c>
      <c r="Q129" s="83" t="str">
        <f>'Conditions of people affected'!Q130</f>
        <v>x</v>
      </c>
      <c r="R129" s="54">
        <f t="shared" si="11"/>
        <v>1.9</v>
      </c>
      <c r="S129" s="54">
        <f>'Complexity of the crisis'!X130</f>
        <v>2.6</v>
      </c>
      <c r="T129" s="54">
        <f>'Complexity of the crisis'!AN130</f>
        <v>1</v>
      </c>
      <c r="U129" s="159" t="str">
        <f>VLOOKUP(C129,Lists!$C$3:$E$167,3,FALSE)</f>
        <v>Asia</v>
      </c>
      <c r="V129" s="160">
        <v>44132</v>
      </c>
    </row>
    <row r="130" spans="1:22" x14ac:dyDescent="0.3">
      <c r="A130" s="81" t="str">
        <f>'Crisis Indicator Data'!A128</f>
        <v>Myanmar refugees in Thailand</v>
      </c>
      <c r="B130" s="56" t="str">
        <f>Lists!G128</f>
        <v>Refugees</v>
      </c>
      <c r="C130" s="81" t="str">
        <f>'Crisis Indicator Data'!C128</f>
        <v>THA003</v>
      </c>
      <c r="D130" s="81" t="str">
        <f>'Crisis Indicator Data'!D128</f>
        <v>Thailand</v>
      </c>
      <c r="E130" s="81" t="str">
        <f>'Crisis Indicator Data'!E128</f>
        <v>THA</v>
      </c>
      <c r="F130" s="81" t="str">
        <f>'Crisis Indicator Data'!B128</f>
        <v>International displacement</v>
      </c>
      <c r="G130" s="53">
        <f t="shared" si="9"/>
        <v>2.2000000000000002</v>
      </c>
      <c r="H130" s="82">
        <f t="shared" si="12"/>
        <v>3</v>
      </c>
      <c r="I130" s="151" t="str">
        <f t="shared" si="13"/>
        <v>Medium</v>
      </c>
      <c r="J130" s="153" t="str">
        <f>INDEX(Trends!$D$3:$D$400,MATCH(C130,Trends!$C$3:$C$400,0))</f>
        <v>Increasing</v>
      </c>
      <c r="K130" s="143" t="str">
        <f>IF(Reliability!B128="x","x",(IF(ROUNDUP(Reliability!B128,0)=1,"Very High",IF(ROUNDUP(Reliability!B128,0)=2,"High",IF(ROUNDUP(Reliability!B128,0)=3,"Medium",IF(ROUNDUP(Reliability!B128,0)=4,"Low","Very Low"))))))</f>
        <v>High</v>
      </c>
      <c r="L130" s="55">
        <f t="shared" si="10"/>
        <v>2.5</v>
      </c>
      <c r="M130" s="83">
        <f>'Impact of the crisis'!N131</f>
        <v>0</v>
      </c>
      <c r="N130" s="83">
        <f>'Impact of the crisis'!AB131</f>
        <v>3.4</v>
      </c>
      <c r="O130" s="55">
        <f>'Conditions of people affected'!R131</f>
        <v>2.2999999999999998</v>
      </c>
      <c r="P130" s="83">
        <f>'Conditions of people affected'!K131</f>
        <v>1.6</v>
      </c>
      <c r="Q130" s="83">
        <f>'Conditions of people affected'!Q131</f>
        <v>3</v>
      </c>
      <c r="R130" s="54">
        <f t="shared" si="11"/>
        <v>1.9</v>
      </c>
      <c r="S130" s="54">
        <f>'Complexity of the crisis'!X131</f>
        <v>2.6</v>
      </c>
      <c r="T130" s="54">
        <f>'Complexity of the crisis'!AN131</f>
        <v>1</v>
      </c>
      <c r="U130" s="159" t="str">
        <f>VLOOKUP(C130,Lists!$C$3:$E$167,3,FALSE)</f>
        <v>Asia</v>
      </c>
      <c r="V130" s="160">
        <v>44132</v>
      </c>
    </row>
    <row r="131" spans="1:22" x14ac:dyDescent="0.3">
      <c r="A131" s="81" t="str">
        <f>'Crisis Indicator Data'!A129</f>
        <v>Venezuelan refugees in Trinidad and Tobago</v>
      </c>
      <c r="B131" s="56" t="str">
        <f>Lists!G129</f>
        <v>Venezuelan refugees</v>
      </c>
      <c r="C131" s="81" t="str">
        <f>'Crisis Indicator Data'!C129</f>
        <v>TTO002</v>
      </c>
      <c r="D131" s="81" t="str">
        <f>'Crisis Indicator Data'!D129</f>
        <v>Trinidad and Tobago</v>
      </c>
      <c r="E131" s="81" t="str">
        <f>'Crisis Indicator Data'!E129</f>
        <v>TTO</v>
      </c>
      <c r="F131" s="81" t="str">
        <f>'Crisis Indicator Data'!B129</f>
        <v>International displacement</v>
      </c>
      <c r="G131" s="53">
        <f t="shared" si="9"/>
        <v>1.5</v>
      </c>
      <c r="H131" s="82">
        <f t="shared" si="12"/>
        <v>2</v>
      </c>
      <c r="I131" s="151" t="str">
        <f t="shared" si="13"/>
        <v>Low</v>
      </c>
      <c r="J131" s="153" t="str">
        <f>INDEX(Trends!$D$3:$D$400,MATCH(C131,Trends!$C$3:$C$400,0))</f>
        <v>Stable</v>
      </c>
      <c r="K131" s="143" t="str">
        <f>IF(Reliability!B129="x","x",(IF(ROUNDUP(Reliability!B129,0)=1,"Very High",IF(ROUNDUP(Reliability!B129,0)=2,"High",IF(ROUNDUP(Reliability!B129,0)=3,"Medium",IF(ROUNDUP(Reliability!B129,0)=4,"Low","Very Low"))))))</f>
        <v>Medium</v>
      </c>
      <c r="L131" s="55">
        <f t="shared" si="10"/>
        <v>2</v>
      </c>
      <c r="M131" s="83">
        <f>'Impact of the crisis'!N132</f>
        <v>2.9</v>
      </c>
      <c r="N131" s="83">
        <f>'Impact of the crisis'!AB132</f>
        <v>1.4</v>
      </c>
      <c r="O131" s="55">
        <f>'Conditions of people affected'!R132</f>
        <v>1.1499999999999999</v>
      </c>
      <c r="P131" s="83">
        <f>'Conditions of people affected'!K132</f>
        <v>1.3</v>
      </c>
      <c r="Q131" s="83">
        <f>'Conditions of people affected'!Q132</f>
        <v>1</v>
      </c>
      <c r="R131" s="54">
        <f t="shared" si="11"/>
        <v>1.5</v>
      </c>
      <c r="S131" s="54">
        <f>'Complexity of the crisis'!X132</f>
        <v>1.4</v>
      </c>
      <c r="T131" s="54">
        <f>'Complexity of the crisis'!AN132</f>
        <v>1.5</v>
      </c>
      <c r="U131" s="159" t="str">
        <f>VLOOKUP(C131,Lists!$C$3:$E$167,3,FALSE)</f>
        <v>Americas</v>
      </c>
      <c r="V131" s="160">
        <v>44110</v>
      </c>
    </row>
    <row r="132" spans="1:22" x14ac:dyDescent="0.3">
      <c r="A132" s="81" t="str">
        <f>'Crisis Indicator Data'!A130</f>
        <v>Mixed migration flows in Tunisia</v>
      </c>
      <c r="B132" s="56" t="str">
        <f>Lists!G130</f>
        <v>Mixed Migration</v>
      </c>
      <c r="C132" s="81" t="str">
        <f>'Crisis Indicator Data'!C130</f>
        <v>TUN002</v>
      </c>
      <c r="D132" s="81" t="str">
        <f>'Crisis Indicator Data'!D130</f>
        <v>Tunisia</v>
      </c>
      <c r="E132" s="81" t="str">
        <f>'Crisis Indicator Data'!E130</f>
        <v>TUN</v>
      </c>
      <c r="F132" s="81" t="str">
        <f>'Crisis Indicator Data'!B130</f>
        <v>International displacement</v>
      </c>
      <c r="G132" s="53" t="str">
        <f t="shared" si="9"/>
        <v>x</v>
      </c>
      <c r="H132" s="82" t="str">
        <f t="shared" si="12"/>
        <v>x</v>
      </c>
      <c r="I132" s="151" t="str">
        <f t="shared" si="13"/>
        <v>x</v>
      </c>
      <c r="J132" s="153" t="str">
        <f>INDEX(Trends!$D$3:$D$400,MATCH(C132,Trends!$C$3:$C$400,0))</f>
        <v>-</v>
      </c>
      <c r="K132" s="143" t="str">
        <f>IF(Reliability!B130="x","x",(IF(ROUNDUP(Reliability!B130,0)=1,"Very High",IF(ROUNDUP(Reliability!B130,0)=2,"High",IF(ROUNDUP(Reliability!B130,0)=3,"Medium",IF(ROUNDUP(Reliability!B130,0)=4,"Low","Very Low"))))))</f>
        <v>Low</v>
      </c>
      <c r="L132" s="55">
        <f t="shared" si="10"/>
        <v>3.5</v>
      </c>
      <c r="M132" s="83">
        <f>'Impact of the crisis'!N133</f>
        <v>4.3</v>
      </c>
      <c r="N132" s="83">
        <f>'Impact of the crisis'!AB133</f>
        <v>3</v>
      </c>
      <c r="O132" s="55" t="str">
        <f>'Conditions of people affected'!R133</f>
        <v>x</v>
      </c>
      <c r="P132" s="83" t="str">
        <f>'Conditions of people affected'!K133</f>
        <v>x</v>
      </c>
      <c r="Q132" s="83" t="str">
        <f>'Conditions of people affected'!Q133</f>
        <v>x</v>
      </c>
      <c r="R132" s="54">
        <f t="shared" si="11"/>
        <v>1.4</v>
      </c>
      <c r="S132" s="54">
        <f>'Complexity of the crisis'!X133</f>
        <v>2.2000000000000002</v>
      </c>
      <c r="T132" s="54">
        <f>'Complexity of the crisis'!AN133</f>
        <v>0.5</v>
      </c>
      <c r="U132" s="159" t="str">
        <f>VLOOKUP(C132,Lists!$C$3:$E$167,3,FALSE)</f>
        <v>Africa</v>
      </c>
      <c r="V132" s="160">
        <v>44137</v>
      </c>
    </row>
    <row r="133" spans="1:22" x14ac:dyDescent="0.3">
      <c r="A133" s="81" t="str">
        <f>'Crisis Indicator Data'!A131</f>
        <v>Complex situation in Turkey</v>
      </c>
      <c r="B133" s="56" t="str">
        <f>Lists!G131</f>
        <v>Country level</v>
      </c>
      <c r="C133" s="81" t="str">
        <f>'Crisis Indicator Data'!C131</f>
        <v>TUR001</v>
      </c>
      <c r="D133" s="81" t="str">
        <f>'Crisis Indicator Data'!D131</f>
        <v>Turkey</v>
      </c>
      <c r="E133" s="81" t="str">
        <f>'Crisis Indicator Data'!E131</f>
        <v>TUR</v>
      </c>
      <c r="F133" s="81" t="str">
        <f>'Crisis Indicator Data'!B131</f>
        <v>Multiple crises country</v>
      </c>
      <c r="G133" s="53">
        <f t="shared" si="9"/>
        <v>3.2</v>
      </c>
      <c r="H133" s="82">
        <f t="shared" ref="H133:H143" si="14">IF(G133="x","x",ROUNDUP(G133,0))</f>
        <v>4</v>
      </c>
      <c r="I133" s="151" t="str">
        <f t="shared" ref="I133:I143" si="15">IF(O133="x","x",IF(L133="x","x",(IF(H133=5,"Very High",IF(H133=4,"High",IF(H133=3,"Medium",IF(H133=2,"Low","Very Low")))))))</f>
        <v>High</v>
      </c>
      <c r="J133" s="153" t="str">
        <f>INDEX(Trends!$D$3:$D$400,MATCH(C133,Trends!$C$3:$C$400,0))</f>
        <v>Stable</v>
      </c>
      <c r="K133" s="143" t="str">
        <f>IF(Reliability!B131="x","x",(IF(ROUNDUP(Reliability!B131,0)=1,"Very High",IF(ROUNDUP(Reliability!B131,0)=2,"High",IF(ROUNDUP(Reliability!B131,0)=3,"Medium",IF(ROUNDUP(Reliability!B131,0)=4,"Low","Very Low"))))))</f>
        <v>High</v>
      </c>
      <c r="L133" s="55">
        <f t="shared" si="10"/>
        <v>3.7</v>
      </c>
      <c r="M133" s="83">
        <f>'Impact of the crisis'!N134</f>
        <v>3.8</v>
      </c>
      <c r="N133" s="83">
        <f>'Impact of the crisis'!AB134</f>
        <v>3.7</v>
      </c>
      <c r="O133" s="55">
        <f>'Conditions of people affected'!R134</f>
        <v>2.95</v>
      </c>
      <c r="P133" s="83">
        <f>'Conditions of people affected'!K134</f>
        <v>3.9</v>
      </c>
      <c r="Q133" s="83">
        <f>'Conditions of people affected'!Q134</f>
        <v>2</v>
      </c>
      <c r="R133" s="54">
        <f t="shared" si="11"/>
        <v>3.2</v>
      </c>
      <c r="S133" s="54">
        <f>'Complexity of the crisis'!X134</f>
        <v>3.4</v>
      </c>
      <c r="T133" s="54">
        <f>'Complexity of the crisis'!AN134</f>
        <v>3</v>
      </c>
      <c r="U133" s="159" t="str">
        <f>VLOOKUP(C133,Lists!$C$3:$E$167,3,FALSE)</f>
        <v>Middle east</v>
      </c>
      <c r="V133" s="160">
        <v>44139</v>
      </c>
    </row>
    <row r="134" spans="1:22" x14ac:dyDescent="0.3">
      <c r="A134" s="81" t="str">
        <f>'Crisis Indicator Data'!A132</f>
        <v>Syrian Refugees in Turkey</v>
      </c>
      <c r="B134" s="56" t="str">
        <f>Lists!G132</f>
        <v>Syrian refugees</v>
      </c>
      <c r="C134" s="81" t="str">
        <f>'Crisis Indicator Data'!C132</f>
        <v>TUR002</v>
      </c>
      <c r="D134" s="81" t="str">
        <f>'Crisis Indicator Data'!D132</f>
        <v>Turkey</v>
      </c>
      <c r="E134" s="81" t="str">
        <f>'Crisis Indicator Data'!E132</f>
        <v>TUR</v>
      </c>
      <c r="F134" s="81" t="str">
        <f>'Crisis Indicator Data'!B132</f>
        <v>International displacement</v>
      </c>
      <c r="G134" s="53">
        <f t="shared" ref="G134:G143" si="16">IF(OR(O134="x",L134="x"),"x",ROUND((5-GEOMEAN(((5-L134)/5*4+1),((5-O134)/5*4+1),((5-O134)/5*4+1)))/4*3.5+R134*0.3,1))</f>
        <v>3.3</v>
      </c>
      <c r="H134" s="82">
        <f t="shared" si="14"/>
        <v>4</v>
      </c>
      <c r="I134" s="151" t="str">
        <f t="shared" si="15"/>
        <v>High</v>
      </c>
      <c r="J134" s="153" t="str">
        <f>INDEX(Trends!$D$3:$D$400,MATCH(C134,Trends!$C$3:$C$400,0))</f>
        <v>Stable</v>
      </c>
      <c r="K134" s="143" t="str">
        <f>IF(Reliability!B132="x","x",(IF(ROUNDUP(Reliability!B132,0)=1,"Very High",IF(ROUNDUP(Reliability!B132,0)=2,"High",IF(ROUNDUP(Reliability!B132,0)=3,"Medium",IF(ROUNDUP(Reliability!B132,0)=4,"Low","Very Low"))))))</f>
        <v>High</v>
      </c>
      <c r="L134" s="55">
        <f t="shared" ref="L134:L143" si="17">IF(OR(N134="x",M134="x"),"x",ROUND((5-GEOMEAN(((5-M134)/5*4+1),((5-N134)/5*4+1),((5-N134)/5*4+1)))/4*5,1))</f>
        <v>3.6</v>
      </c>
      <c r="M134" s="83">
        <f>'Impact of the crisis'!N135</f>
        <v>2.9</v>
      </c>
      <c r="N134" s="83">
        <f>'Impact of the crisis'!AB135</f>
        <v>3.9</v>
      </c>
      <c r="O134" s="55">
        <f>'Conditions of people affected'!R135</f>
        <v>3.4</v>
      </c>
      <c r="P134" s="83">
        <f>'Conditions of people affected'!K135</f>
        <v>3.8</v>
      </c>
      <c r="Q134" s="83">
        <f>'Conditions of people affected'!Q135</f>
        <v>3</v>
      </c>
      <c r="R134" s="54">
        <f t="shared" ref="R134:R143" si="18">IF(OR(T134="x",S134="x"),S134,ROUND((5-GEOMEAN(((5-S134)/5*4+1),((5-T134)/5*4+1)))/4*5,1))</f>
        <v>2.8</v>
      </c>
      <c r="S134" s="54">
        <f>'Complexity of the crisis'!X135</f>
        <v>3.4</v>
      </c>
      <c r="T134" s="54">
        <f>'Complexity of the crisis'!AN135</f>
        <v>2</v>
      </c>
      <c r="U134" s="159" t="str">
        <f>VLOOKUP(C134,Lists!$C$3:$E$167,3,FALSE)</f>
        <v>Middle east</v>
      </c>
      <c r="V134" s="160">
        <v>44139</v>
      </c>
    </row>
    <row r="135" spans="1:22" x14ac:dyDescent="0.3">
      <c r="A135" s="81" t="str">
        <f>'Crisis Indicator Data'!A133</f>
        <v>Mixed Migration Flows in Turkey</v>
      </c>
      <c r="B135" s="56" t="str">
        <f>Lists!G133</f>
        <v>Mixed Migration</v>
      </c>
      <c r="C135" s="81" t="str">
        <f>'Crisis Indicator Data'!C133</f>
        <v>TUR003</v>
      </c>
      <c r="D135" s="81" t="str">
        <f>'Crisis Indicator Data'!D133</f>
        <v>Turkey</v>
      </c>
      <c r="E135" s="81" t="str">
        <f>'Crisis Indicator Data'!E133</f>
        <v>TUR</v>
      </c>
      <c r="F135" s="81" t="str">
        <f>'Crisis Indicator Data'!B133</f>
        <v>International displacement</v>
      </c>
      <c r="G135" s="53">
        <f t="shared" si="16"/>
        <v>3.2</v>
      </c>
      <c r="H135" s="82">
        <f t="shared" si="14"/>
        <v>4</v>
      </c>
      <c r="I135" s="151" t="str">
        <f t="shared" si="15"/>
        <v>High</v>
      </c>
      <c r="J135" s="153" t="str">
        <f>INDEX(Trends!$D$3:$D$400,MATCH(C135,Trends!$C$3:$C$400,0))</f>
        <v>Stable</v>
      </c>
      <c r="K135" s="143" t="str">
        <f>IF(Reliability!B133="x","x",(IF(ROUNDUP(Reliability!B133,0)=1,"Very High",IF(ROUNDUP(Reliability!B133,0)=2,"High",IF(ROUNDUP(Reliability!B133,0)=3,"Medium",IF(ROUNDUP(Reliability!B133,0)=4,"Low","Very Low"))))))</f>
        <v>High</v>
      </c>
      <c r="L135" s="55">
        <f t="shared" si="17"/>
        <v>3.1</v>
      </c>
      <c r="M135" s="83">
        <f>'Impact of the crisis'!N136</f>
        <v>3.1</v>
      </c>
      <c r="N135" s="83">
        <f>'Impact of the crisis'!AB136</f>
        <v>3.1</v>
      </c>
      <c r="O135" s="55">
        <f>'Conditions of people affected'!R136</f>
        <v>3.45</v>
      </c>
      <c r="P135" s="83">
        <f>'Conditions of people affected'!K136</f>
        <v>3.9</v>
      </c>
      <c r="Q135" s="83">
        <f>'Conditions of people affected'!Q136</f>
        <v>3</v>
      </c>
      <c r="R135" s="54">
        <f t="shared" si="18"/>
        <v>2.8</v>
      </c>
      <c r="S135" s="54">
        <f>'Complexity of the crisis'!X136</f>
        <v>3.4</v>
      </c>
      <c r="T135" s="54">
        <f>'Complexity of the crisis'!AN136</f>
        <v>2</v>
      </c>
      <c r="U135" s="159" t="str">
        <f>VLOOKUP(C135,Lists!$C$3:$E$167,3,FALSE)</f>
        <v>Middle east</v>
      </c>
      <c r="V135" s="160">
        <v>44140</v>
      </c>
    </row>
    <row r="136" spans="1:22" x14ac:dyDescent="0.3">
      <c r="A136" s="81" t="str">
        <f>'Crisis Indicator Data'!A134</f>
        <v>Kurdish Conflict</v>
      </c>
      <c r="B136" s="56" t="str">
        <f>Lists!G134</f>
        <v>Kurdish conflict</v>
      </c>
      <c r="C136" s="81" t="str">
        <f>'Crisis Indicator Data'!C134</f>
        <v>TUR004</v>
      </c>
      <c r="D136" s="81" t="str">
        <f>'Crisis Indicator Data'!D134</f>
        <v>Turkey</v>
      </c>
      <c r="E136" s="81" t="str">
        <f>'Crisis Indicator Data'!E134</f>
        <v>TUR</v>
      </c>
      <c r="F136" s="81" t="str">
        <f>'Crisis Indicator Data'!B134</f>
        <v>Conflict</v>
      </c>
      <c r="G136" s="53" t="str">
        <f t="shared" si="16"/>
        <v>x</v>
      </c>
      <c r="H136" s="82" t="str">
        <f t="shared" si="14"/>
        <v>x</v>
      </c>
      <c r="I136" s="151" t="str">
        <f t="shared" si="15"/>
        <v>x</v>
      </c>
      <c r="J136" s="153" t="str">
        <f>INDEX(Trends!$D$3:$D$400,MATCH(C136,Trends!$C$3:$C$400,0))</f>
        <v>-</v>
      </c>
      <c r="K136" s="143" t="str">
        <f>IF(Reliability!B134="x","x",(IF(ROUNDUP(Reliability!B134,0)=1,"Very High",IF(ROUNDUP(Reliability!B134,0)=2,"High",IF(ROUNDUP(Reliability!B134,0)=3,"Medium",IF(ROUNDUP(Reliability!B134,0)=4,"Low","Very Low"))))))</f>
        <v>Medium</v>
      </c>
      <c r="L136" s="55">
        <f t="shared" si="17"/>
        <v>3.3</v>
      </c>
      <c r="M136" s="83">
        <f>'Impact of the crisis'!N137</f>
        <v>2.4</v>
      </c>
      <c r="N136" s="83">
        <f>'Impact of the crisis'!AB137</f>
        <v>3.7</v>
      </c>
      <c r="O136" s="55" t="str">
        <f>'Conditions of people affected'!R137</f>
        <v>x</v>
      </c>
      <c r="P136" s="83" t="str">
        <f>'Conditions of people affected'!K137</f>
        <v>x</v>
      </c>
      <c r="Q136" s="83" t="str">
        <f>'Conditions of people affected'!Q137</f>
        <v>x</v>
      </c>
      <c r="R136" s="54">
        <f t="shared" si="18"/>
        <v>3.2</v>
      </c>
      <c r="S136" s="54">
        <f>'Complexity of the crisis'!X137</f>
        <v>3.4</v>
      </c>
      <c r="T136" s="54">
        <f>'Complexity of the crisis'!AN137</f>
        <v>3</v>
      </c>
      <c r="U136" s="159" t="str">
        <f>VLOOKUP(C136,Lists!$C$3:$E$167,3,FALSE)</f>
        <v>Middle east</v>
      </c>
      <c r="V136" s="160">
        <v>44140</v>
      </c>
    </row>
    <row r="137" spans="1:22" x14ac:dyDescent="0.3">
      <c r="A137" s="81" t="str">
        <f>'Crisis Indicator Data'!A135</f>
        <v xml:space="preserve">Eastern Mediterranean Route </v>
      </c>
      <c r="B137" s="56" t="str">
        <f>Lists!G135</f>
        <v xml:space="preserve">Eastern Mediterranean Route </v>
      </c>
      <c r="C137" s="81" t="str">
        <f>'Crisis Indicator Data'!C135</f>
        <v>REG006</v>
      </c>
      <c r="D137" s="81" t="str">
        <f>'Crisis Indicator Data'!D135</f>
        <v>Turkey, Greece</v>
      </c>
      <c r="E137" s="81" t="str">
        <f>'Crisis Indicator Data'!E135</f>
        <v>TUR, GRC</v>
      </c>
      <c r="F137" s="81" t="str">
        <f>'Crisis Indicator Data'!B135</f>
        <v>Regional crisis</v>
      </c>
      <c r="G137" s="53" t="str">
        <f t="shared" si="16"/>
        <v>x</v>
      </c>
      <c r="H137" s="82" t="str">
        <f t="shared" si="14"/>
        <v>x</v>
      </c>
      <c r="I137" s="151" t="str">
        <f t="shared" si="15"/>
        <v>x</v>
      </c>
      <c r="J137" s="153" t="str">
        <f>INDEX(Trends!$D$3:$D$400,MATCH(C137,Trends!$C$3:$C$400,0))</f>
        <v>-</v>
      </c>
      <c r="K137" s="143" t="str">
        <f>IF(Reliability!B135="x","x",(IF(ROUNDUP(Reliability!B135,0)=1,"Very High",IF(ROUNDUP(Reliability!B135,0)=2,"High",IF(ROUNDUP(Reliability!B135,0)=3,"Medium",IF(ROUNDUP(Reliability!B135,0)=4,"Low","Very Low"))))))</f>
        <v>Very Low</v>
      </c>
      <c r="L137" s="55" t="str">
        <f t="shared" si="17"/>
        <v>x</v>
      </c>
      <c r="M137" s="83" t="str">
        <f>'Impact of the crisis'!N138</f>
        <v>x</v>
      </c>
      <c r="N137" s="83">
        <f>'Impact of the crisis'!AB138</f>
        <v>2</v>
      </c>
      <c r="O137" s="55" t="str">
        <f>'Conditions of people affected'!R138</f>
        <v>x</v>
      </c>
      <c r="P137" s="83" t="str">
        <f>'Conditions of people affected'!K138</f>
        <v>x</v>
      </c>
      <c r="Q137" s="83" t="str">
        <f>'Conditions of people affected'!Q138</f>
        <v>x</v>
      </c>
      <c r="R137" s="54">
        <f t="shared" si="18"/>
        <v>2.2999999999999998</v>
      </c>
      <c r="S137" s="54">
        <f>'Complexity of the crisis'!X138</f>
        <v>2.5</v>
      </c>
      <c r="T137" s="54">
        <f>'Complexity of the crisis'!AN138</f>
        <v>2</v>
      </c>
      <c r="U137" s="159" t="str">
        <f>VLOOKUP(C137,Lists!$C$3:$E$167,3,FALSE)</f>
        <v>Europe</v>
      </c>
      <c r="V137" s="160">
        <v>44140</v>
      </c>
    </row>
    <row r="138" spans="1:22" x14ac:dyDescent="0.3">
      <c r="A138" s="81" t="str">
        <f>'Crisis Indicator Data'!A136</f>
        <v>Multiple crises in Uganda</v>
      </c>
      <c r="B138" s="56" t="str">
        <f>Lists!G136</f>
        <v>Country level</v>
      </c>
      <c r="C138" s="81" t="str">
        <f>'Crisis Indicator Data'!C136</f>
        <v>UGA001</v>
      </c>
      <c r="D138" s="81" t="str">
        <f>'Crisis Indicator Data'!D136</f>
        <v>Uganda</v>
      </c>
      <c r="E138" s="81" t="str">
        <f>'Crisis Indicator Data'!E136</f>
        <v>UGA</v>
      </c>
      <c r="F138" s="81" t="str">
        <f>'Crisis Indicator Data'!B136</f>
        <v>Multiple crises country</v>
      </c>
      <c r="G138" s="53">
        <f t="shared" si="16"/>
        <v>2.9</v>
      </c>
      <c r="H138" s="82">
        <f t="shared" si="14"/>
        <v>3</v>
      </c>
      <c r="I138" s="151" t="str">
        <f t="shared" si="15"/>
        <v>Medium</v>
      </c>
      <c r="J138" s="153" t="str">
        <f>INDEX(Trends!$D$3:$D$400,MATCH(C138,Trends!$C$3:$C$400,0))</f>
        <v>Stable</v>
      </c>
      <c r="K138" s="143" t="str">
        <f>IF(Reliability!B136="x","x",(IF(ROUNDUP(Reliability!B136,0)=1,"Very High",IF(ROUNDUP(Reliability!B136,0)=2,"High",IF(ROUNDUP(Reliability!B136,0)=3,"Medium",IF(ROUNDUP(Reliability!B136,0)=4,"Low","Very Low"))))))</f>
        <v>High</v>
      </c>
      <c r="L138" s="55">
        <f t="shared" si="17"/>
        <v>3.2</v>
      </c>
      <c r="M138" s="83">
        <f>'Impact of the crisis'!N139</f>
        <v>2.9</v>
      </c>
      <c r="N138" s="83">
        <f>'Impact of the crisis'!AB139</f>
        <v>3.3</v>
      </c>
      <c r="O138" s="55">
        <f>'Conditions of people affected'!R139</f>
        <v>3.3</v>
      </c>
      <c r="P138" s="83">
        <f>'Conditions of people affected'!K139</f>
        <v>3.6</v>
      </c>
      <c r="Q138" s="83">
        <f>'Conditions of people affected'!Q139</f>
        <v>3</v>
      </c>
      <c r="R138" s="54">
        <f t="shared" si="18"/>
        <v>2.1</v>
      </c>
      <c r="S138" s="54">
        <f>'Complexity of the crisis'!X139</f>
        <v>2.7</v>
      </c>
      <c r="T138" s="54">
        <f>'Complexity of the crisis'!AN139</f>
        <v>1.5</v>
      </c>
      <c r="U138" s="159" t="str">
        <f>VLOOKUP(C138,Lists!$C$3:$E$167,3,FALSE)</f>
        <v>Africa</v>
      </c>
      <c r="V138" s="160">
        <v>44140</v>
      </c>
    </row>
    <row r="139" spans="1:22" x14ac:dyDescent="0.3">
      <c r="A139" s="85" t="str">
        <f>'Crisis Indicator Data'!A137</f>
        <v>International Displacement in Uganda</v>
      </c>
      <c r="B139" s="56" t="str">
        <f>Lists!G137</f>
        <v>Refugees</v>
      </c>
      <c r="C139" s="85" t="str">
        <f>'Crisis Indicator Data'!C137</f>
        <v>UGA005</v>
      </c>
      <c r="D139" s="85" t="str">
        <f>'Crisis Indicator Data'!D137</f>
        <v>Uganda</v>
      </c>
      <c r="E139" s="85" t="str">
        <f>'Crisis Indicator Data'!E137</f>
        <v>UGA</v>
      </c>
      <c r="F139" s="85" t="str">
        <f>'Crisis Indicator Data'!B137</f>
        <v>International displacement</v>
      </c>
      <c r="G139" s="53">
        <f t="shared" si="16"/>
        <v>2.9</v>
      </c>
      <c r="H139" s="86">
        <f t="shared" si="14"/>
        <v>3</v>
      </c>
      <c r="I139" s="152" t="str">
        <f t="shared" si="15"/>
        <v>Medium</v>
      </c>
      <c r="J139" s="153" t="str">
        <f>INDEX(Trends!$D$3:$D$400,MATCH(C139,Trends!$C$3:$C$400,0))</f>
        <v>Stable</v>
      </c>
      <c r="K139" s="143" t="str">
        <f>IF(Reliability!B137="x","x",(IF(ROUNDUP(Reliability!B137,0)=1,"Very High",IF(ROUNDUP(Reliability!B137,0)=2,"High",IF(ROUNDUP(Reliability!B137,0)=3,"Medium",IF(ROUNDUP(Reliability!B137,0)=4,"Low","Very Low"))))))</f>
        <v>High</v>
      </c>
      <c r="L139" s="55">
        <f t="shared" si="17"/>
        <v>3.3</v>
      </c>
      <c r="M139" s="87">
        <f>'Impact of the crisis'!N140</f>
        <v>2.1</v>
      </c>
      <c r="N139" s="87">
        <f>'Impact of the crisis'!AB140</f>
        <v>3.7</v>
      </c>
      <c r="O139" s="55">
        <f>'Conditions of people affected'!R140</f>
        <v>3.3</v>
      </c>
      <c r="P139" s="87">
        <f>'Conditions of people affected'!K140</f>
        <v>3.6</v>
      </c>
      <c r="Q139" s="87">
        <f>'Conditions of people affected'!Q140</f>
        <v>3</v>
      </c>
      <c r="R139" s="54">
        <f t="shared" si="18"/>
        <v>2.1</v>
      </c>
      <c r="S139" s="54">
        <f>'Complexity of the crisis'!X140</f>
        <v>2.7</v>
      </c>
      <c r="T139" s="54">
        <f>'Complexity of the crisis'!AN140</f>
        <v>1.5</v>
      </c>
      <c r="U139" s="159" t="str">
        <f>VLOOKUP(C139,Lists!$C$3:$E$167,3,FALSE)</f>
        <v>Africa</v>
      </c>
      <c r="V139" s="160">
        <v>44064</v>
      </c>
    </row>
    <row r="140" spans="1:22" x14ac:dyDescent="0.3">
      <c r="A140" s="85" t="str">
        <f>'Crisis Indicator Data'!A138</f>
        <v>Floods and Landslides in Uganda</v>
      </c>
      <c r="B140" s="56" t="str">
        <f>Lists!G138</f>
        <v>Floods and Landslides</v>
      </c>
      <c r="C140" s="85" t="str">
        <f>'Crisis Indicator Data'!C138</f>
        <v>UGA006</v>
      </c>
      <c r="D140" s="85" t="str">
        <f>'Crisis Indicator Data'!D138</f>
        <v>Uganda</v>
      </c>
      <c r="E140" s="85" t="str">
        <f>'Crisis Indicator Data'!E138</f>
        <v>UGA</v>
      </c>
      <c r="F140" s="85" t="str">
        <f>'Crisis Indicator Data'!B138</f>
        <v>Flood</v>
      </c>
      <c r="G140" s="53" t="str">
        <f t="shared" si="16"/>
        <v>x</v>
      </c>
      <c r="H140" s="86" t="str">
        <f t="shared" si="14"/>
        <v>x</v>
      </c>
      <c r="I140" s="152" t="str">
        <f t="shared" si="15"/>
        <v>x</v>
      </c>
      <c r="J140" s="153" t="str">
        <f>INDEX(Trends!$D$3:$D$400,MATCH(C140,Trends!$C$3:$C$400,0))</f>
        <v>-</v>
      </c>
      <c r="K140" s="143" t="str">
        <f>IF(Reliability!B138="x","x",(IF(ROUNDUP(Reliability!B138,0)=1,"Very High",IF(ROUNDUP(Reliability!B138,0)=2,"High",IF(ROUNDUP(Reliability!B138,0)=3,"Medium",IF(ROUNDUP(Reliability!B138,0)=4,"Low","Very Low"))))))</f>
        <v>Medium</v>
      </c>
      <c r="L140" s="55">
        <f t="shared" si="17"/>
        <v>2.1</v>
      </c>
      <c r="M140" s="87">
        <f>'Impact of the crisis'!N141</f>
        <v>1.8</v>
      </c>
      <c r="N140" s="87">
        <f>'Impact of the crisis'!AB141</f>
        <v>2.2000000000000002</v>
      </c>
      <c r="O140" s="55" t="str">
        <f>'Conditions of people affected'!R141</f>
        <v>x</v>
      </c>
      <c r="P140" s="87" t="str">
        <f>'Conditions of people affected'!K141</f>
        <v>x</v>
      </c>
      <c r="Q140" s="87" t="str">
        <f>'Conditions of people affected'!Q141</f>
        <v>x</v>
      </c>
      <c r="R140" s="54">
        <f t="shared" si="18"/>
        <v>2.1</v>
      </c>
      <c r="S140" s="54">
        <f>'Complexity of the crisis'!X141</f>
        <v>2.7</v>
      </c>
      <c r="T140" s="54">
        <f>'Complexity of the crisis'!AN141</f>
        <v>1.5</v>
      </c>
      <c r="U140" s="159" t="str">
        <f>VLOOKUP(C140,Lists!$C$3:$E$167,3,FALSE)</f>
        <v>Africa</v>
      </c>
      <c r="V140" s="160">
        <v>43987</v>
      </c>
    </row>
    <row r="141" spans="1:22" x14ac:dyDescent="0.3">
      <c r="A141" s="85" t="str">
        <f>'Crisis Indicator Data'!A139</f>
        <v>Conflict in Ukraine</v>
      </c>
      <c r="B141" s="56" t="str">
        <f>Lists!G139</f>
        <v>Conflict</v>
      </c>
      <c r="C141" s="85" t="str">
        <f>'Crisis Indicator Data'!C139</f>
        <v>UKR002</v>
      </c>
      <c r="D141" s="85" t="str">
        <f>'Crisis Indicator Data'!D139</f>
        <v>Ukraine</v>
      </c>
      <c r="E141" s="85" t="str">
        <f>'Crisis Indicator Data'!E139</f>
        <v>UKR</v>
      </c>
      <c r="F141" s="85" t="str">
        <f>'Crisis Indicator Data'!B139</f>
        <v>Conflict</v>
      </c>
      <c r="G141" s="53">
        <f t="shared" si="16"/>
        <v>3.5</v>
      </c>
      <c r="H141" s="86">
        <f t="shared" si="14"/>
        <v>4</v>
      </c>
      <c r="I141" s="152" t="str">
        <f t="shared" si="15"/>
        <v>High</v>
      </c>
      <c r="J141" s="153" t="str">
        <f>INDEX(Trends!$D$3:$D$400,MATCH(C141,Trends!$C$3:$C$400,0))</f>
        <v>Stable</v>
      </c>
      <c r="K141" s="143" t="str">
        <f>IF(Reliability!B139="x","x",(IF(ROUNDUP(Reliability!B139,0)=1,"Very High",IF(ROUNDUP(Reliability!B139,0)=2,"High",IF(ROUNDUP(Reliability!B139,0)=3,"Medium",IF(ROUNDUP(Reliability!B139,0)=4,"Low","Very Low"))))))</f>
        <v>High</v>
      </c>
      <c r="L141" s="55">
        <f t="shared" si="17"/>
        <v>3.2</v>
      </c>
      <c r="M141" s="87">
        <f>'Impact of the crisis'!N142</f>
        <v>1.7</v>
      </c>
      <c r="N141" s="87">
        <f>'Impact of the crisis'!AB142</f>
        <v>3.8</v>
      </c>
      <c r="O141" s="55">
        <f>'Conditions of people affected'!R142</f>
        <v>4.0999999999999996</v>
      </c>
      <c r="P141" s="87">
        <f>'Conditions of people affected'!K142</f>
        <v>4.2</v>
      </c>
      <c r="Q141" s="87">
        <f>'Conditions of people affected'!Q142</f>
        <v>4</v>
      </c>
      <c r="R141" s="54">
        <f t="shared" si="18"/>
        <v>2.6</v>
      </c>
      <c r="S141" s="54">
        <f>'Complexity of the crisis'!X142</f>
        <v>2.2000000000000002</v>
      </c>
      <c r="T141" s="54">
        <f>'Complexity of the crisis'!AN142</f>
        <v>3</v>
      </c>
      <c r="U141" s="159" t="str">
        <f>VLOOKUP(C141,Lists!$C$3:$E$167,3,FALSE)</f>
        <v>Europe</v>
      </c>
      <c r="V141" s="160">
        <v>44140</v>
      </c>
    </row>
    <row r="142" spans="1:22" x14ac:dyDescent="0.3">
      <c r="A142" s="85" t="str">
        <f>'Crisis Indicator Data'!A140</f>
        <v>Cyclone Harold in Vanuatu</v>
      </c>
      <c r="B142" s="56" t="str">
        <f>Lists!G140</f>
        <v>Cyclone Harold</v>
      </c>
      <c r="C142" s="85" t="str">
        <f>'Crisis Indicator Data'!C140</f>
        <v>VUT002</v>
      </c>
      <c r="D142" s="85" t="str">
        <f>'Crisis Indicator Data'!D140</f>
        <v>Vanuatu</v>
      </c>
      <c r="E142" s="85" t="str">
        <f>'Crisis Indicator Data'!E140</f>
        <v>VUT</v>
      </c>
      <c r="F142" s="85" t="str">
        <f>'Crisis Indicator Data'!B140</f>
        <v>Tropical cyclone</v>
      </c>
      <c r="G142" s="53">
        <f t="shared" si="16"/>
        <v>2</v>
      </c>
      <c r="H142" s="86">
        <f t="shared" si="14"/>
        <v>2</v>
      </c>
      <c r="I142" s="152" t="str">
        <f t="shared" si="15"/>
        <v>Low</v>
      </c>
      <c r="J142" s="153" t="str">
        <f>INDEX(Trends!$D$3:$D$400,MATCH(C142,Trends!$C$3:$C$400,0))</f>
        <v>Stable</v>
      </c>
      <c r="K142" s="143" t="str">
        <f>IF(Reliability!B140="x","x",(IF(ROUNDUP(Reliability!B140,0)=1,"Very High",IF(ROUNDUP(Reliability!B140,0)=2,"High",IF(ROUNDUP(Reliability!B140,0)=3,"Medium",IF(ROUNDUP(Reliability!B140,0)=4,"Low","Very Low"))))))</f>
        <v>High</v>
      </c>
      <c r="L142" s="55">
        <f t="shared" si="17"/>
        <v>2.2999999999999998</v>
      </c>
      <c r="M142" s="87">
        <f>'Impact of the crisis'!N143</f>
        <v>2.6</v>
      </c>
      <c r="N142" s="87">
        <f>'Impact of the crisis'!AB143</f>
        <v>2.2000000000000002</v>
      </c>
      <c r="O142" s="55">
        <f>'Conditions of people affected'!R143</f>
        <v>2.4</v>
      </c>
      <c r="P142" s="87">
        <f>'Conditions of people affected'!K143</f>
        <v>1.8</v>
      </c>
      <c r="Q142" s="87">
        <f>'Conditions of people affected'!Q143</f>
        <v>3</v>
      </c>
      <c r="R142" s="54">
        <f t="shared" si="18"/>
        <v>1.1000000000000001</v>
      </c>
      <c r="S142" s="54">
        <f>'Complexity of the crisis'!X143</f>
        <v>1.1000000000000001</v>
      </c>
      <c r="T142" s="54">
        <f>'Complexity of the crisis'!AN143</f>
        <v>1</v>
      </c>
      <c r="U142" s="159" t="str">
        <f>VLOOKUP(C142,Lists!$C$3:$E$167,3,FALSE)</f>
        <v>Pacific</v>
      </c>
      <c r="V142" s="160">
        <v>44014</v>
      </c>
    </row>
    <row r="143" spans="1:22" x14ac:dyDescent="0.3">
      <c r="A143" s="85" t="str">
        <f>'Crisis Indicator Data'!A141</f>
        <v>Complex crisis in Venezuela</v>
      </c>
      <c r="B143" s="56" t="str">
        <f>Lists!G141</f>
        <v>Complex crisis</v>
      </c>
      <c r="C143" s="85" t="str">
        <f>'Crisis Indicator Data'!C141</f>
        <v>VEN001</v>
      </c>
      <c r="D143" s="85" t="str">
        <f>'Crisis Indicator Data'!D141</f>
        <v>Venezuela</v>
      </c>
      <c r="E143" s="85" t="str">
        <f>'Crisis Indicator Data'!E141</f>
        <v>VEN</v>
      </c>
      <c r="F143" s="85" t="str">
        <f>'Crisis Indicator Data'!B141</f>
        <v>Complex crisis</v>
      </c>
      <c r="G143" s="53">
        <f t="shared" si="16"/>
        <v>4.0999999999999996</v>
      </c>
      <c r="H143" s="86">
        <f t="shared" si="14"/>
        <v>5</v>
      </c>
      <c r="I143" s="152" t="str">
        <f t="shared" si="15"/>
        <v>Very High</v>
      </c>
      <c r="J143" s="153" t="str">
        <f>INDEX(Trends!$D$3:$D$400,MATCH(C143,Trends!$C$3:$C$400,0))</f>
        <v>Stable</v>
      </c>
      <c r="K143" s="143" t="str">
        <f>IF(Reliability!B141="x","x",(IF(ROUNDUP(Reliability!B141,0)=1,"Very High",IF(ROUNDUP(Reliability!B141,0)=2,"High",IF(ROUNDUP(Reliability!B141,0)=3,"Medium",IF(ROUNDUP(Reliability!B141,0)=4,"Low","Very Low"))))))</f>
        <v>High</v>
      </c>
      <c r="L143" s="55">
        <f t="shared" si="17"/>
        <v>5</v>
      </c>
      <c r="M143" s="87">
        <f>'Impact of the crisis'!N144</f>
        <v>4.9000000000000004</v>
      </c>
      <c r="N143" s="87">
        <f>'Impact of the crisis'!AB144</f>
        <v>5</v>
      </c>
      <c r="O143" s="55">
        <f>'Conditions of people affected'!R144</f>
        <v>4</v>
      </c>
      <c r="P143" s="87">
        <f>'Conditions of people affected'!K144</f>
        <v>5</v>
      </c>
      <c r="Q143" s="87">
        <f>'Conditions of people affected'!Q144</f>
        <v>3</v>
      </c>
      <c r="R143" s="54">
        <f t="shared" si="18"/>
        <v>3.3</v>
      </c>
      <c r="S143" s="54">
        <f>'Complexity of the crisis'!X144</f>
        <v>3.6</v>
      </c>
      <c r="T143" s="54">
        <f>'Complexity of the crisis'!AN144</f>
        <v>3</v>
      </c>
      <c r="U143" s="159" t="str">
        <f>VLOOKUP(C143,Lists!$C$3:$E$167,3,FALSE)</f>
        <v>Americas</v>
      </c>
      <c r="V143" s="160">
        <v>44140</v>
      </c>
    </row>
    <row r="144" spans="1:22" x14ac:dyDescent="0.3">
      <c r="A144" s="85" t="str">
        <f>'Crisis Indicator Data'!A142</f>
        <v>Venezuela Regional Crisis</v>
      </c>
      <c r="B144" s="56" t="str">
        <f>Lists!G142</f>
        <v>Venezuela Regional Crisis</v>
      </c>
      <c r="C144" s="85" t="str">
        <f>'Crisis Indicator Data'!C142</f>
        <v>REG002</v>
      </c>
      <c r="D144" s="85" t="str">
        <f>'Crisis Indicator Data'!D142</f>
        <v>Venezuela, Brazil, Colombia, Ecuador, Peru, Trinidad and Tobago</v>
      </c>
      <c r="E144" s="85" t="str">
        <f>'Crisis Indicator Data'!E142</f>
        <v>VEN, BRA, COL, ECU, PER, TTO</v>
      </c>
      <c r="F144" s="85" t="str">
        <f>'Crisis Indicator Data'!B142</f>
        <v>Regional crisis</v>
      </c>
      <c r="G144" s="53">
        <f t="shared" ref="G144:G149" si="19">IF(OR(O144="x",L144="x"),"x",ROUND((5-GEOMEAN(((5-L144)/5*4+1),((5-O144)/5*4+1),((5-O144)/5*4+1)))/4*3.5+R144*0.3,1))</f>
        <v>3.6</v>
      </c>
      <c r="H144" s="86">
        <f t="shared" ref="H144:H149" si="20">IF(G144="x","x",ROUNDUP(G144,0))</f>
        <v>4</v>
      </c>
      <c r="I144" s="152" t="str">
        <f t="shared" ref="I144:I149" si="21">IF(O144="x","x",IF(L144="x","x",(IF(H144=5,"Very High",IF(H144=4,"High",IF(H144=3,"Medium",IF(H144=2,"Low","Very Low")))))))</f>
        <v>High</v>
      </c>
      <c r="J144" s="153" t="str">
        <f>INDEX(Trends!$D$3:$D$400,MATCH(C144,Trends!$C$3:$C$400,0))</f>
        <v>Stable</v>
      </c>
      <c r="K144" s="143" t="str">
        <f>IF(Reliability!B142="x","x",(IF(ROUNDUP(Reliability!B142,0)=1,"Very High",IF(ROUNDUP(Reliability!B142,0)=2,"High",IF(ROUNDUP(Reliability!B142,0)=3,"Medium",IF(ROUNDUP(Reliability!B142,0)=4,"Low","Very Low"))))))</f>
        <v>Medium</v>
      </c>
      <c r="L144" s="55">
        <f t="shared" ref="L144:L149" si="22">IF(OR(N144="x",M144="x"),"x",ROUND((5-GEOMEAN(((5-M144)/5*4+1),((5-N144)/5*4+1),((5-N144)/5*4+1)))/4*5,1))</f>
        <v>4</v>
      </c>
      <c r="M144" s="87">
        <f>'Impact of the crisis'!N145</f>
        <v>2.9</v>
      </c>
      <c r="N144" s="87">
        <f>'Impact of the crisis'!AB145</f>
        <v>4.4000000000000004</v>
      </c>
      <c r="O144" s="55">
        <f>'Conditions of people affected'!R145</f>
        <v>4</v>
      </c>
      <c r="P144" s="87">
        <f>'Conditions of people affected'!K145</f>
        <v>5</v>
      </c>
      <c r="Q144" s="87">
        <f>'Conditions of people affected'!Q145</f>
        <v>3</v>
      </c>
      <c r="R144" s="54">
        <f t="shared" ref="R144:R149" si="23">IF(OR(T144="x",S144="x"),S144,ROUND((5-GEOMEAN(((5-S144)/5*4+1),((5-T144)/5*4+1)))/4*5,1))</f>
        <v>2.6</v>
      </c>
      <c r="S144" s="54">
        <f>'Complexity of the crisis'!X145</f>
        <v>2.6</v>
      </c>
      <c r="T144" s="54">
        <f>'Complexity of the crisis'!AN145</f>
        <v>2.5</v>
      </c>
      <c r="U144" s="159" t="str">
        <f>VLOOKUP(C144,Lists!$C$3:$E$167,3,FALSE)</f>
        <v>Americas</v>
      </c>
      <c r="V144" s="160">
        <v>44110</v>
      </c>
    </row>
    <row r="145" spans="1:22" x14ac:dyDescent="0.3">
      <c r="A145" s="85" t="str">
        <f>'Crisis Indicator Data'!A143</f>
        <v>Floods in central Vietnam</v>
      </c>
      <c r="B145" s="56" t="str">
        <f>Lists!G143</f>
        <v>Floods</v>
      </c>
      <c r="C145" s="85" t="str">
        <f>'Crisis Indicator Data'!C143</f>
        <v>VNM002</v>
      </c>
      <c r="D145" s="85" t="str">
        <f>'Crisis Indicator Data'!D143</f>
        <v>Vietnam</v>
      </c>
      <c r="E145" s="85" t="str">
        <f>'Crisis Indicator Data'!E143</f>
        <v>VNM</v>
      </c>
      <c r="F145" s="85" t="str">
        <f>'Crisis Indicator Data'!B143</f>
        <v>Flood</v>
      </c>
      <c r="G145" s="53">
        <f t="shared" si="19"/>
        <v>2.4</v>
      </c>
      <c r="H145" s="86">
        <f t="shared" si="20"/>
        <v>3</v>
      </c>
      <c r="I145" s="152" t="str">
        <f t="shared" si="21"/>
        <v>Medium</v>
      </c>
      <c r="J145" s="153" t="str">
        <f>INDEX(Trends!$D$3:$D$400,MATCH(C145,Trends!$C$3:$C$400,0))</f>
        <v>-</v>
      </c>
      <c r="K145" s="143" t="str">
        <f>IF(Reliability!B143="x","x",(IF(ROUNDUP(Reliability!B143,0)=1,"Very High",IF(ROUNDUP(Reliability!B143,0)=2,"High",IF(ROUNDUP(Reliability!B143,0)=3,"Medium",IF(ROUNDUP(Reliability!B143,0)=4,"Low","Very Low"))))))</f>
        <v>Very High</v>
      </c>
      <c r="L145" s="55">
        <f t="shared" si="22"/>
        <v>2.9</v>
      </c>
      <c r="M145" s="87">
        <f>'Impact of the crisis'!N146</f>
        <v>1.9</v>
      </c>
      <c r="N145" s="87">
        <f>'Impact of the crisis'!AB146</f>
        <v>3.3</v>
      </c>
      <c r="O145" s="55">
        <f>'Conditions of people affected'!R146</f>
        <v>2.0499999999999998</v>
      </c>
      <c r="P145" s="87">
        <f>'Conditions of people affected'!K146</f>
        <v>2.1</v>
      </c>
      <c r="Q145" s="87">
        <f>'Conditions of people affected'!Q146</f>
        <v>2</v>
      </c>
      <c r="R145" s="54">
        <f t="shared" si="23"/>
        <v>2.5</v>
      </c>
      <c r="S145" s="54">
        <f>'Complexity of the crisis'!X146</f>
        <v>3.3</v>
      </c>
      <c r="T145" s="54">
        <f>'Complexity of the crisis'!AN146</f>
        <v>1.5</v>
      </c>
      <c r="U145" s="159" t="str">
        <f>VLOOKUP(C145,Lists!$C$3:$E$167,3,FALSE)</f>
        <v>Asia</v>
      </c>
      <c r="V145" s="160">
        <v>44140</v>
      </c>
    </row>
    <row r="146" spans="1:22" x14ac:dyDescent="0.3">
      <c r="A146" s="85" t="str">
        <f>'Crisis Indicator Data'!A144</f>
        <v>Conflict in Yemen</v>
      </c>
      <c r="B146" s="56" t="str">
        <f>Lists!G144</f>
        <v>Complex crisis</v>
      </c>
      <c r="C146" s="85" t="str">
        <f>'Crisis Indicator Data'!C144</f>
        <v>YEM001</v>
      </c>
      <c r="D146" s="85" t="str">
        <f>'Crisis Indicator Data'!D144</f>
        <v>Yemen</v>
      </c>
      <c r="E146" s="85" t="str">
        <f>'Crisis Indicator Data'!E144</f>
        <v>YEM</v>
      </c>
      <c r="F146" s="85" t="str">
        <f>'Crisis Indicator Data'!B144</f>
        <v>Complex crisis</v>
      </c>
      <c r="G146" s="53">
        <f t="shared" si="19"/>
        <v>4.5999999999999996</v>
      </c>
      <c r="H146" s="86">
        <f t="shared" si="20"/>
        <v>5</v>
      </c>
      <c r="I146" s="152" t="str">
        <f t="shared" si="21"/>
        <v>Very High</v>
      </c>
      <c r="J146" s="153" t="str">
        <f>INDEX(Trends!$D$3:$D$400,MATCH(C146,Trends!$C$3:$C$400,0))</f>
        <v>Decreasing</v>
      </c>
      <c r="K146" s="143" t="str">
        <f>IF(Reliability!B144="x","x",(IF(ROUNDUP(Reliability!B144,0)=1,"Very High",IF(ROUNDUP(Reliability!B144,0)=2,"High",IF(ROUNDUP(Reliability!B144,0)=3,"Medium",IF(ROUNDUP(Reliability!B144,0)=4,"Low","Very Low"))))))</f>
        <v>High</v>
      </c>
      <c r="L146" s="55">
        <f t="shared" si="22"/>
        <v>4.9000000000000004</v>
      </c>
      <c r="M146" s="87">
        <f>'Impact of the crisis'!N147</f>
        <v>4.9000000000000004</v>
      </c>
      <c r="N146" s="87">
        <f>'Impact of the crisis'!AB147</f>
        <v>4.9000000000000004</v>
      </c>
      <c r="O146" s="55">
        <f>'Conditions of people affected'!R147</f>
        <v>4.5</v>
      </c>
      <c r="P146" s="87">
        <f>'Conditions of people affected'!K147</f>
        <v>5</v>
      </c>
      <c r="Q146" s="87">
        <f>'Conditions of people affected'!Q147</f>
        <v>4</v>
      </c>
      <c r="R146" s="54">
        <f t="shared" si="23"/>
        <v>4.5</v>
      </c>
      <c r="S146" s="54">
        <f>'Complexity of the crisis'!X147</f>
        <v>3.8</v>
      </c>
      <c r="T146" s="54">
        <f>'Complexity of the crisis'!AN147</f>
        <v>5</v>
      </c>
      <c r="U146" s="159" t="str">
        <f>VLOOKUP(C146,Lists!$C$3:$E$167,3,FALSE)</f>
        <v>Middle east</v>
      </c>
      <c r="V146" s="160">
        <v>44123</v>
      </c>
    </row>
    <row r="147" spans="1:22" x14ac:dyDescent="0.3">
      <c r="A147" s="85" t="str">
        <f>'Crisis Indicator Data'!A145</f>
        <v>Mixed migration flows in Yemen</v>
      </c>
      <c r="B147" s="56" t="str">
        <f>Lists!G145</f>
        <v>Mixed Migration</v>
      </c>
      <c r="C147" s="85" t="str">
        <f>'Crisis Indicator Data'!C145</f>
        <v>YEM002</v>
      </c>
      <c r="D147" s="85" t="str">
        <f>'Crisis Indicator Data'!D145</f>
        <v>Yemen</v>
      </c>
      <c r="E147" s="85" t="str">
        <f>'Crisis Indicator Data'!E145</f>
        <v>YEM</v>
      </c>
      <c r="F147" s="85" t="str">
        <f>'Crisis Indicator Data'!B145</f>
        <v>International displacement</v>
      </c>
      <c r="G147" s="53">
        <f t="shared" si="19"/>
        <v>2.9</v>
      </c>
      <c r="H147" s="86">
        <f t="shared" si="20"/>
        <v>3</v>
      </c>
      <c r="I147" s="152" t="str">
        <f t="shared" si="21"/>
        <v>Medium</v>
      </c>
      <c r="J147" s="153" t="str">
        <f>INDEX(Trends!$D$3:$D$400,MATCH(C147,Trends!$C$3:$C$400,0))</f>
        <v>Decreasing</v>
      </c>
      <c r="K147" s="143" t="str">
        <f>IF(Reliability!B145="x","x",(IF(ROUNDUP(Reliability!B145,0)=1,"Very High",IF(ROUNDUP(Reliability!B145,0)=2,"High",IF(ROUNDUP(Reliability!B145,0)=3,"Medium",IF(ROUNDUP(Reliability!B145,0)=4,"Low","Very Low"))))))</f>
        <v>Medium</v>
      </c>
      <c r="L147" s="55">
        <f t="shared" si="22"/>
        <v>2</v>
      </c>
      <c r="M147" s="87">
        <f>'Impact of the crisis'!N148</f>
        <v>0.7</v>
      </c>
      <c r="N147" s="87">
        <f>'Impact of the crisis'!AB148</f>
        <v>2.5</v>
      </c>
      <c r="O147" s="55">
        <f>'Conditions of people affected'!R148</f>
        <v>2.85</v>
      </c>
      <c r="P147" s="87">
        <f>'Conditions of people affected'!K148</f>
        <v>2.7</v>
      </c>
      <c r="Q147" s="87">
        <f>'Conditions of people affected'!Q148</f>
        <v>3</v>
      </c>
      <c r="R147" s="54">
        <f t="shared" si="23"/>
        <v>3.7</v>
      </c>
      <c r="S147" s="54">
        <f>'Complexity of the crisis'!X148</f>
        <v>3.8</v>
      </c>
      <c r="T147" s="54">
        <f>'Complexity of the crisis'!AN148</f>
        <v>3.5</v>
      </c>
      <c r="U147" s="159" t="str">
        <f>VLOOKUP(C147,Lists!$C$3:$E$167,3,FALSE)</f>
        <v>Middle east</v>
      </c>
      <c r="V147" s="160">
        <v>44123</v>
      </c>
    </row>
    <row r="148" spans="1:22" x14ac:dyDescent="0.3">
      <c r="A148" s="85" t="str">
        <f>'Crisis Indicator Data'!A146</f>
        <v>Drought in Zambia</v>
      </c>
      <c r="B148" s="56" t="str">
        <f>Lists!G146</f>
        <v>Drought</v>
      </c>
      <c r="C148" s="85" t="str">
        <f>'Crisis Indicator Data'!C146</f>
        <v>ZMB002</v>
      </c>
      <c r="D148" s="85" t="str">
        <f>'Crisis Indicator Data'!D146</f>
        <v>Zambia</v>
      </c>
      <c r="E148" s="85" t="str">
        <f>'Crisis Indicator Data'!E146</f>
        <v>ZMB</v>
      </c>
      <c r="F148" s="85" t="str">
        <f>'Crisis Indicator Data'!B146</f>
        <v>Drought</v>
      </c>
      <c r="G148" s="53">
        <f t="shared" si="19"/>
        <v>2.7</v>
      </c>
      <c r="H148" s="86">
        <f t="shared" si="20"/>
        <v>3</v>
      </c>
      <c r="I148" s="152" t="str">
        <f t="shared" si="21"/>
        <v>Medium</v>
      </c>
      <c r="J148" s="153" t="str">
        <f>INDEX(Trends!$D$3:$D$400,MATCH(C148,Trends!$C$3:$C$400,0))</f>
        <v>Stable</v>
      </c>
      <c r="K148" s="143" t="str">
        <f>IF(Reliability!B146="x","x",(IF(ROUNDUP(Reliability!B146,0)=1,"Very High",IF(ROUNDUP(Reliability!B146,0)=2,"High",IF(ROUNDUP(Reliability!B146,0)=3,"Medium",IF(ROUNDUP(Reliability!B146,0)=4,"Low","Very Low"))))))</f>
        <v>Low</v>
      </c>
      <c r="L148" s="55">
        <f t="shared" si="22"/>
        <v>2.4</v>
      </c>
      <c r="M148" s="87">
        <f>'Impact of the crisis'!N149</f>
        <v>3.9</v>
      </c>
      <c r="N148" s="87">
        <f>'Impact of the crisis'!AB149</f>
        <v>1.4</v>
      </c>
      <c r="O148" s="55">
        <f>'Conditions of people affected'!R149</f>
        <v>3.45</v>
      </c>
      <c r="P148" s="87">
        <f>'Conditions of people affected'!K149</f>
        <v>3.9</v>
      </c>
      <c r="Q148" s="87">
        <f>'Conditions of people affected'!Q149</f>
        <v>3</v>
      </c>
      <c r="R148" s="54">
        <f t="shared" si="23"/>
        <v>1.7</v>
      </c>
      <c r="S148" s="54">
        <f>'Complexity of the crisis'!X149</f>
        <v>1.8</v>
      </c>
      <c r="T148" s="54">
        <f>'Complexity of the crisis'!AN149</f>
        <v>1.5</v>
      </c>
      <c r="U148" s="159" t="str">
        <f>VLOOKUP(C148,Lists!$C$3:$E$167,3,FALSE)</f>
        <v>Africa</v>
      </c>
      <c r="V148" s="160">
        <v>44134</v>
      </c>
    </row>
    <row r="149" spans="1:22" x14ac:dyDescent="0.3">
      <c r="A149" s="85" t="str">
        <f>'Crisis Indicator Data'!A147</f>
        <v>Complex crisis in Zimbabwe</v>
      </c>
      <c r="B149" s="56" t="str">
        <f>Lists!G147</f>
        <v>Complex crisis</v>
      </c>
      <c r="C149" s="85" t="str">
        <f>'Crisis Indicator Data'!C147</f>
        <v>ZWE001</v>
      </c>
      <c r="D149" s="85" t="str">
        <f>'Crisis Indicator Data'!D147</f>
        <v>Zimbabwe</v>
      </c>
      <c r="E149" s="85" t="str">
        <f>'Crisis Indicator Data'!E147</f>
        <v>ZWE</v>
      </c>
      <c r="F149" s="85" t="str">
        <f>'Crisis Indicator Data'!B147</f>
        <v>Complex crisis</v>
      </c>
      <c r="G149" s="53">
        <f t="shared" si="19"/>
        <v>3.5</v>
      </c>
      <c r="H149" s="86">
        <f t="shared" si="20"/>
        <v>4</v>
      </c>
      <c r="I149" s="152" t="str">
        <f t="shared" si="21"/>
        <v>High</v>
      </c>
      <c r="J149" s="153" t="str">
        <f>INDEX(Trends!$D$3:$D$400,MATCH(C149,Trends!$C$3:$C$400,0))</f>
        <v>Decreasing</v>
      </c>
      <c r="K149" s="143" t="str">
        <f>IF(Reliability!B147="x","x",(IF(ROUNDUP(Reliability!B147,0)=1,"Very High",IF(ROUNDUP(Reliability!B147,0)=2,"High",IF(ROUNDUP(Reliability!B147,0)=3,"Medium",IF(ROUNDUP(Reliability!B147,0)=4,"Low","Very Low"))))))</f>
        <v>High</v>
      </c>
      <c r="L149" s="55">
        <f t="shared" si="22"/>
        <v>3.2</v>
      </c>
      <c r="M149" s="87">
        <f>'Impact of the crisis'!N150</f>
        <v>4.5999999999999996</v>
      </c>
      <c r="N149" s="87">
        <f>'Impact of the crisis'!AB150</f>
        <v>2.2000000000000002</v>
      </c>
      <c r="O149" s="55">
        <f>'Conditions of people affected'!R150</f>
        <v>3.85</v>
      </c>
      <c r="P149" s="87">
        <f>'Conditions of people affected'!K150</f>
        <v>4.7</v>
      </c>
      <c r="Q149" s="87">
        <f>'Conditions of people affected'!Q150</f>
        <v>3</v>
      </c>
      <c r="R149" s="54">
        <f t="shared" si="23"/>
        <v>3.1</v>
      </c>
      <c r="S149" s="54">
        <f>'Complexity of the crisis'!X150</f>
        <v>3.2</v>
      </c>
      <c r="T149" s="54">
        <f>'Complexity of the crisis'!AN150</f>
        <v>3</v>
      </c>
      <c r="U149" s="159" t="str">
        <f>VLOOKUP(C149,Lists!$C$3:$E$167,3,FALSE)</f>
        <v>Africa</v>
      </c>
      <c r="V149" s="160">
        <v>44134</v>
      </c>
    </row>
    <row r="150" spans="1:22" x14ac:dyDescent="0.3">
      <c r="A150" s="85" t="str">
        <f>'Crisis Indicator Data'!A148</f>
        <v>Malaria Outbreak in Zimbabwe</v>
      </c>
      <c r="B150" s="56" t="str">
        <f>Lists!G148</f>
        <v>Malaria Epidemic</v>
      </c>
      <c r="C150" s="85" t="str">
        <f>'Crisis Indicator Data'!C148</f>
        <v>ZWE003</v>
      </c>
      <c r="D150" s="85" t="str">
        <f>'Crisis Indicator Data'!D148</f>
        <v>Zimbabwe</v>
      </c>
      <c r="E150" s="85" t="str">
        <f>'Crisis Indicator Data'!E148</f>
        <v>ZWE</v>
      </c>
      <c r="F150" s="85" t="str">
        <f>'Crisis Indicator Data'!B148</f>
        <v>Epidemic</v>
      </c>
      <c r="G150" s="53">
        <f t="shared" ref="G150:G155" si="24">IF(OR(O150="x",L150="x"),"x",ROUND((5-GEOMEAN(((5-L150)/5*4+1),((5-O150)/5*4+1),((5-O150)/5*4+1)))/4*3.5+R150*0.3,1))</f>
        <v>2.6</v>
      </c>
      <c r="H150" s="86">
        <f t="shared" ref="H150:H155" si="25">IF(G150="x","x",ROUNDUP(G150,0))</f>
        <v>3</v>
      </c>
      <c r="I150" s="152" t="str">
        <f t="shared" ref="I150:I155" si="26">IF(O150="x","x",IF(L150="x","x",(IF(H150=5,"Very High",IF(H150=4,"High",IF(H150=3,"Medium",IF(H150=2,"Low","Very Low")))))))</f>
        <v>Medium</v>
      </c>
      <c r="J150" s="153" t="str">
        <f>INDEX(Trends!$D$3:$D$400,MATCH(C150,Trends!$C$3:$C$400,0))</f>
        <v>Stable</v>
      </c>
      <c r="K150" s="143" t="str">
        <f>IF(Reliability!B148="x","x",(IF(ROUNDUP(Reliability!B148,0)=1,"Very High",IF(ROUNDUP(Reliability!B148,0)=2,"High",IF(ROUNDUP(Reliability!B148,0)=3,"Medium",IF(ROUNDUP(Reliability!B148,0)=4,"Low","Very Low"))))))</f>
        <v>Medium</v>
      </c>
      <c r="L150" s="55">
        <f t="shared" ref="L150:L155" si="27">IF(OR(N150="x",M150="x"),"x",ROUND((5-GEOMEAN(((5-M150)/5*4+1),((5-N150)/5*4+1),((5-N150)/5*4+1)))/4*5,1))</f>
        <v>2.8</v>
      </c>
      <c r="M150" s="87">
        <f>'Impact of the crisis'!N151</f>
        <v>2.2000000000000002</v>
      </c>
      <c r="N150" s="87">
        <f>'Impact of the crisis'!AB151</f>
        <v>3.1</v>
      </c>
      <c r="O150" s="55">
        <f>'Conditions of people affected'!R151</f>
        <v>2.8</v>
      </c>
      <c r="P150" s="87">
        <f>'Conditions of people affected'!K151</f>
        <v>2.6</v>
      </c>
      <c r="Q150" s="87">
        <f>'Conditions of people affected'!Q151</f>
        <v>3</v>
      </c>
      <c r="R150" s="54">
        <f t="shared" ref="R150:R155" si="28">IF(OR(T150="x",S150="x"),S150,ROUND((5-GEOMEAN(((5-S150)/5*4+1),((5-T150)/5*4+1)))/4*5,1))</f>
        <v>2.2000000000000002</v>
      </c>
      <c r="S150" s="54">
        <f>'Complexity of the crisis'!X151</f>
        <v>3.2</v>
      </c>
      <c r="T150" s="54">
        <f>'Complexity of the crisis'!AN151</f>
        <v>1</v>
      </c>
      <c r="U150" s="159" t="str">
        <f>VLOOKUP(C150,Lists!$C$3:$E$167,3,FALSE)</f>
        <v>Africa</v>
      </c>
      <c r="V150" s="160">
        <v>44134</v>
      </c>
    </row>
    <row r="151" spans="1:22" x14ac:dyDescent="0.3">
      <c r="A151" s="85">
        <f>'Crisis Indicator Data'!A149</f>
        <v>0</v>
      </c>
      <c r="B151" s="56">
        <f>Lists!G149</f>
        <v>0</v>
      </c>
      <c r="C151" s="85">
        <f>'Crisis Indicator Data'!C149</f>
        <v>0</v>
      </c>
      <c r="D151" s="85">
        <f>'Crisis Indicator Data'!D149</f>
        <v>0</v>
      </c>
      <c r="E151" s="85">
        <f>'Crisis Indicator Data'!E149</f>
        <v>0</v>
      </c>
      <c r="F151" s="85">
        <f>'Crisis Indicator Data'!B149</f>
        <v>0</v>
      </c>
      <c r="G151" s="53">
        <f t="shared" si="24"/>
        <v>0</v>
      </c>
      <c r="H151" s="86">
        <f t="shared" si="25"/>
        <v>0</v>
      </c>
      <c r="I151" s="152" t="str">
        <f t="shared" si="26"/>
        <v>Very Low</v>
      </c>
      <c r="J151" s="153" t="e">
        <f>INDEX(Trends!$D$3:$D$400,MATCH(C151,Trends!$C$3:$C$400,0))</f>
        <v>#N/A</v>
      </c>
      <c r="K151" s="143" t="str">
        <f>IF(Reliability!B149="x","x",(IF(ROUNDUP(Reliability!B149,0)=1,"Very High",IF(ROUNDUP(Reliability!B149,0)=2,"High",IF(ROUNDUP(Reliability!B149,0)=3,"Medium",IF(ROUNDUP(Reliability!B149,0)=4,"Low","Very Low"))))))</f>
        <v>Very Low</v>
      </c>
      <c r="L151" s="55">
        <f t="shared" si="27"/>
        <v>0</v>
      </c>
      <c r="M151" s="87">
        <f>'Impact of the crisis'!N152</f>
        <v>0</v>
      </c>
      <c r="N151" s="87">
        <f>'Impact of the crisis'!AB152</f>
        <v>0</v>
      </c>
      <c r="O151" s="55">
        <f>'Conditions of people affected'!R152</f>
        <v>0</v>
      </c>
      <c r="P151" s="87">
        <f>'Conditions of people affected'!K152</f>
        <v>0</v>
      </c>
      <c r="Q151" s="87">
        <f>'Conditions of people affected'!Q152</f>
        <v>0</v>
      </c>
      <c r="R151" s="54">
        <f t="shared" si="28"/>
        <v>0</v>
      </c>
      <c r="S151" s="54">
        <f>'Complexity of the crisis'!X152</f>
        <v>0</v>
      </c>
      <c r="T151" s="54">
        <f>'Complexity of the crisis'!AN152</f>
        <v>0</v>
      </c>
      <c r="U151" s="159" t="e">
        <f>VLOOKUP(C151,Lists!$C$3:$E$167,3,FALSE)</f>
        <v>#N/A</v>
      </c>
      <c r="V151" s="160" t="e" cm="1">
        <f t="array" ref="V151">LOOKUP(2,1/(#REF!=C151),#REF!)</f>
        <v>#REF!</v>
      </c>
    </row>
    <row r="152" spans="1:22" x14ac:dyDescent="0.3">
      <c r="A152" s="85">
        <f>'Crisis Indicator Data'!A150</f>
        <v>0</v>
      </c>
      <c r="B152" s="56">
        <f>Lists!G150</f>
        <v>0</v>
      </c>
      <c r="C152" s="85">
        <f>'Crisis Indicator Data'!C150</f>
        <v>0</v>
      </c>
      <c r="D152" s="85">
        <f>'Crisis Indicator Data'!D150</f>
        <v>0</v>
      </c>
      <c r="E152" s="85">
        <f>'Crisis Indicator Data'!E150</f>
        <v>0</v>
      </c>
      <c r="F152" s="85">
        <f>'Crisis Indicator Data'!B150</f>
        <v>0</v>
      </c>
      <c r="G152" s="53">
        <f t="shared" si="24"/>
        <v>0</v>
      </c>
      <c r="H152" s="86">
        <f t="shared" si="25"/>
        <v>0</v>
      </c>
      <c r="I152" s="152" t="str">
        <f t="shared" si="26"/>
        <v>Very Low</v>
      </c>
      <c r="J152" s="153" t="e">
        <f>INDEX(Trends!$D$3:$D$400,MATCH(C152,Trends!$C$3:$C$400,0))</f>
        <v>#N/A</v>
      </c>
      <c r="K152" s="143" t="str">
        <f>IF(Reliability!B150="x","x",(IF(ROUNDUP(Reliability!B150,0)=1,"Very High",IF(ROUNDUP(Reliability!B150,0)=2,"High",IF(ROUNDUP(Reliability!B150,0)=3,"Medium",IF(ROUNDUP(Reliability!B150,0)=4,"Low","Very Low"))))))</f>
        <v>Very Low</v>
      </c>
      <c r="L152" s="55">
        <f t="shared" si="27"/>
        <v>0</v>
      </c>
      <c r="M152" s="87">
        <f>'Impact of the crisis'!N153</f>
        <v>0</v>
      </c>
      <c r="N152" s="87">
        <f>'Impact of the crisis'!AB153</f>
        <v>0</v>
      </c>
      <c r="O152" s="55">
        <f>'Conditions of people affected'!R153</f>
        <v>0</v>
      </c>
      <c r="P152" s="87">
        <f>'Conditions of people affected'!K153</f>
        <v>0</v>
      </c>
      <c r="Q152" s="87">
        <f>'Conditions of people affected'!Q153</f>
        <v>0</v>
      </c>
      <c r="R152" s="54">
        <f t="shared" si="28"/>
        <v>0</v>
      </c>
      <c r="S152" s="54">
        <f>'Complexity of the crisis'!X153</f>
        <v>0</v>
      </c>
      <c r="T152" s="54">
        <f>'Complexity of the crisis'!AN153</f>
        <v>0</v>
      </c>
      <c r="U152" s="159" t="e">
        <f>VLOOKUP(C152,Lists!$C$3:$E$167,3,FALSE)</f>
        <v>#N/A</v>
      </c>
      <c r="V152" s="160" t="e" cm="1">
        <f t="array" ref="V152">LOOKUP(2,1/(#REF!=C152),#REF!)</f>
        <v>#REF!</v>
      </c>
    </row>
    <row r="153" spans="1:22" x14ac:dyDescent="0.3">
      <c r="A153" s="85">
        <f>'Crisis Indicator Data'!A151</f>
        <v>0</v>
      </c>
      <c r="B153" s="56">
        <f>Lists!G151</f>
        <v>0</v>
      </c>
      <c r="C153" s="85">
        <f>'Crisis Indicator Data'!C151</f>
        <v>0</v>
      </c>
      <c r="D153" s="85">
        <f>'Crisis Indicator Data'!D151</f>
        <v>0</v>
      </c>
      <c r="E153" s="85">
        <f>'Crisis Indicator Data'!E151</f>
        <v>0</v>
      </c>
      <c r="F153" s="85">
        <f>'Crisis Indicator Data'!B151</f>
        <v>0</v>
      </c>
      <c r="G153" s="53">
        <f t="shared" si="24"/>
        <v>0</v>
      </c>
      <c r="H153" s="86">
        <f t="shared" si="25"/>
        <v>0</v>
      </c>
      <c r="I153" s="152" t="str">
        <f t="shared" si="26"/>
        <v>Very Low</v>
      </c>
      <c r="J153" s="153" t="e">
        <f>INDEX(Trends!$D$3:$D$400,MATCH(C153,Trends!$C$3:$C$400,0))</f>
        <v>#N/A</v>
      </c>
      <c r="K153" s="143" t="str">
        <f>IF(Reliability!B151="x","x",(IF(ROUNDUP(Reliability!B151,0)=1,"Very High",IF(ROUNDUP(Reliability!B151,0)=2,"High",IF(ROUNDUP(Reliability!B151,0)=3,"Medium",IF(ROUNDUP(Reliability!B151,0)=4,"Low","Very Low"))))))</f>
        <v>Very Low</v>
      </c>
      <c r="L153" s="55">
        <f t="shared" si="27"/>
        <v>0</v>
      </c>
      <c r="M153" s="87">
        <f>'Impact of the crisis'!N154</f>
        <v>0</v>
      </c>
      <c r="N153" s="87">
        <f>'Impact of the crisis'!AB154</f>
        <v>0</v>
      </c>
      <c r="O153" s="55">
        <f>'Conditions of people affected'!R154</f>
        <v>0</v>
      </c>
      <c r="P153" s="87">
        <f>'Conditions of people affected'!K154</f>
        <v>0</v>
      </c>
      <c r="Q153" s="87">
        <f>'Conditions of people affected'!Q154</f>
        <v>0</v>
      </c>
      <c r="R153" s="54">
        <f t="shared" si="28"/>
        <v>0</v>
      </c>
      <c r="S153" s="54">
        <f>'Complexity of the crisis'!X154</f>
        <v>0</v>
      </c>
      <c r="T153" s="54">
        <f>'Complexity of the crisis'!AN154</f>
        <v>0</v>
      </c>
      <c r="U153" s="159" t="e">
        <f>VLOOKUP(C153,Lists!$C$3:$E$167,3,FALSE)</f>
        <v>#N/A</v>
      </c>
      <c r="V153" s="160" t="e" cm="1">
        <f t="array" ref="V153">LOOKUP(2,1/(#REF!=C153),#REF!)</f>
        <v>#REF!</v>
      </c>
    </row>
    <row r="154" spans="1:22" x14ac:dyDescent="0.3">
      <c r="A154" s="85">
        <f>'Crisis Indicator Data'!A152</f>
        <v>0</v>
      </c>
      <c r="B154" s="56">
        <f>Lists!G152</f>
        <v>0</v>
      </c>
      <c r="C154" s="85">
        <f>'Crisis Indicator Data'!C152</f>
        <v>0</v>
      </c>
      <c r="D154" s="85">
        <f>'Crisis Indicator Data'!D152</f>
        <v>0</v>
      </c>
      <c r="E154" s="85">
        <f>'Crisis Indicator Data'!E152</f>
        <v>0</v>
      </c>
      <c r="F154" s="85">
        <f>'Crisis Indicator Data'!B152</f>
        <v>0</v>
      </c>
      <c r="G154" s="53">
        <f t="shared" si="24"/>
        <v>0</v>
      </c>
      <c r="H154" s="86">
        <f t="shared" si="25"/>
        <v>0</v>
      </c>
      <c r="I154" s="152" t="str">
        <f t="shared" si="26"/>
        <v>Very Low</v>
      </c>
      <c r="J154" s="153" t="e">
        <f>INDEX(Trends!$D$3:$D$400,MATCH(C154,Trends!$C$3:$C$400,0))</f>
        <v>#N/A</v>
      </c>
      <c r="K154" s="143" t="str">
        <f>IF(Reliability!B152="x","x",(IF(ROUNDUP(Reliability!B152,0)=1,"Very High",IF(ROUNDUP(Reliability!B152,0)=2,"High",IF(ROUNDUP(Reliability!B152,0)=3,"Medium",IF(ROUNDUP(Reliability!B152,0)=4,"Low","Very Low"))))))</f>
        <v>Very Low</v>
      </c>
      <c r="L154" s="55">
        <f t="shared" si="27"/>
        <v>0</v>
      </c>
      <c r="M154" s="87">
        <f>'Impact of the crisis'!N155</f>
        <v>0</v>
      </c>
      <c r="N154" s="87">
        <f>'Impact of the crisis'!AB155</f>
        <v>0</v>
      </c>
      <c r="O154" s="55">
        <f>'Conditions of people affected'!R155</f>
        <v>0</v>
      </c>
      <c r="P154" s="87">
        <f>'Conditions of people affected'!K155</f>
        <v>0</v>
      </c>
      <c r="Q154" s="87">
        <f>'Conditions of people affected'!Q155</f>
        <v>0</v>
      </c>
      <c r="R154" s="54">
        <f t="shared" si="28"/>
        <v>0</v>
      </c>
      <c r="S154" s="54">
        <f>'Complexity of the crisis'!X155</f>
        <v>0</v>
      </c>
      <c r="T154" s="54">
        <f>'Complexity of the crisis'!AN155</f>
        <v>0</v>
      </c>
      <c r="U154" s="159" t="e">
        <f>VLOOKUP(C154,Lists!$C$3:$E$167,3,FALSE)</f>
        <v>#N/A</v>
      </c>
      <c r="V154" s="160" t="e" cm="1">
        <f t="array" ref="V154">LOOKUP(2,1/(#REF!=C154),#REF!)</f>
        <v>#REF!</v>
      </c>
    </row>
    <row r="155" spans="1:22" x14ac:dyDescent="0.3">
      <c r="A155" s="85">
        <f>'Crisis Indicator Data'!A153</f>
        <v>0</v>
      </c>
      <c r="B155" s="56">
        <f>Lists!G153</f>
        <v>0</v>
      </c>
      <c r="C155" s="85">
        <f>'Crisis Indicator Data'!C153</f>
        <v>0</v>
      </c>
      <c r="D155" s="85">
        <f>'Crisis Indicator Data'!D153</f>
        <v>0</v>
      </c>
      <c r="E155" s="85">
        <f>'Crisis Indicator Data'!E153</f>
        <v>0</v>
      </c>
      <c r="F155" s="85">
        <f>'Crisis Indicator Data'!B153</f>
        <v>0</v>
      </c>
      <c r="G155" s="53">
        <f t="shared" si="24"/>
        <v>0</v>
      </c>
      <c r="H155" s="86">
        <f t="shared" si="25"/>
        <v>0</v>
      </c>
      <c r="I155" s="152" t="str">
        <f t="shared" si="26"/>
        <v>Very Low</v>
      </c>
      <c r="J155" s="153" t="e">
        <f>INDEX(Trends!$D$3:$D$400,MATCH(C155,Trends!$C$3:$C$400,0))</f>
        <v>#N/A</v>
      </c>
      <c r="K155" s="143" t="str">
        <f>IF(Reliability!B153="x","x",(IF(ROUNDUP(Reliability!B153,0)=1,"Very High",IF(ROUNDUP(Reliability!B153,0)=2,"High",IF(ROUNDUP(Reliability!B153,0)=3,"Medium",IF(ROUNDUP(Reliability!B153,0)=4,"Low","Very Low"))))))</f>
        <v>Very Low</v>
      </c>
      <c r="L155" s="55">
        <f t="shared" si="27"/>
        <v>0</v>
      </c>
      <c r="M155" s="87">
        <f>'Impact of the crisis'!N156</f>
        <v>0</v>
      </c>
      <c r="N155" s="87">
        <f>'Impact of the crisis'!AB156</f>
        <v>0</v>
      </c>
      <c r="O155" s="55">
        <f>'Conditions of people affected'!R156</f>
        <v>0</v>
      </c>
      <c r="P155" s="87">
        <f>'Conditions of people affected'!K156</f>
        <v>0</v>
      </c>
      <c r="Q155" s="87">
        <f>'Conditions of people affected'!Q156</f>
        <v>0</v>
      </c>
      <c r="R155" s="54">
        <f t="shared" si="28"/>
        <v>0</v>
      </c>
      <c r="S155" s="54">
        <f>'Complexity of the crisis'!X156</f>
        <v>0</v>
      </c>
      <c r="T155" s="54">
        <f>'Complexity of the crisis'!AN156</f>
        <v>0</v>
      </c>
      <c r="U155" s="159" t="e">
        <f>VLOOKUP(C155,Lists!$C$3:$E$167,3,FALSE)</f>
        <v>#N/A</v>
      </c>
      <c r="V155" s="160" t="e" cm="1">
        <f t="array" ref="V155">LOOKUP(2,1/(#REF!=C155),#REF!)</f>
        <v>#REF!</v>
      </c>
    </row>
  </sheetData>
  <sheetProtection selectLockedCells="1" selectUnlockedCells="1"/>
  <autoFilter ref="A4:T155" xr:uid="{7219E7AA-F374-47FD-B1D7-AEA9882496FF}"/>
  <mergeCells count="1">
    <mergeCell ref="A1:T1"/>
  </mergeCells>
  <conditionalFormatting sqref="L5:L155">
    <cfRule type="cellIs" dxfId="383" priority="81" stopIfTrue="1" operator="between">
      <formula>4</formula>
      <formula>5</formula>
    </cfRule>
    <cfRule type="cellIs" dxfId="382" priority="92" stopIfTrue="1" operator="between">
      <formula>3</formula>
      <formula>4</formula>
    </cfRule>
    <cfRule type="cellIs" dxfId="381" priority="93" stopIfTrue="1" operator="between">
      <formula>2</formula>
      <formula>3</formula>
    </cfRule>
    <cfRule type="cellIs" dxfId="380" priority="94" stopIfTrue="1" operator="between">
      <formula>1</formula>
      <formula>2</formula>
    </cfRule>
    <cfRule type="cellIs" dxfId="379" priority="95" stopIfTrue="1" operator="between">
      <formula>0</formula>
      <formula>1</formula>
    </cfRule>
  </conditionalFormatting>
  <conditionalFormatting sqref="M5:N155">
    <cfRule type="cellIs" dxfId="378" priority="82" stopIfTrue="1" operator="between">
      <formula>4</formula>
      <formula>5</formula>
    </cfRule>
    <cfRule type="cellIs" dxfId="377" priority="88" stopIfTrue="1" operator="between">
      <formula>3</formula>
      <formula>4</formula>
    </cfRule>
    <cfRule type="cellIs" dxfId="376" priority="89" stopIfTrue="1" operator="between">
      <formula>2</formula>
      <formula>3</formula>
    </cfRule>
    <cfRule type="cellIs" dxfId="375" priority="90" stopIfTrue="1" operator="between">
      <formula>1</formula>
      <formula>2</formula>
    </cfRule>
    <cfRule type="cellIs" dxfId="374" priority="91" stopIfTrue="1" operator="between">
      <formula>0</formula>
      <formula>1</formula>
    </cfRule>
  </conditionalFormatting>
  <conditionalFormatting sqref="H5:H155">
    <cfRule type="cellIs" dxfId="373" priority="76" stopIfTrue="1" operator="equal">
      <formula>5</formula>
    </cfRule>
    <cfRule type="cellIs" dxfId="372" priority="77" stopIfTrue="1" operator="equal">
      <formula>4</formula>
    </cfRule>
    <cfRule type="cellIs" dxfId="371" priority="78" stopIfTrue="1" operator="equal">
      <formula>3</formula>
    </cfRule>
    <cfRule type="cellIs" dxfId="370" priority="79" stopIfTrue="1" operator="equal">
      <formula>2</formula>
    </cfRule>
    <cfRule type="cellIs" dxfId="369" priority="80" stopIfTrue="1" operator="equal">
      <formula>1</formula>
    </cfRule>
  </conditionalFormatting>
  <conditionalFormatting sqref="P5:Q155">
    <cfRule type="cellIs" dxfId="368" priority="71" stopIfTrue="1" operator="between">
      <formula>7.1</formula>
      <formula>10</formula>
    </cfRule>
    <cfRule type="cellIs" dxfId="367" priority="72" stopIfTrue="1" operator="between">
      <formula>5.4</formula>
      <formula>7</formula>
    </cfRule>
    <cfRule type="cellIs" dxfId="366" priority="73" stopIfTrue="1" operator="between">
      <formula>3.5</formula>
      <formula>5.3</formula>
    </cfRule>
    <cfRule type="cellIs" dxfId="365" priority="74" stopIfTrue="1" operator="between">
      <formula>1.8</formula>
      <formula>3.4</formula>
    </cfRule>
    <cfRule type="cellIs" dxfId="364" priority="75" stopIfTrue="1" operator="between">
      <formula>0</formula>
      <formula>1.7</formula>
    </cfRule>
  </conditionalFormatting>
  <conditionalFormatting sqref="T5:T155">
    <cfRule type="cellIs" dxfId="363" priority="61" stopIfTrue="1" operator="between">
      <formula>4</formula>
      <formula>5</formula>
    </cfRule>
    <cfRule type="cellIs" dxfId="362" priority="62" stopIfTrue="1" operator="between">
      <formula>3</formula>
      <formula>4</formula>
    </cfRule>
    <cfRule type="cellIs" dxfId="361" priority="63" stopIfTrue="1" operator="between">
      <formula>2</formula>
      <formula>3</formula>
    </cfRule>
    <cfRule type="cellIs" dxfId="360" priority="64" stopIfTrue="1" operator="between">
      <formula>1</formula>
      <formula>2</formula>
    </cfRule>
    <cfRule type="cellIs" dxfId="359" priority="65" stopIfTrue="1" operator="between">
      <formula>0</formula>
      <formula>1</formula>
    </cfRule>
  </conditionalFormatting>
  <conditionalFormatting sqref="R5:R155">
    <cfRule type="cellIs" dxfId="358" priority="31" stopIfTrue="1" operator="between">
      <formula>4</formula>
      <formula>5</formula>
    </cfRule>
    <cfRule type="cellIs" dxfId="357" priority="32" stopIfTrue="1" operator="between">
      <formula>3</formula>
      <formula>4</formula>
    </cfRule>
    <cfRule type="cellIs" dxfId="356" priority="33" stopIfTrue="1" operator="between">
      <formula>2</formula>
      <formula>3</formula>
    </cfRule>
    <cfRule type="cellIs" dxfId="355" priority="34" stopIfTrue="1" operator="between">
      <formula>1</formula>
      <formula>2</formula>
    </cfRule>
    <cfRule type="cellIs" dxfId="354" priority="35" stopIfTrue="1" operator="between">
      <formula>0</formula>
      <formula>1</formula>
    </cfRule>
  </conditionalFormatting>
  <conditionalFormatting sqref="J5:J155">
    <cfRule type="cellIs" dxfId="353" priority="11" operator="equal">
      <formula>"Increasing"</formula>
    </cfRule>
    <cfRule type="cellIs" dxfId="352" priority="12" operator="equal">
      <formula>"Stable"</formula>
    </cfRule>
    <cfRule type="cellIs" dxfId="351" priority="13" operator="equal">
      <formula>"Decreasing"</formula>
    </cfRule>
  </conditionalFormatting>
  <conditionalFormatting sqref="I5:I155">
    <cfRule type="cellIs" dxfId="350" priority="41" stopIfTrue="1" operator="equal">
      <formula>"Very High"</formula>
    </cfRule>
    <cfRule type="cellIs" dxfId="349" priority="42" stopIfTrue="1" operator="equal">
      <formula>"High"</formula>
    </cfRule>
    <cfRule type="cellIs" dxfId="348" priority="43" stopIfTrue="1" operator="equal">
      <formula>"Medium"</formula>
    </cfRule>
    <cfRule type="cellIs" dxfId="347" priority="44" stopIfTrue="1" operator="equal">
      <formula>"Low"</formula>
    </cfRule>
    <cfRule type="cellIs" dxfId="346" priority="45" stopIfTrue="1" operator="equal">
      <formula>"Very Low"</formula>
    </cfRule>
  </conditionalFormatting>
  <conditionalFormatting sqref="O5:O155">
    <cfRule type="cellIs" dxfId="345" priority="6" stopIfTrue="1" operator="between">
      <formula>5</formula>
      <formula>5.9</formula>
    </cfRule>
    <cfRule type="cellIs" dxfId="344" priority="7" stopIfTrue="1" operator="between">
      <formula>4</formula>
      <formula>4.9</formula>
    </cfRule>
    <cfRule type="cellIs" dxfId="343" priority="8" stopIfTrue="1" operator="between">
      <formula>3</formula>
      <formula>3.9</formula>
    </cfRule>
    <cfRule type="cellIs" dxfId="342" priority="9" stopIfTrue="1" operator="between">
      <formula>2</formula>
      <formula>2.9</formula>
    </cfRule>
    <cfRule type="cellIs" dxfId="341" priority="10" stopIfTrue="1" operator="between">
      <formula>0</formula>
      <formula>1.9</formula>
    </cfRule>
  </conditionalFormatting>
  <conditionalFormatting sqref="S5:T155">
    <cfRule type="cellIs" dxfId="340" priority="51" stopIfTrue="1" operator="between">
      <formula>4</formula>
      <formula>5</formula>
    </cfRule>
    <cfRule type="cellIs" dxfId="339" priority="52" stopIfTrue="1" operator="between">
      <formula>3</formula>
      <formula>4</formula>
    </cfRule>
    <cfRule type="cellIs" dxfId="338" priority="53" stopIfTrue="1" operator="between">
      <formula>2</formula>
      <formula>3</formula>
    </cfRule>
    <cfRule type="cellIs" dxfId="337" priority="54" stopIfTrue="1" operator="between">
      <formula>1</formula>
      <formula>2</formula>
    </cfRule>
    <cfRule type="cellIs" dxfId="336" priority="55" stopIfTrue="1" operator="between">
      <formula>0</formula>
      <formula>1</formula>
    </cfRule>
  </conditionalFormatting>
  <conditionalFormatting sqref="K5:K155">
    <cfRule type="cellIs" dxfId="335" priority="1" stopIfTrue="1" operator="equal">
      <formula>"Very Low"</formula>
    </cfRule>
    <cfRule type="cellIs" dxfId="334" priority="2" stopIfTrue="1" operator="equal">
      <formula>"Low"</formula>
    </cfRule>
    <cfRule type="cellIs" dxfId="333" priority="3" stopIfTrue="1" operator="equal">
      <formula>"Medium"</formula>
    </cfRule>
    <cfRule type="cellIs" dxfId="332" priority="4" stopIfTrue="1" operator="equal">
      <formula>"High"</formula>
    </cfRule>
    <cfRule type="cellIs" dxfId="33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zoomScale="80" zoomScaleNormal="80" workbookViewId="0">
      <selection activeCell="U5" sqref="U5"/>
    </sheetView>
  </sheetViews>
  <sheetFormatPr defaultColWidth="8.77734375" defaultRowHeight="14.4" x14ac:dyDescent="0.3"/>
  <cols>
    <col min="1" max="1" width="43.5546875" style="79" bestFit="1" customWidth="1"/>
    <col min="2" max="2" width="10" style="79" customWidth="1"/>
    <col min="3" max="3" width="17.5546875" style="79" customWidth="1"/>
    <col min="4" max="4" width="8.77734375" style="79"/>
    <col min="5" max="5" width="27.44140625" style="79" bestFit="1" customWidth="1"/>
    <col min="6" max="7" width="8.77734375" style="79"/>
    <col min="8" max="8" width="9.5546875" style="79" customWidth="1"/>
    <col min="9" max="9" width="13.5546875" style="79" customWidth="1"/>
    <col min="10" max="10" width="10.21875" style="79" customWidth="1"/>
    <col min="11" max="20" width="8.77734375" style="79"/>
    <col min="21" max="21" width="11.44140625" style="79" bestFit="1" customWidth="1"/>
    <col min="22" max="16384" width="8.77734375" style="79"/>
  </cols>
  <sheetData>
    <row r="1" spans="1:21" ht="22.8" x14ac:dyDescent="0.4">
      <c r="A1" s="162" t="str">
        <f>"INFORM Severity Index - all crises. Release: "&amp;About!$A$5&amp;""</f>
        <v>INFORM Severity Index - all crises. Release: October 2020</v>
      </c>
      <c r="B1" s="59"/>
      <c r="C1" s="59"/>
      <c r="D1" s="59"/>
      <c r="E1" s="59"/>
      <c r="F1" s="59"/>
      <c r="G1" s="59"/>
      <c r="H1" s="59"/>
      <c r="I1" s="59"/>
      <c r="J1" s="59"/>
      <c r="K1" s="59"/>
      <c r="L1" s="59"/>
      <c r="M1" s="59"/>
      <c r="N1" s="59"/>
      <c r="O1" s="59"/>
      <c r="P1" s="59"/>
      <c r="Q1" s="59"/>
      <c r="R1" s="59"/>
      <c r="S1" s="59"/>
      <c r="T1" s="59"/>
      <c r="U1" s="59"/>
    </row>
    <row r="2" spans="1:21" ht="96.6" thickBot="1" x14ac:dyDescent="0.35">
      <c r="A2" s="13" t="s">
        <v>399</v>
      </c>
      <c r="B2" s="13" t="s">
        <v>400</v>
      </c>
      <c r="C2" s="13" t="s">
        <v>367</v>
      </c>
      <c r="D2" s="6" t="s">
        <v>356</v>
      </c>
      <c r="E2" s="13" t="s">
        <v>410</v>
      </c>
      <c r="F2" s="105" t="s">
        <v>2961</v>
      </c>
      <c r="G2" s="106" t="s">
        <v>2962</v>
      </c>
      <c r="H2" s="105" t="s">
        <v>2962</v>
      </c>
      <c r="I2" s="107" t="s">
        <v>2969</v>
      </c>
      <c r="J2" s="107" t="s">
        <v>565</v>
      </c>
      <c r="K2" s="109" t="s">
        <v>2953</v>
      </c>
      <c r="L2" s="108" t="s">
        <v>3225</v>
      </c>
      <c r="M2" s="108" t="s">
        <v>3226</v>
      </c>
      <c r="N2" s="60" t="s">
        <v>2955</v>
      </c>
      <c r="O2" s="110" t="s">
        <v>1355</v>
      </c>
      <c r="P2" s="110" t="s">
        <v>2954</v>
      </c>
      <c r="Q2" s="111" t="s">
        <v>444</v>
      </c>
      <c r="R2" s="112" t="s">
        <v>445</v>
      </c>
      <c r="S2" s="112" t="s">
        <v>446</v>
      </c>
      <c r="T2" s="80" t="s">
        <v>1502</v>
      </c>
      <c r="U2" s="161" t="s">
        <v>3002</v>
      </c>
    </row>
    <row r="3" spans="1:21" ht="18" hidden="1" thickTop="1" x14ac:dyDescent="0.35">
      <c r="A3" s="57" t="s">
        <v>421</v>
      </c>
      <c r="B3" s="57"/>
      <c r="C3" s="57"/>
      <c r="D3" s="57"/>
      <c r="E3" s="57"/>
      <c r="F3" s="49"/>
      <c r="G3" s="49"/>
      <c r="H3" s="49"/>
      <c r="I3" s="102"/>
      <c r="J3" s="49"/>
      <c r="K3" s="48"/>
      <c r="L3" s="47"/>
      <c r="M3" s="47"/>
      <c r="N3" s="48"/>
      <c r="O3" s="49"/>
      <c r="P3" s="49"/>
      <c r="Q3" s="48"/>
      <c r="R3" s="47"/>
      <c r="S3" s="47"/>
      <c r="T3" s="2"/>
      <c r="U3" s="144"/>
    </row>
    <row r="4" spans="1:21" ht="18" thickTop="1" x14ac:dyDescent="0.35">
      <c r="A4" s="14" t="s">
        <v>378</v>
      </c>
      <c r="B4" s="14"/>
      <c r="C4" s="14"/>
      <c r="D4" s="7" t="s">
        <v>378</v>
      </c>
      <c r="E4" s="14"/>
      <c r="F4" s="35" t="s">
        <v>431</v>
      </c>
      <c r="G4" s="35" t="s">
        <v>431</v>
      </c>
      <c r="H4" s="35" t="s">
        <v>394</v>
      </c>
      <c r="I4" s="35" t="s">
        <v>2968</v>
      </c>
      <c r="J4" s="35" t="s">
        <v>394</v>
      </c>
      <c r="K4" s="35" t="s">
        <v>431</v>
      </c>
      <c r="L4" s="35" t="s">
        <v>431</v>
      </c>
      <c r="M4" s="35" t="s">
        <v>431</v>
      </c>
      <c r="N4" s="35" t="s">
        <v>431</v>
      </c>
      <c r="O4" s="35" t="s">
        <v>431</v>
      </c>
      <c r="P4" s="35" t="s">
        <v>431</v>
      </c>
      <c r="Q4" s="35" t="s">
        <v>431</v>
      </c>
      <c r="R4" s="35" t="s">
        <v>431</v>
      </c>
      <c r="S4" s="35" t="s">
        <v>431</v>
      </c>
      <c r="T4" s="2"/>
      <c r="U4" s="144"/>
    </row>
    <row r="5" spans="1:21" x14ac:dyDescent="0.3">
      <c r="A5" s="168" t="str" cm="1">
        <f t="array" ref="A5">IFERROR(INDEX(Lists!$B$2:$B$160,SMALL(IF(Lists!$I$2:$I$160="Individual",ROW(Lists!$B$2:$B$160)),ROW(1:1))-1,1),"")</f>
        <v>Complex crisis in Afghanistan</v>
      </c>
      <c r="B5" s="169" t="str">
        <f>VLOOKUP(A5,Lists!$B$2:$G$160,2,FALSE)</f>
        <v>AFG001</v>
      </c>
      <c r="C5" s="169" t="str">
        <f>VLOOKUP(B5,'INFORM Severity - hidden'!$C$5:$D$160,2,FALSE)</f>
        <v>Afghanistan</v>
      </c>
      <c r="D5" s="169" t="str">
        <f>VLOOKUP(A5,Lists!$B$2:$G$160,3,FALSE)</f>
        <v>AFG</v>
      </c>
      <c r="E5" s="170" t="str">
        <f>VLOOKUP(A5,Lists!$B$2:$G$160,5,FALSE)</f>
        <v>Complex crisis</v>
      </c>
      <c r="F5" s="164">
        <f>IF(OR(N5="x",K5="x"),"x",ROUND((5-GEOMEAN(((5-K5)/5*4+1),((5-N5)/5*4+1),((5-N5)/5*4+1)))/4*3.5+Q5*0.3,1))</f>
        <v>4.5999999999999996</v>
      </c>
      <c r="G5" s="165">
        <f>IF(F5="x","x",ROUNDUP(F5,0))</f>
        <v>5</v>
      </c>
      <c r="H5" s="165" t="str">
        <f>IF(N5="x","x",IF(K5="x","x",(IF(G5=5,"Very High",IF(G5=4,"High",IF(G5=3,"Medium",IF(G5=2,"Low","Very Low")))))))</f>
        <v>Very High</v>
      </c>
      <c r="I5" s="166" t="str">
        <f>INDEX(Trends!$D$3:$D$400,MATCH(B5,Trends!$C$3:$C$400,0))</f>
        <v>Increasing</v>
      </c>
      <c r="J5" s="165" t="str">
        <f>VLOOKUP($B5,Reliability!$A$3:$I$170,9,FALSE)</f>
        <v>High</v>
      </c>
      <c r="K5" s="167">
        <f>IF(OR(M5="x",L5="x"),"x",ROUND((5-GEOMEAN(((5-L5)/5*4+1),((5-M5)/5*4+1),((5-M5)/5*4+1)))/4*5,1))</f>
        <v>5</v>
      </c>
      <c r="L5" s="167">
        <f>VLOOKUP($B5,'Impact of the crisis'!$C$6:$N$170,12,FALSE)</f>
        <v>4.9000000000000004</v>
      </c>
      <c r="M5" s="167">
        <f>VLOOKUP($B5,'Impact of the crisis'!$C$6:$AB$170,26,FALSE)</f>
        <v>5</v>
      </c>
      <c r="N5" s="167">
        <f>VLOOKUP($B5,'Conditions of people affected'!$C$6:$R$170,16,FALSE)</f>
        <v>4.5</v>
      </c>
      <c r="O5" s="167">
        <f>VLOOKUP($B5,'Conditions of people affected'!$C$6:$R$170,9,FALSE)</f>
        <v>5</v>
      </c>
      <c r="P5" s="167">
        <f>VLOOKUP($B5,'Conditions of people affected'!$C$6:$R$170,15,FALSE)</f>
        <v>4</v>
      </c>
      <c r="Q5" s="167">
        <f>IF(OR(S5="x",R5="x"),R5,ROUND((5-GEOMEAN(((5-R5)/5*4+1),((5-S5)/5*4+1)))/4*5,1))</f>
        <v>4.3</v>
      </c>
      <c r="R5" s="167">
        <f>VLOOKUP($B5,'Complexity of the crisis'!$C$6:$AN$170,22,FALSE)</f>
        <v>4</v>
      </c>
      <c r="S5" s="167">
        <f>VLOOKUP($B5,'Complexity of the crisis'!$C$6:$AN$170,38,FALSE)</f>
        <v>4.5</v>
      </c>
      <c r="T5" s="171" t="str">
        <f>VLOOKUP(B5,Lists!$C$3:$E$167,3,FALSE)</f>
        <v>Asia</v>
      </c>
      <c r="U5" s="172">
        <v>44131</v>
      </c>
    </row>
    <row r="6" spans="1:21" x14ac:dyDescent="0.3">
      <c r="A6" s="168" t="str" cm="1">
        <f t="array" ref="A6">IFERROR(INDEX(Lists!$B$2:$B$160,SMALL(IF(Lists!$I$2:$I$160="Individual",ROW(Lists!$B$2:$B$160)),ROW(2:2))-1,1),"")</f>
        <v>Mixed migration flows in Algeria</v>
      </c>
      <c r="B6" s="169" t="str">
        <f>VLOOKUP(A6,Lists!$B$2:$G$160,2,FALSE)</f>
        <v>DZA002</v>
      </c>
      <c r="C6" s="169" t="str">
        <f>VLOOKUP(B6,'INFORM Severity - hidden'!$C$5:$D$160,2,FALSE)</f>
        <v>Algeria</v>
      </c>
      <c r="D6" s="169" t="str">
        <f>VLOOKUP(A6,Lists!$B$2:$G$160,3,FALSE)</f>
        <v>DZA</v>
      </c>
      <c r="E6" s="170" t="str">
        <f>VLOOKUP(A6,Lists!$B$2:$G$160,5,FALSE)</f>
        <v>International displacement</v>
      </c>
      <c r="F6" s="164" t="str">
        <f t="shared" ref="F6:F69" si="0">IF(OR(N6="x",K6="x"),"x",ROUND((5-GEOMEAN(((5-K6)/5*4+1),((5-N6)/5*4+1),((5-N6)/5*4+1)))/4*3.5+Q6*0.3,1))</f>
        <v>x</v>
      </c>
      <c r="G6" s="165" t="str">
        <f t="shared" ref="G6:G69" si="1">IF(F6="x","x",ROUNDUP(F6,0))</f>
        <v>x</v>
      </c>
      <c r="H6" s="165" t="str">
        <f t="shared" ref="H6:H69" si="2">IF(N6="x","x",IF(K6="x","x",(IF(G6=5,"Very High",IF(G6=4,"High",IF(G6=3,"Medium",IF(G6=2,"Low","Very Low")))))))</f>
        <v>x</v>
      </c>
      <c r="I6" s="166" t="str">
        <f>INDEX(Trends!$D$3:$D$400,MATCH(B6,Trends!$C$3:$C$400,0))</f>
        <v>-</v>
      </c>
      <c r="J6" s="165" t="str">
        <f>VLOOKUP($B6,Reliability!$A$3:$I$170,9,FALSE)</f>
        <v>Very Low</v>
      </c>
      <c r="K6" s="167">
        <f t="shared" ref="K6:K69" si="3">IF(OR(M6="x",L6="x"),"x",ROUND((5-GEOMEAN(((5-L6)/5*4+1),((5-M6)/5*4+1),((5-M6)/5*4+1)))/4*5,1))</f>
        <v>4.4000000000000004</v>
      </c>
      <c r="L6" s="167">
        <f>VLOOKUP($B6,'Impact of the crisis'!$C$6:$N$170,12,FALSE)</f>
        <v>5</v>
      </c>
      <c r="M6" s="167">
        <f>VLOOKUP($B6,'Impact of the crisis'!$C$6:$AB$170,26,FALSE)</f>
        <v>4</v>
      </c>
      <c r="N6" s="167" t="str">
        <f>VLOOKUP($B6,'Conditions of people affected'!$C$6:$R$170,16,FALSE)</f>
        <v>x</v>
      </c>
      <c r="O6" s="167" t="str">
        <f>VLOOKUP($B6,'Conditions of people affected'!$C$6:$R$170,9,FALSE)</f>
        <v>x</v>
      </c>
      <c r="P6" s="167" t="str">
        <f>VLOOKUP($B6,'Conditions of people affected'!$C$6:$R$170,15,FALSE)</f>
        <v>x</v>
      </c>
      <c r="Q6" s="167">
        <f t="shared" ref="Q6:Q69" si="4">IF(OR(S6="x",R6="x"),R6,ROUND((5-GEOMEAN(((5-R6)/5*4+1),((5-S6)/5*4+1)))/4*5,1))</f>
        <v>2.1</v>
      </c>
      <c r="R6" s="167">
        <f>VLOOKUP($B6,'Complexity of the crisis'!$C$6:$AN$170,22,FALSE)</f>
        <v>3</v>
      </c>
      <c r="S6" s="167">
        <f>VLOOKUP($B6,'Complexity of the crisis'!$C$6:$AN$170,38,FALSE)</f>
        <v>1</v>
      </c>
      <c r="T6" s="171" t="str">
        <f>VLOOKUP(B6,Lists!$C$3:$E$167,3,FALSE)</f>
        <v>Africa</v>
      </c>
      <c r="U6" s="172">
        <v>44133</v>
      </c>
    </row>
    <row r="7" spans="1:21" x14ac:dyDescent="0.3">
      <c r="A7" s="168" t="str" cm="1">
        <f t="array" ref="A7">IFERROR(INDEX(Lists!$B$2:$B$160,SMALL(IF(Lists!$I$2:$I$160="Individual",ROW(Lists!$B$2:$B$160)),ROW(3:3))-1,1),"")</f>
        <v>Sahrawi refugees in Algeria</v>
      </c>
      <c r="B7" s="169" t="str">
        <f>VLOOKUP(A7,Lists!$B$2:$G$160,2,FALSE)</f>
        <v>DZA003</v>
      </c>
      <c r="C7" s="169" t="str">
        <f>VLOOKUP(B7,'INFORM Severity - hidden'!$C$5:$D$160,2,FALSE)</f>
        <v>Algeria</v>
      </c>
      <c r="D7" s="169" t="str">
        <f>VLOOKUP(A7,Lists!$B$2:$G$160,3,FALSE)</f>
        <v>DZA</v>
      </c>
      <c r="E7" s="170" t="str">
        <f>VLOOKUP(A7,Lists!$B$2:$G$160,5,FALSE)</f>
        <v>International displacement</v>
      </c>
      <c r="F7" s="164">
        <f t="shared" si="0"/>
        <v>2.2000000000000002</v>
      </c>
      <c r="G7" s="165">
        <f t="shared" si="1"/>
        <v>3</v>
      </c>
      <c r="H7" s="165" t="str">
        <f t="shared" si="2"/>
        <v>Medium</v>
      </c>
      <c r="I7" s="166" t="str">
        <f>INDEX(Trends!$D$3:$D$400,MATCH(B7,Trends!$C$3:$C$400,0))</f>
        <v>Stable</v>
      </c>
      <c r="J7" s="165" t="str">
        <f>VLOOKUP($B7,Reliability!$A$3:$I$170,9,FALSE)</f>
        <v>Medium</v>
      </c>
      <c r="K7" s="167">
        <f t="shared" si="3"/>
        <v>2.2000000000000002</v>
      </c>
      <c r="L7" s="167">
        <f>VLOOKUP($B7,'Impact of the crisis'!$C$6:$N$170,12,FALSE)</f>
        <v>1.1000000000000001</v>
      </c>
      <c r="M7" s="167">
        <f>VLOOKUP($B7,'Impact of the crisis'!$C$6:$AB$170,26,FALSE)</f>
        <v>2.6</v>
      </c>
      <c r="N7" s="167">
        <f>VLOOKUP($B7,'Conditions of people affected'!$C$6:$R$170,16,FALSE)</f>
        <v>2.2999999999999998</v>
      </c>
      <c r="O7" s="167">
        <f>VLOOKUP($B7,'Conditions of people affected'!$C$6:$R$170,9,FALSE)</f>
        <v>1.6</v>
      </c>
      <c r="P7" s="167">
        <f>VLOOKUP($B7,'Conditions of people affected'!$C$6:$R$170,15,FALSE)</f>
        <v>3</v>
      </c>
      <c r="Q7" s="167">
        <f t="shared" si="4"/>
        <v>2.1</v>
      </c>
      <c r="R7" s="167">
        <f>VLOOKUP($B7,'Complexity of the crisis'!$C$6:$AN$170,22,FALSE)</f>
        <v>3</v>
      </c>
      <c r="S7" s="167">
        <f>VLOOKUP($B7,'Complexity of the crisis'!$C$6:$AN$170,38,FALSE)</f>
        <v>1</v>
      </c>
      <c r="T7" s="171" t="str">
        <f>VLOOKUP(B7,Lists!$C$3:$E$167,3,FALSE)</f>
        <v>Africa</v>
      </c>
      <c r="U7" s="172">
        <v>44133</v>
      </c>
    </row>
    <row r="8" spans="1:21" x14ac:dyDescent="0.3">
      <c r="A8" s="168" t="str" cm="1">
        <f t="array" ref="A8">IFERROR(INDEX(Lists!$B$2:$B$160,SMALL(IF(Lists!$I$2:$I$160="Individual",ROW(Lists!$B$2:$B$160)),ROW(4:4))-1,1),"")</f>
        <v>Western Mediterranean Route</v>
      </c>
      <c r="B8" s="169" t="str">
        <f>VLOOKUP(A8,Lists!$B$2:$G$160,2,FALSE)</f>
        <v>REG008</v>
      </c>
      <c r="C8" s="169" t="str">
        <f>VLOOKUP(B8,'INFORM Severity - hidden'!$C$5:$D$160,2,FALSE)</f>
        <v>Algeria, Morocco, Spain</v>
      </c>
      <c r="D8" s="169" t="str">
        <f>VLOOKUP(A8,Lists!$B$2:$G$160,3,FALSE)</f>
        <v>DZA, MAR, ESP</v>
      </c>
      <c r="E8" s="170" t="str">
        <f>VLOOKUP(A8,Lists!$B$2:$G$160,5,FALSE)</f>
        <v>Regional crisis</v>
      </c>
      <c r="F8" s="164" t="str">
        <f t="shared" si="0"/>
        <v>x</v>
      </c>
      <c r="G8" s="165" t="str">
        <f t="shared" si="1"/>
        <v>x</v>
      </c>
      <c r="H8" s="165" t="str">
        <f t="shared" si="2"/>
        <v>x</v>
      </c>
      <c r="I8" s="166" t="str">
        <f>INDEX(Trends!$D$3:$D$400,MATCH(B8,Trends!$C$3:$C$400,0))</f>
        <v>-</v>
      </c>
      <c r="J8" s="165" t="str">
        <f>VLOOKUP($B8,Reliability!$A$3:$I$170,9,FALSE)</f>
        <v>Very Low</v>
      </c>
      <c r="K8" s="167" t="str">
        <f t="shared" si="3"/>
        <v>x</v>
      </c>
      <c r="L8" s="167" t="str">
        <f>VLOOKUP($B8,'Impact of the crisis'!$C$6:$N$170,12,FALSE)</f>
        <v>x</v>
      </c>
      <c r="M8" s="167">
        <f>VLOOKUP($B8,'Impact of the crisis'!$C$6:$AB$170,26,FALSE)</f>
        <v>2.6</v>
      </c>
      <c r="N8" s="167" t="str">
        <f>VLOOKUP($B8,'Conditions of people affected'!$C$6:$R$170,16,FALSE)</f>
        <v>x</v>
      </c>
      <c r="O8" s="167" t="str">
        <f>VLOOKUP($B8,'Conditions of people affected'!$C$6:$R$170,9,FALSE)</f>
        <v>x</v>
      </c>
      <c r="P8" s="167" t="str">
        <f>VLOOKUP($B8,'Conditions of people affected'!$C$6:$R$170,15,FALSE)</f>
        <v>x</v>
      </c>
      <c r="Q8" s="167">
        <f t="shared" si="4"/>
        <v>2.1</v>
      </c>
      <c r="R8" s="167">
        <f>VLOOKUP($B8,'Complexity of the crisis'!$C$6:$AN$170,22,FALSE)</f>
        <v>2.6</v>
      </c>
      <c r="S8" s="167">
        <f>VLOOKUP($B8,'Complexity of the crisis'!$C$6:$AN$170,38,FALSE)</f>
        <v>1.5</v>
      </c>
      <c r="T8" s="171" t="str">
        <f>VLOOKUP(B8,Lists!$C$3:$E$167,3,FALSE)</f>
        <v>Europe</v>
      </c>
      <c r="U8" s="172">
        <v>44140</v>
      </c>
    </row>
    <row r="9" spans="1:21" x14ac:dyDescent="0.3">
      <c r="A9" s="168" t="str" cm="1">
        <f t="array" ref="A9">IFERROR(INDEX(Lists!$B$2:$B$160,SMALL(IF(Lists!$I$2:$I$160="Individual",ROW(Lists!$B$2:$B$160)),ROW(5:5))-1,1),"")</f>
        <v>Central Mediterranean Route</v>
      </c>
      <c r="B9" s="169" t="str">
        <f>VLOOKUP(A9,Lists!$B$2:$G$160,2,FALSE)</f>
        <v>REG007</v>
      </c>
      <c r="C9" s="169" t="str">
        <f>VLOOKUP(B9,'INFORM Severity - hidden'!$C$5:$D$160,2,FALSE)</f>
        <v>Algeria, Tunisia, Libya, Italy</v>
      </c>
      <c r="D9" s="169" t="str">
        <f>VLOOKUP(A9,Lists!$B$2:$G$160,3,FALSE)</f>
        <v>DZA, TUN, LBY, ITA</v>
      </c>
      <c r="E9" s="170" t="str">
        <f>VLOOKUP(A9,Lists!$B$2:$G$160,5,FALSE)</f>
        <v>Regional crisis</v>
      </c>
      <c r="F9" s="164" t="str">
        <f t="shared" si="0"/>
        <v>x</v>
      </c>
      <c r="G9" s="165" t="str">
        <f t="shared" si="1"/>
        <v>x</v>
      </c>
      <c r="H9" s="165" t="str">
        <f t="shared" si="2"/>
        <v>x</v>
      </c>
      <c r="I9" s="166" t="str">
        <f>INDEX(Trends!$D$3:$D$400,MATCH(B9,Trends!$C$3:$C$400,0))</f>
        <v>-</v>
      </c>
      <c r="J9" s="165" t="str">
        <f>VLOOKUP($B9,Reliability!$A$3:$I$170,9,FALSE)</f>
        <v>Very Low</v>
      </c>
      <c r="K9" s="167" t="str">
        <f t="shared" si="3"/>
        <v>x</v>
      </c>
      <c r="L9" s="167" t="str">
        <f>VLOOKUP($B9,'Impact of the crisis'!$C$6:$N$170,12,FALSE)</f>
        <v>x</v>
      </c>
      <c r="M9" s="167">
        <f>VLOOKUP($B9,'Impact of the crisis'!$C$6:$AB$170,26,FALSE)</f>
        <v>3.6</v>
      </c>
      <c r="N9" s="167" t="str">
        <f>VLOOKUP($B9,'Conditions of people affected'!$C$6:$R$170,16,FALSE)</f>
        <v>x</v>
      </c>
      <c r="O9" s="167" t="str">
        <f>VLOOKUP($B9,'Conditions of people affected'!$C$6:$R$170,9,FALSE)</f>
        <v>x</v>
      </c>
      <c r="P9" s="167" t="str">
        <f>VLOOKUP($B9,'Conditions of people affected'!$C$6:$R$170,15,FALSE)</f>
        <v>x</v>
      </c>
      <c r="Q9" s="167">
        <f t="shared" si="4"/>
        <v>2.2999999999999998</v>
      </c>
      <c r="R9" s="167">
        <f>VLOOKUP($B9,'Complexity of the crisis'!$C$6:$AN$170,22,FALSE)</f>
        <v>2.6</v>
      </c>
      <c r="S9" s="167">
        <f>VLOOKUP($B9,'Complexity of the crisis'!$C$6:$AN$170,38,FALSE)</f>
        <v>2</v>
      </c>
      <c r="T9" s="171" t="str">
        <f>VLOOKUP(B9,Lists!$C$3:$E$167,3,FALSE)</f>
        <v>Europe</v>
      </c>
      <c r="U9" s="172">
        <v>44140</v>
      </c>
    </row>
    <row r="10" spans="1:21" x14ac:dyDescent="0.3">
      <c r="A10" s="168" t="str" cm="1">
        <f t="array" ref="A10">IFERROR(INDEX(Lists!$B$2:$B$160,SMALL(IF(Lists!$I$2:$I$160="Individual",ROW(Lists!$B$2:$B$160)),ROW(6:6))-1,1),"")</f>
        <v>Nagorno-Karabakh Conflict in Armenia</v>
      </c>
      <c r="B10" s="169" t="str">
        <f>VLOOKUP(A10,Lists!$B$2:$G$160,2,FALSE)</f>
        <v>ARM002</v>
      </c>
      <c r="C10" s="169" t="str">
        <f>VLOOKUP(B10,'INFORM Severity - hidden'!$C$5:$D$160,2,FALSE)</f>
        <v>Armenia</v>
      </c>
      <c r="D10" s="169" t="str">
        <f>VLOOKUP(A10,Lists!$B$2:$G$160,3,FALSE)</f>
        <v>ARM</v>
      </c>
      <c r="E10" s="170" t="str">
        <f>VLOOKUP(A10,Lists!$B$2:$G$160,5,FALSE)</f>
        <v>Conflict</v>
      </c>
      <c r="F10" s="164" t="str">
        <f t="shared" si="0"/>
        <v>x</v>
      </c>
      <c r="G10" s="165" t="str">
        <f t="shared" si="1"/>
        <v>x</v>
      </c>
      <c r="H10" s="165" t="str">
        <f t="shared" si="2"/>
        <v>x</v>
      </c>
      <c r="I10" s="166" t="str">
        <f>INDEX(Trends!$D$3:$D$400,MATCH(B10,Trends!$C$3:$C$400,0))</f>
        <v>-</v>
      </c>
      <c r="J10" s="165" t="str">
        <f>VLOOKUP($B10,Reliability!$A$3:$I$170,9,FALSE)</f>
        <v>High</v>
      </c>
      <c r="K10" s="167">
        <f t="shared" si="3"/>
        <v>2.2999999999999998</v>
      </c>
      <c r="L10" s="167">
        <f>VLOOKUP($B10,'Impact of the crisis'!$C$6:$N$170,12,FALSE)</f>
        <v>0.6</v>
      </c>
      <c r="M10" s="167">
        <f>VLOOKUP($B10,'Impact of the crisis'!$C$6:$AB$170,26,FALSE)</f>
        <v>2.9</v>
      </c>
      <c r="N10" s="167" t="str">
        <f>VLOOKUP($B10,'Conditions of people affected'!$C$6:$R$170,16,FALSE)</f>
        <v>x</v>
      </c>
      <c r="O10" s="167" t="str">
        <f>VLOOKUP($B10,'Conditions of people affected'!$C$6:$R$170,9,FALSE)</f>
        <v>x</v>
      </c>
      <c r="P10" s="167" t="str">
        <f>VLOOKUP($B10,'Conditions of people affected'!$C$6:$R$170,15,FALSE)</f>
        <v>x</v>
      </c>
      <c r="Q10" s="167">
        <f t="shared" si="4"/>
        <v>1.7</v>
      </c>
      <c r="R10" s="167">
        <f>VLOOKUP($B10,'Complexity of the crisis'!$C$6:$AN$170,22,FALSE)</f>
        <v>1.8</v>
      </c>
      <c r="S10" s="167">
        <f>VLOOKUP($B10,'Complexity of the crisis'!$C$6:$AN$170,38,FALSE)</f>
        <v>1.5</v>
      </c>
      <c r="T10" s="171" t="str">
        <f>VLOOKUP(B10,Lists!$C$3:$E$167,3,FALSE)</f>
        <v>Middle east</v>
      </c>
      <c r="U10" s="172">
        <v>44139</v>
      </c>
    </row>
    <row r="11" spans="1:21" x14ac:dyDescent="0.3">
      <c r="A11" s="168" t="str" cm="1">
        <f t="array" ref="A11">IFERROR(INDEX(Lists!$B$2:$B$160,SMALL(IF(Lists!$I$2:$I$160="Individual",ROW(Lists!$B$2:$B$160)),ROW(7:7))-1,1),"")</f>
        <v>Nagorno-Karabakh Conflict</v>
      </c>
      <c r="B11" s="169" t="str">
        <f>VLOOKUP(A11,Lists!$B$2:$G$160,2,FALSE)</f>
        <v>REG013</v>
      </c>
      <c r="C11" s="169" t="str">
        <f>VLOOKUP(B11,'INFORM Severity - hidden'!$C$5:$D$160,2,FALSE)</f>
        <v>Armenia, Azerbaijan</v>
      </c>
      <c r="D11" s="169" t="str">
        <f>VLOOKUP(A11,Lists!$B$2:$G$160,3,FALSE)</f>
        <v>ARM, AZE</v>
      </c>
      <c r="E11" s="170" t="str">
        <f>VLOOKUP(A11,Lists!$B$2:$G$160,5,FALSE)</f>
        <v>Regional crisis</v>
      </c>
      <c r="F11" s="164" t="str">
        <f t="shared" si="0"/>
        <v>x</v>
      </c>
      <c r="G11" s="165" t="str">
        <f t="shared" si="1"/>
        <v>x</v>
      </c>
      <c r="H11" s="165" t="str">
        <f t="shared" si="2"/>
        <v>x</v>
      </c>
      <c r="I11" s="166" t="str">
        <f>INDEX(Trends!$D$3:$D$400,MATCH(B11,Trends!$C$3:$C$400,0))</f>
        <v>-</v>
      </c>
      <c r="J11" s="165" t="str">
        <f>VLOOKUP($B11,Reliability!$A$3:$I$170,9,FALSE)</f>
        <v>High</v>
      </c>
      <c r="K11" s="167">
        <f t="shared" si="3"/>
        <v>3</v>
      </c>
      <c r="L11" s="167">
        <f>VLOOKUP($B11,'Impact of the crisis'!$C$6:$N$170,12,FALSE)</f>
        <v>1.9</v>
      </c>
      <c r="M11" s="167">
        <f>VLOOKUP($B11,'Impact of the crisis'!$C$6:$AB$170,26,FALSE)</f>
        <v>3.4</v>
      </c>
      <c r="N11" s="167" t="str">
        <f>VLOOKUP($B11,'Conditions of people affected'!$C$6:$R$170,16,FALSE)</f>
        <v>x</v>
      </c>
      <c r="O11" s="167" t="str">
        <f>VLOOKUP($B11,'Conditions of people affected'!$C$6:$R$170,9,FALSE)</f>
        <v>x</v>
      </c>
      <c r="P11" s="167" t="str">
        <f>VLOOKUP($B11,'Conditions of people affected'!$C$6:$R$170,15,FALSE)</f>
        <v>x</v>
      </c>
      <c r="Q11" s="167">
        <f t="shared" si="4"/>
        <v>2.2999999999999998</v>
      </c>
      <c r="R11" s="167">
        <f>VLOOKUP($B11,'Complexity of the crisis'!$C$6:$AN$170,22,FALSE)</f>
        <v>2.6</v>
      </c>
      <c r="S11" s="167">
        <f>VLOOKUP($B11,'Complexity of the crisis'!$C$6:$AN$170,38,FALSE)</f>
        <v>2</v>
      </c>
      <c r="T11" s="171" t="str">
        <f>VLOOKUP(B11,Lists!$C$3:$E$167,3,FALSE)</f>
        <v>Asia</v>
      </c>
      <c r="U11" s="172">
        <v>44139</v>
      </c>
    </row>
    <row r="12" spans="1:21" x14ac:dyDescent="0.3">
      <c r="A12" s="168" t="str" cm="1">
        <f t="array" ref="A12">IFERROR(INDEX(Lists!$B$2:$B$160,SMALL(IF(Lists!$I$2:$I$160="Individual",ROW(Lists!$B$2:$B$160)),ROW(8:8))-1,1),"")</f>
        <v>Nagorno-Karabakh conflict in Azerbaijan</v>
      </c>
      <c r="B12" s="169" t="str">
        <f>VLOOKUP(A12,Lists!$B$2:$G$160,2,FALSE)</f>
        <v>AZE002</v>
      </c>
      <c r="C12" s="169" t="str">
        <f>VLOOKUP(B12,'INFORM Severity - hidden'!$C$5:$D$160,2,FALSE)</f>
        <v>Azerbaijan</v>
      </c>
      <c r="D12" s="169" t="str">
        <f>VLOOKUP(A12,Lists!$B$2:$G$160,3,FALSE)</f>
        <v>AZE</v>
      </c>
      <c r="E12" s="170" t="str">
        <f>VLOOKUP(A12,Lists!$B$2:$G$160,5,FALSE)</f>
        <v>Conflict</v>
      </c>
      <c r="F12" s="164" t="str">
        <f t="shared" si="0"/>
        <v>x</v>
      </c>
      <c r="G12" s="165" t="str">
        <f t="shared" si="1"/>
        <v>x</v>
      </c>
      <c r="H12" s="165" t="str">
        <f t="shared" si="2"/>
        <v>x</v>
      </c>
      <c r="I12" s="166" t="str">
        <f>INDEX(Trends!$D$3:$D$400,MATCH(B12,Trends!$C$3:$C$400,0))</f>
        <v>-</v>
      </c>
      <c r="J12" s="165" t="str">
        <f>VLOOKUP($B12,Reliability!$A$3:$I$170,9,FALSE)</f>
        <v>High</v>
      </c>
      <c r="K12" s="167">
        <f t="shared" si="3"/>
        <v>2.9</v>
      </c>
      <c r="L12" s="167">
        <f>VLOOKUP($B12,'Impact of the crisis'!$C$6:$N$170,12,FALSE)</f>
        <v>1.8</v>
      </c>
      <c r="M12" s="167">
        <f>VLOOKUP($B12,'Impact of the crisis'!$C$6:$AB$170,26,FALSE)</f>
        <v>3.3</v>
      </c>
      <c r="N12" s="167" t="str">
        <f>VLOOKUP($B12,'Conditions of people affected'!$C$6:$R$170,16,FALSE)</f>
        <v>x</v>
      </c>
      <c r="O12" s="167" t="str">
        <f>VLOOKUP($B12,'Conditions of people affected'!$C$6:$R$170,9,FALSE)</f>
        <v>x</v>
      </c>
      <c r="P12" s="167" t="str">
        <f>VLOOKUP($B12,'Conditions of people affected'!$C$6:$R$170,15,FALSE)</f>
        <v>x</v>
      </c>
      <c r="Q12" s="167">
        <f t="shared" si="4"/>
        <v>2.5</v>
      </c>
      <c r="R12" s="167">
        <f>VLOOKUP($B12,'Complexity of the crisis'!$C$6:$AN$170,22,FALSE)</f>
        <v>2.9</v>
      </c>
      <c r="S12" s="167">
        <f>VLOOKUP($B12,'Complexity of the crisis'!$C$6:$AN$170,38,FALSE)</f>
        <v>2</v>
      </c>
      <c r="T12" s="171" t="str">
        <f>VLOOKUP(B12,Lists!$C$3:$E$167,3,FALSE)</f>
        <v>Middle east</v>
      </c>
      <c r="U12" s="172">
        <v>44139</v>
      </c>
    </row>
    <row r="13" spans="1:21" x14ac:dyDescent="0.3">
      <c r="A13" s="168" t="str" cm="1">
        <f t="array" ref="A13">IFERROR(INDEX(Lists!$B$2:$B$160,SMALL(IF(Lists!$I$2:$I$160="Individual",ROW(Lists!$B$2:$B$160)),ROW(9:9))-1,1),"")</f>
        <v>Rohingya refugee crisis</v>
      </c>
      <c r="B13" s="169" t="str">
        <f>VLOOKUP(A13,Lists!$B$2:$G$160,2,FALSE)</f>
        <v>BGD002</v>
      </c>
      <c r="C13" s="169" t="str">
        <f>VLOOKUP(B13,'INFORM Severity - hidden'!$C$5:$D$160,2,FALSE)</f>
        <v>Bangladesh</v>
      </c>
      <c r="D13" s="169" t="str">
        <f>VLOOKUP(A13,Lists!$B$2:$G$160,3,FALSE)</f>
        <v>BGD</v>
      </c>
      <c r="E13" s="170" t="str">
        <f>VLOOKUP(A13,Lists!$B$2:$G$160,5,FALSE)</f>
        <v>International displacement</v>
      </c>
      <c r="F13" s="164">
        <f t="shared" si="0"/>
        <v>3.2</v>
      </c>
      <c r="G13" s="165">
        <f t="shared" si="1"/>
        <v>4</v>
      </c>
      <c r="H13" s="165" t="str">
        <f t="shared" si="2"/>
        <v>High</v>
      </c>
      <c r="I13" s="166" t="str">
        <f>INDEX(Trends!$D$3:$D$400,MATCH(B13,Trends!$C$3:$C$400,0))</f>
        <v>Stable</v>
      </c>
      <c r="J13" s="165" t="str">
        <f>VLOOKUP($B13,Reliability!$A$3:$I$170,9,FALSE)</f>
        <v>Very High</v>
      </c>
      <c r="K13" s="167">
        <f t="shared" si="3"/>
        <v>2.7</v>
      </c>
      <c r="L13" s="167">
        <f>VLOOKUP($B13,'Impact of the crisis'!$C$6:$N$170,12,FALSE)</f>
        <v>0.1</v>
      </c>
      <c r="M13" s="167">
        <f>VLOOKUP($B13,'Impact of the crisis'!$C$6:$AB$170,26,FALSE)</f>
        <v>3.5</v>
      </c>
      <c r="N13" s="167">
        <f>VLOOKUP($B13,'Conditions of people affected'!$C$6:$R$170,16,FALSE)</f>
        <v>3.6</v>
      </c>
      <c r="O13" s="167">
        <f>VLOOKUP($B13,'Conditions of people affected'!$C$6:$R$170,9,FALSE)</f>
        <v>3.2</v>
      </c>
      <c r="P13" s="167">
        <f>VLOOKUP($B13,'Conditions of people affected'!$C$6:$R$170,15,FALSE)</f>
        <v>4</v>
      </c>
      <c r="Q13" s="167">
        <f t="shared" si="4"/>
        <v>2.9</v>
      </c>
      <c r="R13" s="167">
        <f>VLOOKUP($B13,'Complexity of the crisis'!$C$6:$AN$170,22,FALSE)</f>
        <v>2.7</v>
      </c>
      <c r="S13" s="167">
        <f>VLOOKUP($B13,'Complexity of the crisis'!$C$6:$AN$170,38,FALSE)</f>
        <v>3</v>
      </c>
      <c r="T13" s="171" t="str">
        <f>VLOOKUP(B13,Lists!$C$3:$E$167,3,FALSE)</f>
        <v>Asia</v>
      </c>
      <c r="U13" s="172">
        <v>44132</v>
      </c>
    </row>
    <row r="14" spans="1:21" x14ac:dyDescent="0.3">
      <c r="A14" s="168" t="str" cm="1">
        <f t="array" ref="A14">IFERROR(INDEX(Lists!$B$2:$B$160,SMALL(IF(Lists!$I$2:$I$160="Individual",ROW(Lists!$B$2:$B$160)),ROW(10:10))-1,1),"")</f>
        <v>Floods in Bangladesh</v>
      </c>
      <c r="B14" s="169" t="str">
        <f>VLOOKUP(A14,Lists!$B$2:$G$160,2,FALSE)</f>
        <v>BGD003</v>
      </c>
      <c r="C14" s="169" t="str">
        <f>VLOOKUP(B14,'INFORM Severity - hidden'!$C$5:$D$160,2,FALSE)</f>
        <v>Bangladesh</v>
      </c>
      <c r="D14" s="169" t="str">
        <f>VLOOKUP(A14,Lists!$B$2:$G$160,3,FALSE)</f>
        <v>BGD</v>
      </c>
      <c r="E14" s="170" t="str">
        <f>VLOOKUP(A14,Lists!$B$2:$G$160,5,FALSE)</f>
        <v>Flood</v>
      </c>
      <c r="F14" s="164">
        <f t="shared" si="0"/>
        <v>2.1</v>
      </c>
      <c r="G14" s="165">
        <f t="shared" si="1"/>
        <v>3</v>
      </c>
      <c r="H14" s="165" t="str">
        <f t="shared" si="2"/>
        <v>Medium</v>
      </c>
      <c r="I14" s="166" t="str">
        <f>INDEX(Trends!$D$3:$D$400,MATCH(B14,Trends!$C$3:$C$400,0))</f>
        <v>-</v>
      </c>
      <c r="J14" s="165" t="str">
        <f>VLOOKUP($B14,Reliability!$A$3:$I$170,9,FALSE)</f>
        <v>High</v>
      </c>
      <c r="K14" s="167">
        <f t="shared" si="3"/>
        <v>2.2000000000000002</v>
      </c>
      <c r="L14" s="167">
        <f>VLOOKUP($B14,'Impact of the crisis'!$C$6:$N$170,12,FALSE)</f>
        <v>2.9</v>
      </c>
      <c r="M14" s="167">
        <f>VLOOKUP($B14,'Impact of the crisis'!$C$6:$AB$170,26,FALSE)</f>
        <v>1.8</v>
      </c>
      <c r="N14" s="167">
        <f>VLOOKUP($B14,'Conditions of people affected'!$C$6:$R$170,16,FALSE)</f>
        <v>1.8</v>
      </c>
      <c r="O14" s="167">
        <f>VLOOKUP($B14,'Conditions of people affected'!$C$6:$R$170,9,FALSE)</f>
        <v>1.6</v>
      </c>
      <c r="P14" s="167">
        <f>VLOOKUP($B14,'Conditions of people affected'!$C$6:$R$170,15,FALSE)</f>
        <v>2</v>
      </c>
      <c r="Q14" s="167">
        <f t="shared" si="4"/>
        <v>2.6</v>
      </c>
      <c r="R14" s="167">
        <f>VLOOKUP($B14,'Complexity of the crisis'!$C$6:$AN$170,22,FALSE)</f>
        <v>2.7</v>
      </c>
      <c r="S14" s="167">
        <f>VLOOKUP($B14,'Complexity of the crisis'!$C$6:$AN$170,38,FALSE)</f>
        <v>2.5</v>
      </c>
      <c r="T14" s="171" t="str">
        <f>VLOOKUP(B14,Lists!$C$3:$E$167,3,FALSE)</f>
        <v>Asia</v>
      </c>
      <c r="U14" s="172">
        <v>44132</v>
      </c>
    </row>
    <row r="15" spans="1:21" x14ac:dyDescent="0.3">
      <c r="A15" s="168" t="str" cm="1">
        <f t="array" ref="A15">IFERROR(INDEX(Lists!$B$2:$B$160,SMALL(IF(Lists!$I$2:$I$160="Individual",ROW(Lists!$B$2:$B$160)),ROW(11:11))-1,1),"")</f>
        <v>Cyclone Amphan Bangladesh</v>
      </c>
      <c r="B15" s="169" t="str">
        <f>VLOOKUP(A15,Lists!$B$2:$G$160,2,FALSE)</f>
        <v>BGD006</v>
      </c>
      <c r="C15" s="169" t="str">
        <f>VLOOKUP(B15,'INFORM Severity - hidden'!$C$5:$D$160,2,FALSE)</f>
        <v>Bangladesh</v>
      </c>
      <c r="D15" s="169" t="str">
        <f>VLOOKUP(A15,Lists!$B$2:$G$160,3,FALSE)</f>
        <v>BGD</v>
      </c>
      <c r="E15" s="170" t="str">
        <f>VLOOKUP(A15,Lists!$B$2:$G$160,5,FALSE)</f>
        <v>Tropical cyclone</v>
      </c>
      <c r="F15" s="164">
        <f t="shared" si="0"/>
        <v>2.5</v>
      </c>
      <c r="G15" s="165">
        <f t="shared" si="1"/>
        <v>3</v>
      </c>
      <c r="H15" s="165" t="str">
        <f t="shared" si="2"/>
        <v>Medium</v>
      </c>
      <c r="I15" s="166" t="str">
        <f>INDEX(Trends!$D$3:$D$400,MATCH(B15,Trends!$C$3:$C$400,0))</f>
        <v>Stable</v>
      </c>
      <c r="J15" s="165" t="str">
        <f>VLOOKUP($B15,Reliability!$A$3:$I$170,9,FALSE)</f>
        <v>High</v>
      </c>
      <c r="K15" s="167">
        <f t="shared" si="3"/>
        <v>2.5</v>
      </c>
      <c r="L15" s="167">
        <f>VLOOKUP($B15,'Impact of the crisis'!$C$6:$N$170,12,FALSE)</f>
        <v>2.4</v>
      </c>
      <c r="M15" s="167">
        <f>VLOOKUP($B15,'Impact of the crisis'!$C$6:$AB$170,26,FALSE)</f>
        <v>2.5</v>
      </c>
      <c r="N15" s="167">
        <f>VLOOKUP($B15,'Conditions of people affected'!$C$6:$R$170,16,FALSE)</f>
        <v>2.5499999999999998</v>
      </c>
      <c r="O15" s="167">
        <f>VLOOKUP($B15,'Conditions of people affected'!$C$6:$R$170,9,FALSE)</f>
        <v>3.1</v>
      </c>
      <c r="P15" s="167">
        <f>VLOOKUP($B15,'Conditions of people affected'!$C$6:$R$170,15,FALSE)</f>
        <v>2</v>
      </c>
      <c r="Q15" s="167">
        <f t="shared" si="4"/>
        <v>2.4</v>
      </c>
      <c r="R15" s="167">
        <f>VLOOKUP($B15,'Complexity of the crisis'!$C$6:$AN$170,22,FALSE)</f>
        <v>2.7</v>
      </c>
      <c r="S15" s="167">
        <f>VLOOKUP($B15,'Complexity of the crisis'!$C$6:$AN$170,38,FALSE)</f>
        <v>2</v>
      </c>
      <c r="T15" s="171" t="str">
        <f>VLOOKUP(B15,Lists!$C$3:$E$167,3,FALSE)</f>
        <v>Asia</v>
      </c>
      <c r="U15" s="172">
        <v>44132</v>
      </c>
    </row>
    <row r="16" spans="1:21" x14ac:dyDescent="0.3">
      <c r="A16" s="168" t="str" cm="1">
        <f t="array" ref="A16">IFERROR(INDEX(Lists!$B$2:$B$160,SMALL(IF(Lists!$I$2:$I$160="Individual",ROW(Lists!$B$2:$B$160)),ROW(12:12))-1,1),"")</f>
        <v>Rohingya Regional Crisis</v>
      </c>
      <c r="B16" s="169" t="str">
        <f>VLOOKUP(A16,Lists!$B$2:$G$160,2,FALSE)</f>
        <v>REG011</v>
      </c>
      <c r="C16" s="169" t="str">
        <f>VLOOKUP(B16,'INFORM Severity - hidden'!$C$5:$D$160,2,FALSE)</f>
        <v>Bangladesh, Myanmar</v>
      </c>
      <c r="D16" s="169" t="str">
        <f>VLOOKUP(A16,Lists!$B$2:$G$160,3,FALSE)</f>
        <v>BGD, MMR</v>
      </c>
      <c r="E16" s="170" t="str">
        <f>VLOOKUP(A16,Lists!$B$2:$G$160,5,FALSE)</f>
        <v>Regional crisis</v>
      </c>
      <c r="F16" s="164">
        <f t="shared" si="0"/>
        <v>3.6</v>
      </c>
      <c r="G16" s="165">
        <f t="shared" si="1"/>
        <v>4</v>
      </c>
      <c r="H16" s="165" t="str">
        <f t="shared" si="2"/>
        <v>High</v>
      </c>
      <c r="I16" s="166" t="str">
        <f>INDEX(Trends!$D$3:$D$400,MATCH(B16,Trends!$C$3:$C$400,0))</f>
        <v>Decreasing</v>
      </c>
      <c r="J16" s="165" t="str">
        <f>VLOOKUP($B16,Reliability!$A$3:$I$170,9,FALSE)</f>
        <v>Very High</v>
      </c>
      <c r="K16" s="167">
        <f t="shared" si="3"/>
        <v>3</v>
      </c>
      <c r="L16" s="167">
        <f>VLOOKUP($B16,'Impact of the crisis'!$C$6:$N$170,12,FALSE)</f>
        <v>1.4</v>
      </c>
      <c r="M16" s="167">
        <f>VLOOKUP($B16,'Impact of the crisis'!$C$6:$AB$170,26,FALSE)</f>
        <v>3.6</v>
      </c>
      <c r="N16" s="167">
        <f>VLOOKUP($B16,'Conditions of people affected'!$C$6:$R$170,16,FALSE)</f>
        <v>3.85</v>
      </c>
      <c r="O16" s="167">
        <f>VLOOKUP($B16,'Conditions of people affected'!$C$6:$R$170,9,FALSE)</f>
        <v>3.7</v>
      </c>
      <c r="P16" s="167">
        <f>VLOOKUP($B16,'Conditions of people affected'!$C$6:$R$170,15,FALSE)</f>
        <v>4</v>
      </c>
      <c r="Q16" s="167">
        <f t="shared" si="4"/>
        <v>3.6</v>
      </c>
      <c r="R16" s="167">
        <f>VLOOKUP($B16,'Complexity of the crisis'!$C$6:$AN$170,22,FALSE)</f>
        <v>3.1</v>
      </c>
      <c r="S16" s="167">
        <f>VLOOKUP($B16,'Complexity of the crisis'!$C$6:$AN$170,38,FALSE)</f>
        <v>4</v>
      </c>
      <c r="T16" s="171" t="str">
        <f>VLOOKUP(B16,Lists!$C$3:$E$167,3,FALSE)</f>
        <v>Asia</v>
      </c>
      <c r="U16" s="172">
        <v>44132</v>
      </c>
    </row>
    <row r="17" spans="1:21" x14ac:dyDescent="0.3">
      <c r="A17" s="168" t="str" cm="1">
        <f t="array" ref="A17">IFERROR(INDEX(Lists!$B$2:$B$160,SMALL(IF(Lists!$I$2:$I$160="Individual",ROW(Lists!$B$2:$B$160)),ROW(13:13))-1,1),"")</f>
        <v>Venezuela displacement in Brazil</v>
      </c>
      <c r="B17" s="169" t="str">
        <f>VLOOKUP(A17,Lists!$B$2:$G$160,2,FALSE)</f>
        <v>BRA002</v>
      </c>
      <c r="C17" s="169" t="str">
        <f>VLOOKUP(B17,'INFORM Severity - hidden'!$C$5:$D$160,2,FALSE)</f>
        <v>Brazil</v>
      </c>
      <c r="D17" s="169" t="str">
        <f>VLOOKUP(A17,Lists!$B$2:$G$160,3,FALSE)</f>
        <v>BRA</v>
      </c>
      <c r="E17" s="170" t="str">
        <f>VLOOKUP(A17,Lists!$B$2:$G$160,5,FALSE)</f>
        <v>International displacement</v>
      </c>
      <c r="F17" s="164">
        <f t="shared" si="0"/>
        <v>2.2999999999999998</v>
      </c>
      <c r="G17" s="165">
        <f t="shared" si="1"/>
        <v>3</v>
      </c>
      <c r="H17" s="165" t="str">
        <f t="shared" si="2"/>
        <v>Medium</v>
      </c>
      <c r="I17" s="166" t="str">
        <f>INDEX(Trends!$D$3:$D$400,MATCH(B17,Trends!$C$3:$C$400,0))</f>
        <v>Increasing</v>
      </c>
      <c r="J17" s="165" t="str">
        <f>VLOOKUP($B17,Reliability!$A$3:$I$170,9,FALSE)</f>
        <v>High</v>
      </c>
      <c r="K17" s="167">
        <f t="shared" si="3"/>
        <v>2.4</v>
      </c>
      <c r="L17" s="167">
        <f>VLOOKUP($B17,'Impact of the crisis'!$C$6:$N$170,12,FALSE)</f>
        <v>1.1000000000000001</v>
      </c>
      <c r="M17" s="167">
        <f>VLOOKUP($B17,'Impact of the crisis'!$C$6:$AB$170,26,FALSE)</f>
        <v>2.9</v>
      </c>
      <c r="N17" s="167">
        <f>VLOOKUP($B17,'Conditions of people affected'!$C$6:$R$170,16,FALSE)</f>
        <v>2.7</v>
      </c>
      <c r="O17" s="167">
        <f>VLOOKUP($B17,'Conditions of people affected'!$C$6:$R$170,9,FALSE)</f>
        <v>2.4</v>
      </c>
      <c r="P17" s="167">
        <f>VLOOKUP($B17,'Conditions of people affected'!$C$6:$R$170,15,FALSE)</f>
        <v>3</v>
      </c>
      <c r="Q17" s="167">
        <f t="shared" si="4"/>
        <v>1.6</v>
      </c>
      <c r="R17" s="167">
        <f>VLOOKUP($B17,'Complexity of the crisis'!$C$6:$AN$170,22,FALSE)</f>
        <v>2.2000000000000002</v>
      </c>
      <c r="S17" s="167">
        <f>VLOOKUP($B17,'Complexity of the crisis'!$C$6:$AN$170,38,FALSE)</f>
        <v>1</v>
      </c>
      <c r="T17" s="171" t="str">
        <f>VLOOKUP(B17,Lists!$C$3:$E$167,3,FALSE)</f>
        <v>Americas</v>
      </c>
      <c r="U17" s="172">
        <v>44110</v>
      </c>
    </row>
    <row r="18" spans="1:21" x14ac:dyDescent="0.3">
      <c r="A18" s="168" t="str" cm="1">
        <f t="array" ref="A18">IFERROR(INDEX(Lists!$B$2:$B$160,SMALL(IF(Lists!$I$2:$I$160="Individual",ROW(Lists!$B$2:$B$160)),ROW(14:14))-1,1),"")</f>
        <v>Conflict in Burkina Faso</v>
      </c>
      <c r="B18" s="169" t="str">
        <f>VLOOKUP(A18,Lists!$B$2:$G$160,2,FALSE)</f>
        <v>BFA002</v>
      </c>
      <c r="C18" s="169" t="str">
        <f>VLOOKUP(B18,'INFORM Severity - hidden'!$C$5:$D$160,2,FALSE)</f>
        <v>Burkina Faso</v>
      </c>
      <c r="D18" s="169" t="str">
        <f>VLOOKUP(A18,Lists!$B$2:$G$160,3,FALSE)</f>
        <v>BFA</v>
      </c>
      <c r="E18" s="170" t="str">
        <f>VLOOKUP(A18,Lists!$B$2:$G$160,5,FALSE)</f>
        <v>Conflict</v>
      </c>
      <c r="F18" s="164">
        <f t="shared" si="0"/>
        <v>3.8</v>
      </c>
      <c r="G18" s="165">
        <f t="shared" si="1"/>
        <v>4</v>
      </c>
      <c r="H18" s="165" t="str">
        <f t="shared" si="2"/>
        <v>High</v>
      </c>
      <c r="I18" s="166" t="str">
        <f>INDEX(Trends!$D$3:$D$400,MATCH(B18,Trends!$C$3:$C$400,0))</f>
        <v>Increasing</v>
      </c>
      <c r="J18" s="165" t="str">
        <f>VLOOKUP($B18,Reliability!$A$3:$I$170,9,FALSE)</f>
        <v>High</v>
      </c>
      <c r="K18" s="167">
        <f t="shared" si="3"/>
        <v>3.8</v>
      </c>
      <c r="L18" s="167">
        <f>VLOOKUP($B18,'Impact of the crisis'!$C$6:$N$170,12,FALSE)</f>
        <v>2.9</v>
      </c>
      <c r="M18" s="167">
        <f>VLOOKUP($B18,'Impact of the crisis'!$C$6:$AB$170,26,FALSE)</f>
        <v>4.0999999999999996</v>
      </c>
      <c r="N18" s="167">
        <f>VLOOKUP($B18,'Conditions of people affected'!$C$6:$R$170,16,FALSE)</f>
        <v>4.45</v>
      </c>
      <c r="O18" s="167">
        <f>VLOOKUP($B18,'Conditions of people affected'!$C$6:$R$170,9,FALSE)</f>
        <v>3.9</v>
      </c>
      <c r="P18" s="167">
        <f>VLOOKUP($B18,'Conditions of people affected'!$C$6:$R$170,15,FALSE)</f>
        <v>5</v>
      </c>
      <c r="Q18" s="167">
        <f t="shared" si="4"/>
        <v>2.9</v>
      </c>
      <c r="R18" s="167">
        <f>VLOOKUP($B18,'Complexity of the crisis'!$C$6:$AN$170,22,FALSE)</f>
        <v>2.8</v>
      </c>
      <c r="S18" s="167">
        <f>VLOOKUP($B18,'Complexity of the crisis'!$C$6:$AN$170,38,FALSE)</f>
        <v>3</v>
      </c>
      <c r="T18" s="171" t="str">
        <f>VLOOKUP(B18,Lists!$C$3:$E$167,3,FALSE)</f>
        <v>Africa</v>
      </c>
      <c r="U18" s="172">
        <v>44134</v>
      </c>
    </row>
    <row r="19" spans="1:21" x14ac:dyDescent="0.3">
      <c r="A19" s="168" t="str" cm="1">
        <f t="array" ref="A19">IFERROR(INDEX(Lists!$B$2:$B$160,SMALL(IF(Lists!$I$2:$I$160="Individual",ROW(Lists!$B$2:$B$160)),ROW(15:15))-1,1),"")</f>
        <v>Floods in Burkina Faso</v>
      </c>
      <c r="B19" s="169" t="str">
        <f>VLOOKUP(A19,Lists!$B$2:$G$160,2,FALSE)</f>
        <v>BFA003</v>
      </c>
      <c r="C19" s="169" t="str">
        <f>VLOOKUP(B19,'INFORM Severity - hidden'!$C$5:$D$160,2,FALSE)</f>
        <v>Burkina Faso</v>
      </c>
      <c r="D19" s="169" t="str">
        <f>VLOOKUP(A19,Lists!$B$2:$G$160,3,FALSE)</f>
        <v>BFA</v>
      </c>
      <c r="E19" s="170" t="str">
        <f>VLOOKUP(A19,Lists!$B$2:$G$160,5,FALSE)</f>
        <v>Flood</v>
      </c>
      <c r="F19" s="164">
        <f t="shared" si="0"/>
        <v>2.2999999999999998</v>
      </c>
      <c r="G19" s="165">
        <f t="shared" si="1"/>
        <v>3</v>
      </c>
      <c r="H19" s="165" t="str">
        <f t="shared" si="2"/>
        <v>Medium</v>
      </c>
      <c r="I19" s="166" t="str">
        <f>INDEX(Trends!$D$3:$D$400,MATCH(B19,Trends!$C$3:$C$400,0))</f>
        <v>-</v>
      </c>
      <c r="J19" s="165" t="str">
        <f>VLOOKUP($B19,Reliability!$A$3:$I$170,9,FALSE)</f>
        <v>High</v>
      </c>
      <c r="K19" s="167">
        <f t="shared" si="3"/>
        <v>3.3</v>
      </c>
      <c r="L19" s="167">
        <f>VLOOKUP($B19,'Impact of the crisis'!$C$6:$N$170,12,FALSE)</f>
        <v>4.5999999999999996</v>
      </c>
      <c r="M19" s="167">
        <f>VLOOKUP($B19,'Impact of the crisis'!$C$6:$AB$170,26,FALSE)</f>
        <v>2.4</v>
      </c>
      <c r="N19" s="167">
        <f>VLOOKUP($B19,'Conditions of people affected'!$C$6:$R$170,16,FALSE)</f>
        <v>1.1000000000000001</v>
      </c>
      <c r="O19" s="167">
        <f>VLOOKUP($B19,'Conditions of people affected'!$C$6:$R$170,9,FALSE)</f>
        <v>1.2</v>
      </c>
      <c r="P19" s="167">
        <f>VLOOKUP($B19,'Conditions of people affected'!$C$6:$R$170,15,FALSE)</f>
        <v>1</v>
      </c>
      <c r="Q19" s="167">
        <f t="shared" si="4"/>
        <v>3.2</v>
      </c>
      <c r="R19" s="167">
        <f>VLOOKUP($B19,'Complexity of the crisis'!$C$6:$AN$170,22,FALSE)</f>
        <v>2.8</v>
      </c>
      <c r="S19" s="167">
        <f>VLOOKUP($B19,'Complexity of the crisis'!$C$6:$AN$170,38,FALSE)</f>
        <v>3.5</v>
      </c>
      <c r="T19" s="171" t="str">
        <f>VLOOKUP(B19,Lists!$C$3:$E$167,3,FALSE)</f>
        <v>Africa</v>
      </c>
      <c r="U19" s="172">
        <v>44134</v>
      </c>
    </row>
    <row r="20" spans="1:21" x14ac:dyDescent="0.3">
      <c r="A20" s="168" t="str" cm="1">
        <f t="array" ref="A20">IFERROR(INDEX(Lists!$B$2:$B$160,SMALL(IF(Lists!$I$2:$I$160="Individual",ROW(Lists!$B$2:$B$160)),ROW(16:16))-1,1),"")</f>
        <v>Complex in Burundi</v>
      </c>
      <c r="B20" s="169" t="str">
        <f>VLOOKUP(A20,Lists!$B$2:$G$160,2,FALSE)</f>
        <v>BDI001</v>
      </c>
      <c r="C20" s="169" t="str">
        <f>VLOOKUP(B20,'INFORM Severity - hidden'!$C$5:$D$160,2,FALSE)</f>
        <v>Burundi</v>
      </c>
      <c r="D20" s="169" t="str">
        <f>VLOOKUP(A20,Lists!$B$2:$G$160,3,FALSE)</f>
        <v>BDI</v>
      </c>
      <c r="E20" s="170" t="str">
        <f>VLOOKUP(A20,Lists!$B$2:$G$160,5,FALSE)</f>
        <v>Complex crisis</v>
      </c>
      <c r="F20" s="164">
        <f t="shared" si="0"/>
        <v>3.4</v>
      </c>
      <c r="G20" s="165">
        <f t="shared" si="1"/>
        <v>4</v>
      </c>
      <c r="H20" s="165" t="str">
        <f t="shared" si="2"/>
        <v>High</v>
      </c>
      <c r="I20" s="166" t="str">
        <f>INDEX(Trends!$D$3:$D$400,MATCH(B20,Trends!$C$3:$C$400,0))</f>
        <v>Stable</v>
      </c>
      <c r="J20" s="165" t="str">
        <f>VLOOKUP($B20,Reliability!$A$3:$I$170,9,FALSE)</f>
        <v>High</v>
      </c>
      <c r="K20" s="167">
        <f t="shared" si="3"/>
        <v>3.4</v>
      </c>
      <c r="L20" s="167">
        <f>VLOOKUP($B20,'Impact of the crisis'!$C$6:$N$170,12,FALSE)</f>
        <v>4</v>
      </c>
      <c r="M20" s="167">
        <f>VLOOKUP($B20,'Impact of the crisis'!$C$6:$AB$170,26,FALSE)</f>
        <v>3.1</v>
      </c>
      <c r="N20" s="167">
        <f>VLOOKUP($B20,'Conditions of people affected'!$C$6:$R$170,16,FALSE)</f>
        <v>3.25</v>
      </c>
      <c r="O20" s="167">
        <f>VLOOKUP($B20,'Conditions of people affected'!$C$6:$R$170,9,FALSE)</f>
        <v>3.5</v>
      </c>
      <c r="P20" s="167">
        <f>VLOOKUP($B20,'Conditions of people affected'!$C$6:$R$170,15,FALSE)</f>
        <v>3</v>
      </c>
      <c r="Q20" s="167">
        <f t="shared" si="4"/>
        <v>3.6</v>
      </c>
      <c r="R20" s="167">
        <f>VLOOKUP($B20,'Complexity of the crisis'!$C$6:$AN$170,22,FALSE)</f>
        <v>3.1</v>
      </c>
      <c r="S20" s="167">
        <f>VLOOKUP($B20,'Complexity of the crisis'!$C$6:$AN$170,38,FALSE)</f>
        <v>4</v>
      </c>
      <c r="T20" s="171" t="str">
        <f>VLOOKUP(B20,Lists!$C$3:$E$167,3,FALSE)</f>
        <v>Africa</v>
      </c>
      <c r="U20" s="172">
        <v>44134</v>
      </c>
    </row>
    <row r="21" spans="1:21" x14ac:dyDescent="0.3">
      <c r="A21" s="168" t="str" cm="1">
        <f t="array" ref="A21">IFERROR(INDEX(Lists!$B$2:$B$160,SMALL(IF(Lists!$I$2:$I$160="Individual",ROW(Lists!$B$2:$B$160)),ROW(17:17))-1,1),"")</f>
        <v>Boko Haram in Cameroon</v>
      </c>
      <c r="B21" s="169" t="str">
        <f>VLOOKUP(A21,Lists!$B$2:$G$160,2,FALSE)</f>
        <v>CMR002</v>
      </c>
      <c r="C21" s="169" t="str">
        <f>VLOOKUP(B21,'INFORM Severity - hidden'!$C$5:$D$160,2,FALSE)</f>
        <v>Cameroon</v>
      </c>
      <c r="D21" s="169" t="str">
        <f>VLOOKUP(A21,Lists!$B$2:$G$160,3,FALSE)</f>
        <v>CMR</v>
      </c>
      <c r="E21" s="170" t="str">
        <f>VLOOKUP(A21,Lists!$B$2:$G$160,5,FALSE)</f>
        <v>Conflict</v>
      </c>
      <c r="F21" s="164">
        <f t="shared" si="0"/>
        <v>3.2</v>
      </c>
      <c r="G21" s="165">
        <f t="shared" si="1"/>
        <v>4</v>
      </c>
      <c r="H21" s="165" t="str">
        <f t="shared" si="2"/>
        <v>High</v>
      </c>
      <c r="I21" s="166" t="str">
        <f>INDEX(Trends!$D$3:$D$400,MATCH(B21,Trends!$C$3:$C$400,0))</f>
        <v>Decreasing</v>
      </c>
      <c r="J21" s="165" t="str">
        <f>VLOOKUP($B21,Reliability!$A$3:$I$170,9,FALSE)</f>
        <v>High</v>
      </c>
      <c r="K21" s="167">
        <f t="shared" si="3"/>
        <v>3</v>
      </c>
      <c r="L21" s="167">
        <f>VLOOKUP($B21,'Impact of the crisis'!$C$6:$N$170,12,FALSE)</f>
        <v>1.5</v>
      </c>
      <c r="M21" s="167">
        <f>VLOOKUP($B21,'Impact of the crisis'!$C$6:$AB$170,26,FALSE)</f>
        <v>3.6</v>
      </c>
      <c r="N21" s="167">
        <f>VLOOKUP($B21,'Conditions of people affected'!$C$6:$R$170,16,FALSE)</f>
        <v>3</v>
      </c>
      <c r="O21" s="167">
        <f>VLOOKUP($B21,'Conditions of people affected'!$C$6:$R$170,9,FALSE)</f>
        <v>3</v>
      </c>
      <c r="P21" s="167">
        <f>VLOOKUP($B21,'Conditions of people affected'!$C$6:$R$170,15,FALSE)</f>
        <v>3</v>
      </c>
      <c r="Q21" s="167">
        <f t="shared" si="4"/>
        <v>3.5</v>
      </c>
      <c r="R21" s="167">
        <f>VLOOKUP($B21,'Complexity of the crisis'!$C$6:$AN$170,22,FALSE)</f>
        <v>3.5</v>
      </c>
      <c r="S21" s="167">
        <f>VLOOKUP($B21,'Complexity of the crisis'!$C$6:$AN$170,38,FALSE)</f>
        <v>3.5</v>
      </c>
      <c r="T21" s="171" t="str">
        <f>VLOOKUP(B21,Lists!$C$3:$E$167,3,FALSE)</f>
        <v>Africa</v>
      </c>
      <c r="U21" s="172">
        <v>44134</v>
      </c>
    </row>
    <row r="22" spans="1:21" x14ac:dyDescent="0.3">
      <c r="A22" s="168" t="str" cm="1">
        <f t="array" ref="A22">IFERROR(INDEX(Lists!$B$2:$B$160,SMALL(IF(Lists!$I$2:$I$160="Individual",ROW(Lists!$B$2:$B$160)),ROW(18:18))-1,1),"")</f>
        <v>Anglophone Crisis in Cameroon</v>
      </c>
      <c r="B22" s="169" t="str">
        <f>VLOOKUP(A22,Lists!$B$2:$G$160,2,FALSE)</f>
        <v>CMR003</v>
      </c>
      <c r="C22" s="169" t="str">
        <f>VLOOKUP(B22,'INFORM Severity - hidden'!$C$5:$D$160,2,FALSE)</f>
        <v>Cameroon</v>
      </c>
      <c r="D22" s="169" t="str">
        <f>VLOOKUP(A22,Lists!$B$2:$G$160,3,FALSE)</f>
        <v>CMR</v>
      </c>
      <c r="E22" s="170" t="str">
        <f>VLOOKUP(A22,Lists!$B$2:$G$160,5,FALSE)</f>
        <v>Conflict</v>
      </c>
      <c r="F22" s="164">
        <f t="shared" si="0"/>
        <v>3.3</v>
      </c>
      <c r="G22" s="165">
        <f t="shared" si="1"/>
        <v>4</v>
      </c>
      <c r="H22" s="165" t="str">
        <f t="shared" si="2"/>
        <v>High</v>
      </c>
      <c r="I22" s="166" t="str">
        <f>INDEX(Trends!$D$3:$D$400,MATCH(B22,Trends!$C$3:$C$400,0))</f>
        <v>Increasing</v>
      </c>
      <c r="J22" s="165" t="str">
        <f>VLOOKUP($B22,Reliability!$A$3:$I$170,9,FALSE)</f>
        <v>High</v>
      </c>
      <c r="K22" s="167">
        <f t="shared" si="3"/>
        <v>3.3</v>
      </c>
      <c r="L22" s="167">
        <f>VLOOKUP($B22,'Impact of the crisis'!$C$6:$N$170,12,FALSE)</f>
        <v>1.7</v>
      </c>
      <c r="M22" s="167">
        <f>VLOOKUP($B22,'Impact of the crisis'!$C$6:$AB$170,26,FALSE)</f>
        <v>3.9</v>
      </c>
      <c r="N22" s="167">
        <f>VLOOKUP($B22,'Conditions of people affected'!$C$6:$R$170,16,FALSE)</f>
        <v>3.1</v>
      </c>
      <c r="O22" s="167">
        <f>VLOOKUP($B22,'Conditions of people affected'!$C$6:$R$170,9,FALSE)</f>
        <v>3.2</v>
      </c>
      <c r="P22" s="167">
        <f>VLOOKUP($B22,'Conditions of people affected'!$C$6:$R$170,15,FALSE)</f>
        <v>3</v>
      </c>
      <c r="Q22" s="167">
        <f t="shared" si="4"/>
        <v>3.5</v>
      </c>
      <c r="R22" s="167">
        <f>VLOOKUP($B22,'Complexity of the crisis'!$C$6:$AN$170,22,FALSE)</f>
        <v>3.5</v>
      </c>
      <c r="S22" s="167">
        <f>VLOOKUP($B22,'Complexity of the crisis'!$C$6:$AN$170,38,FALSE)</f>
        <v>3.5</v>
      </c>
      <c r="T22" s="171" t="str">
        <f>VLOOKUP(B22,Lists!$C$3:$E$167,3,FALSE)</f>
        <v>Africa</v>
      </c>
      <c r="U22" s="172">
        <v>44134</v>
      </c>
    </row>
    <row r="23" spans="1:21" x14ac:dyDescent="0.3">
      <c r="A23" s="168" t="str" cm="1">
        <f t="array" ref="A23">IFERROR(INDEX(Lists!$B$2:$B$160,SMALL(IF(Lists!$I$2:$I$160="Individual",ROW(Lists!$B$2:$B$160)),ROW(19:19))-1,1),"")</f>
        <v>CAR refugees in Cameroon</v>
      </c>
      <c r="B23" s="169" t="str">
        <f>VLOOKUP(A23,Lists!$B$2:$G$160,2,FALSE)</f>
        <v>CMR004</v>
      </c>
      <c r="C23" s="169" t="str">
        <f>VLOOKUP(B23,'INFORM Severity - hidden'!$C$5:$D$160,2,FALSE)</f>
        <v>Cameroon</v>
      </c>
      <c r="D23" s="169" t="str">
        <f>VLOOKUP(A23,Lists!$B$2:$G$160,3,FALSE)</f>
        <v>CMR</v>
      </c>
      <c r="E23" s="170" t="str">
        <f>VLOOKUP(A23,Lists!$B$2:$G$160,5,FALSE)</f>
        <v>International displacement</v>
      </c>
      <c r="F23" s="164">
        <f t="shared" si="0"/>
        <v>2.6</v>
      </c>
      <c r="G23" s="165">
        <f t="shared" si="1"/>
        <v>3</v>
      </c>
      <c r="H23" s="165" t="str">
        <f t="shared" si="2"/>
        <v>Medium</v>
      </c>
      <c r="I23" s="166" t="str">
        <f>INDEX(Trends!$D$3:$D$400,MATCH(B23,Trends!$C$3:$C$400,0))</f>
        <v>Stable</v>
      </c>
      <c r="J23" s="165" t="str">
        <f>VLOOKUP($B23,Reliability!$A$3:$I$170,9,FALSE)</f>
        <v>High</v>
      </c>
      <c r="K23" s="167">
        <f t="shared" si="3"/>
        <v>2</v>
      </c>
      <c r="L23" s="167">
        <f>VLOOKUP($B23,'Impact of the crisis'!$C$6:$N$170,12,FALSE)</f>
        <v>1.7</v>
      </c>
      <c r="M23" s="167">
        <f>VLOOKUP($B23,'Impact of the crisis'!$C$6:$AB$170,26,FALSE)</f>
        <v>2.1</v>
      </c>
      <c r="N23" s="167">
        <f>VLOOKUP($B23,'Conditions of people affected'!$C$6:$R$170,16,FALSE)</f>
        <v>2.7</v>
      </c>
      <c r="O23" s="167">
        <f>VLOOKUP($B23,'Conditions of people affected'!$C$6:$R$170,9,FALSE)</f>
        <v>2.4</v>
      </c>
      <c r="P23" s="167">
        <f>VLOOKUP($B23,'Conditions of people affected'!$C$6:$R$170,15,FALSE)</f>
        <v>3</v>
      </c>
      <c r="Q23" s="167">
        <f t="shared" si="4"/>
        <v>2.8</v>
      </c>
      <c r="R23" s="167">
        <f>VLOOKUP($B23,'Complexity of the crisis'!$C$6:$AN$170,22,FALSE)</f>
        <v>3.5</v>
      </c>
      <c r="S23" s="167">
        <f>VLOOKUP($B23,'Complexity of the crisis'!$C$6:$AN$170,38,FALSE)</f>
        <v>2</v>
      </c>
      <c r="T23" s="171" t="str">
        <f>VLOOKUP(B23,Lists!$C$3:$E$167,3,FALSE)</f>
        <v>Africa</v>
      </c>
      <c r="U23" s="172">
        <v>44134</v>
      </c>
    </row>
    <row r="24" spans="1:21" x14ac:dyDescent="0.3">
      <c r="A24" s="168" t="str" cm="1">
        <f t="array" ref="A24">IFERROR(INDEX(Lists!$B$2:$B$160,SMALL(IF(Lists!$I$2:$I$160="Individual",ROW(Lists!$B$2:$B$160)),ROW(20:20))-1,1),"")</f>
        <v>Complex crisis in CAR</v>
      </c>
      <c r="B24" s="169" t="str">
        <f>VLOOKUP(A24,Lists!$B$2:$G$160,2,FALSE)</f>
        <v>CAF001</v>
      </c>
      <c r="C24" s="169" t="str">
        <f>VLOOKUP(B24,'INFORM Severity - hidden'!$C$5:$D$160,2,FALSE)</f>
        <v>CAR</v>
      </c>
      <c r="D24" s="169" t="str">
        <f>VLOOKUP(A24,Lists!$B$2:$G$160,3,FALSE)</f>
        <v>CAF</v>
      </c>
      <c r="E24" s="170" t="str">
        <f>VLOOKUP(A24,Lists!$B$2:$G$160,5,FALSE)</f>
        <v>Complex crisis</v>
      </c>
      <c r="F24" s="164">
        <f t="shared" si="0"/>
        <v>4</v>
      </c>
      <c r="G24" s="165">
        <f t="shared" si="1"/>
        <v>4</v>
      </c>
      <c r="H24" s="165" t="str">
        <f t="shared" si="2"/>
        <v>High</v>
      </c>
      <c r="I24" s="166" t="str">
        <f>INDEX(Trends!$D$3:$D$400,MATCH(B24,Trends!$C$3:$C$400,0))</f>
        <v>Stable</v>
      </c>
      <c r="J24" s="165" t="str">
        <f>VLOOKUP($B24,Reliability!$A$3:$I$170,9,FALSE)</f>
        <v>High</v>
      </c>
      <c r="K24" s="167">
        <f t="shared" si="3"/>
        <v>4.2</v>
      </c>
      <c r="L24" s="167">
        <f>VLOOKUP($B24,'Impact of the crisis'!$C$6:$N$170,12,FALSE)</f>
        <v>4.3</v>
      </c>
      <c r="M24" s="167">
        <f>VLOOKUP($B24,'Impact of the crisis'!$C$6:$AB$170,26,FALSE)</f>
        <v>4.0999999999999996</v>
      </c>
      <c r="N24" s="167">
        <f>VLOOKUP($B24,'Conditions of people affected'!$C$6:$R$170,16,FALSE)</f>
        <v>4.05</v>
      </c>
      <c r="O24" s="167">
        <f>VLOOKUP($B24,'Conditions of people affected'!$C$6:$R$170,9,FALSE)</f>
        <v>4.0999999999999996</v>
      </c>
      <c r="P24" s="167">
        <f>VLOOKUP($B24,'Conditions of people affected'!$C$6:$R$170,15,FALSE)</f>
        <v>4</v>
      </c>
      <c r="Q24" s="167">
        <f t="shared" si="4"/>
        <v>3.9</v>
      </c>
      <c r="R24" s="167">
        <f>VLOOKUP($B24,'Complexity of the crisis'!$C$6:$AN$170,22,FALSE)</f>
        <v>3.7</v>
      </c>
      <c r="S24" s="167">
        <f>VLOOKUP($B24,'Complexity of the crisis'!$C$6:$AN$170,38,FALSE)</f>
        <v>4</v>
      </c>
      <c r="T24" s="171" t="str">
        <f>VLOOKUP(B24,Lists!$C$3:$E$167,3,FALSE)</f>
        <v>Africa</v>
      </c>
      <c r="U24" s="172">
        <v>44133</v>
      </c>
    </row>
    <row r="25" spans="1:21" x14ac:dyDescent="0.3">
      <c r="A25" s="168" t="str" cm="1">
        <f t="array" ref="A25">IFERROR(INDEX(Lists!$B$2:$B$160,SMALL(IF(Lists!$I$2:$I$160="Individual",ROW(Lists!$B$2:$B$160)),ROW(21:21))-1,1),"")</f>
        <v>Boko Haram in Chad</v>
      </c>
      <c r="B25" s="169" t="str">
        <f>VLOOKUP(A25,Lists!$B$2:$G$160,2,FALSE)</f>
        <v>TCD003</v>
      </c>
      <c r="C25" s="169" t="str">
        <f>VLOOKUP(B25,'INFORM Severity - hidden'!$C$5:$D$160,2,FALSE)</f>
        <v>Chad</v>
      </c>
      <c r="D25" s="169" t="str">
        <f>VLOOKUP(A25,Lists!$B$2:$G$160,3,FALSE)</f>
        <v>TCD</v>
      </c>
      <c r="E25" s="170" t="str">
        <f>VLOOKUP(A25,Lists!$B$2:$G$160,5,FALSE)</f>
        <v>Conflict</v>
      </c>
      <c r="F25" s="164">
        <f t="shared" si="0"/>
        <v>3.7</v>
      </c>
      <c r="G25" s="165">
        <f t="shared" si="1"/>
        <v>4</v>
      </c>
      <c r="H25" s="165" t="str">
        <f t="shared" si="2"/>
        <v>High</v>
      </c>
      <c r="I25" s="166" t="str">
        <f>INDEX(Trends!$D$3:$D$400,MATCH(B25,Trends!$C$3:$C$400,0))</f>
        <v>Stable</v>
      </c>
      <c r="J25" s="165" t="str">
        <f>VLOOKUP($B25,Reliability!$A$3:$I$170,9,FALSE)</f>
        <v>High</v>
      </c>
      <c r="K25" s="167">
        <f t="shared" si="3"/>
        <v>3.2</v>
      </c>
      <c r="L25" s="167">
        <f>VLOOKUP($B25,'Impact of the crisis'!$C$6:$N$170,12,FALSE)</f>
        <v>0.6</v>
      </c>
      <c r="M25" s="167">
        <f>VLOOKUP($B25,'Impact of the crisis'!$C$6:$AB$170,26,FALSE)</f>
        <v>4</v>
      </c>
      <c r="N25" s="167">
        <f>VLOOKUP($B25,'Conditions of people affected'!$C$6:$R$170,16,FALSE)</f>
        <v>3.8</v>
      </c>
      <c r="O25" s="167">
        <f>VLOOKUP($B25,'Conditions of people affected'!$C$6:$R$170,9,FALSE)</f>
        <v>2.6</v>
      </c>
      <c r="P25" s="167">
        <f>VLOOKUP($B25,'Conditions of people affected'!$C$6:$R$170,15,FALSE)</f>
        <v>5</v>
      </c>
      <c r="Q25" s="167">
        <f t="shared" si="4"/>
        <v>3.8</v>
      </c>
      <c r="R25" s="167">
        <f>VLOOKUP($B25,'Complexity of the crisis'!$C$6:$AN$170,22,FALSE)</f>
        <v>3.5</v>
      </c>
      <c r="S25" s="167">
        <f>VLOOKUP($B25,'Complexity of the crisis'!$C$6:$AN$170,38,FALSE)</f>
        <v>4</v>
      </c>
      <c r="T25" s="171" t="str">
        <f>VLOOKUP(B25,Lists!$C$3:$E$167,3,FALSE)</f>
        <v>Africa</v>
      </c>
      <c r="U25" s="172">
        <v>44139</v>
      </c>
    </row>
    <row r="26" spans="1:21" x14ac:dyDescent="0.3">
      <c r="A26" s="168" t="str" cm="1">
        <f t="array" ref="A26">IFERROR(INDEX(Lists!$B$2:$B$160,SMALL(IF(Lists!$I$2:$I$160="Individual",ROW(Lists!$B$2:$B$160)),ROW(22:22))-1,1),"")</f>
        <v>CAR refugees in Chad</v>
      </c>
      <c r="B26" s="169" t="str">
        <f>VLOOKUP(A26,Lists!$B$2:$G$160,2,FALSE)</f>
        <v>TCD004</v>
      </c>
      <c r="C26" s="169" t="str">
        <f>VLOOKUP(B26,'INFORM Severity - hidden'!$C$5:$D$160,2,FALSE)</f>
        <v>Chad</v>
      </c>
      <c r="D26" s="169" t="str">
        <f>VLOOKUP(A26,Lists!$B$2:$G$160,3,FALSE)</f>
        <v>TCD</v>
      </c>
      <c r="E26" s="170" t="str">
        <f>VLOOKUP(A26,Lists!$B$2:$G$160,5,FALSE)</f>
        <v>International displacement</v>
      </c>
      <c r="F26" s="164">
        <f t="shared" si="0"/>
        <v>3.4</v>
      </c>
      <c r="G26" s="165">
        <f t="shared" si="1"/>
        <v>4</v>
      </c>
      <c r="H26" s="165" t="str">
        <f t="shared" si="2"/>
        <v>High</v>
      </c>
      <c r="I26" s="166" t="str">
        <f>INDEX(Trends!$D$3:$D$400,MATCH(B26,Trends!$C$3:$C$400,0))</f>
        <v>Stable</v>
      </c>
      <c r="J26" s="165" t="str">
        <f>VLOOKUP($B26,Reliability!$A$3:$I$170,9,FALSE)</f>
        <v>High</v>
      </c>
      <c r="K26" s="167">
        <f t="shared" si="3"/>
        <v>2.8</v>
      </c>
      <c r="L26" s="167">
        <f>VLOOKUP($B26,'Impact of the crisis'!$C$6:$N$170,12,FALSE)</f>
        <v>1.9</v>
      </c>
      <c r="M26" s="167">
        <f>VLOOKUP($B26,'Impact of the crisis'!$C$6:$AB$170,26,FALSE)</f>
        <v>3.2</v>
      </c>
      <c r="N26" s="167">
        <f>VLOOKUP($B26,'Conditions of people affected'!$C$6:$R$170,16,FALSE)</f>
        <v>3.65</v>
      </c>
      <c r="O26" s="167">
        <f>VLOOKUP($B26,'Conditions of people affected'!$C$6:$R$170,9,FALSE)</f>
        <v>3.3</v>
      </c>
      <c r="P26" s="167">
        <f>VLOOKUP($B26,'Conditions of people affected'!$C$6:$R$170,15,FALSE)</f>
        <v>4</v>
      </c>
      <c r="Q26" s="167">
        <f t="shared" si="4"/>
        <v>3.3</v>
      </c>
      <c r="R26" s="167">
        <f>VLOOKUP($B26,'Complexity of the crisis'!$C$6:$AN$170,22,FALSE)</f>
        <v>3.5</v>
      </c>
      <c r="S26" s="167">
        <f>VLOOKUP($B26,'Complexity of the crisis'!$C$6:$AN$170,38,FALSE)</f>
        <v>3</v>
      </c>
      <c r="T26" s="171" t="str">
        <f>VLOOKUP(B26,Lists!$C$3:$E$167,3,FALSE)</f>
        <v>Africa</v>
      </c>
      <c r="U26" s="172">
        <v>44139</v>
      </c>
    </row>
    <row r="27" spans="1:21" x14ac:dyDescent="0.3">
      <c r="A27" s="168" t="str" cm="1">
        <f t="array" ref="A27">IFERROR(INDEX(Lists!$B$2:$B$160,SMALL(IF(Lists!$I$2:$I$160="Individual",ROW(Lists!$B$2:$B$160)),ROW(23:23))-1,1),"")</f>
        <v>Darfur refugees in Chad</v>
      </c>
      <c r="B27" s="169" t="str">
        <f>VLOOKUP(A27,Lists!$B$2:$G$160,2,FALSE)</f>
        <v>TCD005</v>
      </c>
      <c r="C27" s="169" t="str">
        <f>VLOOKUP(B27,'INFORM Severity - hidden'!$C$5:$D$160,2,FALSE)</f>
        <v>Chad</v>
      </c>
      <c r="D27" s="169" t="str">
        <f>VLOOKUP(A27,Lists!$B$2:$G$160,3,FALSE)</f>
        <v>TCD</v>
      </c>
      <c r="E27" s="170" t="str">
        <f>VLOOKUP(A27,Lists!$B$2:$G$160,5,FALSE)</f>
        <v>International displacement</v>
      </c>
      <c r="F27" s="164">
        <f t="shared" si="0"/>
        <v>3.2</v>
      </c>
      <c r="G27" s="165">
        <f t="shared" si="1"/>
        <v>4</v>
      </c>
      <c r="H27" s="165" t="str">
        <f t="shared" si="2"/>
        <v>High</v>
      </c>
      <c r="I27" s="166" t="str">
        <f>INDEX(Trends!$D$3:$D$400,MATCH(B27,Trends!$C$3:$C$400,0))</f>
        <v>Decreasing</v>
      </c>
      <c r="J27" s="165" t="str">
        <f>VLOOKUP($B27,Reliability!$A$3:$I$170,9,FALSE)</f>
        <v>High</v>
      </c>
      <c r="K27" s="167">
        <f t="shared" si="3"/>
        <v>2.4</v>
      </c>
      <c r="L27" s="167">
        <f>VLOOKUP($B27,'Impact of the crisis'!$C$6:$N$170,12,FALSE)</f>
        <v>1.7</v>
      </c>
      <c r="M27" s="167">
        <f>VLOOKUP($B27,'Impact of the crisis'!$C$6:$AB$170,26,FALSE)</f>
        <v>2.7</v>
      </c>
      <c r="N27" s="167">
        <f>VLOOKUP($B27,'Conditions of people affected'!$C$6:$R$170,16,FALSE)</f>
        <v>3.7</v>
      </c>
      <c r="O27" s="167">
        <f>VLOOKUP($B27,'Conditions of people affected'!$C$6:$R$170,9,FALSE)</f>
        <v>3.4</v>
      </c>
      <c r="P27" s="167">
        <f>VLOOKUP($B27,'Conditions of people affected'!$C$6:$R$170,15,FALSE)</f>
        <v>4</v>
      </c>
      <c r="Q27" s="167">
        <f t="shared" si="4"/>
        <v>3</v>
      </c>
      <c r="R27" s="167">
        <f>VLOOKUP($B27,'Complexity of the crisis'!$C$6:$AN$170,22,FALSE)</f>
        <v>3.5</v>
      </c>
      <c r="S27" s="167">
        <f>VLOOKUP($B27,'Complexity of the crisis'!$C$6:$AN$170,38,FALSE)</f>
        <v>2.5</v>
      </c>
      <c r="T27" s="171" t="str">
        <f>VLOOKUP(B27,Lists!$C$3:$E$167,3,FALSE)</f>
        <v>Africa</v>
      </c>
      <c r="U27" s="172">
        <v>44139</v>
      </c>
    </row>
    <row r="28" spans="1:21" x14ac:dyDescent="0.3">
      <c r="A28" s="168" t="str" cm="1">
        <f t="array" ref="A28">IFERROR(INDEX(Lists!$B$2:$B$160,SMALL(IF(Lists!$I$2:$I$160="Individual",ROW(Lists!$B$2:$B$160)),ROW(24:24))-1,1),"")</f>
        <v>Tibesti Conflict in Chad</v>
      </c>
      <c r="B28" s="169" t="str">
        <f>VLOOKUP(A28,Lists!$B$2:$G$160,2,FALSE)</f>
        <v>TCD006</v>
      </c>
      <c r="C28" s="169" t="str">
        <f>VLOOKUP(B28,'INFORM Severity - hidden'!$C$5:$D$160,2,FALSE)</f>
        <v>Chad</v>
      </c>
      <c r="D28" s="169" t="str">
        <f>VLOOKUP(A28,Lists!$B$2:$G$160,3,FALSE)</f>
        <v>TCD</v>
      </c>
      <c r="E28" s="170" t="str">
        <f>VLOOKUP(A28,Lists!$B$2:$G$160,5,FALSE)</f>
        <v>Conflict</v>
      </c>
      <c r="F28" s="164">
        <f t="shared" si="0"/>
        <v>2.5</v>
      </c>
      <c r="G28" s="165">
        <f t="shared" si="1"/>
        <v>3</v>
      </c>
      <c r="H28" s="165" t="str">
        <f t="shared" si="2"/>
        <v>Medium</v>
      </c>
      <c r="I28" s="166" t="str">
        <f>INDEX(Trends!$D$3:$D$400,MATCH(B28,Trends!$C$3:$C$400,0))</f>
        <v>Decreasing</v>
      </c>
      <c r="J28" s="165" t="str">
        <f>VLOOKUP($B28,Reliability!$A$3:$I$170,9,FALSE)</f>
        <v>Medium</v>
      </c>
      <c r="K28" s="167">
        <f t="shared" si="3"/>
        <v>2.6</v>
      </c>
      <c r="L28" s="167">
        <f>VLOOKUP($B28,'Impact of the crisis'!$C$6:$N$170,12,FALSE)</f>
        <v>1.3</v>
      </c>
      <c r="M28" s="167">
        <f>VLOOKUP($B28,'Impact of the crisis'!$C$6:$AB$170,26,FALSE)</f>
        <v>3.1</v>
      </c>
      <c r="N28" s="167">
        <f>VLOOKUP($B28,'Conditions of people affected'!$C$6:$R$170,16,FALSE)</f>
        <v>2.2000000000000002</v>
      </c>
      <c r="O28" s="167">
        <f>VLOOKUP($B28,'Conditions of people affected'!$C$6:$R$170,9,FALSE)</f>
        <v>0.4</v>
      </c>
      <c r="P28" s="167">
        <f>VLOOKUP($B28,'Conditions of people affected'!$C$6:$R$170,15,FALSE)</f>
        <v>4</v>
      </c>
      <c r="Q28" s="167">
        <f t="shared" si="4"/>
        <v>3</v>
      </c>
      <c r="R28" s="167">
        <f>VLOOKUP($B28,'Complexity of the crisis'!$C$6:$AN$170,22,FALSE)</f>
        <v>3.5</v>
      </c>
      <c r="S28" s="167">
        <f>VLOOKUP($B28,'Complexity of the crisis'!$C$6:$AN$170,38,FALSE)</f>
        <v>2.5</v>
      </c>
      <c r="T28" s="171" t="str">
        <f>VLOOKUP(B28,Lists!$C$3:$E$167,3,FALSE)</f>
        <v>Africa</v>
      </c>
      <c r="U28" s="172">
        <v>44139</v>
      </c>
    </row>
    <row r="29" spans="1:21" x14ac:dyDescent="0.3">
      <c r="A29" s="168" t="str" cm="1">
        <f t="array" ref="A29">IFERROR(INDEX(Lists!$B$2:$B$160,SMALL(IF(Lists!$I$2:$I$160="Individual",ROW(Lists!$B$2:$B$160)),ROW(25:25))-1,1),"")</f>
        <v>Floods in Chad</v>
      </c>
      <c r="B29" s="169" t="str">
        <f>VLOOKUP(A29,Lists!$B$2:$G$160,2,FALSE)</f>
        <v>TCD008</v>
      </c>
      <c r="C29" s="169" t="str">
        <f>VLOOKUP(B29,'INFORM Severity - hidden'!$C$5:$D$160,2,FALSE)</f>
        <v>Chad</v>
      </c>
      <c r="D29" s="169" t="str">
        <f>VLOOKUP(A29,Lists!$B$2:$G$160,3,FALSE)</f>
        <v>TCD</v>
      </c>
      <c r="E29" s="170" t="str">
        <f>VLOOKUP(A29,Lists!$B$2:$G$160,5,FALSE)</f>
        <v>Flood</v>
      </c>
      <c r="F29" s="164">
        <f t="shared" si="0"/>
        <v>2.6</v>
      </c>
      <c r="G29" s="165">
        <f t="shared" si="1"/>
        <v>3</v>
      </c>
      <c r="H29" s="165" t="str">
        <f t="shared" si="2"/>
        <v>Medium</v>
      </c>
      <c r="I29" s="166" t="str">
        <f>INDEX(Trends!$D$3:$D$400,MATCH(B29,Trends!$C$3:$C$400,0))</f>
        <v>-</v>
      </c>
      <c r="J29" s="165" t="str">
        <f>VLOOKUP($B29,Reliability!$A$3:$I$170,9,FALSE)</f>
        <v>High</v>
      </c>
      <c r="K29" s="167">
        <f t="shared" si="3"/>
        <v>2.9</v>
      </c>
      <c r="L29" s="167">
        <f>VLOOKUP($B29,'Impact of the crisis'!$C$6:$N$170,12,FALSE)</f>
        <v>4.0999999999999996</v>
      </c>
      <c r="M29" s="167">
        <f>VLOOKUP($B29,'Impact of the crisis'!$C$6:$AB$170,26,FALSE)</f>
        <v>2</v>
      </c>
      <c r="N29" s="167">
        <f>VLOOKUP($B29,'Conditions of people affected'!$C$6:$R$170,16,FALSE)</f>
        <v>1.7</v>
      </c>
      <c r="O29" s="167">
        <f>VLOOKUP($B29,'Conditions of people affected'!$C$6:$R$170,9,FALSE)</f>
        <v>2.4</v>
      </c>
      <c r="P29" s="167">
        <f>VLOOKUP($B29,'Conditions of people affected'!$C$6:$R$170,15,FALSE)</f>
        <v>1</v>
      </c>
      <c r="Q29" s="167">
        <f t="shared" si="4"/>
        <v>3.8</v>
      </c>
      <c r="R29" s="167">
        <f>VLOOKUP($B29,'Complexity of the crisis'!$C$6:$AN$170,22,FALSE)</f>
        <v>3.5</v>
      </c>
      <c r="S29" s="167">
        <f>VLOOKUP($B29,'Complexity of the crisis'!$C$6:$AN$170,38,FALSE)</f>
        <v>4</v>
      </c>
      <c r="T29" s="171" t="str">
        <f>VLOOKUP(B29,Lists!$C$3:$E$167,3,FALSE)</f>
        <v>Africa</v>
      </c>
      <c r="U29" s="172">
        <v>44139</v>
      </c>
    </row>
    <row r="30" spans="1:21" x14ac:dyDescent="0.3">
      <c r="A30" s="168" t="str" cm="1">
        <f t="array" ref="A30">IFERROR(INDEX(Lists!$B$2:$B$160,SMALL(IF(Lists!$I$2:$I$160="Individual",ROW(Lists!$B$2:$B$160)),ROW(26:26))-1,1),"")</f>
        <v>Complex crisis in Colombia</v>
      </c>
      <c r="B30" s="169" t="str">
        <f>VLOOKUP(A30,Lists!$B$2:$G$160,2,FALSE)</f>
        <v>COL001</v>
      </c>
      <c r="C30" s="169" t="str">
        <f>VLOOKUP(B30,'INFORM Severity - hidden'!$C$5:$D$160,2,FALSE)</f>
        <v>Colombia</v>
      </c>
      <c r="D30" s="169" t="str">
        <f>VLOOKUP(A30,Lists!$B$2:$G$160,3,FALSE)</f>
        <v>COL</v>
      </c>
      <c r="E30" s="170" t="str">
        <f>VLOOKUP(A30,Lists!$B$2:$G$160,5,FALSE)</f>
        <v>Complex crisis</v>
      </c>
      <c r="F30" s="164">
        <f t="shared" si="0"/>
        <v>4.2</v>
      </c>
      <c r="G30" s="165">
        <f t="shared" si="1"/>
        <v>5</v>
      </c>
      <c r="H30" s="165" t="str">
        <f t="shared" si="2"/>
        <v>Very High</v>
      </c>
      <c r="I30" s="166" t="str">
        <f>INDEX(Trends!$D$3:$D$400,MATCH(B30,Trends!$C$3:$C$400,0))</f>
        <v>Stable</v>
      </c>
      <c r="J30" s="165" t="str">
        <f>VLOOKUP($B30,Reliability!$A$3:$I$170,9,FALSE)</f>
        <v>Medium</v>
      </c>
      <c r="K30" s="167">
        <f t="shared" si="3"/>
        <v>4.5</v>
      </c>
      <c r="L30" s="167">
        <f>VLOOKUP($B30,'Impact of the crisis'!$C$6:$N$170,12,FALSE)</f>
        <v>5</v>
      </c>
      <c r="M30" s="167">
        <f>VLOOKUP($B30,'Impact of the crisis'!$C$6:$AB$170,26,FALSE)</f>
        <v>4.2</v>
      </c>
      <c r="N30" s="167">
        <f>VLOOKUP($B30,'Conditions of people affected'!$C$6:$R$170,16,FALSE)</f>
        <v>4.45</v>
      </c>
      <c r="O30" s="167">
        <f>VLOOKUP($B30,'Conditions of people affected'!$C$6:$R$170,9,FALSE)</f>
        <v>4.9000000000000004</v>
      </c>
      <c r="P30" s="167">
        <f>VLOOKUP($B30,'Conditions of people affected'!$C$6:$R$170,15,FALSE)</f>
        <v>4</v>
      </c>
      <c r="Q30" s="167">
        <f t="shared" si="4"/>
        <v>3.5</v>
      </c>
      <c r="R30" s="167">
        <f>VLOOKUP($B30,'Complexity of the crisis'!$C$6:$AN$170,22,FALSE)</f>
        <v>2.9</v>
      </c>
      <c r="S30" s="167">
        <f>VLOOKUP($B30,'Complexity of the crisis'!$C$6:$AN$170,38,FALSE)</f>
        <v>4</v>
      </c>
      <c r="T30" s="171" t="str">
        <f>VLOOKUP(B30,Lists!$C$3:$E$167,3,FALSE)</f>
        <v>Americas</v>
      </c>
      <c r="U30" s="172">
        <v>44119</v>
      </c>
    </row>
    <row r="31" spans="1:21" x14ac:dyDescent="0.3">
      <c r="A31" s="168" t="str" cm="1">
        <f t="array" ref="A31">IFERROR(INDEX(Lists!$B$2:$B$160,SMALL(IF(Lists!$I$2:$I$160="Individual",ROW(Lists!$B$2:$B$160)),ROW(27:27))-1,1),"")</f>
        <v>Venezuela displacement in Colombia</v>
      </c>
      <c r="B31" s="169" t="str">
        <f>VLOOKUP(A31,Lists!$B$2:$G$160,2,FALSE)</f>
        <v>COL002</v>
      </c>
      <c r="C31" s="169" t="str">
        <f>VLOOKUP(B31,'INFORM Severity - hidden'!$C$5:$D$160,2,FALSE)</f>
        <v>Colombia</v>
      </c>
      <c r="D31" s="169" t="str">
        <f>VLOOKUP(A31,Lists!$B$2:$G$160,3,FALSE)</f>
        <v>COL</v>
      </c>
      <c r="E31" s="170" t="str">
        <f>VLOOKUP(A31,Lists!$B$2:$G$160,5,FALSE)</f>
        <v>International displacement</v>
      </c>
      <c r="F31" s="164">
        <f t="shared" si="0"/>
        <v>3.4</v>
      </c>
      <c r="G31" s="165">
        <f t="shared" si="1"/>
        <v>4</v>
      </c>
      <c r="H31" s="165" t="str">
        <f t="shared" si="2"/>
        <v>High</v>
      </c>
      <c r="I31" s="166" t="str">
        <f>INDEX(Trends!$D$3:$D$400,MATCH(B31,Trends!$C$3:$C$400,0))</f>
        <v>Stable</v>
      </c>
      <c r="J31" s="165" t="str">
        <f>VLOOKUP($B31,Reliability!$A$3:$I$170,9,FALSE)</f>
        <v>Medium</v>
      </c>
      <c r="K31" s="167">
        <f t="shared" si="3"/>
        <v>3.6</v>
      </c>
      <c r="L31" s="167">
        <f>VLOOKUP($B31,'Impact of the crisis'!$C$6:$N$170,12,FALSE)</f>
        <v>3</v>
      </c>
      <c r="M31" s="167">
        <f>VLOOKUP($B31,'Impact of the crisis'!$C$6:$AB$170,26,FALSE)</f>
        <v>3.9</v>
      </c>
      <c r="N31" s="167">
        <f>VLOOKUP($B31,'Conditions of people affected'!$C$6:$R$170,16,FALSE)</f>
        <v>3.6</v>
      </c>
      <c r="O31" s="167">
        <f>VLOOKUP($B31,'Conditions of people affected'!$C$6:$R$170,9,FALSE)</f>
        <v>4.2</v>
      </c>
      <c r="P31" s="167">
        <f>VLOOKUP($B31,'Conditions of people affected'!$C$6:$R$170,15,FALSE)</f>
        <v>3</v>
      </c>
      <c r="Q31" s="167">
        <f t="shared" si="4"/>
        <v>3</v>
      </c>
      <c r="R31" s="167">
        <f>VLOOKUP($B31,'Complexity of the crisis'!$C$6:$AN$170,22,FALSE)</f>
        <v>2.9</v>
      </c>
      <c r="S31" s="167">
        <f>VLOOKUP($B31,'Complexity of the crisis'!$C$6:$AN$170,38,FALSE)</f>
        <v>3</v>
      </c>
      <c r="T31" s="171" t="str">
        <f>VLOOKUP(B31,Lists!$C$3:$E$167,3,FALSE)</f>
        <v>Americas</v>
      </c>
      <c r="U31" s="172">
        <v>44110</v>
      </c>
    </row>
    <row r="32" spans="1:21" x14ac:dyDescent="0.3">
      <c r="A32" s="168" t="str" cm="1">
        <f t="array" ref="A32">IFERROR(INDEX(Lists!$B$2:$B$160,SMALL(IF(Lists!$I$2:$I$160="Individual",ROW(Lists!$B$2:$B$160)),ROW(28:28))-1,1),"")</f>
        <v>Floods in Congo</v>
      </c>
      <c r="B32" s="169" t="str">
        <f>VLOOKUP(A32,Lists!$B$2:$G$160,2,FALSE)</f>
        <v>COG004</v>
      </c>
      <c r="C32" s="169" t="str">
        <f>VLOOKUP(B32,'INFORM Severity - hidden'!$C$5:$D$160,2,FALSE)</f>
        <v>Congo</v>
      </c>
      <c r="D32" s="169" t="str">
        <f>VLOOKUP(A32,Lists!$B$2:$G$160,3,FALSE)</f>
        <v>COG</v>
      </c>
      <c r="E32" s="170" t="str">
        <f>VLOOKUP(A32,Lists!$B$2:$G$160,5,FALSE)</f>
        <v>Flood</v>
      </c>
      <c r="F32" s="164">
        <f t="shared" si="0"/>
        <v>2</v>
      </c>
      <c r="G32" s="165">
        <f t="shared" si="1"/>
        <v>2</v>
      </c>
      <c r="H32" s="165" t="str">
        <f t="shared" si="2"/>
        <v>Low</v>
      </c>
      <c r="I32" s="166" t="str">
        <f>INDEX(Trends!$D$3:$D$400,MATCH(B32,Trends!$C$3:$C$400,0))</f>
        <v>-</v>
      </c>
      <c r="J32" s="165" t="str">
        <f>VLOOKUP($B32,Reliability!$A$3:$I$170,9,FALSE)</f>
        <v>Medium</v>
      </c>
      <c r="K32" s="167">
        <f t="shared" si="3"/>
        <v>1.2</v>
      </c>
      <c r="L32" s="167">
        <f>VLOOKUP($B32,'Impact of the crisis'!$C$6:$N$170,12,FALSE)</f>
        <v>1.1000000000000001</v>
      </c>
      <c r="M32" s="167">
        <f>VLOOKUP($B32,'Impact of the crisis'!$C$6:$AB$170,26,FALSE)</f>
        <v>1.3</v>
      </c>
      <c r="N32" s="167">
        <f>VLOOKUP($B32,'Conditions of people affected'!$C$6:$R$170,16,FALSE)</f>
        <v>2.2000000000000002</v>
      </c>
      <c r="O32" s="167">
        <f>VLOOKUP($B32,'Conditions of people affected'!$C$6:$R$170,9,FALSE)</f>
        <v>1.4</v>
      </c>
      <c r="P32" s="167">
        <f>VLOOKUP($B32,'Conditions of people affected'!$C$6:$R$170,15,FALSE)</f>
        <v>3</v>
      </c>
      <c r="Q32" s="167">
        <f t="shared" si="4"/>
        <v>2.4</v>
      </c>
      <c r="R32" s="167">
        <f>VLOOKUP($B32,'Complexity of the crisis'!$C$6:$AN$170,22,FALSE)</f>
        <v>2.8</v>
      </c>
      <c r="S32" s="167">
        <f>VLOOKUP($B32,'Complexity of the crisis'!$C$6:$AN$170,38,FALSE)</f>
        <v>2</v>
      </c>
      <c r="T32" s="171" t="str">
        <f>VLOOKUP(B32,Lists!$C$3:$E$167,3,FALSE)</f>
        <v>Africa</v>
      </c>
      <c r="U32" s="172">
        <v>44140</v>
      </c>
    </row>
    <row r="33" spans="1:21" x14ac:dyDescent="0.3">
      <c r="A33" s="168" t="str" cm="1">
        <f t="array" ref="A33">IFERROR(INDEX(Lists!$B$2:$B$160,SMALL(IF(Lists!$I$2:$I$160="Individual",ROW(Lists!$B$2:$B$160)),ROW(29:29))-1,1),"")</f>
        <v>Nicaraguan refugees in Costa Rica</v>
      </c>
      <c r="B33" s="169" t="str">
        <f>VLOOKUP(A33,Lists!$B$2:$G$160,2,FALSE)</f>
        <v>CRI002</v>
      </c>
      <c r="C33" s="169" t="str">
        <f>VLOOKUP(B33,'INFORM Severity - hidden'!$C$5:$D$160,2,FALSE)</f>
        <v>Costa Rica</v>
      </c>
      <c r="D33" s="169" t="str">
        <f>VLOOKUP(A33,Lists!$B$2:$G$160,3,FALSE)</f>
        <v>CRI</v>
      </c>
      <c r="E33" s="170" t="str">
        <f>VLOOKUP(A33,Lists!$B$2:$G$160,5,FALSE)</f>
        <v>International displacement</v>
      </c>
      <c r="F33" s="164">
        <f t="shared" si="0"/>
        <v>1.1000000000000001</v>
      </c>
      <c r="G33" s="165">
        <f t="shared" si="1"/>
        <v>2</v>
      </c>
      <c r="H33" s="165" t="str">
        <f t="shared" si="2"/>
        <v>Low</v>
      </c>
      <c r="I33" s="166" t="str">
        <f>INDEX(Trends!$D$3:$D$400,MATCH(B33,Trends!$C$3:$C$400,0))</f>
        <v>Increasing</v>
      </c>
      <c r="J33" s="165" t="str">
        <f>VLOOKUP($B33,Reliability!$A$3:$I$170,9,FALSE)</f>
        <v>High</v>
      </c>
      <c r="K33" s="167">
        <f t="shared" si="3"/>
        <v>1.3</v>
      </c>
      <c r="L33" s="167">
        <f>VLOOKUP($B33,'Impact of the crisis'!$C$6:$N$170,12,FALSE)</f>
        <v>1</v>
      </c>
      <c r="M33" s="167">
        <f>VLOOKUP($B33,'Impact of the crisis'!$C$6:$AB$170,26,FALSE)</f>
        <v>1.5</v>
      </c>
      <c r="N33" s="167">
        <f>VLOOKUP($B33,'Conditions of people affected'!$C$6:$R$170,16,FALSE)</f>
        <v>1</v>
      </c>
      <c r="O33" s="167">
        <f>VLOOKUP($B33,'Conditions of people affected'!$C$6:$R$170,9,FALSE)</f>
        <v>1</v>
      </c>
      <c r="P33" s="167">
        <f>VLOOKUP($B33,'Conditions of people affected'!$C$6:$R$170,15,FALSE)</f>
        <v>1</v>
      </c>
      <c r="Q33" s="167">
        <f t="shared" si="4"/>
        <v>1</v>
      </c>
      <c r="R33" s="167">
        <f>VLOOKUP($B33,'Complexity of the crisis'!$C$6:$AN$170,22,FALSE)</f>
        <v>0.9</v>
      </c>
      <c r="S33" s="167">
        <f>VLOOKUP($B33,'Complexity of the crisis'!$C$6:$AN$170,38,FALSE)</f>
        <v>1</v>
      </c>
      <c r="T33" s="171" t="str">
        <f>VLOOKUP(B33,Lists!$C$3:$E$167,3,FALSE)</f>
        <v>Americas</v>
      </c>
      <c r="U33" s="172">
        <v>44110</v>
      </c>
    </row>
    <row r="34" spans="1:21" x14ac:dyDescent="0.3">
      <c r="A34" s="168" t="str" cm="1">
        <f t="array" ref="A34">IFERROR(INDEX(Lists!$B$2:$B$160,SMALL(IF(Lists!$I$2:$I$160="Individual",ROW(Lists!$B$2:$B$160)),ROW(30:30))-1,1),"")</f>
        <v>Mixed migration in Djibouti</v>
      </c>
      <c r="B34" s="169" t="str">
        <f>VLOOKUP(A34,Lists!$B$2:$G$160,2,FALSE)</f>
        <v>DJI002</v>
      </c>
      <c r="C34" s="169" t="str">
        <f>VLOOKUP(B34,'INFORM Severity - hidden'!$C$5:$D$160,2,FALSE)</f>
        <v>Djibouti</v>
      </c>
      <c r="D34" s="169" t="str">
        <f>VLOOKUP(A34,Lists!$B$2:$G$160,3,FALSE)</f>
        <v>DJI</v>
      </c>
      <c r="E34" s="170" t="str">
        <f>VLOOKUP(A34,Lists!$B$2:$G$160,5,FALSE)</f>
        <v>International displacement</v>
      </c>
      <c r="F34" s="164">
        <f t="shared" si="0"/>
        <v>1.5</v>
      </c>
      <c r="G34" s="165">
        <f t="shared" si="1"/>
        <v>2</v>
      </c>
      <c r="H34" s="165" t="str">
        <f t="shared" si="2"/>
        <v>Low</v>
      </c>
      <c r="I34" s="166" t="str">
        <f>INDEX(Trends!$D$3:$D$400,MATCH(B34,Trends!$C$3:$C$400,0))</f>
        <v>Increasing</v>
      </c>
      <c r="J34" s="165" t="str">
        <f>VLOOKUP($B34,Reliability!$A$3:$I$170,9,FALSE)</f>
        <v>Medium</v>
      </c>
      <c r="K34" s="167">
        <f t="shared" si="3"/>
        <v>1.9</v>
      </c>
      <c r="L34" s="167">
        <f>VLOOKUP($B34,'Impact of the crisis'!$C$6:$N$170,12,FALSE)</f>
        <v>3.1</v>
      </c>
      <c r="M34" s="167">
        <f>VLOOKUP($B34,'Impact of the crisis'!$C$6:$AB$170,26,FALSE)</f>
        <v>1.2</v>
      </c>
      <c r="N34" s="167">
        <f>VLOOKUP($B34,'Conditions of people affected'!$C$6:$R$170,16,FALSE)</f>
        <v>0.9</v>
      </c>
      <c r="O34" s="167">
        <f>VLOOKUP($B34,'Conditions of people affected'!$C$6:$R$170,9,FALSE)</f>
        <v>0.8</v>
      </c>
      <c r="P34" s="167">
        <f>VLOOKUP($B34,'Conditions of people affected'!$C$6:$R$170,15,FALSE)</f>
        <v>1</v>
      </c>
      <c r="Q34" s="167">
        <f t="shared" si="4"/>
        <v>2.1</v>
      </c>
      <c r="R34" s="167">
        <f>VLOOKUP($B34,'Complexity of the crisis'!$C$6:$AN$170,22,FALSE)</f>
        <v>2.7</v>
      </c>
      <c r="S34" s="167">
        <f>VLOOKUP($B34,'Complexity of the crisis'!$C$6:$AN$170,38,FALSE)</f>
        <v>1.5</v>
      </c>
      <c r="T34" s="171" t="str">
        <f>VLOOKUP(B34,Lists!$C$3:$E$167,3,FALSE)</f>
        <v>Africa</v>
      </c>
      <c r="U34" s="172">
        <v>44111</v>
      </c>
    </row>
    <row r="35" spans="1:21" x14ac:dyDescent="0.3">
      <c r="A35" s="168" t="str" cm="1">
        <f t="array" ref="A35">IFERROR(INDEX(Lists!$B$2:$B$160,SMALL(IF(Lists!$I$2:$I$160="Individual",ROW(Lists!$B$2:$B$160)),ROW(31:31))-1,1),"")</f>
        <v>Drought in Djibouti</v>
      </c>
      <c r="B35" s="169" t="str">
        <f>VLOOKUP(A35,Lists!$B$2:$G$160,2,FALSE)</f>
        <v>DJI003</v>
      </c>
      <c r="C35" s="169" t="str">
        <f>VLOOKUP(B35,'INFORM Severity - hidden'!$C$5:$D$160,2,FALSE)</f>
        <v>Djibouti</v>
      </c>
      <c r="D35" s="169" t="str">
        <f>VLOOKUP(A35,Lists!$B$2:$G$160,3,FALSE)</f>
        <v>DJI</v>
      </c>
      <c r="E35" s="170" t="str">
        <f>VLOOKUP(A35,Lists!$B$2:$G$160,5,FALSE)</f>
        <v>Drought</v>
      </c>
      <c r="F35" s="164">
        <f t="shared" si="0"/>
        <v>2.9</v>
      </c>
      <c r="G35" s="165">
        <f t="shared" si="1"/>
        <v>3</v>
      </c>
      <c r="H35" s="165" t="str">
        <f t="shared" si="2"/>
        <v>Medium</v>
      </c>
      <c r="I35" s="166" t="str">
        <f>INDEX(Trends!$D$3:$D$400,MATCH(B35,Trends!$C$3:$C$400,0))</f>
        <v>Increasing</v>
      </c>
      <c r="J35" s="165" t="str">
        <f>VLOOKUP($B35,Reliability!$A$3:$I$170,9,FALSE)</f>
        <v>Medium</v>
      </c>
      <c r="K35" s="167">
        <f t="shared" si="3"/>
        <v>2.1</v>
      </c>
      <c r="L35" s="167">
        <f>VLOOKUP($B35,'Impact of the crisis'!$C$6:$N$170,12,FALSE)</f>
        <v>3.1</v>
      </c>
      <c r="M35" s="167">
        <f>VLOOKUP($B35,'Impact of the crisis'!$C$6:$AB$170,26,FALSE)</f>
        <v>1.5</v>
      </c>
      <c r="N35" s="167">
        <f>VLOOKUP($B35,'Conditions of people affected'!$C$6:$R$170,16,FALSE)</f>
        <v>3.25</v>
      </c>
      <c r="O35" s="167">
        <f>VLOOKUP($B35,'Conditions of people affected'!$C$6:$R$170,9,FALSE)</f>
        <v>2.5</v>
      </c>
      <c r="P35" s="167">
        <f>VLOOKUP($B35,'Conditions of people affected'!$C$6:$R$170,15,FALSE)</f>
        <v>4</v>
      </c>
      <c r="Q35" s="167">
        <f t="shared" si="4"/>
        <v>2.9</v>
      </c>
      <c r="R35" s="167">
        <f>VLOOKUP($B35,'Complexity of the crisis'!$C$6:$AN$170,22,FALSE)</f>
        <v>2.7</v>
      </c>
      <c r="S35" s="167">
        <f>VLOOKUP($B35,'Complexity of the crisis'!$C$6:$AN$170,38,FALSE)</f>
        <v>3</v>
      </c>
      <c r="T35" s="171" t="str">
        <f>VLOOKUP(B35,Lists!$C$3:$E$167,3,FALSE)</f>
        <v>Africa</v>
      </c>
      <c r="U35" s="172">
        <v>44111</v>
      </c>
    </row>
    <row r="36" spans="1:21" x14ac:dyDescent="0.3">
      <c r="A36" s="168" t="str" cm="1">
        <f t="array" ref="A36">IFERROR(INDEX(Lists!$B$2:$B$160,SMALL(IF(Lists!$I$2:$I$160="Individual",ROW(Lists!$B$2:$B$160)),ROW(32:32))-1,1),"")</f>
        <v>Complex crisis in DPRK</v>
      </c>
      <c r="B36" s="169" t="str">
        <f>VLOOKUP(A36,Lists!$B$2:$G$160,2,FALSE)</f>
        <v>PRK001</v>
      </c>
      <c r="C36" s="169" t="str">
        <f>VLOOKUP(B36,'INFORM Severity - hidden'!$C$5:$D$160,2,FALSE)</f>
        <v>DPRK</v>
      </c>
      <c r="D36" s="169" t="str">
        <f>VLOOKUP(A36,Lists!$B$2:$G$160,3,FALSE)</f>
        <v>PRK</v>
      </c>
      <c r="E36" s="170" t="str">
        <f>VLOOKUP(A36,Lists!$B$2:$G$160,5,FALSE)</f>
        <v>Complex crisis</v>
      </c>
      <c r="F36" s="164">
        <f t="shared" si="0"/>
        <v>4.0999999999999996</v>
      </c>
      <c r="G36" s="165">
        <f t="shared" si="1"/>
        <v>5</v>
      </c>
      <c r="H36" s="165" t="str">
        <f t="shared" si="2"/>
        <v>Very High</v>
      </c>
      <c r="I36" s="166" t="str">
        <f>INDEX(Trends!$D$3:$D$400,MATCH(B36,Trends!$C$3:$C$400,0))</f>
        <v>Stable</v>
      </c>
      <c r="J36" s="165" t="str">
        <f>VLOOKUP($B36,Reliability!$A$3:$I$170,9,FALSE)</f>
        <v>Very Low</v>
      </c>
      <c r="K36" s="167">
        <f t="shared" si="3"/>
        <v>4.8</v>
      </c>
      <c r="L36" s="167">
        <f>VLOOKUP($B36,'Impact of the crisis'!$C$6:$N$170,12,FALSE)</f>
        <v>4.5999999999999996</v>
      </c>
      <c r="M36" s="167">
        <f>VLOOKUP($B36,'Impact of the crisis'!$C$6:$AB$170,26,FALSE)</f>
        <v>4.9000000000000004</v>
      </c>
      <c r="N36" s="167">
        <f>VLOOKUP($B36,'Conditions of people affected'!$C$6:$R$170,16,FALSE)</f>
        <v>4.5</v>
      </c>
      <c r="O36" s="167">
        <f>VLOOKUP($B36,'Conditions of people affected'!$C$6:$R$170,9,FALSE)</f>
        <v>5</v>
      </c>
      <c r="P36" s="167">
        <f>VLOOKUP($B36,'Conditions of people affected'!$C$6:$R$170,15,FALSE)</f>
        <v>4</v>
      </c>
      <c r="Q36" s="167">
        <f t="shared" si="4"/>
        <v>2.9</v>
      </c>
      <c r="R36" s="167">
        <f>VLOOKUP($B36,'Complexity of the crisis'!$C$6:$AN$170,22,FALSE)</f>
        <v>3.2</v>
      </c>
      <c r="S36" s="167">
        <f>VLOOKUP($B36,'Complexity of the crisis'!$C$6:$AN$170,38,FALSE)</f>
        <v>2.5</v>
      </c>
      <c r="T36" s="171" t="str">
        <f>VLOOKUP(B36,Lists!$C$3:$E$167,3,FALSE)</f>
        <v>Asia</v>
      </c>
      <c r="U36" s="172">
        <v>43920</v>
      </c>
    </row>
    <row r="37" spans="1:21" x14ac:dyDescent="0.3">
      <c r="A37" s="168" t="str" cm="1">
        <f t="array" ref="A37">IFERROR(INDEX(Lists!$B$2:$B$160,SMALL(IF(Lists!$I$2:$I$160="Individual",ROW(Lists!$B$2:$B$160)),ROW(33:33))-1,1),"")</f>
        <v>Complex crisis in DRC</v>
      </c>
      <c r="B37" s="169" t="str">
        <f>VLOOKUP(A37,Lists!$B$2:$G$160,2,FALSE)</f>
        <v>COD001</v>
      </c>
      <c r="C37" s="169" t="str">
        <f>VLOOKUP(B37,'INFORM Severity - hidden'!$C$5:$D$160,2,FALSE)</f>
        <v>DRC</v>
      </c>
      <c r="D37" s="169" t="str">
        <f>VLOOKUP(A37,Lists!$B$2:$G$160,3,FALSE)</f>
        <v>COD</v>
      </c>
      <c r="E37" s="170" t="str">
        <f>VLOOKUP(A37,Lists!$B$2:$G$160,5,FALSE)</f>
        <v>Complex crisis</v>
      </c>
      <c r="F37" s="164">
        <f t="shared" si="0"/>
        <v>4.5</v>
      </c>
      <c r="G37" s="165">
        <f t="shared" si="1"/>
        <v>5</v>
      </c>
      <c r="H37" s="165" t="str">
        <f t="shared" si="2"/>
        <v>Very High</v>
      </c>
      <c r="I37" s="166" t="str">
        <f>INDEX(Trends!$D$3:$D$400,MATCH(B37,Trends!$C$3:$C$400,0))</f>
        <v>Increasing</v>
      </c>
      <c r="J37" s="165" t="str">
        <f>VLOOKUP($B37,Reliability!$A$3:$I$170,9,FALSE)</f>
        <v>High</v>
      </c>
      <c r="K37" s="167">
        <f t="shared" si="3"/>
        <v>4.5999999999999996</v>
      </c>
      <c r="L37" s="167">
        <f>VLOOKUP($B37,'Impact of the crisis'!$C$6:$N$170,12,FALSE)</f>
        <v>5</v>
      </c>
      <c r="M37" s="167">
        <f>VLOOKUP($B37,'Impact of the crisis'!$C$6:$AB$170,26,FALSE)</f>
        <v>4.3</v>
      </c>
      <c r="N37" s="167">
        <f>VLOOKUP($B37,'Conditions of people affected'!$C$6:$R$170,16,FALSE)</f>
        <v>4.5</v>
      </c>
      <c r="O37" s="167">
        <f>VLOOKUP($B37,'Conditions of people affected'!$C$6:$R$170,9,FALSE)</f>
        <v>5</v>
      </c>
      <c r="P37" s="167">
        <f>VLOOKUP($B37,'Conditions of people affected'!$C$6:$R$170,15,FALSE)</f>
        <v>4</v>
      </c>
      <c r="Q37" s="167">
        <f t="shared" si="4"/>
        <v>4.4000000000000004</v>
      </c>
      <c r="R37" s="167">
        <f>VLOOKUP($B37,'Complexity of the crisis'!$C$6:$AN$170,22,FALSE)</f>
        <v>4.3</v>
      </c>
      <c r="S37" s="167">
        <f>VLOOKUP($B37,'Complexity of the crisis'!$C$6:$AN$170,38,FALSE)</f>
        <v>4.5</v>
      </c>
      <c r="T37" s="171" t="str">
        <f>VLOOKUP(B37,Lists!$C$3:$E$167,3,FALSE)</f>
        <v>Africa</v>
      </c>
      <c r="U37" s="172">
        <v>44139</v>
      </c>
    </row>
    <row r="38" spans="1:21" x14ac:dyDescent="0.3">
      <c r="A38" s="168" t="str" cm="1">
        <f t="array" ref="A38">IFERROR(INDEX(Lists!$B$2:$B$160,SMALL(IF(Lists!$I$2:$I$160="Individual",ROW(Lists!$B$2:$B$160)),ROW(34:34))-1,1),"")</f>
        <v>Floods in south-eastern DRC</v>
      </c>
      <c r="B38" s="169" t="str">
        <f>VLOOKUP(A38,Lists!$B$2:$G$160,2,FALSE)</f>
        <v>COD003</v>
      </c>
      <c r="C38" s="169" t="str">
        <f>VLOOKUP(B38,'INFORM Severity - hidden'!$C$5:$D$160,2,FALSE)</f>
        <v>DRC</v>
      </c>
      <c r="D38" s="169" t="str">
        <f>VLOOKUP(A38,Lists!$B$2:$G$160,3,FALSE)</f>
        <v>COD</v>
      </c>
      <c r="E38" s="170" t="str">
        <f>VLOOKUP(A38,Lists!$B$2:$G$160,5,FALSE)</f>
        <v>Flood</v>
      </c>
      <c r="F38" s="164">
        <f t="shared" si="0"/>
        <v>2.6</v>
      </c>
      <c r="G38" s="165">
        <f t="shared" si="1"/>
        <v>3</v>
      </c>
      <c r="H38" s="165" t="str">
        <f t="shared" si="2"/>
        <v>Medium</v>
      </c>
      <c r="I38" s="166" t="str">
        <f>INDEX(Trends!$D$3:$D$400,MATCH(B38,Trends!$C$3:$C$400,0))</f>
        <v>Stable</v>
      </c>
      <c r="J38" s="165" t="str">
        <f>VLOOKUP($B38,Reliability!$A$3:$I$170,9,FALSE)</f>
        <v>Medium</v>
      </c>
      <c r="K38" s="167">
        <f t="shared" si="3"/>
        <v>1.8</v>
      </c>
      <c r="L38" s="167">
        <f>VLOOKUP($B38,'Impact of the crisis'!$C$6:$N$170,12,FALSE)</f>
        <v>2.9</v>
      </c>
      <c r="M38" s="167">
        <f>VLOOKUP($B38,'Impact of the crisis'!$C$6:$AB$170,26,FALSE)</f>
        <v>1.1000000000000001</v>
      </c>
      <c r="N38" s="167">
        <f>VLOOKUP($B38,'Conditions of people affected'!$C$6:$R$170,16,FALSE)</f>
        <v>1.95</v>
      </c>
      <c r="O38" s="167">
        <f>VLOOKUP($B38,'Conditions of people affected'!$C$6:$R$170,9,FALSE)</f>
        <v>2.9</v>
      </c>
      <c r="P38" s="167">
        <f>VLOOKUP($B38,'Conditions of people affected'!$C$6:$R$170,15,FALSE)</f>
        <v>1</v>
      </c>
      <c r="Q38" s="167">
        <f t="shared" si="4"/>
        <v>4.2</v>
      </c>
      <c r="R38" s="167">
        <f>VLOOKUP($B38,'Complexity of the crisis'!$C$6:$AN$170,22,FALSE)</f>
        <v>4.3</v>
      </c>
      <c r="S38" s="167">
        <f>VLOOKUP($B38,'Complexity of the crisis'!$C$6:$AN$170,38,FALSE)</f>
        <v>4</v>
      </c>
      <c r="T38" s="171" t="str">
        <f>VLOOKUP(B38,Lists!$C$3:$E$167,3,FALSE)</f>
        <v>Africa</v>
      </c>
      <c r="U38" s="172">
        <v>44139</v>
      </c>
    </row>
    <row r="39" spans="1:21" x14ac:dyDescent="0.3">
      <c r="A39" s="168" t="str" cm="1">
        <f t="array" ref="A39">IFERROR(INDEX(Lists!$B$2:$B$160,SMALL(IF(Lists!$I$2:$I$160="Individual",ROW(Lists!$B$2:$B$160)),ROW(35:35))-1,1),"")</f>
        <v>Venezuela displacement in Ecuador</v>
      </c>
      <c r="B39" s="169" t="str">
        <f>VLOOKUP(A39,Lists!$B$2:$G$160,2,FALSE)</f>
        <v>ECU002</v>
      </c>
      <c r="C39" s="169" t="str">
        <f>VLOOKUP(B39,'INFORM Severity - hidden'!$C$5:$D$160,2,FALSE)</f>
        <v>Ecuador</v>
      </c>
      <c r="D39" s="169" t="str">
        <f>VLOOKUP(A39,Lists!$B$2:$G$160,3,FALSE)</f>
        <v>ECU</v>
      </c>
      <c r="E39" s="170" t="str">
        <f>VLOOKUP(A39,Lists!$B$2:$G$160,5,FALSE)</f>
        <v>International displacement</v>
      </c>
      <c r="F39" s="164">
        <f t="shared" si="0"/>
        <v>2.4</v>
      </c>
      <c r="G39" s="165">
        <f t="shared" si="1"/>
        <v>3</v>
      </c>
      <c r="H39" s="165" t="str">
        <f t="shared" si="2"/>
        <v>Medium</v>
      </c>
      <c r="I39" s="166" t="str">
        <f>INDEX(Trends!$D$3:$D$400,MATCH(B39,Trends!$C$3:$C$400,0))</f>
        <v>Stable</v>
      </c>
      <c r="J39" s="165" t="str">
        <f>VLOOKUP($B39,Reliability!$A$3:$I$170,9,FALSE)</f>
        <v>High</v>
      </c>
      <c r="K39" s="167">
        <f t="shared" si="3"/>
        <v>1.9</v>
      </c>
      <c r="L39" s="167">
        <f>VLOOKUP($B39,'Impact of the crisis'!$C$6:$N$170,12,FALSE)</f>
        <v>1.3</v>
      </c>
      <c r="M39" s="167">
        <f>VLOOKUP($B39,'Impact of the crisis'!$C$6:$AB$170,26,FALSE)</f>
        <v>2.2000000000000002</v>
      </c>
      <c r="N39" s="167">
        <f>VLOOKUP($B39,'Conditions of people affected'!$C$6:$R$170,16,FALSE)</f>
        <v>2.95</v>
      </c>
      <c r="O39" s="167">
        <f>VLOOKUP($B39,'Conditions of people affected'!$C$6:$R$170,9,FALSE)</f>
        <v>2.9</v>
      </c>
      <c r="P39" s="167">
        <f>VLOOKUP($B39,'Conditions of people affected'!$C$6:$R$170,15,FALSE)</f>
        <v>3</v>
      </c>
      <c r="Q39" s="167">
        <f t="shared" si="4"/>
        <v>1.8</v>
      </c>
      <c r="R39" s="167">
        <f>VLOOKUP($B39,'Complexity of the crisis'!$C$6:$AN$170,22,FALSE)</f>
        <v>2.1</v>
      </c>
      <c r="S39" s="167">
        <f>VLOOKUP($B39,'Complexity of the crisis'!$C$6:$AN$170,38,FALSE)</f>
        <v>1.5</v>
      </c>
      <c r="T39" s="171" t="str">
        <f>VLOOKUP(B39,Lists!$C$3:$E$167,3,FALSE)</f>
        <v>Americas</v>
      </c>
      <c r="U39" s="172">
        <v>44110</v>
      </c>
    </row>
    <row r="40" spans="1:21" x14ac:dyDescent="0.3">
      <c r="A40" s="168" t="str" cm="1">
        <f t="array" ref="A40">IFERROR(INDEX(Lists!$B$2:$B$160,SMALL(IF(Lists!$I$2:$I$160="Individual",ROW(Lists!$B$2:$B$160)),ROW(36:36))-1,1),"")</f>
        <v>Syrian Refugee Crisis in Egypt</v>
      </c>
      <c r="B40" s="169" t="str">
        <f>VLOOKUP(A40,Lists!$B$2:$G$160,2,FALSE)</f>
        <v>EGY002</v>
      </c>
      <c r="C40" s="169" t="str">
        <f>VLOOKUP(B40,'INFORM Severity - hidden'!$C$5:$D$160,2,FALSE)</f>
        <v>Egypt</v>
      </c>
      <c r="D40" s="169" t="str">
        <f>VLOOKUP(A40,Lists!$B$2:$G$160,3,FALSE)</f>
        <v>EGY</v>
      </c>
      <c r="E40" s="170" t="str">
        <f>VLOOKUP(A40,Lists!$B$2:$G$160,5,FALSE)</f>
        <v>International displacement</v>
      </c>
      <c r="F40" s="164">
        <f t="shared" si="0"/>
        <v>2.2000000000000002</v>
      </c>
      <c r="G40" s="165">
        <f t="shared" si="1"/>
        <v>3</v>
      </c>
      <c r="H40" s="165" t="str">
        <f t="shared" si="2"/>
        <v>Medium</v>
      </c>
      <c r="I40" s="166" t="str">
        <f>INDEX(Trends!$D$3:$D$400,MATCH(B40,Trends!$C$3:$C$400,0))</f>
        <v>Stable</v>
      </c>
      <c r="J40" s="165" t="str">
        <f>VLOOKUP($B40,Reliability!$A$3:$I$170,9,FALSE)</f>
        <v>High</v>
      </c>
      <c r="K40" s="167">
        <f t="shared" si="3"/>
        <v>2.5</v>
      </c>
      <c r="L40" s="167">
        <f>VLOOKUP($B40,'Impact of the crisis'!$C$6:$N$170,12,FALSE)</f>
        <v>2.4</v>
      </c>
      <c r="M40" s="167">
        <f>VLOOKUP($B40,'Impact of the crisis'!$C$6:$AB$170,26,FALSE)</f>
        <v>2.5</v>
      </c>
      <c r="N40" s="167">
        <f>VLOOKUP($B40,'Conditions of people affected'!$C$6:$R$170,16,FALSE)</f>
        <v>1.9</v>
      </c>
      <c r="O40" s="167">
        <f>VLOOKUP($B40,'Conditions of people affected'!$C$6:$R$170,9,FALSE)</f>
        <v>1.8</v>
      </c>
      <c r="P40" s="167">
        <f>VLOOKUP($B40,'Conditions of people affected'!$C$6:$R$170,15,FALSE)</f>
        <v>2</v>
      </c>
      <c r="Q40" s="167">
        <f t="shared" si="4"/>
        <v>2.4</v>
      </c>
      <c r="R40" s="167">
        <f>VLOOKUP($B40,'Complexity of the crisis'!$C$6:$AN$170,22,FALSE)</f>
        <v>2.7</v>
      </c>
      <c r="S40" s="167">
        <f>VLOOKUP($B40,'Complexity of the crisis'!$C$6:$AN$170,38,FALSE)</f>
        <v>2</v>
      </c>
      <c r="T40" s="171" t="str">
        <f>VLOOKUP(B40,Lists!$C$3:$E$167,3,FALSE)</f>
        <v>Africa</v>
      </c>
      <c r="U40" s="172">
        <v>44064</v>
      </c>
    </row>
    <row r="41" spans="1:21" x14ac:dyDescent="0.3">
      <c r="A41" s="168" t="str" cm="1">
        <f t="array" ref="A41">IFERROR(INDEX(Lists!$B$2:$B$160,SMALL(IF(Lists!$I$2:$I$160="Individual",ROW(Lists!$B$2:$B$160)),ROW(37:37))-1,1),"")</f>
        <v>Complex crisis in El Salvador</v>
      </c>
      <c r="B41" s="169" t="str">
        <f>VLOOKUP(A41,Lists!$B$2:$G$160,2,FALSE)</f>
        <v>SLV001</v>
      </c>
      <c r="C41" s="169" t="str">
        <f>VLOOKUP(B41,'INFORM Severity - hidden'!$C$5:$D$160,2,FALSE)</f>
        <v>El Salvador</v>
      </c>
      <c r="D41" s="169" t="str">
        <f>VLOOKUP(A41,Lists!$B$2:$G$160,3,FALSE)</f>
        <v>SLV</v>
      </c>
      <c r="E41" s="170" t="str">
        <f>VLOOKUP(A41,Lists!$B$2:$G$160,5,FALSE)</f>
        <v>Complex crisis</v>
      </c>
      <c r="F41" s="164">
        <f t="shared" si="0"/>
        <v>3</v>
      </c>
      <c r="G41" s="165">
        <f t="shared" si="1"/>
        <v>3</v>
      </c>
      <c r="H41" s="165" t="str">
        <f t="shared" si="2"/>
        <v>Medium</v>
      </c>
      <c r="I41" s="166" t="str">
        <f>INDEX(Trends!$D$3:$D$400,MATCH(B41,Trends!$C$3:$C$400,0))</f>
        <v>Increasing</v>
      </c>
      <c r="J41" s="165" t="str">
        <f>VLOOKUP($B41,Reliability!$A$3:$I$170,9,FALSE)</f>
        <v>High</v>
      </c>
      <c r="K41" s="167">
        <f t="shared" si="3"/>
        <v>3.5</v>
      </c>
      <c r="L41" s="167">
        <f>VLOOKUP($B41,'Impact of the crisis'!$C$6:$N$170,12,FALSE)</f>
        <v>3.8</v>
      </c>
      <c r="M41" s="167">
        <f>VLOOKUP($B41,'Impact of the crisis'!$C$6:$AB$170,26,FALSE)</f>
        <v>3.4</v>
      </c>
      <c r="N41" s="167">
        <f>VLOOKUP($B41,'Conditions of people affected'!$C$6:$R$170,16,FALSE)</f>
        <v>3</v>
      </c>
      <c r="O41" s="167">
        <f>VLOOKUP($B41,'Conditions of people affected'!$C$6:$R$170,9,FALSE)</f>
        <v>3</v>
      </c>
      <c r="P41" s="167">
        <f>VLOOKUP($B41,'Conditions of people affected'!$C$6:$R$170,15,FALSE)</f>
        <v>3</v>
      </c>
      <c r="Q41" s="167">
        <f t="shared" si="4"/>
        <v>2.5</v>
      </c>
      <c r="R41" s="167">
        <f>VLOOKUP($B41,'Complexity of the crisis'!$C$6:$AN$170,22,FALSE)</f>
        <v>2.4</v>
      </c>
      <c r="S41" s="167">
        <f>VLOOKUP($B41,'Complexity of the crisis'!$C$6:$AN$170,38,FALSE)</f>
        <v>2.5</v>
      </c>
      <c r="T41" s="171" t="str">
        <f>VLOOKUP(B41,Lists!$C$3:$E$167,3,FALSE)</f>
        <v>Americas</v>
      </c>
      <c r="U41" s="172">
        <v>44111</v>
      </c>
    </row>
    <row r="42" spans="1:21" x14ac:dyDescent="0.3">
      <c r="A42" s="168" t="str" cm="1">
        <f t="array" ref="A42">IFERROR(INDEX(Lists!$B$2:$B$160,SMALL(IF(Lists!$I$2:$I$160="Individual",ROW(Lists!$B$2:$B$160)),ROW(38:38))-1,1),"")</f>
        <v>Complex crisis in Eritrea</v>
      </c>
      <c r="B42" s="169" t="str">
        <f>VLOOKUP(A42,Lists!$B$2:$G$160,2,FALSE)</f>
        <v>ERI001</v>
      </c>
      <c r="C42" s="169" t="str">
        <f>VLOOKUP(B42,'INFORM Severity - hidden'!$C$5:$D$160,2,FALSE)</f>
        <v>Eritrea</v>
      </c>
      <c r="D42" s="169" t="str">
        <f>VLOOKUP(A42,Lists!$B$2:$G$160,3,FALSE)</f>
        <v>ERI</v>
      </c>
      <c r="E42" s="170" t="str">
        <f>VLOOKUP(A42,Lists!$B$2:$G$160,5,FALSE)</f>
        <v>Complex crisis</v>
      </c>
      <c r="F42" s="164">
        <f t="shared" si="0"/>
        <v>3.7</v>
      </c>
      <c r="G42" s="165">
        <f t="shared" si="1"/>
        <v>4</v>
      </c>
      <c r="H42" s="165" t="str">
        <f t="shared" si="2"/>
        <v>High</v>
      </c>
      <c r="I42" s="166" t="str">
        <f>INDEX(Trends!$D$3:$D$400,MATCH(B42,Trends!$C$3:$C$400,0))</f>
        <v>Stable</v>
      </c>
      <c r="J42" s="165" t="str">
        <f>VLOOKUP($B42,Reliability!$A$3:$I$170,9,FALSE)</f>
        <v>Low</v>
      </c>
      <c r="K42" s="167">
        <f t="shared" si="3"/>
        <v>3.5</v>
      </c>
      <c r="L42" s="167">
        <f>VLOOKUP($B42,'Impact of the crisis'!$C$6:$N$170,12,FALSE)</f>
        <v>3.8</v>
      </c>
      <c r="M42" s="167">
        <f>VLOOKUP($B42,'Impact of the crisis'!$C$6:$AB$170,26,FALSE)</f>
        <v>3.3</v>
      </c>
      <c r="N42" s="167">
        <f>VLOOKUP($B42,'Conditions of people affected'!$C$6:$R$170,16,FALSE)</f>
        <v>3.5</v>
      </c>
      <c r="O42" s="167">
        <f>VLOOKUP($B42,'Conditions of people affected'!$C$6:$R$170,9,FALSE)</f>
        <v>4</v>
      </c>
      <c r="P42" s="167">
        <f>VLOOKUP($B42,'Conditions of people affected'!$C$6:$R$170,15,FALSE)</f>
        <v>3</v>
      </c>
      <c r="Q42" s="167">
        <f t="shared" si="4"/>
        <v>4.2</v>
      </c>
      <c r="R42" s="167">
        <f>VLOOKUP($B42,'Complexity of the crisis'!$C$6:$AN$170,22,FALSE)</f>
        <v>2.8</v>
      </c>
      <c r="S42" s="167">
        <f>VLOOKUP($B42,'Complexity of the crisis'!$C$6:$AN$170,38,FALSE)</f>
        <v>5</v>
      </c>
      <c r="T42" s="171" t="str">
        <f>VLOOKUP(B42,Lists!$C$3:$E$167,3,FALSE)</f>
        <v>Africa</v>
      </c>
      <c r="U42" s="172">
        <v>44140</v>
      </c>
    </row>
    <row r="43" spans="1:21" x14ac:dyDescent="0.3">
      <c r="A43" s="168" t="str" cm="1">
        <f t="array" ref="A43">IFERROR(INDEX(Lists!$B$2:$B$160,SMALL(IF(Lists!$I$2:$I$160="Individual",ROW(Lists!$B$2:$B$160)),ROW(39:39))-1,1),"")</f>
        <v>Food Security Crisis in Eswatini</v>
      </c>
      <c r="B43" s="169" t="str">
        <f>VLOOKUP(A43,Lists!$B$2:$G$160,2,FALSE)</f>
        <v>SWZ001</v>
      </c>
      <c r="C43" s="169" t="str">
        <f>VLOOKUP(B43,'INFORM Severity - hidden'!$C$5:$D$160,2,FALSE)</f>
        <v>Eswatini</v>
      </c>
      <c r="D43" s="169" t="str">
        <f>VLOOKUP(A43,Lists!$B$2:$G$160,3,FALSE)</f>
        <v>SWZ</v>
      </c>
      <c r="E43" s="170" t="str">
        <f>VLOOKUP(A43,Lists!$B$2:$G$160,5,FALSE)</f>
        <v>Food Security</v>
      </c>
      <c r="F43" s="164">
        <f t="shared" si="0"/>
        <v>2.6</v>
      </c>
      <c r="G43" s="165">
        <f t="shared" si="1"/>
        <v>3</v>
      </c>
      <c r="H43" s="165" t="str">
        <f t="shared" si="2"/>
        <v>Medium</v>
      </c>
      <c r="I43" s="166" t="str">
        <f>INDEX(Trends!$D$3:$D$400,MATCH(B43,Trends!$C$3:$C$400,0))</f>
        <v>-</v>
      </c>
      <c r="J43" s="165" t="str">
        <f>VLOOKUP($B43,Reliability!$A$3:$I$170,9,FALSE)</f>
        <v>Medium</v>
      </c>
      <c r="K43" s="167">
        <f t="shared" si="3"/>
        <v>2.2000000000000002</v>
      </c>
      <c r="L43" s="167">
        <f>VLOOKUP($B43,'Impact of the crisis'!$C$6:$N$170,12,FALSE)</f>
        <v>3.1</v>
      </c>
      <c r="M43" s="167">
        <f>VLOOKUP($B43,'Impact of the crisis'!$C$6:$AB$170,26,FALSE)</f>
        <v>1.6</v>
      </c>
      <c r="N43" s="167">
        <f>VLOOKUP($B43,'Conditions of people affected'!$C$6:$R$170,16,FALSE)</f>
        <v>3.3</v>
      </c>
      <c r="O43" s="167">
        <f>VLOOKUP($B43,'Conditions of people affected'!$C$6:$R$170,9,FALSE)</f>
        <v>2.6</v>
      </c>
      <c r="P43" s="167">
        <f>VLOOKUP($B43,'Conditions of people affected'!$C$6:$R$170,15,FALSE)</f>
        <v>4</v>
      </c>
      <c r="Q43" s="167">
        <f t="shared" si="4"/>
        <v>1.9</v>
      </c>
      <c r="R43" s="167">
        <f>VLOOKUP($B43,'Complexity of the crisis'!$C$6:$AN$170,22,FALSE)</f>
        <v>3</v>
      </c>
      <c r="S43" s="167">
        <f>VLOOKUP($B43,'Complexity of the crisis'!$C$6:$AN$170,38,FALSE)</f>
        <v>0.5</v>
      </c>
      <c r="T43" s="171" t="str">
        <f>VLOOKUP(B43,Lists!$C$3:$E$167,3,FALSE)</f>
        <v>Africa</v>
      </c>
      <c r="U43" s="172">
        <v>44134</v>
      </c>
    </row>
    <row r="44" spans="1:21" x14ac:dyDescent="0.3">
      <c r="A44" s="168" t="str" cm="1">
        <f t="array" ref="A44">IFERROR(INDEX(Lists!$B$2:$B$160,SMALL(IF(Lists!$I$2:$I$160="Individual",ROW(Lists!$B$2:$B$160)),ROW(40:40))-1,1),"")</f>
        <v>Complex crisis in Ethiopia</v>
      </c>
      <c r="B44" s="169" t="str">
        <f>VLOOKUP(A44,Lists!$B$2:$G$160,2,FALSE)</f>
        <v>ETH001</v>
      </c>
      <c r="C44" s="169" t="str">
        <f>VLOOKUP(B44,'INFORM Severity - hidden'!$C$5:$D$160,2,FALSE)</f>
        <v>Ethiopia</v>
      </c>
      <c r="D44" s="169" t="str">
        <f>VLOOKUP(A44,Lists!$B$2:$G$160,3,FALSE)</f>
        <v>ETH</v>
      </c>
      <c r="E44" s="170" t="str">
        <f>VLOOKUP(A44,Lists!$B$2:$G$160,5,FALSE)</f>
        <v>Complex crisis</v>
      </c>
      <c r="F44" s="164">
        <f t="shared" si="0"/>
        <v>4</v>
      </c>
      <c r="G44" s="165">
        <f t="shared" si="1"/>
        <v>4</v>
      </c>
      <c r="H44" s="165" t="str">
        <f t="shared" si="2"/>
        <v>High</v>
      </c>
      <c r="I44" s="166" t="str">
        <f>INDEX(Trends!$D$3:$D$400,MATCH(B44,Trends!$C$3:$C$400,0))</f>
        <v>Stable</v>
      </c>
      <c r="J44" s="165" t="str">
        <f>VLOOKUP($B44,Reliability!$A$3:$I$170,9,FALSE)</f>
        <v>High</v>
      </c>
      <c r="K44" s="167">
        <f t="shared" si="3"/>
        <v>3.9</v>
      </c>
      <c r="L44" s="167">
        <f>VLOOKUP($B44,'Impact of the crisis'!$C$6:$N$170,12,FALSE)</f>
        <v>4.3</v>
      </c>
      <c r="M44" s="167">
        <f>VLOOKUP($B44,'Impact of the crisis'!$C$6:$AB$170,26,FALSE)</f>
        <v>3.7</v>
      </c>
      <c r="N44" s="167">
        <f>VLOOKUP($B44,'Conditions of people affected'!$C$6:$R$170,16,FALSE)</f>
        <v>4.45</v>
      </c>
      <c r="O44" s="167">
        <f>VLOOKUP($B44,'Conditions of people affected'!$C$6:$R$170,9,FALSE)</f>
        <v>4.9000000000000004</v>
      </c>
      <c r="P44" s="167">
        <f>VLOOKUP($B44,'Conditions of people affected'!$C$6:$R$170,15,FALSE)</f>
        <v>4</v>
      </c>
      <c r="Q44" s="167">
        <f t="shared" si="4"/>
        <v>3.4</v>
      </c>
      <c r="R44" s="167">
        <f>VLOOKUP($B44,'Complexity of the crisis'!$C$6:$AN$170,22,FALSE)</f>
        <v>3.3</v>
      </c>
      <c r="S44" s="167">
        <f>VLOOKUP($B44,'Complexity of the crisis'!$C$6:$AN$170,38,FALSE)</f>
        <v>3.5</v>
      </c>
      <c r="T44" s="171" t="str">
        <f>VLOOKUP(B44,Lists!$C$3:$E$167,3,FALSE)</f>
        <v>Africa</v>
      </c>
      <c r="U44" s="172">
        <v>44140</v>
      </c>
    </row>
    <row r="45" spans="1:21" x14ac:dyDescent="0.3">
      <c r="A45" s="168" t="str" cm="1">
        <f t="array" ref="A45">IFERROR(INDEX(Lists!$B$2:$B$160,SMALL(IF(Lists!$I$2:$I$160="Individual",ROW(Lists!$B$2:$B$160)),ROW(41:41))-1,1),"")</f>
        <v>Flood Crisis in Ethiopia</v>
      </c>
      <c r="B45" s="169" t="str">
        <f>VLOOKUP(A45,Lists!$B$2:$G$160,2,FALSE)</f>
        <v>ETH002</v>
      </c>
      <c r="C45" s="169" t="str">
        <f>VLOOKUP(B45,'INFORM Severity - hidden'!$C$5:$D$160,2,FALSE)</f>
        <v>Ethiopia</v>
      </c>
      <c r="D45" s="169" t="str">
        <f>VLOOKUP(A45,Lists!$B$2:$G$160,3,FALSE)</f>
        <v>ETH</v>
      </c>
      <c r="E45" s="170" t="str">
        <f>VLOOKUP(A45,Lists!$B$2:$G$160,5,FALSE)</f>
        <v>Flood</v>
      </c>
      <c r="F45" s="164">
        <f t="shared" si="0"/>
        <v>2.4</v>
      </c>
      <c r="G45" s="165">
        <f t="shared" si="1"/>
        <v>3</v>
      </c>
      <c r="H45" s="165" t="str">
        <f t="shared" si="2"/>
        <v>Medium</v>
      </c>
      <c r="I45" s="166" t="str">
        <f>INDEX(Trends!$D$3:$D$400,MATCH(B45,Trends!$C$3:$C$400,0))</f>
        <v>Stable</v>
      </c>
      <c r="J45" s="165" t="str">
        <f>VLOOKUP($B45,Reliability!$A$3:$I$170,9,FALSE)</f>
        <v>Very High</v>
      </c>
      <c r="K45" s="167">
        <f t="shared" si="3"/>
        <v>3</v>
      </c>
      <c r="L45" s="167">
        <f>VLOOKUP($B45,'Impact of the crisis'!$C$6:$N$170,12,FALSE)</f>
        <v>4.0999999999999996</v>
      </c>
      <c r="M45" s="167">
        <f>VLOOKUP($B45,'Impact of the crisis'!$C$6:$AB$170,26,FALSE)</f>
        <v>2.2999999999999998</v>
      </c>
      <c r="N45" s="167">
        <f>VLOOKUP($B45,'Conditions of people affected'!$C$6:$R$170,16,FALSE)</f>
        <v>1.85</v>
      </c>
      <c r="O45" s="167">
        <f>VLOOKUP($B45,'Conditions of people affected'!$C$6:$R$170,9,FALSE)</f>
        <v>2.7</v>
      </c>
      <c r="P45" s="167">
        <f>VLOOKUP($B45,'Conditions of people affected'!$C$6:$R$170,15,FALSE)</f>
        <v>1</v>
      </c>
      <c r="Q45" s="167">
        <f t="shared" si="4"/>
        <v>2.7</v>
      </c>
      <c r="R45" s="167">
        <f>VLOOKUP($B45,'Complexity of the crisis'!$C$6:$AN$170,22,FALSE)</f>
        <v>3.3</v>
      </c>
      <c r="S45" s="167">
        <f>VLOOKUP($B45,'Complexity of the crisis'!$C$6:$AN$170,38,FALSE)</f>
        <v>2</v>
      </c>
      <c r="T45" s="171" t="str">
        <f>VLOOKUP(B45,Lists!$C$3:$E$167,3,FALSE)</f>
        <v>Africa</v>
      </c>
      <c r="U45" s="172">
        <v>44123</v>
      </c>
    </row>
    <row r="46" spans="1:21" x14ac:dyDescent="0.3">
      <c r="A46" s="168" t="str" cm="1">
        <f t="array" ref="A46">IFERROR(INDEX(Lists!$B$2:$B$160,SMALL(IF(Lists!$I$2:$I$160="Individual",ROW(Lists!$B$2:$B$160)),ROW(42:42))-1,1),"")</f>
        <v>International Displacement</v>
      </c>
      <c r="B46" s="169" t="str">
        <f>VLOOKUP(A46,Lists!$B$2:$G$160,2,FALSE)</f>
        <v>ETH003</v>
      </c>
      <c r="C46" s="169" t="str">
        <f>VLOOKUP(B46,'INFORM Severity - hidden'!$C$5:$D$160,2,FALSE)</f>
        <v>Ethiopia</v>
      </c>
      <c r="D46" s="169" t="str">
        <f>VLOOKUP(A46,Lists!$B$2:$G$160,3,FALSE)</f>
        <v>ETH</v>
      </c>
      <c r="E46" s="170" t="str">
        <f>VLOOKUP(A46,Lists!$B$2:$G$160,5,FALSE)</f>
        <v>International displacement</v>
      </c>
      <c r="F46" s="164">
        <f t="shared" si="0"/>
        <v>2.8</v>
      </c>
      <c r="G46" s="165">
        <f t="shared" si="1"/>
        <v>3</v>
      </c>
      <c r="H46" s="165" t="str">
        <f t="shared" si="2"/>
        <v>Medium</v>
      </c>
      <c r="I46" s="166" t="str">
        <f>INDEX(Trends!$D$3:$D$400,MATCH(B46,Trends!$C$3:$C$400,0))</f>
        <v>Stable</v>
      </c>
      <c r="J46" s="165" t="str">
        <f>VLOOKUP($B46,Reliability!$A$3:$I$170,9,FALSE)</f>
        <v>High</v>
      </c>
      <c r="K46" s="167">
        <f t="shared" si="3"/>
        <v>3.7</v>
      </c>
      <c r="L46" s="167">
        <f>VLOOKUP($B46,'Impact of the crisis'!$C$6:$N$170,12,FALSE)</f>
        <v>4.4000000000000004</v>
      </c>
      <c r="M46" s="167">
        <f>VLOOKUP($B46,'Impact of the crisis'!$C$6:$AB$170,26,FALSE)</f>
        <v>3.3</v>
      </c>
      <c r="N46" s="167">
        <f>VLOOKUP($B46,'Conditions of people affected'!$C$6:$R$170,16,FALSE)</f>
        <v>2.0499999999999998</v>
      </c>
      <c r="O46" s="167">
        <f>VLOOKUP($B46,'Conditions of people affected'!$C$6:$R$170,9,FALSE)</f>
        <v>3.1</v>
      </c>
      <c r="P46" s="167">
        <f>VLOOKUP($B46,'Conditions of people affected'!$C$6:$R$170,15,FALSE)</f>
        <v>1</v>
      </c>
      <c r="Q46" s="167">
        <f t="shared" si="4"/>
        <v>3.2</v>
      </c>
      <c r="R46" s="167">
        <f>VLOOKUP($B46,'Complexity of the crisis'!$C$6:$AN$170,22,FALSE)</f>
        <v>3.3</v>
      </c>
      <c r="S46" s="167">
        <f>VLOOKUP($B46,'Complexity of the crisis'!$C$6:$AN$170,38,FALSE)</f>
        <v>3</v>
      </c>
      <c r="T46" s="171" t="str">
        <f>VLOOKUP(B46,Lists!$C$3:$E$167,3,FALSE)</f>
        <v>Africa</v>
      </c>
      <c r="U46" s="172">
        <v>44071</v>
      </c>
    </row>
    <row r="47" spans="1:21" x14ac:dyDescent="0.3">
      <c r="A47" s="168" t="str" cm="1">
        <f t="array" ref="A47">IFERROR(INDEX(Lists!$B$2:$B$160,SMALL(IF(Lists!$I$2:$I$160="Individual",ROW(Lists!$B$2:$B$160)),ROW(43:43))-1,1),"")</f>
        <v>Mixed migration flows in Greece</v>
      </c>
      <c r="B47" s="169" t="str">
        <f>VLOOKUP(A47,Lists!$B$2:$G$160,2,FALSE)</f>
        <v>GRC002</v>
      </c>
      <c r="C47" s="169" t="str">
        <f>VLOOKUP(B47,'INFORM Severity - hidden'!$C$5:$D$160,2,FALSE)</f>
        <v>Greece</v>
      </c>
      <c r="D47" s="169" t="str">
        <f>VLOOKUP(A47,Lists!$B$2:$G$160,3,FALSE)</f>
        <v>GRC</v>
      </c>
      <c r="E47" s="170" t="str">
        <f>VLOOKUP(A47,Lists!$B$2:$G$160,5,FALSE)</f>
        <v>International displacement</v>
      </c>
      <c r="F47" s="164">
        <f t="shared" si="0"/>
        <v>1.8</v>
      </c>
      <c r="G47" s="165">
        <f t="shared" si="1"/>
        <v>2</v>
      </c>
      <c r="H47" s="165" t="str">
        <f t="shared" si="2"/>
        <v>Low</v>
      </c>
      <c r="I47" s="166" t="str">
        <f>INDEX(Trends!$D$3:$D$400,MATCH(B47,Trends!$C$3:$C$400,0))</f>
        <v>Decreasing</v>
      </c>
      <c r="J47" s="165" t="str">
        <f>VLOOKUP($B47,Reliability!$A$3:$I$170,9,FALSE)</f>
        <v>Very High</v>
      </c>
      <c r="K47" s="167">
        <f t="shared" si="3"/>
        <v>2</v>
      </c>
      <c r="L47" s="167">
        <f>VLOOKUP($B47,'Impact of the crisis'!$C$6:$N$170,12,FALSE)</f>
        <v>0.3</v>
      </c>
      <c r="M47" s="167">
        <f>VLOOKUP($B47,'Impact of the crisis'!$C$6:$AB$170,26,FALSE)</f>
        <v>2.7</v>
      </c>
      <c r="N47" s="167">
        <f>VLOOKUP($B47,'Conditions of people affected'!$C$6:$R$170,16,FALSE)</f>
        <v>1.8</v>
      </c>
      <c r="O47" s="167">
        <f>VLOOKUP($B47,'Conditions of people affected'!$C$6:$R$170,9,FALSE)</f>
        <v>0.6</v>
      </c>
      <c r="P47" s="167">
        <f>VLOOKUP($B47,'Conditions of people affected'!$C$6:$R$170,15,FALSE)</f>
        <v>3</v>
      </c>
      <c r="Q47" s="167">
        <f t="shared" si="4"/>
        <v>1.7</v>
      </c>
      <c r="R47" s="167">
        <f>VLOOKUP($B47,'Complexity of the crisis'!$C$6:$AN$170,22,FALSE)</f>
        <v>1.8</v>
      </c>
      <c r="S47" s="167">
        <f>VLOOKUP($B47,'Complexity of the crisis'!$C$6:$AN$170,38,FALSE)</f>
        <v>1.5</v>
      </c>
      <c r="T47" s="171" t="str">
        <f>VLOOKUP(B47,Lists!$C$3:$E$167,3,FALSE)</f>
        <v>Europe</v>
      </c>
      <c r="U47" s="172">
        <v>44140</v>
      </c>
    </row>
    <row r="48" spans="1:21" x14ac:dyDescent="0.3">
      <c r="A48" s="168" t="str" cm="1">
        <f t="array" ref="A48">IFERROR(INDEX(Lists!$B$2:$B$160,SMALL(IF(Lists!$I$2:$I$160="Individual",ROW(Lists!$B$2:$B$160)),ROW(44:44))-1,1),"")</f>
        <v>Complex crisis in Guatemala</v>
      </c>
      <c r="B48" s="169" t="str">
        <f>VLOOKUP(A48,Lists!$B$2:$G$160,2,FALSE)</f>
        <v>GTM001</v>
      </c>
      <c r="C48" s="169" t="str">
        <f>VLOOKUP(B48,'INFORM Severity - hidden'!$C$5:$D$160,2,FALSE)</f>
        <v>Guatemala</v>
      </c>
      <c r="D48" s="169" t="str">
        <f>VLOOKUP(A48,Lists!$B$2:$G$160,3,FALSE)</f>
        <v>GTM</v>
      </c>
      <c r="E48" s="170" t="str">
        <f>VLOOKUP(A48,Lists!$B$2:$G$160,5,FALSE)</f>
        <v>Complex crisis</v>
      </c>
      <c r="F48" s="164">
        <f t="shared" si="0"/>
        <v>3.4</v>
      </c>
      <c r="G48" s="165">
        <f t="shared" si="1"/>
        <v>4</v>
      </c>
      <c r="H48" s="165" t="str">
        <f t="shared" si="2"/>
        <v>High</v>
      </c>
      <c r="I48" s="166" t="str">
        <f>INDEX(Trends!$D$3:$D$400,MATCH(B48,Trends!$C$3:$C$400,0))</f>
        <v>Stable</v>
      </c>
      <c r="J48" s="165" t="str">
        <f>VLOOKUP($B48,Reliability!$A$3:$I$170,9,FALSE)</f>
        <v>Very High</v>
      </c>
      <c r="K48" s="167">
        <f t="shared" si="3"/>
        <v>3.7</v>
      </c>
      <c r="L48" s="167">
        <f>VLOOKUP($B48,'Impact of the crisis'!$C$6:$N$170,12,FALSE)</f>
        <v>4.3</v>
      </c>
      <c r="M48" s="167">
        <f>VLOOKUP($B48,'Impact of the crisis'!$C$6:$AB$170,26,FALSE)</f>
        <v>3.4</v>
      </c>
      <c r="N48" s="167">
        <f>VLOOKUP($B48,'Conditions of people affected'!$C$6:$R$170,16,FALSE)</f>
        <v>3.6</v>
      </c>
      <c r="O48" s="167">
        <f>VLOOKUP($B48,'Conditions of people affected'!$C$6:$R$170,9,FALSE)</f>
        <v>4.2</v>
      </c>
      <c r="P48" s="167">
        <f>VLOOKUP($B48,'Conditions of people affected'!$C$6:$R$170,15,FALSE)</f>
        <v>3</v>
      </c>
      <c r="Q48" s="167">
        <f t="shared" si="4"/>
        <v>2.9</v>
      </c>
      <c r="R48" s="167">
        <f>VLOOKUP($B48,'Complexity of the crisis'!$C$6:$AN$170,22,FALSE)</f>
        <v>3.3</v>
      </c>
      <c r="S48" s="167">
        <f>VLOOKUP($B48,'Complexity of the crisis'!$C$6:$AN$170,38,FALSE)</f>
        <v>2.5</v>
      </c>
      <c r="T48" s="171" t="str">
        <f>VLOOKUP(B48,Lists!$C$3:$E$167,3,FALSE)</f>
        <v>Americas</v>
      </c>
      <c r="U48" s="172">
        <v>44111</v>
      </c>
    </row>
    <row r="49" spans="1:21" x14ac:dyDescent="0.3">
      <c r="A49" s="168" t="str" cm="1">
        <f t="array" ref="A49">IFERROR(INDEX(Lists!$B$2:$B$160,SMALL(IF(Lists!$I$2:$I$160="Individual",ROW(Lists!$B$2:$B$160)),ROW(45:45))-1,1),"")</f>
        <v>Complex crisis in Haiti</v>
      </c>
      <c r="B49" s="169" t="str">
        <f>VLOOKUP(A49,Lists!$B$2:$G$160,2,FALSE)</f>
        <v>HTI001</v>
      </c>
      <c r="C49" s="169" t="str">
        <f>VLOOKUP(B49,'INFORM Severity - hidden'!$C$5:$D$160,2,FALSE)</f>
        <v>Haiti</v>
      </c>
      <c r="D49" s="169" t="str">
        <f>VLOOKUP(A49,Lists!$B$2:$G$160,3,FALSE)</f>
        <v>HTI</v>
      </c>
      <c r="E49" s="170" t="str">
        <f>VLOOKUP(A49,Lists!$B$2:$G$160,5,FALSE)</f>
        <v>Complex crisis</v>
      </c>
      <c r="F49" s="164">
        <f t="shared" si="0"/>
        <v>3.5</v>
      </c>
      <c r="G49" s="165">
        <f t="shared" si="1"/>
        <v>4</v>
      </c>
      <c r="H49" s="165" t="str">
        <f t="shared" si="2"/>
        <v>High</v>
      </c>
      <c r="I49" s="166" t="str">
        <f>INDEX(Trends!$D$3:$D$400,MATCH(B49,Trends!$C$3:$C$400,0))</f>
        <v>Stable</v>
      </c>
      <c r="J49" s="165" t="str">
        <f>VLOOKUP($B49,Reliability!$A$3:$I$170,9,FALSE)</f>
        <v>High</v>
      </c>
      <c r="K49" s="167">
        <f t="shared" si="3"/>
        <v>3.2</v>
      </c>
      <c r="L49" s="167">
        <f>VLOOKUP($B49,'Impact of the crisis'!$C$6:$N$170,12,FALSE)</f>
        <v>4</v>
      </c>
      <c r="M49" s="167">
        <f>VLOOKUP($B49,'Impact of the crisis'!$C$6:$AB$170,26,FALSE)</f>
        <v>2.7</v>
      </c>
      <c r="N49" s="167">
        <f>VLOOKUP($B49,'Conditions of people affected'!$C$6:$R$170,16,FALSE)</f>
        <v>4.1500000000000004</v>
      </c>
      <c r="O49" s="167">
        <f>VLOOKUP($B49,'Conditions of people affected'!$C$6:$R$170,9,FALSE)</f>
        <v>4.3</v>
      </c>
      <c r="P49" s="167">
        <f>VLOOKUP($B49,'Conditions of people affected'!$C$6:$R$170,15,FALSE)</f>
        <v>4</v>
      </c>
      <c r="Q49" s="167">
        <f t="shared" si="4"/>
        <v>2.5</v>
      </c>
      <c r="R49" s="167">
        <f>VLOOKUP($B49,'Complexity of the crisis'!$C$6:$AN$170,22,FALSE)</f>
        <v>2.9</v>
      </c>
      <c r="S49" s="167">
        <f>VLOOKUP($B49,'Complexity of the crisis'!$C$6:$AN$170,38,FALSE)</f>
        <v>2</v>
      </c>
      <c r="T49" s="171" t="str">
        <f>VLOOKUP(B49,Lists!$C$3:$E$167,3,FALSE)</f>
        <v>Americas</v>
      </c>
      <c r="U49" s="172">
        <v>44140</v>
      </c>
    </row>
    <row r="50" spans="1:21" x14ac:dyDescent="0.3">
      <c r="A50" s="168" t="str" cm="1">
        <f t="array" ref="A50">IFERROR(INDEX(Lists!$B$2:$B$160,SMALL(IF(Lists!$I$2:$I$160="Individual",ROW(Lists!$B$2:$B$160)),ROW(46:46))-1,1),"")</f>
        <v>Complex crisis in Honduras</v>
      </c>
      <c r="B50" s="169" t="str">
        <f>VLOOKUP(A50,Lists!$B$2:$G$160,2,FALSE)</f>
        <v>HND001</v>
      </c>
      <c r="C50" s="169" t="str">
        <f>VLOOKUP(B50,'INFORM Severity - hidden'!$C$5:$D$160,2,FALSE)</f>
        <v>Honduras</v>
      </c>
      <c r="D50" s="169" t="str">
        <f>VLOOKUP(A50,Lists!$B$2:$G$160,3,FALSE)</f>
        <v>HND</v>
      </c>
      <c r="E50" s="170" t="str">
        <f>VLOOKUP(A50,Lists!$B$2:$G$160,5,FALSE)</f>
        <v>Complex crisis</v>
      </c>
      <c r="F50" s="164">
        <f t="shared" si="0"/>
        <v>3.2</v>
      </c>
      <c r="G50" s="165">
        <f t="shared" si="1"/>
        <v>4</v>
      </c>
      <c r="H50" s="165" t="str">
        <f t="shared" si="2"/>
        <v>High</v>
      </c>
      <c r="I50" s="166" t="str">
        <f>INDEX(Trends!$D$3:$D$400,MATCH(B50,Trends!$C$3:$C$400,0))</f>
        <v>Decreasing</v>
      </c>
      <c r="J50" s="165" t="str">
        <f>VLOOKUP($B50,Reliability!$A$3:$I$170,9,FALSE)</f>
        <v>High</v>
      </c>
      <c r="K50" s="167">
        <f t="shared" si="3"/>
        <v>3.7</v>
      </c>
      <c r="L50" s="167">
        <f>VLOOKUP($B50,'Impact of the crisis'!$C$6:$N$170,12,FALSE)</f>
        <v>4.2</v>
      </c>
      <c r="M50" s="167">
        <f>VLOOKUP($B50,'Impact of the crisis'!$C$6:$AB$170,26,FALSE)</f>
        <v>3.4</v>
      </c>
      <c r="N50" s="167">
        <f>VLOOKUP($B50,'Conditions of people affected'!$C$6:$R$170,16,FALSE)</f>
        <v>3.25</v>
      </c>
      <c r="O50" s="167">
        <f>VLOOKUP($B50,'Conditions of people affected'!$C$6:$R$170,9,FALSE)</f>
        <v>3.5</v>
      </c>
      <c r="P50" s="167">
        <f>VLOOKUP($B50,'Conditions of people affected'!$C$6:$R$170,15,FALSE)</f>
        <v>3</v>
      </c>
      <c r="Q50" s="167">
        <f t="shared" si="4"/>
        <v>2.8</v>
      </c>
      <c r="R50" s="167">
        <f>VLOOKUP($B50,'Complexity of the crisis'!$C$6:$AN$170,22,FALSE)</f>
        <v>3.1</v>
      </c>
      <c r="S50" s="167">
        <f>VLOOKUP($B50,'Complexity of the crisis'!$C$6:$AN$170,38,FALSE)</f>
        <v>2.5</v>
      </c>
      <c r="T50" s="171" t="str">
        <f>VLOOKUP(B50,Lists!$C$3:$E$167,3,FALSE)</f>
        <v>Americas</v>
      </c>
      <c r="U50" s="172">
        <v>44111</v>
      </c>
    </row>
    <row r="51" spans="1:21" x14ac:dyDescent="0.3">
      <c r="A51" s="168" t="str" cm="1">
        <f t="array" ref="A51">IFERROR(INDEX(Lists!$B$2:$B$160,SMALL(IF(Lists!$I$2:$I$160="Individual",ROW(Lists!$B$2:$B$160)),ROW(47:47))-1,1),"")</f>
        <v>Conflict in Jammu and Kashmir</v>
      </c>
      <c r="B51" s="169" t="str">
        <f>VLOOKUP(A51,Lists!$B$2:$G$160,2,FALSE)</f>
        <v>IND002</v>
      </c>
      <c r="C51" s="169" t="str">
        <f>VLOOKUP(B51,'INFORM Severity - hidden'!$C$5:$D$160,2,FALSE)</f>
        <v>India</v>
      </c>
      <c r="D51" s="169" t="str">
        <f>VLOOKUP(A51,Lists!$B$2:$G$160,3,FALSE)</f>
        <v>IND</v>
      </c>
      <c r="E51" s="170" t="str">
        <f>VLOOKUP(A51,Lists!$B$2:$G$160,5,FALSE)</f>
        <v>Conflict</v>
      </c>
      <c r="F51" s="164" t="str">
        <f t="shared" si="0"/>
        <v>x</v>
      </c>
      <c r="G51" s="165" t="str">
        <f t="shared" si="1"/>
        <v>x</v>
      </c>
      <c r="H51" s="165" t="str">
        <f t="shared" si="2"/>
        <v>x</v>
      </c>
      <c r="I51" s="166" t="str">
        <f>INDEX(Trends!$D$3:$D$400,MATCH(B51,Trends!$C$3:$C$400,0))</f>
        <v>-</v>
      </c>
      <c r="J51" s="165" t="str">
        <f>VLOOKUP($B51,Reliability!$A$3:$I$170,9,FALSE)</f>
        <v>Very Low</v>
      </c>
      <c r="K51" s="167">
        <f t="shared" si="3"/>
        <v>3.1</v>
      </c>
      <c r="L51" s="167">
        <f>VLOOKUP($B51,'Impact of the crisis'!$C$6:$N$170,12,FALSE)</f>
        <v>2</v>
      </c>
      <c r="M51" s="167">
        <f>VLOOKUP($B51,'Impact of the crisis'!$C$6:$AB$170,26,FALSE)</f>
        <v>3.5</v>
      </c>
      <c r="N51" s="167" t="str">
        <f>VLOOKUP($B51,'Conditions of people affected'!$C$6:$R$170,16,FALSE)</f>
        <v>x</v>
      </c>
      <c r="O51" s="167" t="str">
        <f>VLOOKUP($B51,'Conditions of people affected'!$C$6:$R$170,9,FALSE)</f>
        <v>x</v>
      </c>
      <c r="P51" s="167" t="str">
        <f>VLOOKUP($B51,'Conditions of people affected'!$C$6:$R$170,15,FALSE)</f>
        <v>x</v>
      </c>
      <c r="Q51" s="167">
        <f t="shared" si="4"/>
        <v>2.5</v>
      </c>
      <c r="R51" s="167">
        <f>VLOOKUP($B51,'Complexity of the crisis'!$C$6:$AN$170,22,FALSE)</f>
        <v>2.9</v>
      </c>
      <c r="S51" s="167">
        <f>VLOOKUP($B51,'Complexity of the crisis'!$C$6:$AN$170,38,FALSE)</f>
        <v>2</v>
      </c>
      <c r="T51" s="171" t="str">
        <f>VLOOKUP(B51,Lists!$C$3:$E$167,3,FALSE)</f>
        <v>Asia</v>
      </c>
      <c r="U51" s="172">
        <v>44132</v>
      </c>
    </row>
    <row r="52" spans="1:21" x14ac:dyDescent="0.3">
      <c r="A52" s="168" t="str" cm="1">
        <f t="array" ref="A52">IFERROR(INDEX(Lists!$B$2:$B$160,SMALL(IF(Lists!$I$2:$I$160="Individual",ROW(Lists!$B$2:$B$160)),ROW(48:48))-1,1),"")</f>
        <v>Cyclone Amphan India</v>
      </c>
      <c r="B52" s="169" t="str">
        <f>VLOOKUP(A52,Lists!$B$2:$G$160,2,FALSE)</f>
        <v>IND003</v>
      </c>
      <c r="C52" s="169" t="str">
        <f>VLOOKUP(B52,'INFORM Severity - hidden'!$C$5:$D$160,2,FALSE)</f>
        <v>India</v>
      </c>
      <c r="D52" s="169" t="str">
        <f>VLOOKUP(A52,Lists!$B$2:$G$160,3,FALSE)</f>
        <v>IND</v>
      </c>
      <c r="E52" s="170" t="str">
        <f>VLOOKUP(A52,Lists!$B$2:$G$160,5,FALSE)</f>
        <v>Tropical cyclone</v>
      </c>
      <c r="F52" s="164">
        <f t="shared" si="0"/>
        <v>2.2999999999999998</v>
      </c>
      <c r="G52" s="165">
        <f t="shared" si="1"/>
        <v>3</v>
      </c>
      <c r="H52" s="165" t="str">
        <f t="shared" si="2"/>
        <v>Medium</v>
      </c>
      <c r="I52" s="166" t="str">
        <f>INDEX(Trends!$D$3:$D$400,MATCH(B52,Trends!$C$3:$C$400,0))</f>
        <v>Stable</v>
      </c>
      <c r="J52" s="165" t="str">
        <f>VLOOKUP($B52,Reliability!$A$3:$I$170,9,FALSE)</f>
        <v>Low</v>
      </c>
      <c r="K52" s="167">
        <f t="shared" si="3"/>
        <v>2.7</v>
      </c>
      <c r="L52" s="167">
        <f>VLOOKUP($B52,'Impact of the crisis'!$C$6:$N$170,12,FALSE)</f>
        <v>2.4</v>
      </c>
      <c r="M52" s="167">
        <f>VLOOKUP($B52,'Impact of the crisis'!$C$6:$AB$170,26,FALSE)</f>
        <v>2.8</v>
      </c>
      <c r="N52" s="167">
        <f>VLOOKUP($B52,'Conditions of people affected'!$C$6:$R$170,16,FALSE)</f>
        <v>2.5</v>
      </c>
      <c r="O52" s="167">
        <f>VLOOKUP($B52,'Conditions of people affected'!$C$6:$R$170,9,FALSE)</f>
        <v>3</v>
      </c>
      <c r="P52" s="167">
        <f>VLOOKUP($B52,'Conditions of people affected'!$C$6:$R$170,15,FALSE)</f>
        <v>2</v>
      </c>
      <c r="Q52" s="167">
        <f t="shared" si="4"/>
        <v>1.7</v>
      </c>
      <c r="R52" s="167">
        <f>VLOOKUP($B52,'Complexity of the crisis'!$C$6:$AN$170,22,FALSE)</f>
        <v>2.9</v>
      </c>
      <c r="S52" s="167">
        <f>VLOOKUP($B52,'Complexity of the crisis'!$C$6:$AN$170,38,FALSE)</f>
        <v>0</v>
      </c>
      <c r="T52" s="171" t="str">
        <f>VLOOKUP(B52,Lists!$C$3:$E$167,3,FALSE)</f>
        <v>Asia</v>
      </c>
      <c r="U52" s="172">
        <v>44132</v>
      </c>
    </row>
    <row r="53" spans="1:21" x14ac:dyDescent="0.3">
      <c r="A53" s="168" t="str" cm="1">
        <f t="array" ref="A53">IFERROR(INDEX(Lists!$B$2:$B$160,SMALL(IF(Lists!$I$2:$I$160="Individual",ROW(Lists!$B$2:$B$160)),ROW(49:49))-1,1),"")</f>
        <v>Floods in India</v>
      </c>
      <c r="B53" s="169" t="str">
        <f>VLOOKUP(A53,Lists!$B$2:$G$160,2,FALSE)</f>
        <v>IND005</v>
      </c>
      <c r="C53" s="169" t="str">
        <f>VLOOKUP(B53,'INFORM Severity - hidden'!$C$5:$D$160,2,FALSE)</f>
        <v>India</v>
      </c>
      <c r="D53" s="169" t="str">
        <f>VLOOKUP(A53,Lists!$B$2:$G$160,3,FALSE)</f>
        <v>IND</v>
      </c>
      <c r="E53" s="170" t="str">
        <f>VLOOKUP(A53,Lists!$B$2:$G$160,5,FALSE)</f>
        <v>Flood</v>
      </c>
      <c r="F53" s="164">
        <f t="shared" si="0"/>
        <v>2.6</v>
      </c>
      <c r="G53" s="165">
        <f t="shared" si="1"/>
        <v>3</v>
      </c>
      <c r="H53" s="165" t="str">
        <f t="shared" si="2"/>
        <v>Medium</v>
      </c>
      <c r="I53" s="166" t="str">
        <f>INDEX(Trends!$D$3:$D$400,MATCH(B53,Trends!$C$3:$C$400,0))</f>
        <v>-</v>
      </c>
      <c r="J53" s="165" t="str">
        <f>VLOOKUP($B53,Reliability!$A$3:$I$170,9,FALSE)</f>
        <v>High</v>
      </c>
      <c r="K53" s="167">
        <f t="shared" si="3"/>
        <v>3.5</v>
      </c>
      <c r="L53" s="167">
        <f>VLOOKUP($B53,'Impact of the crisis'!$C$6:$N$170,12,FALSE)</f>
        <v>4.0999999999999996</v>
      </c>
      <c r="M53" s="167">
        <f>VLOOKUP($B53,'Impact of the crisis'!$C$6:$AB$170,26,FALSE)</f>
        <v>3.1</v>
      </c>
      <c r="N53" s="167">
        <f>VLOOKUP($B53,'Conditions of people affected'!$C$6:$R$170,16,FALSE)</f>
        <v>2.2000000000000002</v>
      </c>
      <c r="O53" s="167">
        <f>VLOOKUP($B53,'Conditions of people affected'!$C$6:$R$170,9,FALSE)</f>
        <v>3.4</v>
      </c>
      <c r="P53" s="167">
        <f>VLOOKUP($B53,'Conditions of people affected'!$C$6:$R$170,15,FALSE)</f>
        <v>1</v>
      </c>
      <c r="Q53" s="167">
        <f t="shared" si="4"/>
        <v>2.5</v>
      </c>
      <c r="R53" s="167">
        <f>VLOOKUP($B53,'Complexity of the crisis'!$C$6:$AN$170,22,FALSE)</f>
        <v>2.9</v>
      </c>
      <c r="S53" s="167">
        <f>VLOOKUP($B53,'Complexity of the crisis'!$C$6:$AN$170,38,FALSE)</f>
        <v>2</v>
      </c>
      <c r="T53" s="171" t="str">
        <f>VLOOKUP(B53,Lists!$C$3:$E$167,3,FALSE)</f>
        <v>Asia</v>
      </c>
      <c r="U53" s="172">
        <v>44132</v>
      </c>
    </row>
    <row r="54" spans="1:21" x14ac:dyDescent="0.3">
      <c r="A54" s="168" t="str" cm="1">
        <f t="array" ref="A54">IFERROR(INDEX(Lists!$B$2:$B$160,SMALL(IF(Lists!$I$2:$I$160="Individual",ROW(Lists!$B$2:$B$160)),ROW(50:50))-1,1),"")</f>
        <v>Regional Kashmir conflict</v>
      </c>
      <c r="B54" s="169" t="str">
        <f>VLOOKUP(A54,Lists!$B$2:$G$160,2,FALSE)</f>
        <v>REG003</v>
      </c>
      <c r="C54" s="169" t="str">
        <f>VLOOKUP(B54,'INFORM Severity - hidden'!$C$5:$D$160,2,FALSE)</f>
        <v>India, Pakistan</v>
      </c>
      <c r="D54" s="169" t="str">
        <f>VLOOKUP(A54,Lists!$B$2:$G$160,3,FALSE)</f>
        <v>IND, PAK</v>
      </c>
      <c r="E54" s="170" t="str">
        <f>VLOOKUP(A54,Lists!$B$2:$G$160,5,FALSE)</f>
        <v>Regional crisis</v>
      </c>
      <c r="F54" s="164" t="str">
        <f t="shared" si="0"/>
        <v>x</v>
      </c>
      <c r="G54" s="165" t="str">
        <f t="shared" si="1"/>
        <v>x</v>
      </c>
      <c r="H54" s="165" t="str">
        <f t="shared" si="2"/>
        <v>x</v>
      </c>
      <c r="I54" s="166" t="str">
        <f>INDEX(Trends!$D$3:$D$400,MATCH(B54,Trends!$C$3:$C$400,0))</f>
        <v>-</v>
      </c>
      <c r="J54" s="165" t="str">
        <f>VLOOKUP($B54,Reliability!$A$3:$I$170,9,FALSE)</f>
        <v>Very Low</v>
      </c>
      <c r="K54" s="167">
        <f t="shared" si="3"/>
        <v>3.5</v>
      </c>
      <c r="L54" s="167">
        <f>VLOOKUP($B54,'Impact of the crisis'!$C$6:$N$170,12,FALSE)</f>
        <v>2.4</v>
      </c>
      <c r="M54" s="167">
        <f>VLOOKUP($B54,'Impact of the crisis'!$C$6:$AB$170,26,FALSE)</f>
        <v>3.9</v>
      </c>
      <c r="N54" s="167" t="str">
        <f>VLOOKUP($B54,'Conditions of people affected'!$C$6:$R$170,16,FALSE)</f>
        <v>x</v>
      </c>
      <c r="O54" s="167" t="str">
        <f>VLOOKUP($B54,'Conditions of people affected'!$C$6:$R$170,9,FALSE)</f>
        <v>x</v>
      </c>
      <c r="P54" s="167" t="str">
        <f>VLOOKUP($B54,'Conditions of people affected'!$C$6:$R$170,15,FALSE)</f>
        <v>x</v>
      </c>
      <c r="Q54" s="167">
        <f t="shared" si="4"/>
        <v>2.8</v>
      </c>
      <c r="R54" s="167">
        <f>VLOOKUP($B54,'Complexity of the crisis'!$C$6:$AN$170,22,FALSE)</f>
        <v>3.1</v>
      </c>
      <c r="S54" s="167">
        <f>VLOOKUP($B54,'Complexity of the crisis'!$C$6:$AN$170,38,FALSE)</f>
        <v>2.5</v>
      </c>
      <c r="T54" s="171" t="str">
        <f>VLOOKUP(B54,Lists!$C$3:$E$167,3,FALSE)</f>
        <v>Asia</v>
      </c>
      <c r="U54" s="172">
        <v>44132</v>
      </c>
    </row>
    <row r="55" spans="1:21" x14ac:dyDescent="0.3">
      <c r="A55" s="168" t="str" cm="1">
        <f t="array" ref="A55">IFERROR(INDEX(Lists!$B$2:$B$160,SMALL(IF(Lists!$I$2:$I$160="Individual",ROW(Lists!$B$2:$B$160)),ROW(51:51))-1,1),"")</f>
        <v>Papua Conflict</v>
      </c>
      <c r="B55" s="169" t="str">
        <f>VLOOKUP(A55,Lists!$B$2:$G$160,2,FALSE)</f>
        <v>IDN002</v>
      </c>
      <c r="C55" s="169" t="str">
        <f>VLOOKUP(B55,'INFORM Severity - hidden'!$C$5:$D$160,2,FALSE)</f>
        <v>Indonesia</v>
      </c>
      <c r="D55" s="169" t="str">
        <f>VLOOKUP(A55,Lists!$B$2:$G$160,3,FALSE)</f>
        <v>IDN</v>
      </c>
      <c r="E55" s="170" t="str">
        <f>VLOOKUP(A55,Lists!$B$2:$G$160,5,FALSE)</f>
        <v>Conflict</v>
      </c>
      <c r="F55" s="164" t="str">
        <f t="shared" si="0"/>
        <v>x</v>
      </c>
      <c r="G55" s="165" t="str">
        <f t="shared" si="1"/>
        <v>x</v>
      </c>
      <c r="H55" s="165" t="str">
        <f t="shared" si="2"/>
        <v>x</v>
      </c>
      <c r="I55" s="166" t="str">
        <f>INDEX(Trends!$D$3:$D$400,MATCH(B55,Trends!$C$3:$C$400,0))</f>
        <v>-</v>
      </c>
      <c r="J55" s="165" t="str">
        <f>VLOOKUP($B55,Reliability!$A$3:$I$170,9,FALSE)</f>
        <v>Low</v>
      </c>
      <c r="K55" s="167">
        <f t="shared" si="3"/>
        <v>2.7</v>
      </c>
      <c r="L55" s="167">
        <f>VLOOKUP($B55,'Impact of the crisis'!$C$6:$N$170,12,FALSE)</f>
        <v>1.9</v>
      </c>
      <c r="M55" s="167">
        <f>VLOOKUP($B55,'Impact of the crisis'!$C$6:$AB$170,26,FALSE)</f>
        <v>3.1</v>
      </c>
      <c r="N55" s="167" t="str">
        <f>VLOOKUP($B55,'Conditions of people affected'!$C$6:$R$170,16,FALSE)</f>
        <v>x</v>
      </c>
      <c r="O55" s="167" t="str">
        <f>VLOOKUP($B55,'Conditions of people affected'!$C$6:$R$170,9,FALSE)</f>
        <v>x</v>
      </c>
      <c r="P55" s="167" t="str">
        <f>VLOOKUP($B55,'Conditions of people affected'!$C$6:$R$170,15,FALSE)</f>
        <v>x</v>
      </c>
      <c r="Q55" s="167">
        <f t="shared" si="4"/>
        <v>2.9</v>
      </c>
      <c r="R55" s="167">
        <f>VLOOKUP($B55,'Complexity of the crisis'!$C$6:$AN$170,22,FALSE)</f>
        <v>2.7</v>
      </c>
      <c r="S55" s="167">
        <f>VLOOKUP($B55,'Complexity of the crisis'!$C$6:$AN$170,38,FALSE)</f>
        <v>3</v>
      </c>
      <c r="T55" s="171" t="str">
        <f>VLOOKUP(B55,Lists!$C$3:$E$167,3,FALSE)</f>
        <v>Asia</v>
      </c>
      <c r="U55" s="172">
        <v>44132</v>
      </c>
    </row>
    <row r="56" spans="1:21" x14ac:dyDescent="0.3">
      <c r="A56" s="168" t="str" cm="1">
        <f t="array" ref="A56">IFERROR(INDEX(Lists!$B$2:$B$160,SMALL(IF(Lists!$I$2:$I$160="Individual",ROW(Lists!$B$2:$B$160)),ROW(52:52))-1,1),"")</f>
        <v>Afghan Refugees in Iran</v>
      </c>
      <c r="B56" s="169" t="str">
        <f>VLOOKUP(A56,Lists!$B$2:$G$160,2,FALSE)</f>
        <v>IRN004</v>
      </c>
      <c r="C56" s="169" t="str">
        <f>VLOOKUP(B56,'INFORM Severity - hidden'!$C$5:$D$160,2,FALSE)</f>
        <v>Iran</v>
      </c>
      <c r="D56" s="169" t="str">
        <f>VLOOKUP(A56,Lists!$B$2:$G$160,3,FALSE)</f>
        <v>IRN</v>
      </c>
      <c r="E56" s="170" t="str">
        <f>VLOOKUP(A56,Lists!$B$2:$G$160,5,FALSE)</f>
        <v>International displacement</v>
      </c>
      <c r="F56" s="164">
        <f t="shared" si="0"/>
        <v>3.4</v>
      </c>
      <c r="G56" s="165">
        <f t="shared" si="1"/>
        <v>4</v>
      </c>
      <c r="H56" s="165" t="str">
        <f t="shared" si="2"/>
        <v>High</v>
      </c>
      <c r="I56" s="166" t="str">
        <f>INDEX(Trends!$D$3:$D$400,MATCH(B56,Trends!$C$3:$C$400,0))</f>
        <v>Stable</v>
      </c>
      <c r="J56" s="165" t="str">
        <f>VLOOKUP($B56,Reliability!$A$3:$I$170,9,FALSE)</f>
        <v>Medium</v>
      </c>
      <c r="K56" s="167">
        <f t="shared" si="3"/>
        <v>2.8</v>
      </c>
      <c r="L56" s="167">
        <f>VLOOKUP($B56,'Impact of the crisis'!$C$6:$N$170,12,FALSE)</f>
        <v>2.7</v>
      </c>
      <c r="M56" s="167">
        <f>VLOOKUP($B56,'Impact of the crisis'!$C$6:$AB$170,26,FALSE)</f>
        <v>2.8</v>
      </c>
      <c r="N56" s="167">
        <f>VLOOKUP($B56,'Conditions of people affected'!$C$6:$R$170,16,FALSE)</f>
        <v>4.05</v>
      </c>
      <c r="O56" s="167">
        <f>VLOOKUP($B56,'Conditions of people affected'!$C$6:$R$170,9,FALSE)</f>
        <v>4.0999999999999996</v>
      </c>
      <c r="P56" s="167">
        <f>VLOOKUP($B56,'Conditions of people affected'!$C$6:$R$170,15,FALSE)</f>
        <v>4</v>
      </c>
      <c r="Q56" s="167">
        <f t="shared" si="4"/>
        <v>2.7</v>
      </c>
      <c r="R56" s="167">
        <f>VLOOKUP($B56,'Complexity of the crisis'!$C$6:$AN$170,22,FALSE)</f>
        <v>2.8</v>
      </c>
      <c r="S56" s="167">
        <f>VLOOKUP($B56,'Complexity of the crisis'!$C$6:$AN$170,38,FALSE)</f>
        <v>2.5</v>
      </c>
      <c r="T56" s="171" t="str">
        <f>VLOOKUP(B56,Lists!$C$3:$E$167,3,FALSE)</f>
        <v>Middle east</v>
      </c>
      <c r="U56" s="172">
        <v>44132</v>
      </c>
    </row>
    <row r="57" spans="1:21" x14ac:dyDescent="0.3">
      <c r="A57" s="168" t="str" cm="1">
        <f t="array" ref="A57">IFERROR(INDEX(Lists!$B$2:$B$160,SMALL(IF(Lists!$I$2:$I$160="Individual",ROW(Lists!$B$2:$B$160)),ROW(53:53))-1,1),"")</f>
        <v>Conflict  in Iraq</v>
      </c>
      <c r="B57" s="169" t="str">
        <f>VLOOKUP(A57,Lists!$B$2:$G$160,2,FALSE)</f>
        <v>IRQ002</v>
      </c>
      <c r="C57" s="169" t="str">
        <f>VLOOKUP(B57,'INFORM Severity - hidden'!$C$5:$D$160,2,FALSE)</f>
        <v>Iraq</v>
      </c>
      <c r="D57" s="169" t="str">
        <f>VLOOKUP(A57,Lists!$B$2:$G$160,3,FALSE)</f>
        <v>IRQ</v>
      </c>
      <c r="E57" s="170" t="str">
        <f>VLOOKUP(A57,Lists!$B$2:$G$160,5,FALSE)</f>
        <v>Conflict</v>
      </c>
      <c r="F57" s="164">
        <f t="shared" si="0"/>
        <v>4</v>
      </c>
      <c r="G57" s="165">
        <f t="shared" si="1"/>
        <v>4</v>
      </c>
      <c r="H57" s="165" t="str">
        <f t="shared" si="2"/>
        <v>High</v>
      </c>
      <c r="I57" s="166" t="str">
        <f>INDEX(Trends!$D$3:$D$400,MATCH(B57,Trends!$C$3:$C$400,0))</f>
        <v>Stable</v>
      </c>
      <c r="J57" s="165" t="str">
        <f>VLOOKUP($B57,Reliability!$A$3:$I$170,9,FALSE)</f>
        <v>High</v>
      </c>
      <c r="K57" s="167">
        <f t="shared" si="3"/>
        <v>4.0999999999999996</v>
      </c>
      <c r="L57" s="167">
        <f>VLOOKUP($B57,'Impact of the crisis'!$C$6:$N$170,12,FALSE)</f>
        <v>3.8</v>
      </c>
      <c r="M57" s="167">
        <f>VLOOKUP($B57,'Impact of the crisis'!$C$6:$AB$170,26,FALSE)</f>
        <v>4.3</v>
      </c>
      <c r="N57" s="167">
        <f>VLOOKUP($B57,'Conditions of people affected'!$C$6:$R$170,16,FALSE)</f>
        <v>4.1500000000000004</v>
      </c>
      <c r="O57" s="167">
        <f>VLOOKUP($B57,'Conditions of people affected'!$C$6:$R$170,9,FALSE)</f>
        <v>4.3</v>
      </c>
      <c r="P57" s="167">
        <f>VLOOKUP($B57,'Conditions of people affected'!$C$6:$R$170,15,FALSE)</f>
        <v>4</v>
      </c>
      <c r="Q57" s="167">
        <f t="shared" si="4"/>
        <v>3.7</v>
      </c>
      <c r="R57" s="167">
        <f>VLOOKUP($B57,'Complexity of the crisis'!$C$6:$AN$170,22,FALSE)</f>
        <v>3.4</v>
      </c>
      <c r="S57" s="167">
        <f>VLOOKUP($B57,'Complexity of the crisis'!$C$6:$AN$170,38,FALSE)</f>
        <v>4</v>
      </c>
      <c r="T57" s="171" t="str">
        <f>VLOOKUP(B57,Lists!$C$3:$E$167,3,FALSE)</f>
        <v>Middle east</v>
      </c>
      <c r="U57" s="172">
        <v>44130</v>
      </c>
    </row>
    <row r="58" spans="1:21" x14ac:dyDescent="0.3">
      <c r="A58" s="168" t="str" cm="1">
        <f t="array" ref="A58">IFERROR(INDEX(Lists!$B$2:$B$160,SMALL(IF(Lists!$I$2:$I$160="Individual",ROW(Lists!$B$2:$B$160)),ROW(54:54))-1,1),"")</f>
        <v>Syrian and Palestinian refugees in iraq</v>
      </c>
      <c r="B58" s="169" t="str">
        <f>VLOOKUP(A58,Lists!$B$2:$G$160,2,FALSE)</f>
        <v>IRQ003</v>
      </c>
      <c r="C58" s="169" t="str">
        <f>VLOOKUP(B58,'INFORM Severity - hidden'!$C$5:$D$160,2,FALSE)</f>
        <v>Iraq</v>
      </c>
      <c r="D58" s="169" t="str">
        <f>VLOOKUP(A58,Lists!$B$2:$G$160,3,FALSE)</f>
        <v>IRQ</v>
      </c>
      <c r="E58" s="170" t="str">
        <f>VLOOKUP(A58,Lists!$B$2:$G$160,5,FALSE)</f>
        <v>International displacement</v>
      </c>
      <c r="F58" s="164">
        <f t="shared" si="0"/>
        <v>2.8</v>
      </c>
      <c r="G58" s="165">
        <f t="shared" si="1"/>
        <v>3</v>
      </c>
      <c r="H58" s="165" t="str">
        <f t="shared" si="2"/>
        <v>Medium</v>
      </c>
      <c r="I58" s="166" t="str">
        <f>INDEX(Trends!$D$3:$D$400,MATCH(B58,Trends!$C$3:$C$400,0))</f>
        <v>Decreasing</v>
      </c>
      <c r="J58" s="165" t="str">
        <f>VLOOKUP($B58,Reliability!$A$3:$I$170,9,FALSE)</f>
        <v>High</v>
      </c>
      <c r="K58" s="167">
        <f t="shared" si="3"/>
        <v>1.8</v>
      </c>
      <c r="L58" s="167">
        <f>VLOOKUP($B58,'Impact of the crisis'!$C$6:$N$170,12,FALSE)</f>
        <v>1.5</v>
      </c>
      <c r="M58" s="167">
        <f>VLOOKUP($B58,'Impact of the crisis'!$C$6:$AB$170,26,FALSE)</f>
        <v>2</v>
      </c>
      <c r="N58" s="167">
        <f>VLOOKUP($B58,'Conditions of people affected'!$C$6:$R$170,16,FALSE)</f>
        <v>2.9</v>
      </c>
      <c r="O58" s="167">
        <f>VLOOKUP($B58,'Conditions of people affected'!$C$6:$R$170,9,FALSE)</f>
        <v>2.8</v>
      </c>
      <c r="P58" s="167">
        <f>VLOOKUP($B58,'Conditions of people affected'!$C$6:$R$170,15,FALSE)</f>
        <v>3</v>
      </c>
      <c r="Q58" s="167">
        <f t="shared" si="4"/>
        <v>3.5</v>
      </c>
      <c r="R58" s="167">
        <f>VLOOKUP($B58,'Complexity of the crisis'!$C$6:$AN$170,22,FALSE)</f>
        <v>3.4</v>
      </c>
      <c r="S58" s="167">
        <f>VLOOKUP($B58,'Complexity of the crisis'!$C$6:$AN$170,38,FALSE)</f>
        <v>3.5</v>
      </c>
      <c r="T58" s="171" t="str">
        <f>VLOOKUP(B58,Lists!$C$3:$E$167,3,FALSE)</f>
        <v>Middle east</v>
      </c>
      <c r="U58" s="172">
        <v>44130</v>
      </c>
    </row>
    <row r="59" spans="1:21" x14ac:dyDescent="0.3">
      <c r="A59" s="168" t="str" cm="1">
        <f t="array" ref="A59">IFERROR(INDEX(Lists!$B$2:$B$160,SMALL(IF(Lists!$I$2:$I$160="Individual",ROW(Lists!$B$2:$B$160)),ROW(55:55))-1,1),"")</f>
        <v>Syrian refugees in Jordan</v>
      </c>
      <c r="B59" s="169" t="str">
        <f>VLOOKUP(A59,Lists!$B$2:$G$160,2,FALSE)</f>
        <v>JOR002</v>
      </c>
      <c r="C59" s="169" t="str">
        <f>VLOOKUP(B59,'INFORM Severity - hidden'!$C$5:$D$160,2,FALSE)</f>
        <v>Jordan</v>
      </c>
      <c r="D59" s="169" t="str">
        <f>VLOOKUP(A59,Lists!$B$2:$G$160,3,FALSE)</f>
        <v>JOR</v>
      </c>
      <c r="E59" s="170" t="str">
        <f>VLOOKUP(A59,Lists!$B$2:$G$160,5,FALSE)</f>
        <v>International displacement</v>
      </c>
      <c r="F59" s="164">
        <f t="shared" si="0"/>
        <v>2.6</v>
      </c>
      <c r="G59" s="165">
        <f t="shared" si="1"/>
        <v>3</v>
      </c>
      <c r="H59" s="165" t="str">
        <f t="shared" si="2"/>
        <v>Medium</v>
      </c>
      <c r="I59" s="166" t="str">
        <f>INDEX(Trends!$D$3:$D$400,MATCH(B59,Trends!$C$3:$C$400,0))</f>
        <v>Increasing</v>
      </c>
      <c r="J59" s="165" t="str">
        <f>VLOOKUP($B59,Reliability!$A$3:$I$170,9,FALSE)</f>
        <v>High</v>
      </c>
      <c r="K59" s="167">
        <f t="shared" si="3"/>
        <v>2.7</v>
      </c>
      <c r="L59" s="167">
        <f>VLOOKUP($B59,'Impact of the crisis'!$C$6:$N$170,12,FALSE)</f>
        <v>3</v>
      </c>
      <c r="M59" s="167">
        <f>VLOOKUP($B59,'Impact of the crisis'!$C$6:$AB$170,26,FALSE)</f>
        <v>2.5</v>
      </c>
      <c r="N59" s="167">
        <f>VLOOKUP($B59,'Conditions of people affected'!$C$6:$R$170,16,FALSE)</f>
        <v>3</v>
      </c>
      <c r="O59" s="167">
        <f>VLOOKUP($B59,'Conditions of people affected'!$C$6:$R$170,9,FALSE)</f>
        <v>3</v>
      </c>
      <c r="P59" s="167">
        <f>VLOOKUP($B59,'Conditions of people affected'!$C$6:$R$170,15,FALSE)</f>
        <v>3</v>
      </c>
      <c r="Q59" s="167">
        <f t="shared" si="4"/>
        <v>1.8</v>
      </c>
      <c r="R59" s="167">
        <f>VLOOKUP($B59,'Complexity of the crisis'!$C$6:$AN$170,22,FALSE)</f>
        <v>2.5</v>
      </c>
      <c r="S59" s="167">
        <f>VLOOKUP($B59,'Complexity of the crisis'!$C$6:$AN$170,38,FALSE)</f>
        <v>1</v>
      </c>
      <c r="T59" s="171" t="str">
        <f>VLOOKUP(B59,Lists!$C$3:$E$167,3,FALSE)</f>
        <v>Middle east</v>
      </c>
      <c r="U59" s="172">
        <v>44102</v>
      </c>
    </row>
    <row r="60" spans="1:21" x14ac:dyDescent="0.3">
      <c r="A60" s="168" t="str" cm="1">
        <f t="array" ref="A60">IFERROR(INDEX(Lists!$B$2:$B$160,SMALL(IF(Lists!$I$2:$I$160="Individual",ROW(Lists!$B$2:$B$160)),ROW(56:56))-1,1),"")</f>
        <v>Refugee situation in Kenya</v>
      </c>
      <c r="B60" s="169" t="str">
        <f>VLOOKUP(A60,Lists!$B$2:$G$160,2,FALSE)</f>
        <v>KEN002</v>
      </c>
      <c r="C60" s="169" t="str">
        <f>VLOOKUP(B60,'INFORM Severity - hidden'!$C$5:$D$160,2,FALSE)</f>
        <v>Kenya</v>
      </c>
      <c r="D60" s="169" t="str">
        <f>VLOOKUP(A60,Lists!$B$2:$G$160,3,FALSE)</f>
        <v>KEN</v>
      </c>
      <c r="E60" s="170" t="str">
        <f>VLOOKUP(A60,Lists!$B$2:$G$160,5,FALSE)</f>
        <v>International displacement</v>
      </c>
      <c r="F60" s="164">
        <f t="shared" si="0"/>
        <v>2.6</v>
      </c>
      <c r="G60" s="165">
        <f t="shared" si="1"/>
        <v>3</v>
      </c>
      <c r="H60" s="165" t="str">
        <f t="shared" si="2"/>
        <v>Medium</v>
      </c>
      <c r="I60" s="166" t="str">
        <f>INDEX(Trends!$D$3:$D$400,MATCH(B60,Trends!$C$3:$C$400,0))</f>
        <v>Decreasing</v>
      </c>
      <c r="J60" s="165" t="str">
        <f>VLOOKUP($B60,Reliability!$A$3:$I$170,9,FALSE)</f>
        <v>Medium</v>
      </c>
      <c r="K60" s="167">
        <f t="shared" si="3"/>
        <v>2.8</v>
      </c>
      <c r="L60" s="167">
        <f>VLOOKUP($B60,'Impact of the crisis'!$C$6:$N$170,12,FALSE)</f>
        <v>1.9</v>
      </c>
      <c r="M60" s="167">
        <f>VLOOKUP($B60,'Impact of the crisis'!$C$6:$AB$170,26,FALSE)</f>
        <v>3.2</v>
      </c>
      <c r="N60" s="167">
        <f>VLOOKUP($B60,'Conditions of people affected'!$C$6:$R$170,16,FALSE)</f>
        <v>2.9</v>
      </c>
      <c r="O60" s="167">
        <f>VLOOKUP($B60,'Conditions of people affected'!$C$6:$R$170,9,FALSE)</f>
        <v>2.8</v>
      </c>
      <c r="P60" s="167">
        <f>VLOOKUP($B60,'Conditions of people affected'!$C$6:$R$170,15,FALSE)</f>
        <v>3</v>
      </c>
      <c r="Q60" s="167">
        <f t="shared" si="4"/>
        <v>2.1</v>
      </c>
      <c r="R60" s="167">
        <f>VLOOKUP($B60,'Complexity of the crisis'!$C$6:$AN$170,22,FALSE)</f>
        <v>3</v>
      </c>
      <c r="S60" s="167">
        <f>VLOOKUP($B60,'Complexity of the crisis'!$C$6:$AN$170,38,FALSE)</f>
        <v>1</v>
      </c>
      <c r="T60" s="171" t="str">
        <f>VLOOKUP(B60,Lists!$C$3:$E$167,3,FALSE)</f>
        <v>Africa</v>
      </c>
      <c r="U60" s="172">
        <v>44014</v>
      </c>
    </row>
    <row r="61" spans="1:21" x14ac:dyDescent="0.3">
      <c r="A61" s="168" t="str" cm="1">
        <f t="array" ref="A61">IFERROR(INDEX(Lists!$B$2:$B$160,SMALL(IF(Lists!$I$2:$I$160="Individual",ROW(Lists!$B$2:$B$160)),ROW(57:57))-1,1),"")</f>
        <v>Drought in Kenya</v>
      </c>
      <c r="B61" s="169" t="str">
        <f>VLOOKUP(A61,Lists!$B$2:$G$160,2,FALSE)</f>
        <v>KEN003</v>
      </c>
      <c r="C61" s="169" t="str">
        <f>VLOOKUP(B61,'INFORM Severity - hidden'!$C$5:$D$160,2,FALSE)</f>
        <v>Kenya</v>
      </c>
      <c r="D61" s="169" t="str">
        <f>VLOOKUP(A61,Lists!$B$2:$G$160,3,FALSE)</f>
        <v>KEN</v>
      </c>
      <c r="E61" s="170" t="str">
        <f>VLOOKUP(A61,Lists!$B$2:$G$160,5,FALSE)</f>
        <v>Drought</v>
      </c>
      <c r="F61" s="164">
        <f t="shared" si="0"/>
        <v>2.8</v>
      </c>
      <c r="G61" s="165">
        <f t="shared" si="1"/>
        <v>3</v>
      </c>
      <c r="H61" s="165" t="str">
        <f t="shared" si="2"/>
        <v>Medium</v>
      </c>
      <c r="I61" s="166" t="str">
        <f>INDEX(Trends!$D$3:$D$400,MATCH(B61,Trends!$C$3:$C$400,0))</f>
        <v>Decreasing</v>
      </c>
      <c r="J61" s="165" t="str">
        <f>VLOOKUP($B61,Reliability!$A$3:$I$170,9,FALSE)</f>
        <v>Low</v>
      </c>
      <c r="K61" s="167">
        <f t="shared" si="3"/>
        <v>3.6</v>
      </c>
      <c r="L61" s="167">
        <f>VLOOKUP($B61,'Impact of the crisis'!$C$6:$N$170,12,FALSE)</f>
        <v>4.9000000000000004</v>
      </c>
      <c r="M61" s="167">
        <f>VLOOKUP($B61,'Impact of the crisis'!$C$6:$AB$170,26,FALSE)</f>
        <v>2.6</v>
      </c>
      <c r="N61" s="167">
        <f>VLOOKUP($B61,'Conditions of people affected'!$C$6:$R$170,16,FALSE)</f>
        <v>2.65</v>
      </c>
      <c r="O61" s="167">
        <f>VLOOKUP($B61,'Conditions of people affected'!$C$6:$R$170,9,FALSE)</f>
        <v>3.3</v>
      </c>
      <c r="P61" s="167">
        <f>VLOOKUP($B61,'Conditions of people affected'!$C$6:$R$170,15,FALSE)</f>
        <v>2</v>
      </c>
      <c r="Q61" s="167">
        <f t="shared" si="4"/>
        <v>2.2999999999999998</v>
      </c>
      <c r="R61" s="167">
        <f>VLOOKUP($B61,'Complexity of the crisis'!$C$6:$AN$170,22,FALSE)</f>
        <v>3</v>
      </c>
      <c r="S61" s="167">
        <f>VLOOKUP($B61,'Complexity of the crisis'!$C$6:$AN$170,38,FALSE)</f>
        <v>1.5</v>
      </c>
      <c r="T61" s="171" t="str">
        <f>VLOOKUP(B61,Lists!$C$3:$E$167,3,FALSE)</f>
        <v>Africa</v>
      </c>
      <c r="U61" s="172">
        <v>44111</v>
      </c>
    </row>
    <row r="62" spans="1:21" x14ac:dyDescent="0.3">
      <c r="A62" s="168" t="str" cm="1">
        <f t="array" ref="A62">IFERROR(INDEX(Lists!$B$2:$B$160,SMALL(IF(Lists!$I$2:$I$160="Individual",ROW(Lists!$B$2:$B$160)),ROW(58:58))-1,1),"")</f>
        <v>Flooding and Landslides in Kenya</v>
      </c>
      <c r="B62" s="169" t="str">
        <f>VLOOKUP(A62,Lists!$B$2:$G$160,2,FALSE)</f>
        <v>KEN005</v>
      </c>
      <c r="C62" s="169" t="str">
        <f>VLOOKUP(B62,'INFORM Severity - hidden'!$C$5:$D$160,2,FALSE)</f>
        <v>Kenya</v>
      </c>
      <c r="D62" s="169" t="str">
        <f>VLOOKUP(A62,Lists!$B$2:$G$160,3,FALSE)</f>
        <v>KEN</v>
      </c>
      <c r="E62" s="170" t="str">
        <f>VLOOKUP(A62,Lists!$B$2:$G$160,5,FALSE)</f>
        <v>Flood</v>
      </c>
      <c r="F62" s="164">
        <f t="shared" si="0"/>
        <v>2.2000000000000002</v>
      </c>
      <c r="G62" s="165">
        <f t="shared" si="1"/>
        <v>3</v>
      </c>
      <c r="H62" s="165" t="str">
        <f t="shared" si="2"/>
        <v>Medium</v>
      </c>
      <c r="I62" s="166" t="str">
        <f>INDEX(Trends!$D$3:$D$400,MATCH(B62,Trends!$C$3:$C$400,0))</f>
        <v>Stable</v>
      </c>
      <c r="J62" s="165" t="str">
        <f>VLOOKUP($B62,Reliability!$A$3:$I$170,9,FALSE)</f>
        <v>Medium</v>
      </c>
      <c r="K62" s="167">
        <f t="shared" si="3"/>
        <v>3.1</v>
      </c>
      <c r="L62" s="167">
        <f>VLOOKUP($B62,'Impact of the crisis'!$C$6:$N$170,12,FALSE)</f>
        <v>4.4000000000000004</v>
      </c>
      <c r="M62" s="167">
        <f>VLOOKUP($B62,'Impact of the crisis'!$C$6:$AB$170,26,FALSE)</f>
        <v>2.2000000000000002</v>
      </c>
      <c r="N62" s="167">
        <f>VLOOKUP($B62,'Conditions of people affected'!$C$6:$R$170,16,FALSE)</f>
        <v>1.4</v>
      </c>
      <c r="O62" s="167">
        <f>VLOOKUP($B62,'Conditions of people affected'!$C$6:$R$170,9,FALSE)</f>
        <v>1.8</v>
      </c>
      <c r="P62" s="167">
        <f>VLOOKUP($B62,'Conditions of people affected'!$C$6:$R$170,15,FALSE)</f>
        <v>1</v>
      </c>
      <c r="Q62" s="167">
        <f t="shared" si="4"/>
        <v>2.5</v>
      </c>
      <c r="R62" s="167">
        <f>VLOOKUP($B62,'Complexity of the crisis'!$C$6:$AN$170,22,FALSE)</f>
        <v>3</v>
      </c>
      <c r="S62" s="167">
        <f>VLOOKUP($B62,'Complexity of the crisis'!$C$6:$AN$170,38,FALSE)</f>
        <v>2</v>
      </c>
      <c r="T62" s="171" t="str">
        <f>VLOOKUP(B62,Lists!$C$3:$E$167,3,FALSE)</f>
        <v>Africa</v>
      </c>
      <c r="U62" s="172">
        <v>44014</v>
      </c>
    </row>
    <row r="63" spans="1:21" x14ac:dyDescent="0.3">
      <c r="A63" s="168" t="str" cm="1">
        <f t="array" ref="A63">IFERROR(INDEX(Lists!$B$2:$B$160,SMALL(IF(Lists!$I$2:$I$160="Individual",ROW(Lists!$B$2:$B$160)),ROW(59:59))-1,1),"")</f>
        <v>Syrian refugees in Lebanon</v>
      </c>
      <c r="B63" s="169" t="str">
        <f>VLOOKUP(A63,Lists!$B$2:$G$160,2,FALSE)</f>
        <v>LBN002</v>
      </c>
      <c r="C63" s="169" t="str">
        <f>VLOOKUP(B63,'INFORM Severity - hidden'!$C$5:$D$160,2,FALSE)</f>
        <v>Lebanon</v>
      </c>
      <c r="D63" s="169" t="str">
        <f>VLOOKUP(A63,Lists!$B$2:$G$160,3,FALSE)</f>
        <v>LBN</v>
      </c>
      <c r="E63" s="170" t="str">
        <f>VLOOKUP(A63,Lists!$B$2:$G$160,5,FALSE)</f>
        <v>International displacement</v>
      </c>
      <c r="F63" s="164">
        <f t="shared" si="0"/>
        <v>3.2</v>
      </c>
      <c r="G63" s="165">
        <f t="shared" si="1"/>
        <v>4</v>
      </c>
      <c r="H63" s="165" t="str">
        <f t="shared" si="2"/>
        <v>High</v>
      </c>
      <c r="I63" s="166" t="str">
        <f>INDEX(Trends!$D$3:$D$400,MATCH(B63,Trends!$C$3:$C$400,0))</f>
        <v>Increasing</v>
      </c>
      <c r="J63" s="165" t="str">
        <f>VLOOKUP($B63,Reliability!$A$3:$I$170,9,FALSE)</f>
        <v>High</v>
      </c>
      <c r="K63" s="167">
        <f t="shared" si="3"/>
        <v>3.2</v>
      </c>
      <c r="L63" s="167">
        <f>VLOOKUP($B63,'Impact of the crisis'!$C$6:$N$170,12,FALSE)</f>
        <v>3.6</v>
      </c>
      <c r="M63" s="167">
        <f>VLOOKUP($B63,'Impact of the crisis'!$C$6:$AB$170,26,FALSE)</f>
        <v>3</v>
      </c>
      <c r="N63" s="167">
        <f>VLOOKUP($B63,'Conditions of people affected'!$C$6:$R$170,16,FALSE)</f>
        <v>3.5</v>
      </c>
      <c r="O63" s="167">
        <f>VLOOKUP($B63,'Conditions of people affected'!$C$6:$R$170,9,FALSE)</f>
        <v>3</v>
      </c>
      <c r="P63" s="167">
        <f>VLOOKUP($B63,'Conditions of people affected'!$C$6:$R$170,15,FALSE)</f>
        <v>4</v>
      </c>
      <c r="Q63" s="167">
        <f t="shared" si="4"/>
        <v>2.7</v>
      </c>
      <c r="R63" s="167">
        <f>VLOOKUP($B63,'Complexity of the crisis'!$C$6:$AN$170,22,FALSE)</f>
        <v>2.8</v>
      </c>
      <c r="S63" s="167">
        <f>VLOOKUP($B63,'Complexity of the crisis'!$C$6:$AN$170,38,FALSE)</f>
        <v>2.5</v>
      </c>
      <c r="T63" s="171" t="str">
        <f>VLOOKUP(B63,Lists!$C$3:$E$167,3,FALSE)</f>
        <v>Middle east</v>
      </c>
      <c r="U63" s="172">
        <v>44132</v>
      </c>
    </row>
    <row r="64" spans="1:21" x14ac:dyDescent="0.3">
      <c r="A64" s="168" t="str" cm="1">
        <f t="array" ref="A64">IFERROR(INDEX(Lists!$B$2:$B$160,SMALL(IF(Lists!$I$2:$I$160="Individual",ROW(Lists!$B$2:$B$160)),ROW(60:60))-1,1),"")</f>
        <v>Socioeconomic crisis in Lebanon</v>
      </c>
      <c r="B64" s="169" t="str">
        <f>VLOOKUP(A64,Lists!$B$2:$G$160,2,FALSE)</f>
        <v>LBN004</v>
      </c>
      <c r="C64" s="169" t="str">
        <f>VLOOKUP(B64,'INFORM Severity - hidden'!$C$5:$D$160,2,FALSE)</f>
        <v>Lebanon</v>
      </c>
      <c r="D64" s="169" t="str">
        <f>VLOOKUP(A64,Lists!$B$2:$G$160,3,FALSE)</f>
        <v>LBN</v>
      </c>
      <c r="E64" s="170" t="str">
        <f>VLOOKUP(A64,Lists!$B$2:$G$160,5,FALSE)</f>
        <v>Political and economic crisis</v>
      </c>
      <c r="F64" s="164">
        <f t="shared" si="0"/>
        <v>3.5</v>
      </c>
      <c r="G64" s="165">
        <f t="shared" si="1"/>
        <v>4</v>
      </c>
      <c r="H64" s="165" t="str">
        <f t="shared" si="2"/>
        <v>High</v>
      </c>
      <c r="I64" s="166" t="str">
        <f>INDEX(Trends!$D$3:$D$400,MATCH(B64,Trends!$C$3:$C$400,0))</f>
        <v>Increasing</v>
      </c>
      <c r="J64" s="165" t="str">
        <f>VLOOKUP($B64,Reliability!$A$3:$I$170,9,FALSE)</f>
        <v>Medium</v>
      </c>
      <c r="K64" s="167">
        <f t="shared" si="3"/>
        <v>2.6</v>
      </c>
      <c r="L64" s="167">
        <f>VLOOKUP($B64,'Impact of the crisis'!$C$6:$N$170,12,FALSE)</f>
        <v>3.6</v>
      </c>
      <c r="M64" s="167">
        <f>VLOOKUP($B64,'Impact of the crisis'!$C$6:$AB$170,26,FALSE)</f>
        <v>2</v>
      </c>
      <c r="N64" s="167">
        <f>VLOOKUP($B64,'Conditions of people affected'!$C$6:$R$170,16,FALSE)</f>
        <v>4.1500000000000004</v>
      </c>
      <c r="O64" s="167">
        <f>VLOOKUP($B64,'Conditions of people affected'!$C$6:$R$170,9,FALSE)</f>
        <v>4.3</v>
      </c>
      <c r="P64" s="167">
        <f>VLOOKUP($B64,'Conditions of people affected'!$C$6:$R$170,15,FALSE)</f>
        <v>4</v>
      </c>
      <c r="Q64" s="167">
        <f t="shared" si="4"/>
        <v>2.9</v>
      </c>
      <c r="R64" s="167">
        <f>VLOOKUP($B64,'Complexity of the crisis'!$C$6:$AN$170,22,FALSE)</f>
        <v>2.8</v>
      </c>
      <c r="S64" s="167">
        <f>VLOOKUP($B64,'Complexity of the crisis'!$C$6:$AN$170,38,FALSE)</f>
        <v>3</v>
      </c>
      <c r="T64" s="171" t="str">
        <f>VLOOKUP(B64,Lists!$C$3:$E$167,3,FALSE)</f>
        <v>Middle east</v>
      </c>
      <c r="U64" s="172">
        <v>44132</v>
      </c>
    </row>
    <row r="65" spans="1:21" x14ac:dyDescent="0.3">
      <c r="A65" s="168" t="str" cm="1">
        <f t="array" ref="A65">IFERROR(INDEX(Lists!$B$2:$B$160,SMALL(IF(Lists!$I$2:$I$160="Individual",ROW(Lists!$B$2:$B$160)),ROW(61:61))-1,1),"")</f>
        <v>Explosion in Beirut</v>
      </c>
      <c r="B65" s="169" t="str">
        <f>VLOOKUP(A65,Lists!$B$2:$G$160,2,FALSE)</f>
        <v>LBN005</v>
      </c>
      <c r="C65" s="169" t="str">
        <f>VLOOKUP(B65,'INFORM Severity - hidden'!$C$5:$D$160,2,FALSE)</f>
        <v>Lebanon</v>
      </c>
      <c r="D65" s="169" t="str">
        <f>VLOOKUP(A65,Lists!$B$2:$G$160,3,FALSE)</f>
        <v>LBN</v>
      </c>
      <c r="E65" s="170" t="str">
        <f>VLOOKUP(A65,Lists!$B$2:$G$160,5,FALSE)</f>
        <v>Industrial Accidents</v>
      </c>
      <c r="F65" s="164">
        <f t="shared" si="0"/>
        <v>3.2</v>
      </c>
      <c r="G65" s="165">
        <f t="shared" si="1"/>
        <v>4</v>
      </c>
      <c r="H65" s="165" t="str">
        <f t="shared" si="2"/>
        <v>High</v>
      </c>
      <c r="I65" s="166" t="str">
        <f>INDEX(Trends!$D$3:$D$400,MATCH(B65,Trends!$C$3:$C$400,0))</f>
        <v>-</v>
      </c>
      <c r="J65" s="165" t="str">
        <f>VLOOKUP($B65,Reliability!$A$3:$I$170,9,FALSE)</f>
        <v>High</v>
      </c>
      <c r="K65" s="167">
        <f t="shared" si="3"/>
        <v>3.3</v>
      </c>
      <c r="L65" s="167">
        <f>VLOOKUP($B65,'Impact of the crisis'!$C$6:$N$170,12,FALSE)</f>
        <v>1</v>
      </c>
      <c r="M65" s="167">
        <f>VLOOKUP($B65,'Impact of the crisis'!$C$6:$AB$170,26,FALSE)</f>
        <v>4</v>
      </c>
      <c r="N65" s="167">
        <f>VLOOKUP($B65,'Conditions of people affected'!$C$6:$R$170,16,FALSE)</f>
        <v>3.15</v>
      </c>
      <c r="O65" s="167">
        <f>VLOOKUP($B65,'Conditions of people affected'!$C$6:$R$170,9,FALSE)</f>
        <v>3.3</v>
      </c>
      <c r="P65" s="167">
        <f>VLOOKUP($B65,'Conditions of people affected'!$C$6:$R$170,15,FALSE)</f>
        <v>3</v>
      </c>
      <c r="Q65" s="167">
        <f t="shared" si="4"/>
        <v>3.2</v>
      </c>
      <c r="R65" s="167">
        <f>VLOOKUP($B65,'Complexity of the crisis'!$C$6:$AN$170,22,FALSE)</f>
        <v>2.8</v>
      </c>
      <c r="S65" s="167">
        <f>VLOOKUP($B65,'Complexity of the crisis'!$C$6:$AN$170,38,FALSE)</f>
        <v>3.5</v>
      </c>
      <c r="T65" s="171" t="str">
        <f>VLOOKUP(B65,Lists!$C$3:$E$167,3,FALSE)</f>
        <v>Middle east</v>
      </c>
      <c r="U65" s="172">
        <v>44132</v>
      </c>
    </row>
    <row r="66" spans="1:21" x14ac:dyDescent="0.3">
      <c r="A66" s="168" t="str" cm="1">
        <f t="array" ref="A66">IFERROR(INDEX(Lists!$B$2:$B$160,SMALL(IF(Lists!$I$2:$I$160="Individual",ROW(Lists!$B$2:$B$160)),ROW(62:62))-1,1),"")</f>
        <v>Drought in Lesotho</v>
      </c>
      <c r="B66" s="169" t="str">
        <f>VLOOKUP(A66,Lists!$B$2:$G$160,2,FALSE)</f>
        <v>LSO002</v>
      </c>
      <c r="C66" s="169" t="str">
        <f>VLOOKUP(B66,'INFORM Severity - hidden'!$C$5:$D$160,2,FALSE)</f>
        <v>Lesotho</v>
      </c>
      <c r="D66" s="169" t="str">
        <f>VLOOKUP(A66,Lists!$B$2:$G$160,3,FALSE)</f>
        <v>LSO</v>
      </c>
      <c r="E66" s="170" t="str">
        <f>VLOOKUP(A66,Lists!$B$2:$G$160,5,FALSE)</f>
        <v>Drought</v>
      </c>
      <c r="F66" s="164">
        <f t="shared" si="0"/>
        <v>2.5</v>
      </c>
      <c r="G66" s="165">
        <f t="shared" si="1"/>
        <v>3</v>
      </c>
      <c r="H66" s="165" t="str">
        <f t="shared" si="2"/>
        <v>Medium</v>
      </c>
      <c r="I66" s="166" t="str">
        <f>INDEX(Trends!$D$3:$D$400,MATCH(B66,Trends!$C$3:$C$400,0))</f>
        <v>Decreasing</v>
      </c>
      <c r="J66" s="165" t="str">
        <f>VLOOKUP($B66,Reliability!$A$3:$I$170,9,FALSE)</f>
        <v>High</v>
      </c>
      <c r="K66" s="167">
        <f t="shared" si="3"/>
        <v>2.2000000000000002</v>
      </c>
      <c r="L66" s="167">
        <f>VLOOKUP($B66,'Impact of the crisis'!$C$6:$N$170,12,FALSE)</f>
        <v>3</v>
      </c>
      <c r="M66" s="167">
        <f>VLOOKUP($B66,'Impact of the crisis'!$C$6:$AB$170,26,FALSE)</f>
        <v>1.8</v>
      </c>
      <c r="N66" s="167">
        <f>VLOOKUP($B66,'Conditions of people affected'!$C$6:$R$170,16,FALSE)</f>
        <v>3.45</v>
      </c>
      <c r="O66" s="167">
        <f>VLOOKUP($B66,'Conditions of people affected'!$C$6:$R$170,9,FALSE)</f>
        <v>2.9</v>
      </c>
      <c r="P66" s="167">
        <f>VLOOKUP($B66,'Conditions of people affected'!$C$6:$R$170,15,FALSE)</f>
        <v>4</v>
      </c>
      <c r="Q66" s="167">
        <f t="shared" si="4"/>
        <v>1</v>
      </c>
      <c r="R66" s="167">
        <f>VLOOKUP($B66,'Complexity of the crisis'!$C$6:$AN$170,22,FALSE)</f>
        <v>1.4</v>
      </c>
      <c r="S66" s="167">
        <f>VLOOKUP($B66,'Complexity of the crisis'!$C$6:$AN$170,38,FALSE)</f>
        <v>0.5</v>
      </c>
      <c r="T66" s="171" t="str">
        <f>VLOOKUP(B66,Lists!$C$3:$E$167,3,FALSE)</f>
        <v>Africa</v>
      </c>
      <c r="U66" s="172">
        <v>44134</v>
      </c>
    </row>
    <row r="67" spans="1:21" x14ac:dyDescent="0.3">
      <c r="A67" s="168" t="str" cm="1">
        <f t="array" ref="A67">IFERROR(INDEX(Lists!$B$2:$B$160,SMALL(IF(Lists!$I$2:$I$160="Individual",ROW(Lists!$B$2:$B$160)),ROW(63:63))-1,1),"")</f>
        <v>Southern Africa Regional Food Security Crisis</v>
      </c>
      <c r="B67" s="169" t="str">
        <f>VLOOKUP(A67,Lists!$B$2:$G$160,2,FALSE)</f>
        <v>REG012</v>
      </c>
      <c r="C67" s="169" t="str">
        <f>VLOOKUP(B67,'INFORM Severity - hidden'!$C$5:$D$160,2,FALSE)</f>
        <v>Lesotho,Madagascar,Malawi,Mozambique,Namibia,Eswatini,Tanzania,Zambia,Zimbabwe</v>
      </c>
      <c r="D67" s="169" t="str">
        <f>VLOOKUP(A67,Lists!$B$2:$G$160,3,FALSE)</f>
        <v>LSO, MDG, MWI, MOZ, NAM, SWZ, TZA, ZMB, ZWE</v>
      </c>
      <c r="E67" s="170" t="str">
        <f>VLOOKUP(A67,Lists!$B$2:$G$160,5,FALSE)</f>
        <v>Regional crisis</v>
      </c>
      <c r="F67" s="164">
        <f t="shared" si="0"/>
        <v>3.5</v>
      </c>
      <c r="G67" s="165">
        <f t="shared" si="1"/>
        <v>4</v>
      </c>
      <c r="H67" s="165" t="str">
        <f t="shared" si="2"/>
        <v>High</v>
      </c>
      <c r="I67" s="166" t="str">
        <f>INDEX(Trends!$D$3:$D$400,MATCH(B67,Trends!$C$3:$C$400,0))</f>
        <v>Stable</v>
      </c>
      <c r="J67" s="165" t="str">
        <f>VLOOKUP($B67,Reliability!$A$3:$I$170,9,FALSE)</f>
        <v>Very High</v>
      </c>
      <c r="K67" s="167">
        <f t="shared" si="3"/>
        <v>3</v>
      </c>
      <c r="L67" s="167">
        <f>VLOOKUP($B67,'Impact of the crisis'!$C$6:$N$170,12,FALSE)</f>
        <v>3.6</v>
      </c>
      <c r="M67" s="167">
        <f>VLOOKUP($B67,'Impact of the crisis'!$C$6:$AB$170,26,FALSE)</f>
        <v>2.7</v>
      </c>
      <c r="N67" s="167">
        <f>VLOOKUP($B67,'Conditions of people affected'!$C$6:$R$170,16,FALSE)</f>
        <v>4</v>
      </c>
      <c r="O67" s="167">
        <f>VLOOKUP($B67,'Conditions of people affected'!$C$6:$R$170,9,FALSE)</f>
        <v>5</v>
      </c>
      <c r="P67" s="167">
        <f>VLOOKUP($B67,'Conditions of people affected'!$C$6:$R$170,15,FALSE)</f>
        <v>3</v>
      </c>
      <c r="Q67" s="167">
        <f t="shared" si="4"/>
        <v>2.9</v>
      </c>
      <c r="R67" s="167">
        <f>VLOOKUP($B67,'Complexity of the crisis'!$C$6:$AN$170,22,FALSE)</f>
        <v>2.7</v>
      </c>
      <c r="S67" s="167">
        <f>VLOOKUP($B67,'Complexity of the crisis'!$C$6:$AN$170,38,FALSE)</f>
        <v>3</v>
      </c>
      <c r="T67" s="171" t="str">
        <f>VLOOKUP(B67,Lists!$C$3:$E$167,3,FALSE)</f>
        <v>Africa</v>
      </c>
      <c r="U67" s="172">
        <v>44136</v>
      </c>
    </row>
    <row r="68" spans="1:21" x14ac:dyDescent="0.3">
      <c r="A68" s="168" t="str" cm="1">
        <f t="array" ref="A68">IFERROR(INDEX(Lists!$B$2:$B$160,SMALL(IF(Lists!$I$2:$I$160="Individual",ROW(Lists!$B$2:$B$160)),ROW(64:64))-1,1),"")</f>
        <v>Mixed migration flows in Libya</v>
      </c>
      <c r="B68" s="169" t="str">
        <f>VLOOKUP(A68,Lists!$B$2:$G$160,2,FALSE)</f>
        <v>LBY002</v>
      </c>
      <c r="C68" s="169" t="str">
        <f>VLOOKUP(B68,'INFORM Severity - hidden'!$C$5:$D$160,2,FALSE)</f>
        <v>Libya</v>
      </c>
      <c r="D68" s="169" t="str">
        <f>VLOOKUP(A68,Lists!$B$2:$G$160,3,FALSE)</f>
        <v>LBY</v>
      </c>
      <c r="E68" s="170" t="str">
        <f>VLOOKUP(A68,Lists!$B$2:$G$160,5,FALSE)</f>
        <v>International displacement</v>
      </c>
      <c r="F68" s="164">
        <f t="shared" si="0"/>
        <v>3</v>
      </c>
      <c r="G68" s="165">
        <f t="shared" si="1"/>
        <v>3</v>
      </c>
      <c r="H68" s="165" t="str">
        <f t="shared" si="2"/>
        <v>Medium</v>
      </c>
      <c r="I68" s="166" t="str">
        <f>INDEX(Trends!$D$3:$D$400,MATCH(B68,Trends!$C$3:$C$400,0))</f>
        <v>Stable</v>
      </c>
      <c r="J68" s="165" t="str">
        <f>VLOOKUP($B68,Reliability!$A$3:$I$170,9,FALSE)</f>
        <v>Very High</v>
      </c>
      <c r="K68" s="167">
        <f t="shared" si="3"/>
        <v>3.7</v>
      </c>
      <c r="L68" s="167">
        <f>VLOOKUP($B68,'Impact of the crisis'!$C$6:$N$170,12,FALSE)</f>
        <v>4.5</v>
      </c>
      <c r="M68" s="167">
        <f>VLOOKUP($B68,'Impact of the crisis'!$C$6:$AB$170,26,FALSE)</f>
        <v>3.2</v>
      </c>
      <c r="N68" s="167">
        <f>VLOOKUP($B68,'Conditions of people affected'!$C$6:$R$170,16,FALSE)</f>
        <v>2.25</v>
      </c>
      <c r="O68" s="167">
        <f>VLOOKUP($B68,'Conditions of people affected'!$C$6:$R$170,9,FALSE)</f>
        <v>2.5</v>
      </c>
      <c r="P68" s="167">
        <f>VLOOKUP($B68,'Conditions of people affected'!$C$6:$R$170,15,FALSE)</f>
        <v>2</v>
      </c>
      <c r="Q68" s="167">
        <f t="shared" si="4"/>
        <v>3.3</v>
      </c>
      <c r="R68" s="167">
        <f>VLOOKUP($B68,'Complexity of the crisis'!$C$6:$AN$170,22,FALSE)</f>
        <v>3.6</v>
      </c>
      <c r="S68" s="167">
        <f>VLOOKUP($B68,'Complexity of the crisis'!$C$6:$AN$170,38,FALSE)</f>
        <v>3</v>
      </c>
      <c r="T68" s="171" t="str">
        <f>VLOOKUP(B68,Lists!$C$3:$E$167,3,FALSE)</f>
        <v>Africa</v>
      </c>
      <c r="U68" s="172">
        <v>44130</v>
      </c>
    </row>
    <row r="69" spans="1:21" x14ac:dyDescent="0.3">
      <c r="A69" s="168" t="str" cm="1">
        <f t="array" ref="A69">IFERROR(INDEX(Lists!$B$2:$B$160,SMALL(IF(Lists!$I$2:$I$160="Individual",ROW(Lists!$B$2:$B$160)),ROW(65:65))-1,1),"")</f>
        <v>Drought in Madagascar</v>
      </c>
      <c r="B69" s="169" t="str">
        <f>VLOOKUP(A69,Lists!$B$2:$G$160,2,FALSE)</f>
        <v>MDG002</v>
      </c>
      <c r="C69" s="169" t="str">
        <f>VLOOKUP(B69,'INFORM Severity - hidden'!$C$5:$D$160,2,FALSE)</f>
        <v>Madagascar</v>
      </c>
      <c r="D69" s="169" t="str">
        <f>VLOOKUP(A69,Lists!$B$2:$G$160,3,FALSE)</f>
        <v>MDG</v>
      </c>
      <c r="E69" s="170" t="str">
        <f>VLOOKUP(A69,Lists!$B$2:$G$160,5,FALSE)</f>
        <v>Drought</v>
      </c>
      <c r="F69" s="164">
        <f t="shared" si="0"/>
        <v>2.5</v>
      </c>
      <c r="G69" s="165">
        <f t="shared" si="1"/>
        <v>3</v>
      </c>
      <c r="H69" s="165" t="str">
        <f t="shared" si="2"/>
        <v>Medium</v>
      </c>
      <c r="I69" s="166" t="str">
        <f>INDEX(Trends!$D$3:$D$400,MATCH(B69,Trends!$C$3:$C$400,0))</f>
        <v>Stable</v>
      </c>
      <c r="J69" s="165" t="str">
        <f>VLOOKUP($B69,Reliability!$A$3:$I$170,9,FALSE)</f>
        <v>Medium</v>
      </c>
      <c r="K69" s="167">
        <f t="shared" si="3"/>
        <v>2.7</v>
      </c>
      <c r="L69" s="167">
        <f>VLOOKUP($B69,'Impact of the crisis'!$C$6:$N$170,12,FALSE)</f>
        <v>1.7</v>
      </c>
      <c r="M69" s="167">
        <f>VLOOKUP($B69,'Impact of the crisis'!$C$6:$AB$170,26,FALSE)</f>
        <v>3.15</v>
      </c>
      <c r="N69" s="167">
        <f>VLOOKUP($B69,'Conditions of people affected'!$C$6:$R$170,16,FALSE)</f>
        <v>2.95</v>
      </c>
      <c r="O69" s="167">
        <f>VLOOKUP($B69,'Conditions of people affected'!$C$6:$R$170,9,FALSE)</f>
        <v>2.9</v>
      </c>
      <c r="P69" s="167">
        <f>VLOOKUP($B69,'Conditions of people affected'!$C$6:$R$170,15,FALSE)</f>
        <v>3</v>
      </c>
      <c r="Q69" s="167">
        <f t="shared" si="4"/>
        <v>1.5</v>
      </c>
      <c r="R69" s="167">
        <f>VLOOKUP($B69,'Complexity of the crisis'!$C$6:$AN$170,22,FALSE)</f>
        <v>2.4</v>
      </c>
      <c r="S69" s="167">
        <f>VLOOKUP($B69,'Complexity of the crisis'!$C$6:$AN$170,38,FALSE)</f>
        <v>0.5</v>
      </c>
      <c r="T69" s="171" t="str">
        <f>VLOOKUP(B69,Lists!$C$3:$E$167,3,FALSE)</f>
        <v>Africa</v>
      </c>
      <c r="U69" s="172">
        <v>44134</v>
      </c>
    </row>
    <row r="70" spans="1:21" x14ac:dyDescent="0.3">
      <c r="A70" s="168" t="str" cm="1">
        <f t="array" ref="A70">IFERROR(INDEX(Lists!$B$2:$B$160,SMALL(IF(Lists!$I$2:$I$160="Individual",ROW(Lists!$B$2:$B$160)),ROW(66:66))-1,1),"")</f>
        <v>Floods in Madagascar</v>
      </c>
      <c r="B70" s="169" t="str">
        <f>VLOOKUP(A70,Lists!$B$2:$G$160,2,FALSE)</f>
        <v>MDG004</v>
      </c>
      <c r="C70" s="169" t="str">
        <f>VLOOKUP(B70,'INFORM Severity - hidden'!$C$5:$D$160,2,FALSE)</f>
        <v>Madagascar</v>
      </c>
      <c r="D70" s="169" t="str">
        <f>VLOOKUP(A70,Lists!$B$2:$G$160,3,FALSE)</f>
        <v>MDG</v>
      </c>
      <c r="E70" s="170" t="str">
        <f>VLOOKUP(A70,Lists!$B$2:$G$160,5,FALSE)</f>
        <v>Flood</v>
      </c>
      <c r="F70" s="164">
        <f t="shared" ref="F70:F133" si="5">IF(OR(N70="x",K70="x"),"x",ROUND((5-GEOMEAN(((5-K70)/5*4+1),((5-N70)/5*4+1),((5-N70)/5*4+1)))/4*3.5+Q70*0.3,1))</f>
        <v>1.3</v>
      </c>
      <c r="G70" s="165">
        <f t="shared" ref="G70:G133" si="6">IF(F70="x","x",ROUNDUP(F70,0))</f>
        <v>2</v>
      </c>
      <c r="H70" s="165" t="str">
        <f t="shared" ref="H70:H133" si="7">IF(N70="x","x",IF(K70="x","x",(IF(G70=5,"Very High",IF(G70=4,"High",IF(G70=3,"Medium",IF(G70=2,"Low","Very Low")))))))</f>
        <v>Low</v>
      </c>
      <c r="I70" s="166" t="str">
        <f>INDEX(Trends!$D$3:$D$400,MATCH(B70,Trends!$C$3:$C$400,0))</f>
        <v>Stable</v>
      </c>
      <c r="J70" s="165" t="str">
        <f>VLOOKUP($B70,Reliability!$A$3:$I$170,9,FALSE)</f>
        <v>High</v>
      </c>
      <c r="K70" s="167">
        <f t="shared" ref="K70:K133" si="8">IF(OR(M70="x",L70="x"),"x",ROUND((5-GEOMEAN(((5-L70)/5*4+1),((5-M70)/5*4+1),((5-M70)/5*4+1)))/4*5,1))</f>
        <v>2.2000000000000002</v>
      </c>
      <c r="L70" s="167">
        <f>VLOOKUP($B70,'Impact of the crisis'!$C$6:$N$170,12,FALSE)</f>
        <v>1.7</v>
      </c>
      <c r="M70" s="167">
        <f>VLOOKUP($B70,'Impact of the crisis'!$C$6:$AB$170,26,FALSE)</f>
        <v>2.4</v>
      </c>
      <c r="N70" s="167">
        <f>VLOOKUP($B70,'Conditions of people affected'!$C$6:$R$170,16,FALSE)</f>
        <v>0.5</v>
      </c>
      <c r="O70" s="167">
        <f>VLOOKUP($B70,'Conditions of people affected'!$C$6:$R$170,9,FALSE)</f>
        <v>0</v>
      </c>
      <c r="P70" s="167">
        <f>VLOOKUP($B70,'Conditions of people affected'!$C$6:$R$170,15,FALSE)</f>
        <v>1</v>
      </c>
      <c r="Q70" s="167">
        <f t="shared" ref="Q70:Q133" si="9">IF(OR(S70="x",R70="x"),R70,ROUND((5-GEOMEAN(((5-R70)/5*4+1),((5-S70)/5*4+1)))/4*5,1))</f>
        <v>1.8</v>
      </c>
      <c r="R70" s="167">
        <f>VLOOKUP($B70,'Complexity of the crisis'!$C$6:$AN$170,22,FALSE)</f>
        <v>2.4</v>
      </c>
      <c r="S70" s="167">
        <f>VLOOKUP($B70,'Complexity of the crisis'!$C$6:$AN$170,38,FALSE)</f>
        <v>1</v>
      </c>
      <c r="T70" s="171" t="str">
        <f>VLOOKUP(B70,Lists!$C$3:$E$167,3,FALSE)</f>
        <v>Africa</v>
      </c>
      <c r="U70" s="172">
        <v>44134</v>
      </c>
    </row>
    <row r="71" spans="1:21" x14ac:dyDescent="0.3">
      <c r="A71" s="168" t="str" cm="1">
        <f t="array" ref="A71">IFERROR(INDEX(Lists!$B$2:$B$160,SMALL(IF(Lists!$I$2:$I$160="Individual",ROW(Lists!$B$2:$B$160)),ROW(67:67))-1,1),"")</f>
        <v>Complex Country Crisis in Madagascar</v>
      </c>
      <c r="B71" s="169" t="str">
        <f>VLOOKUP(A71,Lists!$B$2:$G$160,2,FALSE)</f>
        <v>MDG005</v>
      </c>
      <c r="C71" s="169" t="str">
        <f>VLOOKUP(B71,'INFORM Severity - hidden'!$C$5:$D$160,2,FALSE)</f>
        <v>Madagascar</v>
      </c>
      <c r="D71" s="169" t="str">
        <f>VLOOKUP(A71,Lists!$B$2:$G$160,3,FALSE)</f>
        <v>MDG</v>
      </c>
      <c r="E71" s="170" t="str">
        <f>VLOOKUP(A71,Lists!$B$2:$G$160,5,FALSE)</f>
        <v>Complex crisis</v>
      </c>
      <c r="F71" s="164">
        <f t="shared" si="5"/>
        <v>2.6</v>
      </c>
      <c r="G71" s="165">
        <f t="shared" si="6"/>
        <v>3</v>
      </c>
      <c r="H71" s="165" t="str">
        <f t="shared" si="7"/>
        <v>Medium</v>
      </c>
      <c r="I71" s="166" t="str">
        <f>INDEX(Trends!$D$3:$D$400,MATCH(B71,Trends!$C$3:$C$400,0))</f>
        <v>Stable</v>
      </c>
      <c r="J71" s="165" t="str">
        <f>VLOOKUP($B71,Reliability!$A$3:$I$170,9,FALSE)</f>
        <v>High</v>
      </c>
      <c r="K71" s="167">
        <f t="shared" si="8"/>
        <v>2.2999999999999998</v>
      </c>
      <c r="L71" s="167">
        <f>VLOOKUP($B71,'Impact of the crisis'!$C$6:$N$170,12,FALSE)</f>
        <v>1.9</v>
      </c>
      <c r="M71" s="167">
        <f>VLOOKUP($B71,'Impact of the crisis'!$C$6:$AB$170,26,FALSE)</f>
        <v>2.5</v>
      </c>
      <c r="N71" s="167">
        <f>VLOOKUP($B71,'Conditions of people affected'!$C$6:$R$170,16,FALSE)</f>
        <v>3.05</v>
      </c>
      <c r="O71" s="167">
        <f>VLOOKUP($B71,'Conditions of people affected'!$C$6:$R$170,9,FALSE)</f>
        <v>3.1</v>
      </c>
      <c r="P71" s="167">
        <f>VLOOKUP($B71,'Conditions of people affected'!$C$6:$R$170,15,FALSE)</f>
        <v>3</v>
      </c>
      <c r="Q71" s="167">
        <f t="shared" si="9"/>
        <v>2</v>
      </c>
      <c r="R71" s="167">
        <f>VLOOKUP($B71,'Complexity of the crisis'!$C$6:$AN$170,22,FALSE)</f>
        <v>2.4</v>
      </c>
      <c r="S71" s="167">
        <f>VLOOKUP($B71,'Complexity of the crisis'!$C$6:$AN$170,38,FALSE)</f>
        <v>1.5</v>
      </c>
      <c r="T71" s="171" t="str">
        <f>VLOOKUP(B71,Lists!$C$3:$E$167,3,FALSE)</f>
        <v>Africa</v>
      </c>
      <c r="U71" s="172">
        <v>44134</v>
      </c>
    </row>
    <row r="72" spans="1:21" x14ac:dyDescent="0.3">
      <c r="A72" s="168" t="str" cm="1">
        <f t="array" ref="A72">IFERROR(INDEX(Lists!$B$2:$B$160,SMALL(IF(Lists!$I$2:$I$160="Individual",ROW(Lists!$B$2:$B$160)),ROW(68:68))-1,1),"")</f>
        <v>Complex crisis in Malawi</v>
      </c>
      <c r="B72" s="169" t="str">
        <f>VLOOKUP(A72,Lists!$B$2:$G$160,2,FALSE)</f>
        <v>MWI002</v>
      </c>
      <c r="C72" s="169" t="str">
        <f>VLOOKUP(B72,'INFORM Severity - hidden'!$C$5:$D$160,2,FALSE)</f>
        <v>Malawi</v>
      </c>
      <c r="D72" s="169" t="str">
        <f>VLOOKUP(A72,Lists!$B$2:$G$160,3,FALSE)</f>
        <v>MWI</v>
      </c>
      <c r="E72" s="170" t="str">
        <f>VLOOKUP(A72,Lists!$B$2:$G$160,5,FALSE)</f>
        <v>Complex crisis</v>
      </c>
      <c r="F72" s="164">
        <f t="shared" si="5"/>
        <v>2.7</v>
      </c>
      <c r="G72" s="165">
        <f t="shared" si="6"/>
        <v>3</v>
      </c>
      <c r="H72" s="165" t="str">
        <f t="shared" si="7"/>
        <v>Medium</v>
      </c>
      <c r="I72" s="166" t="str">
        <f>INDEX(Trends!$D$3:$D$400,MATCH(B72,Trends!$C$3:$C$400,0))</f>
        <v>Decreasing</v>
      </c>
      <c r="J72" s="165" t="str">
        <f>VLOOKUP($B72,Reliability!$A$3:$I$170,9,FALSE)</f>
        <v>High</v>
      </c>
      <c r="K72" s="167">
        <f t="shared" si="8"/>
        <v>3.1</v>
      </c>
      <c r="L72" s="167">
        <f>VLOOKUP($B72,'Impact of the crisis'!$C$6:$N$170,12,FALSE)</f>
        <v>4.3</v>
      </c>
      <c r="M72" s="167">
        <f>VLOOKUP($B72,'Impact of the crisis'!$C$6:$AB$170,26,FALSE)</f>
        <v>2.2000000000000002</v>
      </c>
      <c r="N72" s="167">
        <f>VLOOKUP($B72,'Conditions of people affected'!$C$6:$R$170,16,FALSE)</f>
        <v>3.5</v>
      </c>
      <c r="O72" s="167">
        <f>VLOOKUP($B72,'Conditions of people affected'!$C$6:$R$170,9,FALSE)</f>
        <v>4</v>
      </c>
      <c r="P72" s="167">
        <f>VLOOKUP($B72,'Conditions of people affected'!$C$6:$R$170,15,FALSE)</f>
        <v>3</v>
      </c>
      <c r="Q72" s="167">
        <f t="shared" si="9"/>
        <v>1.2</v>
      </c>
      <c r="R72" s="167">
        <f>VLOOKUP($B72,'Complexity of the crisis'!$C$6:$AN$170,22,FALSE)</f>
        <v>1.9</v>
      </c>
      <c r="S72" s="167">
        <f>VLOOKUP($B72,'Complexity of the crisis'!$C$6:$AN$170,38,FALSE)</f>
        <v>0.5</v>
      </c>
      <c r="T72" s="171" t="str">
        <f>VLOOKUP(B72,Lists!$C$3:$E$167,3,FALSE)</f>
        <v>Africa</v>
      </c>
      <c r="U72" s="172">
        <v>44134</v>
      </c>
    </row>
    <row r="73" spans="1:21" x14ac:dyDescent="0.3">
      <c r="A73" s="168" t="str" cm="1">
        <f t="array" ref="A73">IFERROR(INDEX(Lists!$B$2:$B$160,SMALL(IF(Lists!$I$2:$I$160="Individual",ROW(Lists!$B$2:$B$160)),ROW(69:69))-1,1),"")</f>
        <v>Complex crisis in Mali</v>
      </c>
      <c r="B73" s="169" t="str">
        <f>VLOOKUP(A73,Lists!$B$2:$G$160,2,FALSE)</f>
        <v>MLI001</v>
      </c>
      <c r="C73" s="169" t="str">
        <f>VLOOKUP(B73,'INFORM Severity - hidden'!$C$5:$D$160,2,FALSE)</f>
        <v>Mali</v>
      </c>
      <c r="D73" s="169" t="str">
        <f>VLOOKUP(A73,Lists!$B$2:$G$160,3,FALSE)</f>
        <v>MLI</v>
      </c>
      <c r="E73" s="170" t="str">
        <f>VLOOKUP(A73,Lists!$B$2:$G$160,5,FALSE)</f>
        <v>Complex crisis</v>
      </c>
      <c r="F73" s="164">
        <f t="shared" si="5"/>
        <v>3.8</v>
      </c>
      <c r="G73" s="165">
        <f t="shared" si="6"/>
        <v>4</v>
      </c>
      <c r="H73" s="165" t="str">
        <f t="shared" si="7"/>
        <v>High</v>
      </c>
      <c r="I73" s="166" t="str">
        <f>INDEX(Trends!$D$3:$D$400,MATCH(B73,Trends!$C$3:$C$400,0))</f>
        <v>Stable</v>
      </c>
      <c r="J73" s="165" t="str">
        <f>VLOOKUP($B73,Reliability!$A$3:$I$170,9,FALSE)</f>
        <v>High</v>
      </c>
      <c r="K73" s="167">
        <f t="shared" si="8"/>
        <v>4</v>
      </c>
      <c r="L73" s="167">
        <f>VLOOKUP($B73,'Impact of the crisis'!$C$6:$N$170,12,FALSE)</f>
        <v>4.8</v>
      </c>
      <c r="M73" s="167">
        <f>VLOOKUP($B73,'Impact of the crisis'!$C$6:$AB$170,26,FALSE)</f>
        <v>3.5</v>
      </c>
      <c r="N73" s="167">
        <f>VLOOKUP($B73,'Conditions of people affected'!$C$6:$R$170,16,FALSE)</f>
        <v>3.7</v>
      </c>
      <c r="O73" s="167">
        <f>VLOOKUP($B73,'Conditions of people affected'!$C$6:$R$170,9,FALSE)</f>
        <v>4.4000000000000004</v>
      </c>
      <c r="P73" s="167">
        <f>VLOOKUP($B73,'Conditions of people affected'!$C$6:$R$170,15,FALSE)</f>
        <v>3</v>
      </c>
      <c r="Q73" s="167">
        <f t="shared" si="9"/>
        <v>3.9</v>
      </c>
      <c r="R73" s="167">
        <f>VLOOKUP($B73,'Complexity of the crisis'!$C$6:$AN$170,22,FALSE)</f>
        <v>3.2</v>
      </c>
      <c r="S73" s="167">
        <f>VLOOKUP($B73,'Complexity of the crisis'!$C$6:$AN$170,38,FALSE)</f>
        <v>4.5</v>
      </c>
      <c r="T73" s="171" t="str">
        <f>VLOOKUP(B73,Lists!$C$3:$E$167,3,FALSE)</f>
        <v>Africa</v>
      </c>
      <c r="U73" s="172">
        <v>44140</v>
      </c>
    </row>
    <row r="74" spans="1:21" x14ac:dyDescent="0.3">
      <c r="A74" s="168" t="str" cm="1">
        <f t="array" ref="A74">IFERROR(INDEX(Lists!$B$2:$B$160,SMALL(IF(Lists!$I$2:$I$160="Individual",ROW(Lists!$B$2:$B$160)),ROW(70:70))-1,1),"")</f>
        <v>Refugees from Mali in Mauritania</v>
      </c>
      <c r="B74" s="169" t="str">
        <f>VLOOKUP(A74,Lists!$B$2:$G$160,2,FALSE)</f>
        <v>MRT002</v>
      </c>
      <c r="C74" s="169" t="str">
        <f>VLOOKUP(B74,'INFORM Severity - hidden'!$C$5:$D$160,2,FALSE)</f>
        <v>Mauritania</v>
      </c>
      <c r="D74" s="169" t="str">
        <f>VLOOKUP(A74,Lists!$B$2:$G$160,3,FALSE)</f>
        <v>MRT</v>
      </c>
      <c r="E74" s="170" t="str">
        <f>VLOOKUP(A74,Lists!$B$2:$G$160,5,FALSE)</f>
        <v>International displacement</v>
      </c>
      <c r="F74" s="164">
        <f t="shared" si="5"/>
        <v>2.2000000000000002</v>
      </c>
      <c r="G74" s="165">
        <f t="shared" si="6"/>
        <v>3</v>
      </c>
      <c r="H74" s="165" t="str">
        <f t="shared" si="7"/>
        <v>Medium</v>
      </c>
      <c r="I74" s="166" t="str">
        <f>INDEX(Trends!$D$3:$D$400,MATCH(B74,Trends!$C$3:$C$400,0))</f>
        <v>Decreasing</v>
      </c>
      <c r="J74" s="165" t="str">
        <f>VLOOKUP($B74,Reliability!$A$3:$I$170,9,FALSE)</f>
        <v>Medium</v>
      </c>
      <c r="K74" s="167">
        <f t="shared" si="8"/>
        <v>2.4</v>
      </c>
      <c r="L74" s="167">
        <f>VLOOKUP($B74,'Impact of the crisis'!$C$6:$N$170,12,FALSE)</f>
        <v>0</v>
      </c>
      <c r="M74" s="167">
        <f>VLOOKUP($B74,'Impact of the crisis'!$C$6:$AB$170,26,FALSE)</f>
        <v>3.2</v>
      </c>
      <c r="N74" s="167">
        <f>VLOOKUP($B74,'Conditions of people affected'!$C$6:$R$170,16,FALSE)</f>
        <v>2.15</v>
      </c>
      <c r="O74" s="167">
        <f>VLOOKUP($B74,'Conditions of people affected'!$C$6:$R$170,9,FALSE)</f>
        <v>1.3</v>
      </c>
      <c r="P74" s="167">
        <f>VLOOKUP($B74,'Conditions of people affected'!$C$6:$R$170,15,FALSE)</f>
        <v>3</v>
      </c>
      <c r="Q74" s="167">
        <f t="shared" si="9"/>
        <v>2.1</v>
      </c>
      <c r="R74" s="167">
        <f>VLOOKUP($B74,'Complexity of the crisis'!$C$6:$AN$170,22,FALSE)</f>
        <v>2.6</v>
      </c>
      <c r="S74" s="167">
        <f>VLOOKUP($B74,'Complexity of the crisis'!$C$6:$AN$170,38,FALSE)</f>
        <v>1.5</v>
      </c>
      <c r="T74" s="171" t="str">
        <f>VLOOKUP(B74,Lists!$C$3:$E$167,3,FALSE)</f>
        <v>Africa</v>
      </c>
      <c r="U74" s="172">
        <v>44130</v>
      </c>
    </row>
    <row r="75" spans="1:21" x14ac:dyDescent="0.3">
      <c r="A75" s="168" t="str" cm="1">
        <f t="array" ref="A75">IFERROR(INDEX(Lists!$B$2:$B$160,SMALL(IF(Lists!$I$2:$I$160="Individual",ROW(Lists!$B$2:$B$160)),ROW(71:71))-1,1),"")</f>
        <v>Food Security in Mauritania</v>
      </c>
      <c r="B75" s="169" t="str">
        <f>VLOOKUP(A75,Lists!$B$2:$G$160,2,FALSE)</f>
        <v>MRT003</v>
      </c>
      <c r="C75" s="169" t="str">
        <f>VLOOKUP(B75,'INFORM Severity - hidden'!$C$5:$D$160,2,FALSE)</f>
        <v>Mauritania</v>
      </c>
      <c r="D75" s="169" t="str">
        <f>VLOOKUP(A75,Lists!$B$2:$G$160,3,FALSE)</f>
        <v>MRT</v>
      </c>
      <c r="E75" s="170" t="str">
        <f>VLOOKUP(A75,Lists!$B$2:$G$160,5,FALSE)</f>
        <v>Drought</v>
      </c>
      <c r="F75" s="164">
        <f t="shared" si="5"/>
        <v>2.9</v>
      </c>
      <c r="G75" s="165">
        <f t="shared" si="6"/>
        <v>3</v>
      </c>
      <c r="H75" s="165" t="str">
        <f t="shared" si="7"/>
        <v>Medium</v>
      </c>
      <c r="I75" s="166" t="str">
        <f>INDEX(Trends!$D$3:$D$400,MATCH(B75,Trends!$C$3:$C$400,0))</f>
        <v>Increasing</v>
      </c>
      <c r="J75" s="165" t="str">
        <f>VLOOKUP($B75,Reliability!$A$3:$I$170,9,FALSE)</f>
        <v>Medium</v>
      </c>
      <c r="K75" s="167">
        <f t="shared" si="8"/>
        <v>3.2</v>
      </c>
      <c r="L75" s="167">
        <f>VLOOKUP($B75,'Impact of the crisis'!$C$6:$N$170,12,FALSE)</f>
        <v>4.4000000000000004</v>
      </c>
      <c r="M75" s="167">
        <f>VLOOKUP($B75,'Impact of the crisis'!$C$6:$AB$170,26,FALSE)</f>
        <v>2.25</v>
      </c>
      <c r="N75" s="167">
        <f>VLOOKUP($B75,'Conditions of people affected'!$C$6:$R$170,16,FALSE)</f>
        <v>3</v>
      </c>
      <c r="O75" s="167">
        <f>VLOOKUP($B75,'Conditions of people affected'!$C$6:$R$170,9,FALSE)</f>
        <v>3</v>
      </c>
      <c r="P75" s="167">
        <f>VLOOKUP($B75,'Conditions of people affected'!$C$6:$R$170,15,FALSE)</f>
        <v>3</v>
      </c>
      <c r="Q75" s="167">
        <f t="shared" si="9"/>
        <v>2.6</v>
      </c>
      <c r="R75" s="167">
        <f>VLOOKUP($B75,'Complexity of the crisis'!$C$6:$AN$170,22,FALSE)</f>
        <v>2.6</v>
      </c>
      <c r="S75" s="167">
        <f>VLOOKUP($B75,'Complexity of the crisis'!$C$6:$AN$170,38,FALSE)</f>
        <v>2.5</v>
      </c>
      <c r="T75" s="171" t="str">
        <f>VLOOKUP(B75,Lists!$C$3:$E$167,3,FALSE)</f>
        <v>Africa</v>
      </c>
      <c r="U75" s="172">
        <v>44130</v>
      </c>
    </row>
    <row r="76" spans="1:21" x14ac:dyDescent="0.3">
      <c r="A76" s="168" t="str" cm="1">
        <f t="array" ref="A76">IFERROR(INDEX(Lists!$B$2:$B$160,SMALL(IF(Lists!$I$2:$I$160="Individual",ROW(Lists!$B$2:$B$160)),ROW(72:72))-1,1),"")</f>
        <v>Criminal Violence in Mexico</v>
      </c>
      <c r="B76" s="169" t="str">
        <f>VLOOKUP(A76,Lists!$B$2:$G$160,2,FALSE)</f>
        <v>MEX002</v>
      </c>
      <c r="C76" s="169" t="str">
        <f>VLOOKUP(B76,'INFORM Severity - hidden'!$C$5:$D$160,2,FALSE)</f>
        <v>Mexico</v>
      </c>
      <c r="D76" s="169" t="str">
        <f>VLOOKUP(A76,Lists!$B$2:$G$160,3,FALSE)</f>
        <v>MEX</v>
      </c>
      <c r="E76" s="170" t="str">
        <f>VLOOKUP(A76,Lists!$B$2:$G$160,5,FALSE)</f>
        <v>Other type of violence</v>
      </c>
      <c r="F76" s="164" t="str">
        <f t="shared" si="5"/>
        <v>x</v>
      </c>
      <c r="G76" s="165" t="str">
        <f t="shared" si="6"/>
        <v>x</v>
      </c>
      <c r="H76" s="165" t="str">
        <f t="shared" si="7"/>
        <v>x</v>
      </c>
      <c r="I76" s="166" t="str">
        <f>INDEX(Trends!$D$3:$D$400,MATCH(B76,Trends!$C$3:$C$400,0))</f>
        <v>-</v>
      </c>
      <c r="J76" s="165" t="str">
        <f>VLOOKUP($B76,Reliability!$A$3:$I$170,9,FALSE)</f>
        <v>Very Low</v>
      </c>
      <c r="K76" s="167">
        <f t="shared" si="8"/>
        <v>3.7</v>
      </c>
      <c r="L76" s="167">
        <f>VLOOKUP($B76,'Impact of the crisis'!$C$6:$N$170,12,FALSE)</f>
        <v>3.9</v>
      </c>
      <c r="M76" s="167">
        <f>VLOOKUP($B76,'Impact of the crisis'!$C$6:$AB$170,26,FALSE)</f>
        <v>3.6</v>
      </c>
      <c r="N76" s="167" t="str">
        <f>VLOOKUP($B76,'Conditions of people affected'!$C$6:$R$170,16,FALSE)</f>
        <v>x</v>
      </c>
      <c r="O76" s="167" t="str">
        <f>VLOOKUP($B76,'Conditions of people affected'!$C$6:$R$170,9,FALSE)</f>
        <v>x</v>
      </c>
      <c r="P76" s="167" t="str">
        <f>VLOOKUP($B76,'Conditions of people affected'!$C$6:$R$170,15,FALSE)</f>
        <v>x</v>
      </c>
      <c r="Q76" s="167">
        <f t="shared" si="9"/>
        <v>2.7</v>
      </c>
      <c r="R76" s="167">
        <f>VLOOKUP($B76,'Complexity of the crisis'!$C$6:$AN$170,22,FALSE)</f>
        <v>2.9</v>
      </c>
      <c r="S76" s="167">
        <f>VLOOKUP($B76,'Complexity of the crisis'!$C$6:$AN$170,38,FALSE)</f>
        <v>2.5</v>
      </c>
      <c r="T76" s="171" t="str">
        <f>VLOOKUP(B76,Lists!$C$3:$E$167,3,FALSE)</f>
        <v>Americas</v>
      </c>
      <c r="U76" s="172">
        <v>44110</v>
      </c>
    </row>
    <row r="77" spans="1:21" x14ac:dyDescent="0.3">
      <c r="A77" s="168" t="str" cm="1">
        <f t="array" ref="A77">IFERROR(INDEX(Lists!$B$2:$B$160,SMALL(IF(Lists!$I$2:$I$160="Individual",ROW(Lists!$B$2:$B$160)),ROW(73:73))-1,1),"")</f>
        <v>Mixed Migration in Mexico</v>
      </c>
      <c r="B77" s="169" t="str">
        <f>VLOOKUP(A77,Lists!$B$2:$G$160,2,FALSE)</f>
        <v>MEX003</v>
      </c>
      <c r="C77" s="169" t="str">
        <f>VLOOKUP(B77,'INFORM Severity - hidden'!$C$5:$D$160,2,FALSE)</f>
        <v>Mexico</v>
      </c>
      <c r="D77" s="169" t="str">
        <f>VLOOKUP(A77,Lists!$B$2:$G$160,3,FALSE)</f>
        <v>MEX</v>
      </c>
      <c r="E77" s="170" t="str">
        <f>VLOOKUP(A77,Lists!$B$2:$G$160,5,FALSE)</f>
        <v>International displacement</v>
      </c>
      <c r="F77" s="164" t="str">
        <f t="shared" si="5"/>
        <v>x</v>
      </c>
      <c r="G77" s="165" t="str">
        <f t="shared" si="6"/>
        <v>x</v>
      </c>
      <c r="H77" s="165" t="str">
        <f t="shared" si="7"/>
        <v>x</v>
      </c>
      <c r="I77" s="166" t="str">
        <f>INDEX(Trends!$D$3:$D$400,MATCH(B77,Trends!$C$3:$C$400,0))</f>
        <v>-</v>
      </c>
      <c r="J77" s="165" t="str">
        <f>VLOOKUP($B77,Reliability!$A$3:$I$170,9,FALSE)</f>
        <v>Medium</v>
      </c>
      <c r="K77" s="167">
        <f t="shared" si="8"/>
        <v>3.4</v>
      </c>
      <c r="L77" s="167">
        <f>VLOOKUP($B77,'Impact of the crisis'!$C$6:$N$170,12,FALSE)</f>
        <v>4.2</v>
      </c>
      <c r="M77" s="167">
        <f>VLOOKUP($B77,'Impact of the crisis'!$C$6:$AB$170,26,FALSE)</f>
        <v>2.9</v>
      </c>
      <c r="N77" s="167" t="str">
        <f>VLOOKUP($B77,'Conditions of people affected'!$C$6:$R$170,16,FALSE)</f>
        <v>x</v>
      </c>
      <c r="O77" s="167" t="str">
        <f>VLOOKUP($B77,'Conditions of people affected'!$C$6:$R$170,9,FALSE)</f>
        <v>x</v>
      </c>
      <c r="P77" s="167" t="str">
        <f>VLOOKUP($B77,'Conditions of people affected'!$C$6:$R$170,15,FALSE)</f>
        <v>x</v>
      </c>
      <c r="Q77" s="167">
        <f t="shared" si="9"/>
        <v>2.7</v>
      </c>
      <c r="R77" s="167">
        <f>VLOOKUP($B77,'Complexity of the crisis'!$C$6:$AN$170,22,FALSE)</f>
        <v>2.9</v>
      </c>
      <c r="S77" s="167">
        <f>VLOOKUP($B77,'Complexity of the crisis'!$C$6:$AN$170,38,FALSE)</f>
        <v>2.5</v>
      </c>
      <c r="T77" s="171" t="str">
        <f>VLOOKUP(B77,Lists!$C$3:$E$167,3,FALSE)</f>
        <v>Americas</v>
      </c>
      <c r="U77" s="172">
        <v>44110</v>
      </c>
    </row>
    <row r="78" spans="1:21" x14ac:dyDescent="0.3">
      <c r="A78" s="168" t="str" cm="1">
        <f t="array" ref="A78">IFERROR(INDEX(Lists!$B$2:$B$160,SMALL(IF(Lists!$I$2:$I$160="Individual",ROW(Lists!$B$2:$B$160)),ROW(74:74))-1,1),"")</f>
        <v>Mixed migration flows in Morocco</v>
      </c>
      <c r="B78" s="169" t="str">
        <f>VLOOKUP(A78,Lists!$B$2:$G$160,2,FALSE)</f>
        <v>MAR002</v>
      </c>
      <c r="C78" s="169" t="str">
        <f>VLOOKUP(B78,'INFORM Severity - hidden'!$C$5:$D$160,2,FALSE)</f>
        <v>Morocco</v>
      </c>
      <c r="D78" s="169" t="str">
        <f>VLOOKUP(A78,Lists!$B$2:$G$160,3,FALSE)</f>
        <v>MAR</v>
      </c>
      <c r="E78" s="170" t="str">
        <f>VLOOKUP(A78,Lists!$B$2:$G$160,5,FALSE)</f>
        <v>International displacement</v>
      </c>
      <c r="F78" s="164" t="str">
        <f t="shared" si="5"/>
        <v>x</v>
      </c>
      <c r="G78" s="165" t="str">
        <f t="shared" si="6"/>
        <v>x</v>
      </c>
      <c r="H78" s="165" t="str">
        <f t="shared" si="7"/>
        <v>x</v>
      </c>
      <c r="I78" s="166" t="str">
        <f>INDEX(Trends!$D$3:$D$400,MATCH(B78,Trends!$C$3:$C$400,0))</f>
        <v>-</v>
      </c>
      <c r="J78" s="165" t="str">
        <f>VLOOKUP($B78,Reliability!$A$3:$I$170,9,FALSE)</f>
        <v>Very Low</v>
      </c>
      <c r="K78" s="167">
        <f t="shared" si="8"/>
        <v>3.5</v>
      </c>
      <c r="L78" s="167">
        <f>VLOOKUP($B78,'Impact of the crisis'!$C$6:$N$170,12,FALSE)</f>
        <v>4.8</v>
      </c>
      <c r="M78" s="167">
        <f>VLOOKUP($B78,'Impact of the crisis'!$C$6:$AB$170,26,FALSE)</f>
        <v>2.5</v>
      </c>
      <c r="N78" s="167" t="str">
        <f>VLOOKUP($B78,'Conditions of people affected'!$C$6:$R$170,16,FALSE)</f>
        <v>x</v>
      </c>
      <c r="O78" s="167" t="str">
        <f>VLOOKUP($B78,'Conditions of people affected'!$C$6:$R$170,9,FALSE)</f>
        <v>x</v>
      </c>
      <c r="P78" s="167" t="str">
        <f>VLOOKUP($B78,'Conditions of people affected'!$C$6:$R$170,15,FALSE)</f>
        <v>x</v>
      </c>
      <c r="Q78" s="167">
        <f t="shared" si="9"/>
        <v>2.1</v>
      </c>
      <c r="R78" s="167">
        <f>VLOOKUP($B78,'Complexity of the crisis'!$C$6:$AN$170,22,FALSE)</f>
        <v>3</v>
      </c>
      <c r="S78" s="167">
        <f>VLOOKUP($B78,'Complexity of the crisis'!$C$6:$AN$170,38,FALSE)</f>
        <v>1</v>
      </c>
      <c r="T78" s="171" t="str">
        <f>VLOOKUP(B78,Lists!$C$3:$E$167,3,FALSE)</f>
        <v>Africa</v>
      </c>
      <c r="U78" s="172">
        <v>44137</v>
      </c>
    </row>
    <row r="79" spans="1:21" x14ac:dyDescent="0.3">
      <c r="A79" s="168" t="str" cm="1">
        <f t="array" ref="A79">IFERROR(INDEX(Lists!$B$2:$B$160,SMALL(IF(Lists!$I$2:$I$160="Individual",ROW(Lists!$B$2:$B$160)),ROW(75:75))-1,1),"")</f>
        <v>Complex crisis in Mozambique</v>
      </c>
      <c r="B79" s="169" t="str">
        <f>VLOOKUP(A79,Lists!$B$2:$G$160,2,FALSE)</f>
        <v>MOZ001</v>
      </c>
      <c r="C79" s="169" t="str">
        <f>VLOOKUP(B79,'INFORM Severity - hidden'!$C$5:$D$160,2,FALSE)</f>
        <v>Mozambique</v>
      </c>
      <c r="D79" s="169" t="str">
        <f>VLOOKUP(A79,Lists!$B$2:$G$160,3,FALSE)</f>
        <v>MOZ</v>
      </c>
      <c r="E79" s="170" t="str">
        <f>VLOOKUP(A79,Lists!$B$2:$G$160,5,FALSE)</f>
        <v>Complex crisis</v>
      </c>
      <c r="F79" s="164">
        <f t="shared" si="5"/>
        <v>3.2</v>
      </c>
      <c r="G79" s="165">
        <f t="shared" si="6"/>
        <v>4</v>
      </c>
      <c r="H79" s="165" t="str">
        <f t="shared" si="7"/>
        <v>High</v>
      </c>
      <c r="I79" s="166" t="str">
        <f>INDEX(Trends!$D$3:$D$400,MATCH(B79,Trends!$C$3:$C$400,0))</f>
        <v>Stable</v>
      </c>
      <c r="J79" s="165" t="str">
        <f>VLOOKUP($B79,Reliability!$A$3:$I$170,9,FALSE)</f>
        <v>High</v>
      </c>
      <c r="K79" s="167">
        <f t="shared" si="8"/>
        <v>3.5</v>
      </c>
      <c r="L79" s="167">
        <f>VLOOKUP($B79,'Impact of the crisis'!$C$6:$N$170,12,FALSE)</f>
        <v>2.5</v>
      </c>
      <c r="M79" s="167">
        <f>VLOOKUP($B79,'Impact of the crisis'!$C$6:$AB$170,26,FALSE)</f>
        <v>3.9</v>
      </c>
      <c r="N79" s="167">
        <f>VLOOKUP($B79,'Conditions of people affected'!$C$6:$R$170,16,FALSE)</f>
        <v>3.2</v>
      </c>
      <c r="O79" s="167">
        <f>VLOOKUP($B79,'Conditions of people affected'!$C$6:$R$170,9,FALSE)</f>
        <v>3.4</v>
      </c>
      <c r="P79" s="167">
        <f>VLOOKUP($B79,'Conditions of people affected'!$C$6:$R$170,15,FALSE)</f>
        <v>3</v>
      </c>
      <c r="Q79" s="167">
        <f t="shared" si="9"/>
        <v>3</v>
      </c>
      <c r="R79" s="167">
        <f>VLOOKUP($B79,'Complexity of the crisis'!$C$6:$AN$170,22,FALSE)</f>
        <v>3.5</v>
      </c>
      <c r="S79" s="167">
        <f>VLOOKUP($B79,'Complexity of the crisis'!$C$6:$AN$170,38,FALSE)</f>
        <v>2.5</v>
      </c>
      <c r="T79" s="171" t="str">
        <f>VLOOKUP(B79,Lists!$C$3:$E$167,3,FALSE)</f>
        <v>Africa</v>
      </c>
      <c r="U79" s="172">
        <v>44140</v>
      </c>
    </row>
    <row r="80" spans="1:21" x14ac:dyDescent="0.3">
      <c r="A80" s="168" t="str" cm="1">
        <f t="array" ref="A80">IFERROR(INDEX(Lists!$B$2:$B$160,SMALL(IF(Lists!$I$2:$I$160="Individual",ROW(Lists!$B$2:$B$160)),ROW(76:76))-1,1),"")</f>
        <v>Cabo Delgado Islamist Insurgency</v>
      </c>
      <c r="B80" s="169" t="str">
        <f>VLOOKUP(A80,Lists!$B$2:$G$160,2,FALSE)</f>
        <v>MOZ004</v>
      </c>
      <c r="C80" s="169" t="str">
        <f>VLOOKUP(B80,'INFORM Severity - hidden'!$C$5:$D$160,2,FALSE)</f>
        <v>Mozambique</v>
      </c>
      <c r="D80" s="169" t="str">
        <f>VLOOKUP(A80,Lists!$B$2:$G$160,3,FALSE)</f>
        <v>MOZ</v>
      </c>
      <c r="E80" s="170" t="str">
        <f>VLOOKUP(A80,Lists!$B$2:$G$160,5,FALSE)</f>
        <v>Other type of violence</v>
      </c>
      <c r="F80" s="164">
        <f t="shared" si="5"/>
        <v>2.9</v>
      </c>
      <c r="G80" s="165">
        <f t="shared" si="6"/>
        <v>3</v>
      </c>
      <c r="H80" s="165" t="str">
        <f t="shared" si="7"/>
        <v>Medium</v>
      </c>
      <c r="I80" s="166" t="str">
        <f>INDEX(Trends!$D$3:$D$400,MATCH(B80,Trends!$C$3:$C$400,0))</f>
        <v>Increasing</v>
      </c>
      <c r="J80" s="165" t="str">
        <f>VLOOKUP($B80,Reliability!$A$3:$I$170,9,FALSE)</f>
        <v>High</v>
      </c>
      <c r="K80" s="167">
        <f t="shared" si="8"/>
        <v>2.8</v>
      </c>
      <c r="L80" s="167">
        <f>VLOOKUP($B80,'Impact of the crisis'!$C$6:$N$170,12,FALSE)</f>
        <v>1.4</v>
      </c>
      <c r="M80" s="167">
        <f>VLOOKUP($B80,'Impact of the crisis'!$C$6:$AB$170,26,FALSE)</f>
        <v>3.4</v>
      </c>
      <c r="N80" s="167">
        <f>VLOOKUP($B80,'Conditions of people affected'!$C$6:$R$170,16,FALSE)</f>
        <v>3.05</v>
      </c>
      <c r="O80" s="167">
        <f>VLOOKUP($B80,'Conditions of people affected'!$C$6:$R$170,9,FALSE)</f>
        <v>3.1</v>
      </c>
      <c r="P80" s="167">
        <f>VLOOKUP($B80,'Conditions of people affected'!$C$6:$R$170,15,FALSE)</f>
        <v>3</v>
      </c>
      <c r="Q80" s="167">
        <f t="shared" si="9"/>
        <v>2.8</v>
      </c>
      <c r="R80" s="167">
        <f>VLOOKUP($B80,'Complexity of the crisis'!$C$6:$AN$170,22,FALSE)</f>
        <v>3.5</v>
      </c>
      <c r="S80" s="167">
        <f>VLOOKUP($B80,'Complexity of the crisis'!$C$6:$AN$170,38,FALSE)</f>
        <v>2</v>
      </c>
      <c r="T80" s="171" t="str">
        <f>VLOOKUP(B80,Lists!$C$3:$E$167,3,FALSE)</f>
        <v>Africa</v>
      </c>
      <c r="U80" s="172">
        <v>44120</v>
      </c>
    </row>
    <row r="81" spans="1:21" x14ac:dyDescent="0.3">
      <c r="A81" s="168" t="str" cm="1">
        <f t="array" ref="A81">IFERROR(INDEX(Lists!$B$2:$B$160,SMALL(IF(Lists!$I$2:$I$160="Individual",ROW(Lists!$B$2:$B$160)),ROW(77:77))-1,1),"")</f>
        <v>Food Security Crisis in Mozambique</v>
      </c>
      <c r="B81" s="169" t="str">
        <f>VLOOKUP(A81,Lists!$B$2:$G$160,2,FALSE)</f>
        <v>MOZ006</v>
      </c>
      <c r="C81" s="169" t="str">
        <f>VLOOKUP(B81,'INFORM Severity - hidden'!$C$5:$D$160,2,FALSE)</f>
        <v>Mozambique</v>
      </c>
      <c r="D81" s="169" t="str">
        <f>VLOOKUP(A81,Lists!$B$2:$G$160,3,FALSE)</f>
        <v>MOZ</v>
      </c>
      <c r="E81" s="170" t="str">
        <f>VLOOKUP(A81,Lists!$B$2:$G$160,5,FALSE)</f>
        <v>Food Security</v>
      </c>
      <c r="F81" s="164">
        <f t="shared" si="5"/>
        <v>2.8</v>
      </c>
      <c r="G81" s="165">
        <f t="shared" si="6"/>
        <v>3</v>
      </c>
      <c r="H81" s="165" t="str">
        <f t="shared" si="7"/>
        <v>Medium</v>
      </c>
      <c r="I81" s="166" t="str">
        <f>INDEX(Trends!$D$3:$D$400,MATCH(B81,Trends!$C$3:$C$400,0))</f>
        <v>Decreasing</v>
      </c>
      <c r="J81" s="165" t="str">
        <f>VLOOKUP($B81,Reliability!$A$3:$I$170,9,FALSE)</f>
        <v>Medium</v>
      </c>
      <c r="K81" s="167">
        <f t="shared" si="8"/>
        <v>2.9</v>
      </c>
      <c r="L81" s="167">
        <f>VLOOKUP($B81,'Impact of the crisis'!$C$6:$N$170,12,FALSE)</f>
        <v>2.2000000000000002</v>
      </c>
      <c r="M81" s="167">
        <f>VLOOKUP($B81,'Impact of the crisis'!$C$6:$AB$170,26,FALSE)</f>
        <v>3.2</v>
      </c>
      <c r="N81" s="167">
        <f>VLOOKUP($B81,'Conditions of people affected'!$C$6:$R$170,16,FALSE)</f>
        <v>2.8</v>
      </c>
      <c r="O81" s="167">
        <f>VLOOKUP($B81,'Conditions of people affected'!$C$6:$R$170,9,FALSE)</f>
        <v>2.6</v>
      </c>
      <c r="P81" s="167">
        <f>VLOOKUP($B81,'Conditions of people affected'!$C$6:$R$170,15,FALSE)</f>
        <v>3</v>
      </c>
      <c r="Q81" s="167">
        <f t="shared" si="9"/>
        <v>2.8</v>
      </c>
      <c r="R81" s="167">
        <f>VLOOKUP($B81,'Complexity of the crisis'!$C$6:$AN$170,22,FALSE)</f>
        <v>3.5</v>
      </c>
      <c r="S81" s="167">
        <f>VLOOKUP($B81,'Complexity of the crisis'!$C$6:$AN$170,38,FALSE)</f>
        <v>2</v>
      </c>
      <c r="T81" s="171" t="str">
        <f>VLOOKUP(B81,Lists!$C$3:$E$167,3,FALSE)</f>
        <v>Africa</v>
      </c>
      <c r="U81" s="172">
        <v>44123</v>
      </c>
    </row>
    <row r="82" spans="1:21" x14ac:dyDescent="0.3">
      <c r="A82" s="168" t="str" cm="1">
        <f t="array" ref="A82">IFERROR(INDEX(Lists!$B$2:$B$160,SMALL(IF(Lists!$I$2:$I$160="Individual",ROW(Lists!$B$2:$B$160)),ROW(78:78))-1,1),"")</f>
        <v>Rakhine Conflict</v>
      </c>
      <c r="B82" s="169" t="str">
        <f>VLOOKUP(A82,Lists!$B$2:$G$160,2,FALSE)</f>
        <v>MMR002</v>
      </c>
      <c r="C82" s="169" t="str">
        <f>VLOOKUP(B82,'INFORM Severity - hidden'!$C$5:$D$160,2,FALSE)</f>
        <v>Myanmar</v>
      </c>
      <c r="D82" s="169" t="str">
        <f>VLOOKUP(A82,Lists!$B$2:$G$160,3,FALSE)</f>
        <v>MMR</v>
      </c>
      <c r="E82" s="170" t="str">
        <f>VLOOKUP(A82,Lists!$B$2:$G$160,5,FALSE)</f>
        <v>Conflict</v>
      </c>
      <c r="F82" s="164">
        <f t="shared" si="5"/>
        <v>3.5</v>
      </c>
      <c r="G82" s="165">
        <f t="shared" si="6"/>
        <v>4</v>
      </c>
      <c r="H82" s="165" t="str">
        <f t="shared" si="7"/>
        <v>High</v>
      </c>
      <c r="I82" s="166" t="str">
        <f>INDEX(Trends!$D$3:$D$400,MATCH(B82,Trends!$C$3:$C$400,0))</f>
        <v>Stable</v>
      </c>
      <c r="J82" s="165" t="str">
        <f>VLOOKUP($B82,Reliability!$A$3:$I$170,9,FALSE)</f>
        <v>High</v>
      </c>
      <c r="K82" s="167">
        <f t="shared" si="8"/>
        <v>3.1</v>
      </c>
      <c r="L82" s="167">
        <f>VLOOKUP($B82,'Impact of the crisis'!$C$6:$N$170,12,FALSE)</f>
        <v>1.3</v>
      </c>
      <c r="M82" s="167">
        <f>VLOOKUP($B82,'Impact of the crisis'!$C$6:$AB$170,26,FALSE)</f>
        <v>3.7</v>
      </c>
      <c r="N82" s="167">
        <f>VLOOKUP($B82,'Conditions of people affected'!$C$6:$R$170,16,FALSE)</f>
        <v>3.55</v>
      </c>
      <c r="O82" s="167">
        <f>VLOOKUP($B82,'Conditions of people affected'!$C$6:$R$170,9,FALSE)</f>
        <v>3.1</v>
      </c>
      <c r="P82" s="167">
        <f>VLOOKUP($B82,'Conditions of people affected'!$C$6:$R$170,15,FALSE)</f>
        <v>4</v>
      </c>
      <c r="Q82" s="167">
        <f t="shared" si="9"/>
        <v>3.7</v>
      </c>
      <c r="R82" s="167">
        <f>VLOOKUP($B82,'Complexity of the crisis'!$C$6:$AN$170,22,FALSE)</f>
        <v>3.4</v>
      </c>
      <c r="S82" s="167">
        <f>VLOOKUP($B82,'Complexity of the crisis'!$C$6:$AN$170,38,FALSE)</f>
        <v>4</v>
      </c>
      <c r="T82" s="171" t="str">
        <f>VLOOKUP(B82,Lists!$C$3:$E$167,3,FALSE)</f>
        <v>Asia</v>
      </c>
      <c r="U82" s="172">
        <v>44132</v>
      </c>
    </row>
    <row r="83" spans="1:21" x14ac:dyDescent="0.3">
      <c r="A83" s="168" t="str" cm="1">
        <f t="array" ref="A83">IFERROR(INDEX(Lists!$B$2:$B$160,SMALL(IF(Lists!$I$2:$I$160="Individual",ROW(Lists!$B$2:$B$160)),ROW(79:79))-1,1),"")</f>
        <v>Kachin and Shan Conflict</v>
      </c>
      <c r="B83" s="169" t="str">
        <f>VLOOKUP(A83,Lists!$B$2:$G$160,2,FALSE)</f>
        <v>MMR003</v>
      </c>
      <c r="C83" s="169" t="str">
        <f>VLOOKUP(B83,'INFORM Severity - hidden'!$C$5:$D$160,2,FALSE)</f>
        <v>Myanmar</v>
      </c>
      <c r="D83" s="169" t="str">
        <f>VLOOKUP(A83,Lists!$B$2:$G$160,3,FALSE)</f>
        <v>MMR</v>
      </c>
      <c r="E83" s="170" t="str">
        <f>VLOOKUP(A83,Lists!$B$2:$G$160,5,FALSE)</f>
        <v>Conflict</v>
      </c>
      <c r="F83" s="164">
        <f t="shared" si="5"/>
        <v>2.6</v>
      </c>
      <c r="G83" s="165">
        <f t="shared" si="6"/>
        <v>3</v>
      </c>
      <c r="H83" s="165" t="str">
        <f t="shared" si="7"/>
        <v>Medium</v>
      </c>
      <c r="I83" s="166" t="str">
        <f>INDEX(Trends!$D$3:$D$400,MATCH(B83,Trends!$C$3:$C$400,0))</f>
        <v>Stable</v>
      </c>
      <c r="J83" s="165" t="str">
        <f>VLOOKUP($B83,Reliability!$A$3:$I$170,9,FALSE)</f>
        <v>High</v>
      </c>
      <c r="K83" s="167">
        <f t="shared" si="8"/>
        <v>2.4</v>
      </c>
      <c r="L83" s="167">
        <f>VLOOKUP($B83,'Impact of the crisis'!$C$6:$N$170,12,FALSE)</f>
        <v>2.2999999999999998</v>
      </c>
      <c r="M83" s="167">
        <f>VLOOKUP($B83,'Impact of the crisis'!$C$6:$AB$170,26,FALSE)</f>
        <v>2.5</v>
      </c>
      <c r="N83" s="167">
        <f>VLOOKUP($B83,'Conditions of people affected'!$C$6:$R$170,16,FALSE)</f>
        <v>2.1</v>
      </c>
      <c r="O83" s="167">
        <f>VLOOKUP($B83,'Conditions of people affected'!$C$6:$R$170,9,FALSE)</f>
        <v>2.2000000000000002</v>
      </c>
      <c r="P83" s="167">
        <f>VLOOKUP($B83,'Conditions of people affected'!$C$6:$R$170,15,FALSE)</f>
        <v>2</v>
      </c>
      <c r="Q83" s="167">
        <f t="shared" si="9"/>
        <v>3.5</v>
      </c>
      <c r="R83" s="167">
        <f>VLOOKUP($B83,'Complexity of the crisis'!$C$6:$AN$170,22,FALSE)</f>
        <v>3.4</v>
      </c>
      <c r="S83" s="167">
        <f>VLOOKUP($B83,'Complexity of the crisis'!$C$6:$AN$170,38,FALSE)</f>
        <v>3.5</v>
      </c>
      <c r="T83" s="171" t="str">
        <f>VLOOKUP(B83,Lists!$C$3:$E$167,3,FALSE)</f>
        <v>Asia</v>
      </c>
      <c r="U83" s="172">
        <v>44132</v>
      </c>
    </row>
    <row r="84" spans="1:21" x14ac:dyDescent="0.3">
      <c r="A84" s="168" t="str" cm="1">
        <f t="array" ref="A84">IFERROR(INDEX(Lists!$B$2:$B$160,SMALL(IF(Lists!$I$2:$I$160="Individual",ROW(Lists!$B$2:$B$160)),ROW(80:80))-1,1),"")</f>
        <v>Food Security Crisis in Namibia</v>
      </c>
      <c r="B84" s="169" t="str">
        <f>VLOOKUP(A84,Lists!$B$2:$G$160,2,FALSE)</f>
        <v>NAM002</v>
      </c>
      <c r="C84" s="169" t="str">
        <f>VLOOKUP(B84,'INFORM Severity - hidden'!$C$5:$D$160,2,FALSE)</f>
        <v>Namibia</v>
      </c>
      <c r="D84" s="169" t="str">
        <f>VLOOKUP(A84,Lists!$B$2:$G$160,3,FALSE)</f>
        <v>NAM</v>
      </c>
      <c r="E84" s="170" t="str">
        <f>VLOOKUP(A84,Lists!$B$2:$G$160,5,FALSE)</f>
        <v>Food Security</v>
      </c>
      <c r="F84" s="164">
        <f t="shared" si="5"/>
        <v>2</v>
      </c>
      <c r="G84" s="165">
        <f t="shared" si="6"/>
        <v>2</v>
      </c>
      <c r="H84" s="165" t="str">
        <f t="shared" si="7"/>
        <v>Low</v>
      </c>
      <c r="I84" s="166" t="str">
        <f>INDEX(Trends!$D$3:$D$400,MATCH(B84,Trends!$C$3:$C$400,0))</f>
        <v>Decreasing</v>
      </c>
      <c r="J84" s="165" t="str">
        <f>VLOOKUP($B84,Reliability!$A$3:$I$170,9,FALSE)</f>
        <v>Medium</v>
      </c>
      <c r="K84" s="167">
        <f t="shared" si="8"/>
        <v>1.5</v>
      </c>
      <c r="L84" s="167">
        <f>VLOOKUP($B84,'Impact of the crisis'!$C$6:$N$170,12,FALSE)</f>
        <v>1.6</v>
      </c>
      <c r="M84" s="167">
        <f>VLOOKUP($B84,'Impact of the crisis'!$C$6:$AB$170,26,FALSE)</f>
        <v>1.4</v>
      </c>
      <c r="N84" s="167">
        <f>VLOOKUP($B84,'Conditions of people affected'!$C$6:$R$170,16,FALSE)</f>
        <v>2.85</v>
      </c>
      <c r="O84" s="167">
        <f>VLOOKUP($B84,'Conditions of people affected'!$C$6:$R$170,9,FALSE)</f>
        <v>2.7</v>
      </c>
      <c r="P84" s="167">
        <f>VLOOKUP($B84,'Conditions of people affected'!$C$6:$R$170,15,FALSE)</f>
        <v>3</v>
      </c>
      <c r="Q84" s="167">
        <f t="shared" si="9"/>
        <v>1</v>
      </c>
      <c r="R84" s="167">
        <f>VLOOKUP($B84,'Complexity of the crisis'!$C$6:$AN$170,22,FALSE)</f>
        <v>1.5</v>
      </c>
      <c r="S84" s="167">
        <f>VLOOKUP($B84,'Complexity of the crisis'!$C$6:$AN$170,38,FALSE)</f>
        <v>0.5</v>
      </c>
      <c r="T84" s="171" t="str">
        <f>VLOOKUP(B84,Lists!$C$3:$E$167,3,FALSE)</f>
        <v>Africa</v>
      </c>
      <c r="U84" s="172">
        <v>44134</v>
      </c>
    </row>
    <row r="85" spans="1:21" x14ac:dyDescent="0.3">
      <c r="A85" s="168" t="str" cm="1">
        <f t="array" ref="A85">IFERROR(INDEX(Lists!$B$2:$B$160,SMALL(IF(Lists!$I$2:$I$160="Individual",ROW(Lists!$B$2:$B$160)),ROW(81:81))-1,1),"")</f>
        <v>Socioeconomic crisis in Nicaragua</v>
      </c>
      <c r="B85" s="169" t="str">
        <f>VLOOKUP(A85,Lists!$B$2:$G$160,2,FALSE)</f>
        <v>NIC001</v>
      </c>
      <c r="C85" s="169" t="str">
        <f>VLOOKUP(B85,'INFORM Severity - hidden'!$C$5:$D$160,2,FALSE)</f>
        <v>Nicaragua</v>
      </c>
      <c r="D85" s="169" t="str">
        <f>VLOOKUP(A85,Lists!$B$2:$G$160,3,FALSE)</f>
        <v>NIC</v>
      </c>
      <c r="E85" s="170" t="str">
        <f>VLOOKUP(A85,Lists!$B$2:$G$160,5,FALSE)</f>
        <v>Political and economic crisis</v>
      </c>
      <c r="F85" s="164" t="str">
        <f t="shared" si="5"/>
        <v>x</v>
      </c>
      <c r="G85" s="165" t="str">
        <f t="shared" si="6"/>
        <v>x</v>
      </c>
      <c r="H85" s="165" t="str">
        <f t="shared" si="7"/>
        <v>x</v>
      </c>
      <c r="I85" s="166" t="str">
        <f>INDEX(Trends!$D$3:$D$400,MATCH(B85,Trends!$C$3:$C$400,0))</f>
        <v>-</v>
      </c>
      <c r="J85" s="165" t="str">
        <f>VLOOKUP($B85,Reliability!$A$3:$I$170,9,FALSE)</f>
        <v>Low</v>
      </c>
      <c r="K85" s="167">
        <f t="shared" si="8"/>
        <v>2.9</v>
      </c>
      <c r="L85" s="167">
        <f>VLOOKUP($B85,'Impact of the crisis'!$C$6:$N$170,12,FALSE)</f>
        <v>4.0999999999999996</v>
      </c>
      <c r="M85" s="167">
        <f>VLOOKUP($B85,'Impact of the crisis'!$C$6:$AB$170,26,FALSE)</f>
        <v>2</v>
      </c>
      <c r="N85" s="167" t="str">
        <f>VLOOKUP($B85,'Conditions of people affected'!$C$6:$R$170,16,FALSE)</f>
        <v>x</v>
      </c>
      <c r="O85" s="167" t="str">
        <f>VLOOKUP($B85,'Conditions of people affected'!$C$6:$R$170,9,FALSE)</f>
        <v>x</v>
      </c>
      <c r="P85" s="167" t="str">
        <f>VLOOKUP($B85,'Conditions of people affected'!$C$6:$R$170,15,FALSE)</f>
        <v>x</v>
      </c>
      <c r="Q85" s="167">
        <f t="shared" si="9"/>
        <v>2.1</v>
      </c>
      <c r="R85" s="167">
        <f>VLOOKUP($B85,'Complexity of the crisis'!$C$6:$AN$170,22,FALSE)</f>
        <v>2.7</v>
      </c>
      <c r="S85" s="167">
        <f>VLOOKUP($B85,'Complexity of the crisis'!$C$6:$AN$170,38,FALSE)</f>
        <v>1.5</v>
      </c>
      <c r="T85" s="171" t="str">
        <f>VLOOKUP(B85,Lists!$C$3:$E$167,3,FALSE)</f>
        <v>Americas</v>
      </c>
      <c r="U85" s="172">
        <v>44110</v>
      </c>
    </row>
    <row r="86" spans="1:21" x14ac:dyDescent="0.3">
      <c r="A86" s="168" t="str" cm="1">
        <f t="array" ref="A86">IFERROR(INDEX(Lists!$B$2:$B$160,SMALL(IF(Lists!$I$2:$I$160="Individual",ROW(Lists!$B$2:$B$160)),ROW(82:82))-1,1),"")</f>
        <v>Boko Haram in Niger</v>
      </c>
      <c r="B86" s="169" t="str">
        <f>VLOOKUP(A86,Lists!$B$2:$G$160,2,FALSE)</f>
        <v>NER002</v>
      </c>
      <c r="C86" s="169" t="str">
        <f>VLOOKUP(B86,'INFORM Severity - hidden'!$C$5:$D$160,2,FALSE)</f>
        <v>Niger</v>
      </c>
      <c r="D86" s="169" t="str">
        <f>VLOOKUP(A86,Lists!$B$2:$G$160,3,FALSE)</f>
        <v>NER</v>
      </c>
      <c r="E86" s="170" t="str">
        <f>VLOOKUP(A86,Lists!$B$2:$G$160,5,FALSE)</f>
        <v>Conflict</v>
      </c>
      <c r="F86" s="164">
        <f t="shared" si="5"/>
        <v>3.4</v>
      </c>
      <c r="G86" s="165">
        <f t="shared" si="6"/>
        <v>4</v>
      </c>
      <c r="H86" s="165" t="str">
        <f t="shared" si="7"/>
        <v>High</v>
      </c>
      <c r="I86" s="166" t="str">
        <f>INDEX(Trends!$D$3:$D$400,MATCH(B86,Trends!$C$3:$C$400,0))</f>
        <v>Stable</v>
      </c>
      <c r="J86" s="165" t="str">
        <f>VLOOKUP($B86,Reliability!$A$3:$I$170,9,FALSE)</f>
        <v>High</v>
      </c>
      <c r="K86" s="167">
        <f t="shared" si="8"/>
        <v>3.2</v>
      </c>
      <c r="L86" s="167">
        <f>VLOOKUP($B86,'Impact of the crisis'!$C$6:$N$170,12,FALSE)</f>
        <v>1.2</v>
      </c>
      <c r="M86" s="167">
        <f>VLOOKUP($B86,'Impact of the crisis'!$C$6:$AB$170,26,FALSE)</f>
        <v>3.9</v>
      </c>
      <c r="N86" s="167">
        <f>VLOOKUP($B86,'Conditions of people affected'!$C$6:$R$170,16,FALSE)</f>
        <v>3.45</v>
      </c>
      <c r="O86" s="167">
        <f>VLOOKUP($B86,'Conditions of people affected'!$C$6:$R$170,9,FALSE)</f>
        <v>2.9</v>
      </c>
      <c r="P86" s="167">
        <f>VLOOKUP($B86,'Conditions of people affected'!$C$6:$R$170,15,FALSE)</f>
        <v>4</v>
      </c>
      <c r="Q86" s="167">
        <f t="shared" si="9"/>
        <v>3.4</v>
      </c>
      <c r="R86" s="167">
        <f>VLOOKUP($B86,'Complexity of the crisis'!$C$6:$AN$170,22,FALSE)</f>
        <v>2.7</v>
      </c>
      <c r="S86" s="167">
        <f>VLOOKUP($B86,'Complexity of the crisis'!$C$6:$AN$170,38,FALSE)</f>
        <v>4</v>
      </c>
      <c r="T86" s="171" t="str">
        <f>VLOOKUP(B86,Lists!$C$3:$E$167,3,FALSE)</f>
        <v>Africa</v>
      </c>
      <c r="U86" s="172">
        <v>44139</v>
      </c>
    </row>
    <row r="87" spans="1:21" x14ac:dyDescent="0.3">
      <c r="A87" s="168" t="str" cm="1">
        <f t="array" ref="A87">IFERROR(INDEX(Lists!$B$2:$B$160,SMALL(IF(Lists!$I$2:$I$160="Individual",ROW(Lists!$B$2:$B$160)),ROW(83:83))-1,1),"")</f>
        <v>Mali/Burkina Faso conflict</v>
      </c>
      <c r="B87" s="169" t="str">
        <f>VLOOKUP(A87,Lists!$B$2:$G$160,2,FALSE)</f>
        <v>NER003</v>
      </c>
      <c r="C87" s="169" t="str">
        <f>VLOOKUP(B87,'INFORM Severity - hidden'!$C$5:$D$160,2,FALSE)</f>
        <v>Niger</v>
      </c>
      <c r="D87" s="169" t="str">
        <f>VLOOKUP(A87,Lists!$B$2:$G$160,3,FALSE)</f>
        <v>NER</v>
      </c>
      <c r="E87" s="170" t="str">
        <f>VLOOKUP(A87,Lists!$B$2:$G$160,5,FALSE)</f>
        <v>Conflict</v>
      </c>
      <c r="F87" s="164">
        <f t="shared" si="5"/>
        <v>3.2</v>
      </c>
      <c r="G87" s="165">
        <f t="shared" si="6"/>
        <v>4</v>
      </c>
      <c r="H87" s="165" t="str">
        <f t="shared" si="7"/>
        <v>High</v>
      </c>
      <c r="I87" s="166" t="str">
        <f>INDEX(Trends!$D$3:$D$400,MATCH(B87,Trends!$C$3:$C$400,0))</f>
        <v>Stable</v>
      </c>
      <c r="J87" s="165" t="str">
        <f>VLOOKUP($B87,Reliability!$A$3:$I$170,9,FALSE)</f>
        <v>High</v>
      </c>
      <c r="K87" s="167">
        <f t="shared" si="8"/>
        <v>2.9</v>
      </c>
      <c r="L87" s="167">
        <f>VLOOKUP($B87,'Impact of the crisis'!$C$6:$N$170,12,FALSE)</f>
        <v>2.2999999999999998</v>
      </c>
      <c r="M87" s="167">
        <f>VLOOKUP($B87,'Impact of the crisis'!$C$6:$AB$170,26,FALSE)</f>
        <v>3.1</v>
      </c>
      <c r="N87" s="167">
        <f>VLOOKUP($B87,'Conditions of people affected'!$C$6:$R$170,16,FALSE)</f>
        <v>3.15</v>
      </c>
      <c r="O87" s="167">
        <f>VLOOKUP($B87,'Conditions of people affected'!$C$6:$R$170,9,FALSE)</f>
        <v>3.3</v>
      </c>
      <c r="P87" s="167">
        <f>VLOOKUP($B87,'Conditions of people affected'!$C$6:$R$170,15,FALSE)</f>
        <v>3</v>
      </c>
      <c r="Q87" s="167">
        <f t="shared" si="9"/>
        <v>3.4</v>
      </c>
      <c r="R87" s="167">
        <f>VLOOKUP($B87,'Complexity of the crisis'!$C$6:$AN$170,22,FALSE)</f>
        <v>2.7</v>
      </c>
      <c r="S87" s="167">
        <f>VLOOKUP($B87,'Complexity of the crisis'!$C$6:$AN$170,38,FALSE)</f>
        <v>4</v>
      </c>
      <c r="T87" s="171" t="str">
        <f>VLOOKUP(B87,Lists!$C$3:$E$167,3,FALSE)</f>
        <v>Africa</v>
      </c>
      <c r="U87" s="172">
        <v>44139</v>
      </c>
    </row>
    <row r="88" spans="1:21" x14ac:dyDescent="0.3">
      <c r="A88" s="168" t="str" cm="1">
        <f t="array" ref="A88">IFERROR(INDEX(Lists!$B$2:$B$160,SMALL(IF(Lists!$I$2:$I$160="Individual",ROW(Lists!$B$2:$B$160)),ROW(84:84))-1,1),"")</f>
        <v>Nigerian Refugees</v>
      </c>
      <c r="B88" s="169" t="str">
        <f>VLOOKUP(A88,Lists!$B$2:$G$160,2,FALSE)</f>
        <v>NER004</v>
      </c>
      <c r="C88" s="169" t="str">
        <f>VLOOKUP(B88,'INFORM Severity - hidden'!$C$5:$D$160,2,FALSE)</f>
        <v>Niger</v>
      </c>
      <c r="D88" s="169" t="str">
        <f>VLOOKUP(A88,Lists!$B$2:$G$160,3,FALSE)</f>
        <v>NER</v>
      </c>
      <c r="E88" s="170" t="str">
        <f>VLOOKUP(A88,Lists!$B$2:$G$160,5,FALSE)</f>
        <v>International displacement</v>
      </c>
      <c r="F88" s="164">
        <f t="shared" si="5"/>
        <v>2.5</v>
      </c>
      <c r="G88" s="165">
        <f t="shared" si="6"/>
        <v>3</v>
      </c>
      <c r="H88" s="165" t="str">
        <f t="shared" si="7"/>
        <v>Medium</v>
      </c>
      <c r="I88" s="166" t="str">
        <f>INDEX(Trends!$D$3:$D$400,MATCH(B88,Trends!$C$3:$C$400,0))</f>
        <v>Decreasing</v>
      </c>
      <c r="J88" s="165" t="str">
        <f>VLOOKUP($B88,Reliability!$A$3:$I$170,9,FALSE)</f>
        <v>High</v>
      </c>
      <c r="K88" s="167">
        <f t="shared" si="8"/>
        <v>1.5</v>
      </c>
      <c r="L88" s="167">
        <f>VLOOKUP($B88,'Impact of the crisis'!$C$6:$N$170,12,FALSE)</f>
        <v>0.3</v>
      </c>
      <c r="M88" s="167">
        <f>VLOOKUP($B88,'Impact of the crisis'!$C$6:$AB$170,26,FALSE)</f>
        <v>2</v>
      </c>
      <c r="N88" s="167">
        <f>VLOOKUP($B88,'Conditions of people affected'!$C$6:$R$170,16,FALSE)</f>
        <v>2.9</v>
      </c>
      <c r="O88" s="167">
        <f>VLOOKUP($B88,'Conditions of people affected'!$C$6:$R$170,9,FALSE)</f>
        <v>1.8</v>
      </c>
      <c r="P88" s="167">
        <f>VLOOKUP($B88,'Conditions of people affected'!$C$6:$R$170,15,FALSE)</f>
        <v>4</v>
      </c>
      <c r="Q88" s="167">
        <f t="shared" si="9"/>
        <v>2.4</v>
      </c>
      <c r="R88" s="167">
        <f>VLOOKUP($B88,'Complexity of the crisis'!$C$6:$AN$170,22,FALSE)</f>
        <v>2.7</v>
      </c>
      <c r="S88" s="167">
        <f>VLOOKUP($B88,'Complexity of the crisis'!$C$6:$AN$170,38,FALSE)</f>
        <v>2</v>
      </c>
      <c r="T88" s="171" t="str">
        <f>VLOOKUP(B88,Lists!$C$3:$E$167,3,FALSE)</f>
        <v>Africa</v>
      </c>
      <c r="U88" s="172">
        <v>44139</v>
      </c>
    </row>
    <row r="89" spans="1:21" x14ac:dyDescent="0.3">
      <c r="A89" s="168" t="str" cm="1">
        <f t="array" ref="A89">IFERROR(INDEX(Lists!$B$2:$B$160,SMALL(IF(Lists!$I$2:$I$160="Individual",ROW(Lists!$B$2:$B$160)),ROW(85:85))-1,1),"")</f>
        <v>Floods in Niger</v>
      </c>
      <c r="B89" s="169" t="str">
        <f>VLOOKUP(A89,Lists!$B$2:$G$160,2,FALSE)</f>
        <v>NER005</v>
      </c>
      <c r="C89" s="169" t="str">
        <f>VLOOKUP(B89,'INFORM Severity - hidden'!$C$5:$D$160,2,FALSE)</f>
        <v>Niger</v>
      </c>
      <c r="D89" s="169" t="str">
        <f>VLOOKUP(A89,Lists!$B$2:$G$160,3,FALSE)</f>
        <v>NER</v>
      </c>
      <c r="E89" s="170" t="str">
        <f>VLOOKUP(A89,Lists!$B$2:$G$160,5,FALSE)</f>
        <v>Flood</v>
      </c>
      <c r="F89" s="164">
        <f t="shared" si="5"/>
        <v>2.9</v>
      </c>
      <c r="G89" s="165">
        <f t="shared" si="6"/>
        <v>3</v>
      </c>
      <c r="H89" s="165" t="str">
        <f t="shared" si="7"/>
        <v>Medium</v>
      </c>
      <c r="I89" s="166" t="str">
        <f>INDEX(Trends!$D$3:$D$400,MATCH(B89,Trends!$C$3:$C$400,0))</f>
        <v>-</v>
      </c>
      <c r="J89" s="165" t="str">
        <f>VLOOKUP($B89,Reliability!$A$3:$I$170,9,FALSE)</f>
        <v>High</v>
      </c>
      <c r="K89" s="167">
        <f t="shared" si="8"/>
        <v>3.7</v>
      </c>
      <c r="L89" s="167">
        <f>VLOOKUP($B89,'Impact of the crisis'!$C$6:$N$170,12,FALSE)</f>
        <v>4.9000000000000004</v>
      </c>
      <c r="M89" s="167">
        <f>VLOOKUP($B89,'Impact of the crisis'!$C$6:$AB$170,26,FALSE)</f>
        <v>2.7</v>
      </c>
      <c r="N89" s="167">
        <f>VLOOKUP($B89,'Conditions of people affected'!$C$6:$R$170,16,FALSE)</f>
        <v>1.95</v>
      </c>
      <c r="O89" s="167">
        <f>VLOOKUP($B89,'Conditions of people affected'!$C$6:$R$170,9,FALSE)</f>
        <v>2.9</v>
      </c>
      <c r="P89" s="167">
        <f>VLOOKUP($B89,'Conditions of people affected'!$C$6:$R$170,15,FALSE)</f>
        <v>1</v>
      </c>
      <c r="Q89" s="167">
        <f t="shared" si="9"/>
        <v>3.4</v>
      </c>
      <c r="R89" s="167">
        <f>VLOOKUP($B89,'Complexity of the crisis'!$C$6:$AN$170,22,FALSE)</f>
        <v>2.7</v>
      </c>
      <c r="S89" s="167">
        <f>VLOOKUP($B89,'Complexity of the crisis'!$C$6:$AN$170,38,FALSE)</f>
        <v>4</v>
      </c>
      <c r="T89" s="171" t="str">
        <f>VLOOKUP(B89,Lists!$C$3:$E$167,3,FALSE)</f>
        <v>Africa</v>
      </c>
      <c r="U89" s="172">
        <v>44139</v>
      </c>
    </row>
    <row r="90" spans="1:21" x14ac:dyDescent="0.3">
      <c r="A90" s="168" t="str" cm="1">
        <f t="array" ref="A90">IFERROR(INDEX(Lists!$B$2:$B$160,SMALL(IF(Lists!$I$2:$I$160="Individual",ROW(Lists!$B$2:$B$160)),ROW(86:86))-1,1),"")</f>
        <v>Complex crisis in Nigeria</v>
      </c>
      <c r="B90" s="169" t="str">
        <f>VLOOKUP(A90,Lists!$B$2:$G$160,2,FALSE)</f>
        <v>NGA001</v>
      </c>
      <c r="C90" s="169" t="str">
        <f>VLOOKUP(B90,'INFORM Severity - hidden'!$C$5:$D$160,2,FALSE)</f>
        <v>Nigeria</v>
      </c>
      <c r="D90" s="169" t="str">
        <f>VLOOKUP(A90,Lists!$B$2:$G$160,3,FALSE)</f>
        <v>NGA</v>
      </c>
      <c r="E90" s="170" t="str">
        <f>VLOOKUP(A90,Lists!$B$2:$G$160,5,FALSE)</f>
        <v>Complex crisis</v>
      </c>
      <c r="F90" s="164">
        <f t="shared" si="5"/>
        <v>4.2</v>
      </c>
      <c r="G90" s="165">
        <f t="shared" si="6"/>
        <v>5</v>
      </c>
      <c r="H90" s="165" t="str">
        <f t="shared" si="7"/>
        <v>Very High</v>
      </c>
      <c r="I90" s="166" t="str">
        <f>INDEX(Trends!$D$3:$D$400,MATCH(B90,Trends!$C$3:$C$400,0))</f>
        <v>Stable</v>
      </c>
      <c r="J90" s="165" t="str">
        <f>VLOOKUP($B90,Reliability!$A$3:$I$170,9,FALSE)</f>
        <v>High</v>
      </c>
      <c r="K90" s="167">
        <f t="shared" si="8"/>
        <v>4.0999999999999996</v>
      </c>
      <c r="L90" s="167">
        <f>VLOOKUP($B90,'Impact of the crisis'!$C$6:$N$170,12,FALSE)</f>
        <v>4.3</v>
      </c>
      <c r="M90" s="167">
        <f>VLOOKUP($B90,'Impact of the crisis'!$C$6:$AB$170,26,FALSE)</f>
        <v>4</v>
      </c>
      <c r="N90" s="167">
        <f>VLOOKUP($B90,'Conditions of people affected'!$C$6:$R$170,16,FALSE)</f>
        <v>4.3</v>
      </c>
      <c r="O90" s="167">
        <f>VLOOKUP($B90,'Conditions of people affected'!$C$6:$R$170,9,FALSE)</f>
        <v>4.5999999999999996</v>
      </c>
      <c r="P90" s="167">
        <f>VLOOKUP($B90,'Conditions of people affected'!$C$6:$R$170,15,FALSE)</f>
        <v>4</v>
      </c>
      <c r="Q90" s="167">
        <f t="shared" si="9"/>
        <v>4.0999999999999996</v>
      </c>
      <c r="R90" s="167">
        <f>VLOOKUP($B90,'Complexity of the crisis'!$C$6:$AN$170,22,FALSE)</f>
        <v>3.5</v>
      </c>
      <c r="S90" s="167">
        <f>VLOOKUP($B90,'Complexity of the crisis'!$C$6:$AN$170,38,FALSE)</f>
        <v>4.5</v>
      </c>
      <c r="T90" s="171" t="str">
        <f>VLOOKUP(B90,Lists!$C$3:$E$167,3,FALSE)</f>
        <v>Africa</v>
      </c>
      <c r="U90" s="172">
        <v>44134</v>
      </c>
    </row>
    <row r="91" spans="1:21" x14ac:dyDescent="0.3">
      <c r="A91" s="168" t="str" cm="1">
        <f t="array" ref="A91">IFERROR(INDEX(Lists!$B$2:$B$160,SMALL(IF(Lists!$I$2:$I$160="Individual",ROW(Lists!$B$2:$B$160)),ROW(87:87))-1,1),"")</f>
        <v>Middle belt conflict</v>
      </c>
      <c r="B91" s="169" t="str">
        <f>VLOOKUP(A91,Lists!$B$2:$G$160,2,FALSE)</f>
        <v>NGA003</v>
      </c>
      <c r="C91" s="169" t="str">
        <f>VLOOKUP(B91,'INFORM Severity - hidden'!$C$5:$D$160,2,FALSE)</f>
        <v>Nigeria</v>
      </c>
      <c r="D91" s="169" t="str">
        <f>VLOOKUP(A91,Lists!$B$2:$G$160,3,FALSE)</f>
        <v>NGA</v>
      </c>
      <c r="E91" s="170" t="str">
        <f>VLOOKUP(A91,Lists!$B$2:$G$160,5,FALSE)</f>
        <v>Conflict</v>
      </c>
      <c r="F91" s="164" t="str">
        <f t="shared" si="5"/>
        <v>x</v>
      </c>
      <c r="G91" s="165" t="str">
        <f t="shared" si="6"/>
        <v>x</v>
      </c>
      <c r="H91" s="165" t="str">
        <f t="shared" si="7"/>
        <v>x</v>
      </c>
      <c r="I91" s="166" t="str">
        <f>INDEX(Trends!$D$3:$D$400,MATCH(B91,Trends!$C$3:$C$400,0))</f>
        <v>-</v>
      </c>
      <c r="J91" s="165" t="str">
        <f>VLOOKUP($B91,Reliability!$A$3:$I$170,9,FALSE)</f>
        <v>Very Low</v>
      </c>
      <c r="K91" s="167">
        <f t="shared" si="8"/>
        <v>3.1</v>
      </c>
      <c r="L91" s="167">
        <f>VLOOKUP($B91,'Impact of the crisis'!$C$6:$N$170,12,FALSE)</f>
        <v>3.4</v>
      </c>
      <c r="M91" s="167">
        <f>VLOOKUP($B91,'Impact of the crisis'!$C$6:$AB$170,26,FALSE)</f>
        <v>3</v>
      </c>
      <c r="N91" s="167" t="str">
        <f>VLOOKUP($B91,'Conditions of people affected'!$C$6:$R$170,16,FALSE)</f>
        <v>x</v>
      </c>
      <c r="O91" s="167" t="str">
        <f>VLOOKUP($B91,'Conditions of people affected'!$C$6:$R$170,9,FALSE)</f>
        <v>x</v>
      </c>
      <c r="P91" s="167" t="str">
        <f>VLOOKUP($B91,'Conditions of people affected'!$C$6:$R$170,15,FALSE)</f>
        <v>x</v>
      </c>
      <c r="Q91" s="167">
        <f t="shared" si="9"/>
        <v>3.5</v>
      </c>
      <c r="R91" s="167">
        <f>VLOOKUP($B91,'Complexity of the crisis'!$C$6:$AN$170,22,FALSE)</f>
        <v>3.5</v>
      </c>
      <c r="S91" s="167">
        <f>VLOOKUP($B91,'Complexity of the crisis'!$C$6:$AN$170,38,FALSE)</f>
        <v>3.5</v>
      </c>
      <c r="T91" s="171" t="str">
        <f>VLOOKUP(B91,Lists!$C$3:$E$167,3,FALSE)</f>
        <v>Africa</v>
      </c>
      <c r="U91" s="172">
        <v>44109</v>
      </c>
    </row>
    <row r="92" spans="1:21" x14ac:dyDescent="0.3">
      <c r="A92" s="168" t="str" cm="1">
        <f t="array" ref="A92">IFERROR(INDEX(Lists!$B$2:$B$160,SMALL(IF(Lists!$I$2:$I$160="Individual",ROW(Lists!$B$2:$B$160)),ROW(88:88))-1,1),"")</f>
        <v>Boko Haram crisis in Nigeria</v>
      </c>
      <c r="B92" s="169" t="str">
        <f>VLOOKUP(A92,Lists!$B$2:$G$160,2,FALSE)</f>
        <v>NGA004</v>
      </c>
      <c r="C92" s="169" t="str">
        <f>VLOOKUP(B92,'INFORM Severity - hidden'!$C$5:$D$160,2,FALSE)</f>
        <v>Nigeria</v>
      </c>
      <c r="D92" s="169" t="str">
        <f>VLOOKUP(A92,Lists!$B$2:$G$160,3,FALSE)</f>
        <v>NGA</v>
      </c>
      <c r="E92" s="170" t="str">
        <f>VLOOKUP(A92,Lists!$B$2:$G$160,5,FALSE)</f>
        <v>Conflict</v>
      </c>
      <c r="F92" s="164">
        <f t="shared" si="5"/>
        <v>4</v>
      </c>
      <c r="G92" s="165">
        <f t="shared" si="6"/>
        <v>4</v>
      </c>
      <c r="H92" s="165" t="str">
        <f t="shared" si="7"/>
        <v>High</v>
      </c>
      <c r="I92" s="166" t="str">
        <f>INDEX(Trends!$D$3:$D$400,MATCH(B92,Trends!$C$3:$C$400,0))</f>
        <v>Stable</v>
      </c>
      <c r="J92" s="165" t="str">
        <f>VLOOKUP($B92,Reliability!$A$3:$I$170,9,FALSE)</f>
        <v>Medium</v>
      </c>
      <c r="K92" s="167">
        <f t="shared" si="8"/>
        <v>3.9</v>
      </c>
      <c r="L92" s="167">
        <f>VLOOKUP($B92,'Impact of the crisis'!$C$6:$N$170,12,FALSE)</f>
        <v>1.9</v>
      </c>
      <c r="M92" s="167">
        <f>VLOOKUP($B92,'Impact of the crisis'!$C$6:$AB$170,26,FALSE)</f>
        <v>4.5</v>
      </c>
      <c r="N92" s="167">
        <f>VLOOKUP($B92,'Conditions of people affected'!$C$6:$R$170,16,FALSE)</f>
        <v>4.25</v>
      </c>
      <c r="O92" s="167">
        <f>VLOOKUP($B92,'Conditions of people affected'!$C$6:$R$170,9,FALSE)</f>
        <v>4.5</v>
      </c>
      <c r="P92" s="167">
        <f>VLOOKUP($B92,'Conditions of people affected'!$C$6:$R$170,15,FALSE)</f>
        <v>4</v>
      </c>
      <c r="Q92" s="167">
        <f t="shared" si="9"/>
        <v>3.8</v>
      </c>
      <c r="R92" s="167">
        <f>VLOOKUP($B92,'Complexity of the crisis'!$C$6:$AN$170,22,FALSE)</f>
        <v>3.5</v>
      </c>
      <c r="S92" s="167">
        <f>VLOOKUP($B92,'Complexity of the crisis'!$C$6:$AN$170,38,FALSE)</f>
        <v>4</v>
      </c>
      <c r="T92" s="171" t="str">
        <f>VLOOKUP(B92,Lists!$C$3:$E$167,3,FALSE)</f>
        <v>Africa</v>
      </c>
      <c r="U92" s="172">
        <v>44134</v>
      </c>
    </row>
    <row r="93" spans="1:21" x14ac:dyDescent="0.3">
      <c r="A93" s="168" t="str" cm="1">
        <f t="array" ref="A93">IFERROR(INDEX(Lists!$B$2:$B$160,SMALL(IF(Lists!$I$2:$I$160="Individual",ROW(Lists!$B$2:$B$160)),ROW(89:89))-1,1),"")</f>
        <v>Northwest Banditry</v>
      </c>
      <c r="B93" s="169" t="str">
        <f>VLOOKUP(A93,Lists!$B$2:$G$160,2,FALSE)</f>
        <v>NGA007</v>
      </c>
      <c r="C93" s="169" t="str">
        <f>VLOOKUP(B93,'INFORM Severity - hidden'!$C$5:$D$160,2,FALSE)</f>
        <v>Nigeria</v>
      </c>
      <c r="D93" s="169" t="str">
        <f>VLOOKUP(A93,Lists!$B$2:$G$160,3,FALSE)</f>
        <v>NGA</v>
      </c>
      <c r="E93" s="170" t="str">
        <f>VLOOKUP(A93,Lists!$B$2:$G$160,5,FALSE)</f>
        <v>Other type of violence</v>
      </c>
      <c r="F93" s="164">
        <f t="shared" si="5"/>
        <v>2.5</v>
      </c>
      <c r="G93" s="165">
        <f t="shared" si="6"/>
        <v>3</v>
      </c>
      <c r="H93" s="165" t="str">
        <f t="shared" si="7"/>
        <v>Medium</v>
      </c>
      <c r="I93" s="166" t="str">
        <f>INDEX(Trends!$D$3:$D$400,MATCH(B93,Trends!$C$3:$C$400,0))</f>
        <v>Decreasing</v>
      </c>
      <c r="J93" s="165" t="str">
        <f>VLOOKUP($B93,Reliability!$A$3:$I$170,9,FALSE)</f>
        <v>High</v>
      </c>
      <c r="K93" s="167">
        <f t="shared" si="8"/>
        <v>3</v>
      </c>
      <c r="L93" s="167">
        <f>VLOOKUP($B93,'Impact of the crisis'!$C$6:$N$170,12,FALSE)</f>
        <v>2.7</v>
      </c>
      <c r="M93" s="167">
        <f>VLOOKUP($B93,'Impact of the crisis'!$C$6:$AB$170,26,FALSE)</f>
        <v>3.2</v>
      </c>
      <c r="N93" s="167">
        <f>VLOOKUP($B93,'Conditions of people affected'!$C$6:$R$170,16,FALSE)</f>
        <v>1.75</v>
      </c>
      <c r="O93" s="167">
        <f>VLOOKUP($B93,'Conditions of people affected'!$C$6:$R$170,9,FALSE)</f>
        <v>2.5</v>
      </c>
      <c r="P93" s="167">
        <f>VLOOKUP($B93,'Conditions of people affected'!$C$6:$R$170,15,FALSE)</f>
        <v>1</v>
      </c>
      <c r="Q93" s="167">
        <f t="shared" si="9"/>
        <v>3.3</v>
      </c>
      <c r="R93" s="167">
        <f>VLOOKUP($B93,'Complexity of the crisis'!$C$6:$AN$170,22,FALSE)</f>
        <v>3.5</v>
      </c>
      <c r="S93" s="167">
        <f>VLOOKUP($B93,'Complexity of the crisis'!$C$6:$AN$170,38,FALSE)</f>
        <v>3</v>
      </c>
      <c r="T93" s="171" t="str">
        <f>VLOOKUP(B93,Lists!$C$3:$E$167,3,FALSE)</f>
        <v>Africa</v>
      </c>
      <c r="U93" s="172">
        <v>44134</v>
      </c>
    </row>
    <row r="94" spans="1:21" x14ac:dyDescent="0.3">
      <c r="A94" s="168" t="str" cm="1">
        <f t="array" ref="A94">IFERROR(INDEX(Lists!$B$2:$B$160,SMALL(IF(Lists!$I$2:$I$160="Individual",ROW(Lists!$B$2:$B$160)),ROW(90:90))-1,1),"")</f>
        <v>Cameroonian Refugees in Nigeria</v>
      </c>
      <c r="B94" s="169" t="str">
        <f>VLOOKUP(A94,Lists!$B$2:$G$160,2,FALSE)</f>
        <v>NGA008</v>
      </c>
      <c r="C94" s="169" t="str">
        <f>VLOOKUP(B94,'INFORM Severity - hidden'!$C$5:$D$160,2,FALSE)</f>
        <v>Nigeria</v>
      </c>
      <c r="D94" s="169" t="str">
        <f>VLOOKUP(A94,Lists!$B$2:$G$160,3,FALSE)</f>
        <v>NGA</v>
      </c>
      <c r="E94" s="170" t="str">
        <f>VLOOKUP(A94,Lists!$B$2:$G$160,5,FALSE)</f>
        <v>International displacement</v>
      </c>
      <c r="F94" s="164">
        <f t="shared" si="5"/>
        <v>2.4</v>
      </c>
      <c r="G94" s="165">
        <f t="shared" si="6"/>
        <v>3</v>
      </c>
      <c r="H94" s="165" t="str">
        <f t="shared" si="7"/>
        <v>Medium</v>
      </c>
      <c r="I94" s="166" t="str">
        <f>INDEX(Trends!$D$3:$D$400,MATCH(B94,Trends!$C$3:$C$400,0))</f>
        <v>Decreasing</v>
      </c>
      <c r="J94" s="165" t="str">
        <f>VLOOKUP($B94,Reliability!$A$3:$I$170,9,FALSE)</f>
        <v>High</v>
      </c>
      <c r="K94" s="167">
        <f t="shared" si="8"/>
        <v>2.2999999999999998</v>
      </c>
      <c r="L94" s="167">
        <f>VLOOKUP($B94,'Impact of the crisis'!$C$6:$N$170,12,FALSE)</f>
        <v>2.1</v>
      </c>
      <c r="M94" s="167">
        <f>VLOOKUP($B94,'Impact of the crisis'!$C$6:$AB$170,26,FALSE)</f>
        <v>2.4</v>
      </c>
      <c r="N94" s="167">
        <f>VLOOKUP($B94,'Conditions of people affected'!$C$6:$R$170,16,FALSE)</f>
        <v>1.1499999999999999</v>
      </c>
      <c r="O94" s="167">
        <f>VLOOKUP($B94,'Conditions of people affected'!$C$6:$R$170,9,FALSE)</f>
        <v>1.3</v>
      </c>
      <c r="P94" s="167">
        <f>VLOOKUP($B94,'Conditions of people affected'!$C$6:$R$170,15,FALSE)</f>
        <v>1</v>
      </c>
      <c r="Q94" s="167">
        <f t="shared" si="9"/>
        <v>4.4000000000000004</v>
      </c>
      <c r="R94" s="167">
        <f>VLOOKUP($B94,'Complexity of the crisis'!$C$6:$AN$170,22,FALSE)</f>
        <v>3.5</v>
      </c>
      <c r="S94" s="167">
        <f>VLOOKUP($B94,'Complexity of the crisis'!$C$6:$AN$170,38,FALSE)</f>
        <v>5</v>
      </c>
      <c r="T94" s="171" t="str">
        <f>VLOOKUP(B94,Lists!$C$3:$E$167,3,FALSE)</f>
        <v>Africa</v>
      </c>
      <c r="U94" s="172">
        <v>44134</v>
      </c>
    </row>
    <row r="95" spans="1:21" x14ac:dyDescent="0.3">
      <c r="A95" s="168" t="str" cm="1">
        <f t="array" ref="A95">IFERROR(INDEX(Lists!$B$2:$B$160,SMALL(IF(Lists!$I$2:$I$160="Individual",ROW(Lists!$B$2:$B$160)),ROW(91:91))-1,1),"")</f>
        <v>Regional Boko Haram Crisis</v>
      </c>
      <c r="B95" s="169" t="str">
        <f>VLOOKUP(A95,Lists!$B$2:$G$160,2,FALSE)</f>
        <v>REG001</v>
      </c>
      <c r="C95" s="169" t="str">
        <f>VLOOKUP(B95,'INFORM Severity - hidden'!$C$5:$D$160,2,FALSE)</f>
        <v>Nigeria, Niger, Chad, Cameroon</v>
      </c>
      <c r="D95" s="169" t="str">
        <f>VLOOKUP(A95,Lists!$B$2:$G$160,3,FALSE)</f>
        <v>NGA, NER, TCD, CMR</v>
      </c>
      <c r="E95" s="170" t="str">
        <f>VLOOKUP(A95,Lists!$B$2:$G$160,5,FALSE)</f>
        <v>Regional crisis</v>
      </c>
      <c r="F95" s="164">
        <f t="shared" si="5"/>
        <v>4.0999999999999996</v>
      </c>
      <c r="G95" s="165">
        <f t="shared" si="6"/>
        <v>5</v>
      </c>
      <c r="H95" s="165" t="str">
        <f t="shared" si="7"/>
        <v>Very High</v>
      </c>
      <c r="I95" s="166" t="str">
        <f>INDEX(Trends!$D$3:$D$400,MATCH(B95,Trends!$C$3:$C$400,0))</f>
        <v>Stable</v>
      </c>
      <c r="J95" s="165" t="str">
        <f>VLOOKUP($B95,Reliability!$A$3:$I$170,9,FALSE)</f>
        <v>High</v>
      </c>
      <c r="K95" s="167">
        <f t="shared" si="8"/>
        <v>3.9</v>
      </c>
      <c r="L95" s="167">
        <f>VLOOKUP($B95,'Impact of the crisis'!$C$6:$N$170,12,FALSE)</f>
        <v>2.2000000000000002</v>
      </c>
      <c r="M95" s="167">
        <f>VLOOKUP($B95,'Impact of the crisis'!$C$6:$AB$170,26,FALSE)</f>
        <v>4.5</v>
      </c>
      <c r="N95" s="167">
        <f>VLOOKUP($B95,'Conditions of people affected'!$C$6:$R$170,16,FALSE)</f>
        <v>4.3499999999999996</v>
      </c>
      <c r="O95" s="167">
        <f>VLOOKUP($B95,'Conditions of people affected'!$C$6:$R$170,9,FALSE)</f>
        <v>4.7</v>
      </c>
      <c r="P95" s="167">
        <f>VLOOKUP($B95,'Conditions of people affected'!$C$6:$R$170,15,FALSE)</f>
        <v>4</v>
      </c>
      <c r="Q95" s="167">
        <f t="shared" si="9"/>
        <v>3.8</v>
      </c>
      <c r="R95" s="167">
        <f>VLOOKUP($B95,'Complexity of the crisis'!$C$6:$AN$170,22,FALSE)</f>
        <v>3.5</v>
      </c>
      <c r="S95" s="167">
        <f>VLOOKUP($B95,'Complexity of the crisis'!$C$6:$AN$170,38,FALSE)</f>
        <v>4</v>
      </c>
      <c r="T95" s="171" t="str">
        <f>VLOOKUP(B95,Lists!$C$3:$E$167,3,FALSE)</f>
        <v>Africa</v>
      </c>
      <c r="U95" s="172">
        <v>44136</v>
      </c>
    </row>
    <row r="96" spans="1:21" x14ac:dyDescent="0.3">
      <c r="A96" s="168" t="str" cm="1">
        <f t="array" ref="A96">IFERROR(INDEX(Lists!$B$2:$B$160,SMALL(IF(Lists!$I$2:$I$160="Individual",ROW(Lists!$B$2:$B$160)),ROW(92:92))-1,1),"")</f>
        <v>Complex crisis in Pakistan</v>
      </c>
      <c r="B96" s="169" t="str">
        <f>VLOOKUP(A96,Lists!$B$2:$G$160,2,FALSE)</f>
        <v>PAK001</v>
      </c>
      <c r="C96" s="169" t="str">
        <f>VLOOKUP(B96,'INFORM Severity - hidden'!$C$5:$D$160,2,FALSE)</f>
        <v>Pakistan</v>
      </c>
      <c r="D96" s="169" t="str">
        <f>VLOOKUP(A96,Lists!$B$2:$G$160,3,FALSE)</f>
        <v>PAK</v>
      </c>
      <c r="E96" s="170" t="str">
        <f>VLOOKUP(A96,Lists!$B$2:$G$160,5,FALSE)</f>
        <v>Complex crisis</v>
      </c>
      <c r="F96" s="164">
        <f t="shared" si="5"/>
        <v>3.4</v>
      </c>
      <c r="G96" s="165">
        <f t="shared" si="6"/>
        <v>4</v>
      </c>
      <c r="H96" s="165" t="str">
        <f t="shared" si="7"/>
        <v>High</v>
      </c>
      <c r="I96" s="166" t="str">
        <f>INDEX(Trends!$D$3:$D$400,MATCH(B96,Trends!$C$3:$C$400,0))</f>
        <v>Stable</v>
      </c>
      <c r="J96" s="165" t="str">
        <f>VLOOKUP($B96,Reliability!$A$3:$I$170,9,FALSE)</f>
        <v>High</v>
      </c>
      <c r="K96" s="167">
        <f t="shared" si="8"/>
        <v>3.7</v>
      </c>
      <c r="L96" s="167">
        <f>VLOOKUP($B96,'Impact of the crisis'!$C$6:$N$170,12,FALSE)</f>
        <v>5</v>
      </c>
      <c r="M96" s="167">
        <f>VLOOKUP($B96,'Impact of the crisis'!$C$6:$AB$170,26,FALSE)</f>
        <v>2.7</v>
      </c>
      <c r="N96" s="167">
        <f>VLOOKUP($B96,'Conditions of people affected'!$C$6:$R$170,16,FALSE)</f>
        <v>3.05</v>
      </c>
      <c r="O96" s="167">
        <f>VLOOKUP($B96,'Conditions of people affected'!$C$6:$R$170,9,FALSE)</f>
        <v>4.0999999999999996</v>
      </c>
      <c r="P96" s="167">
        <f>VLOOKUP($B96,'Conditions of people affected'!$C$6:$R$170,15,FALSE)</f>
        <v>2</v>
      </c>
      <c r="Q96" s="167">
        <f t="shared" si="9"/>
        <v>3.6</v>
      </c>
      <c r="R96" s="167">
        <f>VLOOKUP($B96,'Complexity of the crisis'!$C$6:$AN$170,22,FALSE)</f>
        <v>3.2</v>
      </c>
      <c r="S96" s="167">
        <f>VLOOKUP($B96,'Complexity of the crisis'!$C$6:$AN$170,38,FALSE)</f>
        <v>4</v>
      </c>
      <c r="T96" s="171" t="str">
        <f>VLOOKUP(B96,Lists!$C$3:$E$167,3,FALSE)</f>
        <v>Asia</v>
      </c>
      <c r="U96" s="172">
        <v>44132</v>
      </c>
    </row>
    <row r="97" spans="1:21" x14ac:dyDescent="0.3">
      <c r="A97" s="168" t="str" cm="1">
        <f t="array" ref="A97">IFERROR(INDEX(Lists!$B$2:$B$160,SMALL(IF(Lists!$I$2:$I$160="Individual",ROW(Lists!$B$2:$B$160)),ROW(93:93))-1,1),"")</f>
        <v>Kashmir conflict in Pakistan</v>
      </c>
      <c r="B97" s="169" t="str">
        <f>VLOOKUP(A97,Lists!$B$2:$G$160,2,FALSE)</f>
        <v>PAK004</v>
      </c>
      <c r="C97" s="169" t="str">
        <f>VLOOKUP(B97,'INFORM Severity - hidden'!$C$5:$D$160,2,FALSE)</f>
        <v>Pakistan</v>
      </c>
      <c r="D97" s="169" t="str">
        <f>VLOOKUP(A97,Lists!$B$2:$G$160,3,FALSE)</f>
        <v>PAK</v>
      </c>
      <c r="E97" s="170" t="str">
        <f>VLOOKUP(A97,Lists!$B$2:$G$160,5,FALSE)</f>
        <v>Conflict</v>
      </c>
      <c r="F97" s="164" t="str">
        <f t="shared" si="5"/>
        <v>x</v>
      </c>
      <c r="G97" s="165" t="str">
        <f t="shared" si="6"/>
        <v>x</v>
      </c>
      <c r="H97" s="165" t="str">
        <f t="shared" si="7"/>
        <v>x</v>
      </c>
      <c r="I97" s="166" t="str">
        <f>INDEX(Trends!$D$3:$D$400,MATCH(B97,Trends!$C$3:$C$400,0))</f>
        <v>-</v>
      </c>
      <c r="J97" s="165" t="str">
        <f>VLOOKUP($B97,Reliability!$A$3:$I$170,9,FALSE)</f>
        <v>Low</v>
      </c>
      <c r="K97" s="167">
        <f t="shared" si="8"/>
        <v>1.9</v>
      </c>
      <c r="L97" s="167">
        <f>VLOOKUP($B97,'Impact of the crisis'!$C$6:$N$170,12,FALSE)</f>
        <v>1.1000000000000001</v>
      </c>
      <c r="M97" s="167">
        <f>VLOOKUP($B97,'Impact of the crisis'!$C$6:$AB$170,26,FALSE)</f>
        <v>2.2000000000000002</v>
      </c>
      <c r="N97" s="167" t="str">
        <f>VLOOKUP($B97,'Conditions of people affected'!$C$6:$R$170,16,FALSE)</f>
        <v>x</v>
      </c>
      <c r="O97" s="167" t="str">
        <f>VLOOKUP($B97,'Conditions of people affected'!$C$6:$R$170,9,FALSE)</f>
        <v>x</v>
      </c>
      <c r="P97" s="167" t="str">
        <f>VLOOKUP($B97,'Conditions of people affected'!$C$6:$R$170,15,FALSE)</f>
        <v>x</v>
      </c>
      <c r="Q97" s="167">
        <f t="shared" si="9"/>
        <v>2.9</v>
      </c>
      <c r="R97" s="167">
        <f>VLOOKUP($B97,'Complexity of the crisis'!$C$6:$AN$170,22,FALSE)</f>
        <v>3.2</v>
      </c>
      <c r="S97" s="167">
        <f>VLOOKUP($B97,'Complexity of the crisis'!$C$6:$AN$170,38,FALSE)</f>
        <v>2.5</v>
      </c>
      <c r="T97" s="171" t="str">
        <f>VLOOKUP(B97,Lists!$C$3:$E$167,3,FALSE)</f>
        <v>Asia</v>
      </c>
      <c r="U97" s="172">
        <v>44132</v>
      </c>
    </row>
    <row r="98" spans="1:21" x14ac:dyDescent="0.3">
      <c r="A98" s="168" t="str" cm="1">
        <f t="array" ref="A98">IFERROR(INDEX(Lists!$B$2:$B$160,SMALL(IF(Lists!$I$2:$I$160="Individual",ROW(Lists!$B$2:$B$160)),ROW(94:94))-1,1),"")</f>
        <v>Conflict in Palestine</v>
      </c>
      <c r="B98" s="169" t="str">
        <f>VLOOKUP(A98,Lists!$B$2:$G$160,2,FALSE)</f>
        <v>PSE002</v>
      </c>
      <c r="C98" s="169" t="str">
        <f>VLOOKUP(B98,'INFORM Severity - hidden'!$C$5:$D$160,2,FALSE)</f>
        <v>Palestine</v>
      </c>
      <c r="D98" s="169" t="str">
        <f>VLOOKUP(A98,Lists!$B$2:$G$160,3,FALSE)</f>
        <v>PSE</v>
      </c>
      <c r="E98" s="170" t="str">
        <f>VLOOKUP(A98,Lists!$B$2:$G$160,5,FALSE)</f>
        <v>Conflict</v>
      </c>
      <c r="F98" s="164">
        <f t="shared" si="5"/>
        <v>3.9</v>
      </c>
      <c r="G98" s="165">
        <f t="shared" si="6"/>
        <v>4</v>
      </c>
      <c r="H98" s="165" t="str">
        <f t="shared" si="7"/>
        <v>High</v>
      </c>
      <c r="I98" s="166" t="str">
        <f>INDEX(Trends!$D$3:$D$400,MATCH(B98,Trends!$C$3:$C$400,0))</f>
        <v>Increasing</v>
      </c>
      <c r="J98" s="165" t="str">
        <f>VLOOKUP($B98,Reliability!$A$3:$I$170,9,FALSE)</f>
        <v>High</v>
      </c>
      <c r="K98" s="167">
        <f t="shared" si="8"/>
        <v>3.8</v>
      </c>
      <c r="L98" s="167">
        <f>VLOOKUP($B98,'Impact of the crisis'!$C$6:$N$170,12,FALSE)</f>
        <v>3.4</v>
      </c>
      <c r="M98" s="167">
        <f>VLOOKUP($B98,'Impact of the crisis'!$C$6:$AB$170,26,FALSE)</f>
        <v>4</v>
      </c>
      <c r="N98" s="167">
        <f>VLOOKUP($B98,'Conditions of people affected'!$C$6:$R$170,16,FALSE)</f>
        <v>4.45</v>
      </c>
      <c r="O98" s="167">
        <f>VLOOKUP($B98,'Conditions of people affected'!$C$6:$R$170,9,FALSE)</f>
        <v>3.9</v>
      </c>
      <c r="P98" s="167">
        <f>VLOOKUP($B98,'Conditions of people affected'!$C$6:$R$170,15,FALSE)</f>
        <v>5</v>
      </c>
      <c r="Q98" s="167">
        <f t="shared" si="9"/>
        <v>3.2</v>
      </c>
      <c r="R98" s="167">
        <f>VLOOKUP($B98,'Complexity of the crisis'!$C$6:$AN$170,22,FALSE)</f>
        <v>2.2000000000000002</v>
      </c>
      <c r="S98" s="167">
        <f>VLOOKUP($B98,'Complexity of the crisis'!$C$6:$AN$170,38,FALSE)</f>
        <v>4</v>
      </c>
      <c r="T98" s="171" t="str">
        <f>VLOOKUP(B98,Lists!$C$3:$E$167,3,FALSE)</f>
        <v>Middle east</v>
      </c>
      <c r="U98" s="172">
        <v>44130</v>
      </c>
    </row>
    <row r="99" spans="1:21" x14ac:dyDescent="0.3">
      <c r="A99" s="168" t="str" cm="1">
        <f t="array" ref="A99">IFERROR(INDEX(Lists!$B$2:$B$160,SMALL(IF(Lists!$I$2:$I$160="Individual",ROW(Lists!$B$2:$B$160)),ROW(95:95))-1,1),"")</f>
        <v>Venezuela displacement in Peru</v>
      </c>
      <c r="B99" s="169" t="str">
        <f>VLOOKUP(A99,Lists!$B$2:$G$160,2,FALSE)</f>
        <v>PER002</v>
      </c>
      <c r="C99" s="169" t="str">
        <f>VLOOKUP(B99,'INFORM Severity - hidden'!$C$5:$D$160,2,FALSE)</f>
        <v>Peru</v>
      </c>
      <c r="D99" s="169" t="str">
        <f>VLOOKUP(A99,Lists!$B$2:$G$160,3,FALSE)</f>
        <v>PER</v>
      </c>
      <c r="E99" s="170" t="str">
        <f>VLOOKUP(A99,Lists!$B$2:$G$160,5,FALSE)</f>
        <v>International displacement</v>
      </c>
      <c r="F99" s="164">
        <f t="shared" si="5"/>
        <v>2.6</v>
      </c>
      <c r="G99" s="165">
        <f t="shared" si="6"/>
        <v>3</v>
      </c>
      <c r="H99" s="165" t="str">
        <f t="shared" si="7"/>
        <v>Medium</v>
      </c>
      <c r="I99" s="166" t="str">
        <f>INDEX(Trends!$D$3:$D$400,MATCH(B99,Trends!$C$3:$C$400,0))</f>
        <v>Stable</v>
      </c>
      <c r="J99" s="165" t="str">
        <f>VLOOKUP($B99,Reliability!$A$3:$I$170,9,FALSE)</f>
        <v>Medium</v>
      </c>
      <c r="K99" s="167">
        <f t="shared" si="8"/>
        <v>2.5</v>
      </c>
      <c r="L99" s="167">
        <f>VLOOKUP($B99,'Impact of the crisis'!$C$6:$N$170,12,FALSE)</f>
        <v>2.8</v>
      </c>
      <c r="M99" s="167">
        <f>VLOOKUP($B99,'Impact of the crisis'!$C$6:$AB$170,26,FALSE)</f>
        <v>2.4</v>
      </c>
      <c r="N99" s="167">
        <f>VLOOKUP($B99,'Conditions of people affected'!$C$6:$R$170,16,FALSE)</f>
        <v>3.1</v>
      </c>
      <c r="O99" s="167">
        <f>VLOOKUP($B99,'Conditions of people affected'!$C$6:$R$170,9,FALSE)</f>
        <v>3.2</v>
      </c>
      <c r="P99" s="167">
        <f>VLOOKUP($B99,'Conditions of people affected'!$C$6:$R$170,15,FALSE)</f>
        <v>3</v>
      </c>
      <c r="Q99" s="167">
        <f t="shared" si="9"/>
        <v>1.9</v>
      </c>
      <c r="R99" s="167">
        <f>VLOOKUP($B99,'Complexity of the crisis'!$C$6:$AN$170,22,FALSE)</f>
        <v>2.2999999999999998</v>
      </c>
      <c r="S99" s="167">
        <f>VLOOKUP($B99,'Complexity of the crisis'!$C$6:$AN$170,38,FALSE)</f>
        <v>1.5</v>
      </c>
      <c r="T99" s="171" t="str">
        <f>VLOOKUP(B99,Lists!$C$3:$E$167,3,FALSE)</f>
        <v>Americas</v>
      </c>
      <c r="U99" s="172">
        <v>44110</v>
      </c>
    </row>
    <row r="100" spans="1:21" x14ac:dyDescent="0.3">
      <c r="A100" s="168" t="str" cm="1">
        <f t="array" ref="A100">IFERROR(INDEX(Lists!$B$2:$B$160,SMALL(IF(Lists!$I$2:$I$160="Individual",ROW(Lists!$B$2:$B$160)),ROW(96:96))-1,1),"")</f>
        <v>Mindanao conflict</v>
      </c>
      <c r="B100" s="169" t="str">
        <f>VLOOKUP(A100,Lists!$B$2:$G$160,2,FALSE)</f>
        <v>PHL003</v>
      </c>
      <c r="C100" s="169" t="str">
        <f>VLOOKUP(B100,'INFORM Severity - hidden'!$C$5:$D$160,2,FALSE)</f>
        <v>Philippines</v>
      </c>
      <c r="D100" s="169" t="str">
        <f>VLOOKUP(A100,Lists!$B$2:$G$160,3,FALSE)</f>
        <v>PHL</v>
      </c>
      <c r="E100" s="170" t="str">
        <f>VLOOKUP(A100,Lists!$B$2:$G$160,5,FALSE)</f>
        <v>Conflict</v>
      </c>
      <c r="F100" s="164">
        <f t="shared" si="5"/>
        <v>2.2000000000000002</v>
      </c>
      <c r="G100" s="165">
        <f t="shared" si="6"/>
        <v>3</v>
      </c>
      <c r="H100" s="165" t="str">
        <f t="shared" si="7"/>
        <v>Medium</v>
      </c>
      <c r="I100" s="166" t="str">
        <f>INDEX(Trends!$D$3:$D$400,MATCH(B100,Trends!$C$3:$C$400,0))</f>
        <v>Stable</v>
      </c>
      <c r="J100" s="165" t="str">
        <f>VLOOKUP($B100,Reliability!$A$3:$I$170,9,FALSE)</f>
        <v>High</v>
      </c>
      <c r="K100" s="167">
        <f t="shared" si="8"/>
        <v>2.8</v>
      </c>
      <c r="L100" s="167">
        <f>VLOOKUP($B100,'Impact of the crisis'!$C$6:$N$170,12,FALSE)</f>
        <v>2.9</v>
      </c>
      <c r="M100" s="167">
        <f>VLOOKUP($B100,'Impact of the crisis'!$C$6:$AB$170,26,FALSE)</f>
        <v>2.8</v>
      </c>
      <c r="N100" s="167">
        <f>VLOOKUP($B100,'Conditions of people affected'!$C$6:$R$170,16,FALSE)</f>
        <v>1.5</v>
      </c>
      <c r="O100" s="167">
        <f>VLOOKUP($B100,'Conditions of people affected'!$C$6:$R$170,9,FALSE)</f>
        <v>2</v>
      </c>
      <c r="P100" s="167">
        <f>VLOOKUP($B100,'Conditions of people affected'!$C$6:$R$170,15,FALSE)</f>
        <v>1</v>
      </c>
      <c r="Q100" s="167">
        <f t="shared" si="9"/>
        <v>2.7</v>
      </c>
      <c r="R100" s="167">
        <f>VLOOKUP($B100,'Complexity of the crisis'!$C$6:$AN$170,22,FALSE)</f>
        <v>2.9</v>
      </c>
      <c r="S100" s="167">
        <f>VLOOKUP($B100,'Complexity of the crisis'!$C$6:$AN$170,38,FALSE)</f>
        <v>2.5</v>
      </c>
      <c r="T100" s="171" t="str">
        <f>VLOOKUP(B100,Lists!$C$3:$E$167,3,FALSE)</f>
        <v>Asia</v>
      </c>
      <c r="U100" s="172">
        <v>44132</v>
      </c>
    </row>
    <row r="101" spans="1:21" x14ac:dyDescent="0.3">
      <c r="A101" s="168" t="str" cm="1">
        <f t="array" ref="A101">IFERROR(INDEX(Lists!$B$2:$B$160,SMALL(IF(Lists!$I$2:$I$160="Individual",ROW(Lists!$B$2:$B$160)),ROW(97:97))-1,1),"")</f>
        <v>Mindanao Earthquake</v>
      </c>
      <c r="B101" s="169" t="str">
        <f>VLOOKUP(A101,Lists!$B$2:$G$160,2,FALSE)</f>
        <v>PHL004</v>
      </c>
      <c r="C101" s="169" t="str">
        <f>VLOOKUP(B101,'INFORM Severity - hidden'!$C$5:$D$160,2,FALSE)</f>
        <v>Philippines</v>
      </c>
      <c r="D101" s="169" t="str">
        <f>VLOOKUP(A101,Lists!$B$2:$G$160,3,FALSE)</f>
        <v>PHL</v>
      </c>
      <c r="E101" s="170" t="str">
        <f>VLOOKUP(A101,Lists!$B$2:$G$160,5,FALSE)</f>
        <v>Earthquake</v>
      </c>
      <c r="F101" s="164">
        <f t="shared" si="5"/>
        <v>1.8</v>
      </c>
      <c r="G101" s="165">
        <f t="shared" si="6"/>
        <v>2</v>
      </c>
      <c r="H101" s="165" t="str">
        <f t="shared" si="7"/>
        <v>Low</v>
      </c>
      <c r="I101" s="166" t="str">
        <f>INDEX(Trends!$D$3:$D$400,MATCH(B101,Trends!$C$3:$C$400,0))</f>
        <v>Decreasing</v>
      </c>
      <c r="J101" s="165" t="str">
        <f>VLOOKUP($B101,Reliability!$A$3:$I$170,9,FALSE)</f>
        <v>High</v>
      </c>
      <c r="K101" s="167">
        <f t="shared" si="8"/>
        <v>1.9</v>
      </c>
      <c r="L101" s="167">
        <f>VLOOKUP($B101,'Impact of the crisis'!$C$6:$N$170,12,FALSE)</f>
        <v>2.5</v>
      </c>
      <c r="M101" s="167">
        <f>VLOOKUP($B101,'Impact of the crisis'!$C$6:$AB$170,26,FALSE)</f>
        <v>1.5</v>
      </c>
      <c r="N101" s="167">
        <f>VLOOKUP($B101,'Conditions of people affected'!$C$6:$R$170,16,FALSE)</f>
        <v>1.25</v>
      </c>
      <c r="O101" s="167">
        <f>VLOOKUP($B101,'Conditions of people affected'!$C$6:$R$170,9,FALSE)</f>
        <v>1.5</v>
      </c>
      <c r="P101" s="167">
        <f>VLOOKUP($B101,'Conditions of people affected'!$C$6:$R$170,15,FALSE)</f>
        <v>1</v>
      </c>
      <c r="Q101" s="167">
        <f t="shared" si="9"/>
        <v>2.7</v>
      </c>
      <c r="R101" s="167">
        <f>VLOOKUP($B101,'Complexity of the crisis'!$C$6:$AN$170,22,FALSE)</f>
        <v>2.9</v>
      </c>
      <c r="S101" s="167">
        <f>VLOOKUP($B101,'Complexity of the crisis'!$C$6:$AN$170,38,FALSE)</f>
        <v>2.5</v>
      </c>
      <c r="T101" s="171" t="str">
        <f>VLOOKUP(B101,Lists!$C$3:$E$167,3,FALSE)</f>
        <v>Asia</v>
      </c>
      <c r="U101" s="172">
        <v>44132</v>
      </c>
    </row>
    <row r="102" spans="1:21" x14ac:dyDescent="0.3">
      <c r="A102" s="168" t="str" cm="1">
        <f t="array" ref="A102">IFERROR(INDEX(Lists!$B$2:$B$160,SMALL(IF(Lists!$I$2:$I$160="Individual",ROW(Lists!$B$2:$B$160)),ROW(98:98))-1,1),"")</f>
        <v>Burundi and DRC refugees in Rwanda</v>
      </c>
      <c r="B102" s="169" t="str">
        <f>VLOOKUP(A102,Lists!$B$2:$G$160,2,FALSE)</f>
        <v>RWA002</v>
      </c>
      <c r="C102" s="169" t="str">
        <f>VLOOKUP(B102,'INFORM Severity - hidden'!$C$5:$D$160,2,FALSE)</f>
        <v>Rwanda</v>
      </c>
      <c r="D102" s="169" t="str">
        <f>VLOOKUP(A102,Lists!$B$2:$G$160,3,FALSE)</f>
        <v>RWA</v>
      </c>
      <c r="E102" s="170" t="str">
        <f>VLOOKUP(A102,Lists!$B$2:$G$160,5,FALSE)</f>
        <v>International displacement</v>
      </c>
      <c r="F102" s="164">
        <f t="shared" si="5"/>
        <v>2</v>
      </c>
      <c r="G102" s="165">
        <f t="shared" si="6"/>
        <v>2</v>
      </c>
      <c r="H102" s="165" t="str">
        <f t="shared" si="7"/>
        <v>Low</v>
      </c>
      <c r="I102" s="166" t="str">
        <f>INDEX(Trends!$D$3:$D$400,MATCH(B102,Trends!$C$3:$C$400,0))</f>
        <v>Increasing</v>
      </c>
      <c r="J102" s="165" t="str">
        <f>VLOOKUP($B102,Reliability!$A$3:$I$170,9,FALSE)</f>
        <v>Medium</v>
      </c>
      <c r="K102" s="167">
        <f t="shared" si="8"/>
        <v>2.6</v>
      </c>
      <c r="L102" s="167">
        <f>VLOOKUP($B102,'Impact of the crisis'!$C$6:$N$170,12,FALSE)</f>
        <v>2.1</v>
      </c>
      <c r="M102" s="167">
        <f>VLOOKUP($B102,'Impact of the crisis'!$C$6:$AB$170,26,FALSE)</f>
        <v>2.8</v>
      </c>
      <c r="N102" s="167">
        <f>VLOOKUP($B102,'Conditions of people affected'!$C$6:$R$170,16,FALSE)</f>
        <v>1.5</v>
      </c>
      <c r="O102" s="167">
        <f>VLOOKUP($B102,'Conditions of people affected'!$C$6:$R$170,9,FALSE)</f>
        <v>2</v>
      </c>
      <c r="P102" s="167">
        <f>VLOOKUP($B102,'Conditions of people affected'!$C$6:$R$170,15,FALSE)</f>
        <v>1</v>
      </c>
      <c r="Q102" s="167">
        <f t="shared" si="9"/>
        <v>2.1</v>
      </c>
      <c r="R102" s="167">
        <f>VLOOKUP($B102,'Complexity of the crisis'!$C$6:$AN$170,22,FALSE)</f>
        <v>2.6</v>
      </c>
      <c r="S102" s="167">
        <f>VLOOKUP($B102,'Complexity of the crisis'!$C$6:$AN$170,38,FALSE)</f>
        <v>1.5</v>
      </c>
      <c r="T102" s="171" t="str">
        <f>VLOOKUP(B102,Lists!$C$3:$E$167,3,FALSE)</f>
        <v>Africa</v>
      </c>
      <c r="U102" s="172">
        <v>44134</v>
      </c>
    </row>
    <row r="103" spans="1:21" x14ac:dyDescent="0.3">
      <c r="A103" s="168" t="str" cm="1">
        <f t="array" ref="A103">IFERROR(INDEX(Lists!$B$2:$B$160,SMALL(IF(Lists!$I$2:$I$160="Individual",ROW(Lists!$B$2:$B$160)),ROW(99:99))-1,1),"")</f>
        <v>Drought in Senegal</v>
      </c>
      <c r="B103" s="169" t="str">
        <f>VLOOKUP(A103,Lists!$B$2:$G$160,2,FALSE)</f>
        <v>SEN002</v>
      </c>
      <c r="C103" s="169" t="str">
        <f>VLOOKUP(B103,'INFORM Severity - hidden'!$C$5:$D$160,2,FALSE)</f>
        <v>Senegal</v>
      </c>
      <c r="D103" s="169" t="str">
        <f>VLOOKUP(A103,Lists!$B$2:$G$160,3,FALSE)</f>
        <v>SEN</v>
      </c>
      <c r="E103" s="170" t="str">
        <f>VLOOKUP(A103,Lists!$B$2:$G$160,5,FALSE)</f>
        <v>Drought</v>
      </c>
      <c r="F103" s="164">
        <f t="shared" si="5"/>
        <v>2.4</v>
      </c>
      <c r="G103" s="165">
        <f t="shared" si="6"/>
        <v>3</v>
      </c>
      <c r="H103" s="165" t="str">
        <f t="shared" si="7"/>
        <v>Medium</v>
      </c>
      <c r="I103" s="166" t="str">
        <f>INDEX(Trends!$D$3:$D$400,MATCH(B103,Trends!$C$3:$C$400,0))</f>
        <v>Decreasing</v>
      </c>
      <c r="J103" s="165" t="str">
        <f>VLOOKUP($B103,Reliability!$A$3:$I$170,9,FALSE)</f>
        <v>Medium</v>
      </c>
      <c r="K103" s="167">
        <f t="shared" si="8"/>
        <v>2.7</v>
      </c>
      <c r="L103" s="167">
        <f>VLOOKUP($B103,'Impact of the crisis'!$C$6:$N$170,12,FALSE)</f>
        <v>4.5</v>
      </c>
      <c r="M103" s="167">
        <f>VLOOKUP($B103,'Impact of the crisis'!$C$6:$AB$170,26,FALSE)</f>
        <v>1.2</v>
      </c>
      <c r="N103" s="167">
        <f>VLOOKUP($B103,'Conditions of people affected'!$C$6:$R$170,16,FALSE)</f>
        <v>2.35</v>
      </c>
      <c r="O103" s="167">
        <f>VLOOKUP($B103,'Conditions of people affected'!$C$6:$R$170,9,FALSE)</f>
        <v>2.7</v>
      </c>
      <c r="P103" s="167">
        <f>VLOOKUP($B103,'Conditions of people affected'!$C$6:$R$170,15,FALSE)</f>
        <v>2</v>
      </c>
      <c r="Q103" s="167">
        <f t="shared" si="9"/>
        <v>2.2000000000000002</v>
      </c>
      <c r="R103" s="167">
        <f>VLOOKUP($B103,'Complexity of the crisis'!$C$6:$AN$170,22,FALSE)</f>
        <v>1.8</v>
      </c>
      <c r="S103" s="167">
        <f>VLOOKUP($B103,'Complexity of the crisis'!$C$6:$AN$170,38,FALSE)</f>
        <v>2.5</v>
      </c>
      <c r="T103" s="171" t="str">
        <f>VLOOKUP(B103,Lists!$C$3:$E$167,3,FALSE)</f>
        <v>Africa</v>
      </c>
      <c r="U103" s="172">
        <v>44109</v>
      </c>
    </row>
    <row r="104" spans="1:21" x14ac:dyDescent="0.3">
      <c r="A104" s="168" t="str" cm="1">
        <f t="array" ref="A104">IFERROR(INDEX(Lists!$B$2:$B$160,SMALL(IF(Lists!$I$2:$I$160="Individual",ROW(Lists!$B$2:$B$160)),ROW(100:100))-1,1),"")</f>
        <v>Complex crisis in Somalia</v>
      </c>
      <c r="B104" s="169" t="str">
        <f>VLOOKUP(A104,Lists!$B$2:$G$160,2,FALSE)</f>
        <v>SOM001</v>
      </c>
      <c r="C104" s="169" t="str">
        <f>VLOOKUP(B104,'INFORM Severity - hidden'!$C$5:$D$160,2,FALSE)</f>
        <v>Somalia</v>
      </c>
      <c r="D104" s="169" t="str">
        <f>VLOOKUP(A104,Lists!$B$2:$G$160,3,FALSE)</f>
        <v>SOM</v>
      </c>
      <c r="E104" s="170" t="str">
        <f>VLOOKUP(A104,Lists!$B$2:$G$160,5,FALSE)</f>
        <v>Complex crisis</v>
      </c>
      <c r="F104" s="164">
        <f t="shared" si="5"/>
        <v>4.5999999999999996</v>
      </c>
      <c r="G104" s="165">
        <f t="shared" si="6"/>
        <v>5</v>
      </c>
      <c r="H104" s="165" t="str">
        <f t="shared" si="7"/>
        <v>Very High</v>
      </c>
      <c r="I104" s="166" t="str">
        <f>INDEX(Trends!$D$3:$D$400,MATCH(B104,Trends!$C$3:$C$400,0))</f>
        <v>Decreasing</v>
      </c>
      <c r="J104" s="165" t="str">
        <f>VLOOKUP($B104,Reliability!$A$3:$I$170,9,FALSE)</f>
        <v>High</v>
      </c>
      <c r="K104" s="167">
        <f t="shared" si="8"/>
        <v>4.7</v>
      </c>
      <c r="L104" s="167">
        <f>VLOOKUP($B104,'Impact of the crisis'!$C$6:$N$170,12,FALSE)</f>
        <v>4.5999999999999996</v>
      </c>
      <c r="M104" s="167">
        <f>VLOOKUP($B104,'Impact of the crisis'!$C$6:$AB$170,26,FALSE)</f>
        <v>4.8</v>
      </c>
      <c r="N104" s="167">
        <f>VLOOKUP($B104,'Conditions of people affected'!$C$6:$R$170,16,FALSE)</f>
        <v>4.75</v>
      </c>
      <c r="O104" s="167">
        <f>VLOOKUP($B104,'Conditions of people affected'!$C$6:$R$170,9,FALSE)</f>
        <v>4.5</v>
      </c>
      <c r="P104" s="167">
        <f>VLOOKUP($B104,'Conditions of people affected'!$C$6:$R$170,15,FALSE)</f>
        <v>5</v>
      </c>
      <c r="Q104" s="167">
        <f t="shared" si="9"/>
        <v>4.2</v>
      </c>
      <c r="R104" s="167">
        <f>VLOOKUP($B104,'Complexity of the crisis'!$C$6:$AN$170,22,FALSE)</f>
        <v>3.9</v>
      </c>
      <c r="S104" s="167">
        <f>VLOOKUP($B104,'Complexity of the crisis'!$C$6:$AN$170,38,FALSE)</f>
        <v>4.5</v>
      </c>
      <c r="T104" s="171" t="str">
        <f>VLOOKUP(B104,Lists!$C$3:$E$167,3,FALSE)</f>
        <v>Africa</v>
      </c>
      <c r="U104" s="172">
        <v>44140</v>
      </c>
    </row>
    <row r="105" spans="1:21" x14ac:dyDescent="0.3">
      <c r="A105" s="168" t="str" cm="1">
        <f t="array" ref="A105">IFERROR(INDEX(Lists!$B$2:$B$160,SMALL(IF(Lists!$I$2:$I$160="Individual",ROW(Lists!$B$2:$B$160)),ROW(101:101))-1,1),"")</f>
        <v>Mixed Migration Flows in Somalia</v>
      </c>
      <c r="B105" s="169" t="str">
        <f>VLOOKUP(A105,Lists!$B$2:$G$160,2,FALSE)</f>
        <v>SOM002</v>
      </c>
      <c r="C105" s="169" t="str">
        <f>VLOOKUP(B105,'INFORM Severity - hidden'!$C$5:$D$160,2,FALSE)</f>
        <v>Somalia</v>
      </c>
      <c r="D105" s="169" t="str">
        <f>VLOOKUP(A105,Lists!$B$2:$G$160,3,FALSE)</f>
        <v>SOM</v>
      </c>
      <c r="E105" s="170" t="str">
        <f>VLOOKUP(A105,Lists!$B$2:$G$160,5,FALSE)</f>
        <v>International displacement</v>
      </c>
      <c r="F105" s="164">
        <f t="shared" si="5"/>
        <v>1.9</v>
      </c>
      <c r="G105" s="165">
        <f t="shared" si="6"/>
        <v>2</v>
      </c>
      <c r="H105" s="165" t="str">
        <f t="shared" si="7"/>
        <v>Low</v>
      </c>
      <c r="I105" s="166" t="str">
        <f>INDEX(Trends!$D$3:$D$400,MATCH(B105,Trends!$C$3:$C$400,0))</f>
        <v>Decreasing</v>
      </c>
      <c r="J105" s="165" t="str">
        <f>VLOOKUP($B105,Reliability!$A$3:$I$170,9,FALSE)</f>
        <v>Medium</v>
      </c>
      <c r="K105" s="167">
        <f t="shared" si="8"/>
        <v>1.8</v>
      </c>
      <c r="L105" s="167">
        <f>VLOOKUP($B105,'Impact of the crisis'!$C$6:$N$170,12,FALSE)</f>
        <v>0.8</v>
      </c>
      <c r="M105" s="167">
        <f>VLOOKUP($B105,'Impact of the crisis'!$C$6:$AB$170,26,FALSE)</f>
        <v>2.2000000000000002</v>
      </c>
      <c r="N105" s="167">
        <f>VLOOKUP($B105,'Conditions of people affected'!$C$6:$R$170,16,FALSE)</f>
        <v>0.95</v>
      </c>
      <c r="O105" s="167">
        <f>VLOOKUP($B105,'Conditions of people affected'!$C$6:$R$170,9,FALSE)</f>
        <v>0.9</v>
      </c>
      <c r="P105" s="167">
        <f>VLOOKUP($B105,'Conditions of people affected'!$C$6:$R$170,15,FALSE)</f>
        <v>1</v>
      </c>
      <c r="Q105" s="167">
        <f t="shared" si="9"/>
        <v>3.5</v>
      </c>
      <c r="R105" s="167">
        <f>VLOOKUP($B105,'Complexity of the crisis'!$C$6:$AN$170,22,FALSE)</f>
        <v>3.9</v>
      </c>
      <c r="S105" s="167">
        <f>VLOOKUP($B105,'Complexity of the crisis'!$C$6:$AN$170,38,FALSE)</f>
        <v>3</v>
      </c>
      <c r="T105" s="171" t="str">
        <f>VLOOKUP(B105,Lists!$C$3:$E$167,3,FALSE)</f>
        <v>Africa</v>
      </c>
      <c r="U105" s="172">
        <v>44064</v>
      </c>
    </row>
    <row r="106" spans="1:21" x14ac:dyDescent="0.3">
      <c r="A106" s="168" t="str" cm="1">
        <f t="array" ref="A106">IFERROR(INDEX(Lists!$B$2:$B$160,SMALL(IF(Lists!$I$2:$I$160="Individual",ROW(Lists!$B$2:$B$160)),ROW(102:102))-1,1),"")</f>
        <v>Floods in Somalia</v>
      </c>
      <c r="B106" s="169" t="str">
        <f>VLOOKUP(A106,Lists!$B$2:$G$160,2,FALSE)</f>
        <v>SOM004</v>
      </c>
      <c r="C106" s="169" t="str">
        <f>VLOOKUP(B106,'INFORM Severity - hidden'!$C$5:$D$160,2,FALSE)</f>
        <v>Somalia</v>
      </c>
      <c r="D106" s="169" t="str">
        <f>VLOOKUP(A106,Lists!$B$2:$G$160,3,FALSE)</f>
        <v>SOM</v>
      </c>
      <c r="E106" s="170" t="str">
        <f>VLOOKUP(A106,Lists!$B$2:$G$160,5,FALSE)</f>
        <v>Flood</v>
      </c>
      <c r="F106" s="164">
        <f t="shared" si="5"/>
        <v>3</v>
      </c>
      <c r="G106" s="165">
        <f t="shared" si="6"/>
        <v>3</v>
      </c>
      <c r="H106" s="165" t="str">
        <f t="shared" si="7"/>
        <v>Medium</v>
      </c>
      <c r="I106" s="166" t="str">
        <f>INDEX(Trends!$D$3:$D$400,MATCH(B106,Trends!$C$3:$C$400,0))</f>
        <v>Increasing</v>
      </c>
      <c r="J106" s="165" t="str">
        <f>VLOOKUP($B106,Reliability!$A$3:$I$170,9,FALSE)</f>
        <v>Medium</v>
      </c>
      <c r="K106" s="167">
        <f t="shared" si="8"/>
        <v>2.5</v>
      </c>
      <c r="L106" s="167">
        <f>VLOOKUP($B106,'Impact of the crisis'!$C$6:$N$170,12,FALSE)</f>
        <v>2.6</v>
      </c>
      <c r="M106" s="167">
        <f>VLOOKUP($B106,'Impact of the crisis'!$C$6:$AB$170,26,FALSE)</f>
        <v>2.4</v>
      </c>
      <c r="N106" s="167">
        <f>VLOOKUP($B106,'Conditions of people affected'!$C$6:$R$170,16,FALSE)</f>
        <v>2.7</v>
      </c>
      <c r="O106" s="167">
        <f>VLOOKUP($B106,'Conditions of people affected'!$C$6:$R$170,9,FALSE)</f>
        <v>2.4</v>
      </c>
      <c r="P106" s="167">
        <f>VLOOKUP($B106,'Conditions of people affected'!$C$6:$R$170,15,FALSE)</f>
        <v>3</v>
      </c>
      <c r="Q106" s="167">
        <f t="shared" si="9"/>
        <v>4</v>
      </c>
      <c r="R106" s="167">
        <f>VLOOKUP($B106,'Complexity of the crisis'!$C$6:$AN$170,22,FALSE)</f>
        <v>3.9</v>
      </c>
      <c r="S106" s="167">
        <f>VLOOKUP($B106,'Complexity of the crisis'!$C$6:$AN$170,38,FALSE)</f>
        <v>4</v>
      </c>
      <c r="T106" s="171" t="str">
        <f>VLOOKUP(B106,Lists!$C$3:$E$167,3,FALSE)</f>
        <v>Africa</v>
      </c>
      <c r="U106" s="172">
        <v>44064</v>
      </c>
    </row>
    <row r="107" spans="1:21" x14ac:dyDescent="0.3">
      <c r="A107" s="168" t="str" cm="1">
        <f t="array" ref="A107">IFERROR(INDEX(Lists!$B$2:$B$160,SMALL(IF(Lists!$I$2:$I$160="Individual",ROW(Lists!$B$2:$B$160)),ROW(103:103))-1,1),"")</f>
        <v>Complex crisis in South Sudan</v>
      </c>
      <c r="B107" s="169" t="str">
        <f>VLOOKUP(A107,Lists!$B$2:$G$160,2,FALSE)</f>
        <v>SSD001</v>
      </c>
      <c r="C107" s="169" t="str">
        <f>VLOOKUP(B107,'INFORM Severity - hidden'!$C$5:$D$160,2,FALSE)</f>
        <v>South Sudan</v>
      </c>
      <c r="D107" s="169" t="str">
        <f>VLOOKUP(A107,Lists!$B$2:$G$160,3,FALSE)</f>
        <v>SSD</v>
      </c>
      <c r="E107" s="170" t="str">
        <f>VLOOKUP(A107,Lists!$B$2:$G$160,5,FALSE)</f>
        <v>Complex crisis</v>
      </c>
      <c r="F107" s="164">
        <f t="shared" si="5"/>
        <v>4.4000000000000004</v>
      </c>
      <c r="G107" s="165">
        <f t="shared" si="6"/>
        <v>5</v>
      </c>
      <c r="H107" s="165" t="str">
        <f t="shared" si="7"/>
        <v>Very High</v>
      </c>
      <c r="I107" s="166" t="str">
        <f>INDEX(Trends!$D$3:$D$400,MATCH(B107,Trends!$C$3:$C$400,0))</f>
        <v>Increasing</v>
      </c>
      <c r="J107" s="165" t="str">
        <f>VLOOKUP($B107,Reliability!$A$3:$I$170,9,FALSE)</f>
        <v>Medium</v>
      </c>
      <c r="K107" s="167">
        <f t="shared" si="8"/>
        <v>4.7</v>
      </c>
      <c r="L107" s="167">
        <f>VLOOKUP($B107,'Impact of the crisis'!$C$6:$N$170,12,FALSE)</f>
        <v>4.5999999999999996</v>
      </c>
      <c r="M107" s="167">
        <f>VLOOKUP($B107,'Impact of the crisis'!$C$6:$AB$170,26,FALSE)</f>
        <v>4.8</v>
      </c>
      <c r="N107" s="167">
        <f>VLOOKUP($B107,'Conditions of people affected'!$C$6:$R$170,16,FALSE)</f>
        <v>4.4000000000000004</v>
      </c>
      <c r="O107" s="167">
        <f>VLOOKUP($B107,'Conditions of people affected'!$C$6:$R$170,9,FALSE)</f>
        <v>4.8</v>
      </c>
      <c r="P107" s="167">
        <f>VLOOKUP($B107,'Conditions of people affected'!$C$6:$R$170,15,FALSE)</f>
        <v>4</v>
      </c>
      <c r="Q107" s="167">
        <f t="shared" si="9"/>
        <v>4.0999999999999996</v>
      </c>
      <c r="R107" s="167">
        <f>VLOOKUP($B107,'Complexity of the crisis'!$C$6:$AN$170,22,FALSE)</f>
        <v>3.7</v>
      </c>
      <c r="S107" s="167">
        <f>VLOOKUP($B107,'Complexity of the crisis'!$C$6:$AN$170,38,FALSE)</f>
        <v>4.5</v>
      </c>
      <c r="T107" s="171" t="str">
        <f>VLOOKUP(B107,Lists!$C$3:$E$167,3,FALSE)</f>
        <v>Africa</v>
      </c>
      <c r="U107" s="172">
        <v>44140</v>
      </c>
    </row>
    <row r="108" spans="1:21" x14ac:dyDescent="0.3">
      <c r="A108" s="168" t="str" cm="1">
        <f t="array" ref="A108">IFERROR(INDEX(Lists!$B$2:$B$160,SMALL(IF(Lists!$I$2:$I$160="Individual",ROW(Lists!$B$2:$B$160)),ROW(104:104))-1,1),"")</f>
        <v>Complex crisis in Sudan</v>
      </c>
      <c r="B108" s="169" t="str">
        <f>VLOOKUP(A108,Lists!$B$2:$G$160,2,FALSE)</f>
        <v>SDN001</v>
      </c>
      <c r="C108" s="169" t="str">
        <f>VLOOKUP(B108,'INFORM Severity - hidden'!$C$5:$D$160,2,FALSE)</f>
        <v>Sudan</v>
      </c>
      <c r="D108" s="169" t="str">
        <f>VLOOKUP(A108,Lists!$B$2:$G$160,3,FALSE)</f>
        <v>SDN</v>
      </c>
      <c r="E108" s="170" t="str">
        <f>VLOOKUP(A108,Lists!$B$2:$G$160,5,FALSE)</f>
        <v>Complex crisis</v>
      </c>
      <c r="F108" s="164">
        <f t="shared" si="5"/>
        <v>4.5999999999999996</v>
      </c>
      <c r="G108" s="165">
        <f t="shared" si="6"/>
        <v>5</v>
      </c>
      <c r="H108" s="165" t="str">
        <f t="shared" si="7"/>
        <v>Very High</v>
      </c>
      <c r="I108" s="166" t="str">
        <f>INDEX(Trends!$D$3:$D$400,MATCH(B108,Trends!$C$3:$C$400,0))</f>
        <v>Stable</v>
      </c>
      <c r="J108" s="165" t="str">
        <f>VLOOKUP($B108,Reliability!$A$3:$I$170,9,FALSE)</f>
        <v>High</v>
      </c>
      <c r="K108" s="167">
        <f t="shared" si="8"/>
        <v>4.2</v>
      </c>
      <c r="L108" s="167">
        <f>VLOOKUP($B108,'Impact of the crisis'!$C$6:$N$170,12,FALSE)</f>
        <v>4.8</v>
      </c>
      <c r="M108" s="167">
        <f>VLOOKUP($B108,'Impact of the crisis'!$C$6:$AB$170,26,FALSE)</f>
        <v>3.9</v>
      </c>
      <c r="N108" s="167">
        <f>VLOOKUP($B108,'Conditions of people affected'!$C$6:$R$170,16,FALSE)</f>
        <v>4.95</v>
      </c>
      <c r="O108" s="167">
        <f>VLOOKUP($B108,'Conditions of people affected'!$C$6:$R$170,9,FALSE)</f>
        <v>4.9000000000000004</v>
      </c>
      <c r="P108" s="167">
        <f>VLOOKUP($B108,'Conditions of people affected'!$C$6:$R$170,15,FALSE)</f>
        <v>5</v>
      </c>
      <c r="Q108" s="167">
        <f t="shared" si="9"/>
        <v>4.2</v>
      </c>
      <c r="R108" s="167">
        <f>VLOOKUP($B108,'Complexity of the crisis'!$C$6:$AN$170,22,FALSE)</f>
        <v>3.9</v>
      </c>
      <c r="S108" s="167">
        <f>VLOOKUP($B108,'Complexity of the crisis'!$C$6:$AN$170,38,FALSE)</f>
        <v>4.5</v>
      </c>
      <c r="T108" s="171" t="str">
        <f>VLOOKUP(B108,Lists!$C$3:$E$167,3,FALSE)</f>
        <v>Africa</v>
      </c>
      <c r="U108" s="172">
        <v>44140</v>
      </c>
    </row>
    <row r="109" spans="1:21" x14ac:dyDescent="0.3">
      <c r="A109" s="168" t="str" cm="1">
        <f t="array" ref="A109">IFERROR(INDEX(Lists!$B$2:$B$160,SMALL(IF(Lists!$I$2:$I$160="Individual",ROW(Lists!$B$2:$B$160)),ROW(105:105))-1,1),"")</f>
        <v>Refugees in Sudan</v>
      </c>
      <c r="B109" s="169" t="str">
        <f>VLOOKUP(A109,Lists!$B$2:$G$160,2,FALSE)</f>
        <v>SDN005</v>
      </c>
      <c r="C109" s="169" t="str">
        <f>VLOOKUP(B109,'INFORM Severity - hidden'!$C$5:$D$160,2,FALSE)</f>
        <v>Sudan</v>
      </c>
      <c r="D109" s="169" t="str">
        <f>VLOOKUP(A109,Lists!$B$2:$G$160,3,FALSE)</f>
        <v>SDN</v>
      </c>
      <c r="E109" s="170" t="str">
        <f>VLOOKUP(A109,Lists!$B$2:$G$160,5,FALSE)</f>
        <v>International displacement</v>
      </c>
      <c r="F109" s="164">
        <f t="shared" si="5"/>
        <v>3.8</v>
      </c>
      <c r="G109" s="165">
        <f t="shared" si="6"/>
        <v>4</v>
      </c>
      <c r="H109" s="165" t="str">
        <f t="shared" si="7"/>
        <v>High</v>
      </c>
      <c r="I109" s="166" t="str">
        <f>INDEX(Trends!$D$3:$D$400,MATCH(B109,Trends!$C$3:$C$400,0))</f>
        <v>Stable</v>
      </c>
      <c r="J109" s="165" t="str">
        <f>VLOOKUP($B109,Reliability!$A$3:$I$170,9,FALSE)</f>
        <v>Medium</v>
      </c>
      <c r="K109" s="167">
        <f t="shared" si="8"/>
        <v>3.5</v>
      </c>
      <c r="L109" s="167">
        <f>VLOOKUP($B109,'Impact of the crisis'!$C$6:$N$170,12,FALSE)</f>
        <v>0.6</v>
      </c>
      <c r="M109" s="167">
        <f>VLOOKUP($B109,'Impact of the crisis'!$C$6:$AB$170,26,FALSE)</f>
        <v>4.3</v>
      </c>
      <c r="N109" s="167">
        <f>VLOOKUP($B109,'Conditions of people affected'!$C$6:$R$170,16,FALSE)</f>
        <v>4.2</v>
      </c>
      <c r="O109" s="167">
        <f>VLOOKUP($B109,'Conditions of people affected'!$C$6:$R$170,9,FALSE)</f>
        <v>3.4</v>
      </c>
      <c r="P109" s="167">
        <f>VLOOKUP($B109,'Conditions of people affected'!$C$6:$R$170,15,FALSE)</f>
        <v>5</v>
      </c>
      <c r="Q109" s="167">
        <f t="shared" si="9"/>
        <v>3.3</v>
      </c>
      <c r="R109" s="167">
        <f>VLOOKUP($B109,'Complexity of the crisis'!$C$6:$AN$170,22,FALSE)</f>
        <v>3.9</v>
      </c>
      <c r="S109" s="167">
        <f>VLOOKUP($B109,'Complexity of the crisis'!$C$6:$AN$170,38,FALSE)</f>
        <v>2.5</v>
      </c>
      <c r="T109" s="171" t="str">
        <f>VLOOKUP(B109,Lists!$C$3:$E$167,3,FALSE)</f>
        <v>Africa</v>
      </c>
      <c r="U109" s="172">
        <v>44064</v>
      </c>
    </row>
    <row r="110" spans="1:21" x14ac:dyDescent="0.3">
      <c r="A110" s="168" t="str" cm="1">
        <f t="array" ref="A110">IFERROR(INDEX(Lists!$B$2:$B$160,SMALL(IF(Lists!$I$2:$I$160="Individual",ROW(Lists!$B$2:$B$160)),ROW(106:106))-1,1),"")</f>
        <v xml:space="preserve">Floods in Sudan </v>
      </c>
      <c r="B110" s="169" t="str">
        <f>VLOOKUP(A110,Lists!$B$2:$G$160,2,FALSE)</f>
        <v>SDN006</v>
      </c>
      <c r="C110" s="169" t="str">
        <f>VLOOKUP(B110,'INFORM Severity - hidden'!$C$5:$D$160,2,FALSE)</f>
        <v>Sudan</v>
      </c>
      <c r="D110" s="169" t="str">
        <f>VLOOKUP(A110,Lists!$B$2:$G$160,3,FALSE)</f>
        <v>SDN</v>
      </c>
      <c r="E110" s="170" t="str">
        <f>VLOOKUP(A110,Lists!$B$2:$G$160,5,FALSE)</f>
        <v>Flood</v>
      </c>
      <c r="F110" s="164">
        <f t="shared" si="5"/>
        <v>2.6</v>
      </c>
      <c r="G110" s="165">
        <f t="shared" si="6"/>
        <v>3</v>
      </c>
      <c r="H110" s="165" t="str">
        <f t="shared" si="7"/>
        <v>Medium</v>
      </c>
      <c r="I110" s="166" t="str">
        <f>INDEX(Trends!$D$3:$D$400,MATCH(B110,Trends!$C$3:$C$400,0))</f>
        <v>-</v>
      </c>
      <c r="J110" s="165" t="str">
        <f>VLOOKUP($B110,Reliability!$A$3:$I$170,9,FALSE)</f>
        <v>High</v>
      </c>
      <c r="K110" s="167">
        <f t="shared" si="8"/>
        <v>3.8</v>
      </c>
      <c r="L110" s="167">
        <f>VLOOKUP($B110,'Impact of the crisis'!$C$6:$N$170,12,FALSE)</f>
        <v>4.8</v>
      </c>
      <c r="M110" s="167">
        <f>VLOOKUP($B110,'Impact of the crisis'!$C$6:$AB$170,26,FALSE)</f>
        <v>3.1</v>
      </c>
      <c r="N110" s="167">
        <f>VLOOKUP($B110,'Conditions of people affected'!$C$6:$R$170,16,FALSE)</f>
        <v>1.1000000000000001</v>
      </c>
      <c r="O110" s="167">
        <f>VLOOKUP($B110,'Conditions of people affected'!$C$6:$R$170,9,FALSE)</f>
        <v>1.2</v>
      </c>
      <c r="P110" s="167">
        <f>VLOOKUP($B110,'Conditions of people affected'!$C$6:$R$170,15,FALSE)</f>
        <v>1</v>
      </c>
      <c r="Q110" s="167">
        <f t="shared" si="9"/>
        <v>3.5</v>
      </c>
      <c r="R110" s="167">
        <f>VLOOKUP($B110,'Complexity of the crisis'!$C$6:$AN$170,22,FALSE)</f>
        <v>3.9</v>
      </c>
      <c r="S110" s="167">
        <f>VLOOKUP($B110,'Complexity of the crisis'!$C$6:$AN$170,38,FALSE)</f>
        <v>3</v>
      </c>
      <c r="T110" s="171" t="str">
        <f>VLOOKUP(B110,Lists!$C$3:$E$167,3,FALSE)</f>
        <v>Africa</v>
      </c>
      <c r="U110" s="172">
        <v>44140</v>
      </c>
    </row>
    <row r="111" spans="1:21" x14ac:dyDescent="0.3">
      <c r="A111" s="168" t="str" cm="1">
        <f t="array" ref="A111">IFERROR(INDEX(Lists!$B$2:$B$160,SMALL(IF(Lists!$I$2:$I$160="Individual",ROW(Lists!$B$2:$B$160)),ROW(107:107))-1,1),"")</f>
        <v>Syrian conflict</v>
      </c>
      <c r="B111" s="169" t="str">
        <f>VLOOKUP(A111,Lists!$B$2:$G$160,2,FALSE)</f>
        <v>SYR001</v>
      </c>
      <c r="C111" s="169" t="str">
        <f>VLOOKUP(B111,'INFORM Severity - hidden'!$C$5:$D$160,2,FALSE)</f>
        <v>Syria</v>
      </c>
      <c r="D111" s="169" t="str">
        <f>VLOOKUP(A111,Lists!$B$2:$G$160,3,FALSE)</f>
        <v>SYR</v>
      </c>
      <c r="E111" s="170" t="str">
        <f>VLOOKUP(A111,Lists!$B$2:$G$160,5,FALSE)</f>
        <v>Complex crisis</v>
      </c>
      <c r="F111" s="164">
        <f t="shared" si="5"/>
        <v>4.9000000000000004</v>
      </c>
      <c r="G111" s="165">
        <f t="shared" si="6"/>
        <v>5</v>
      </c>
      <c r="H111" s="165" t="str">
        <f t="shared" si="7"/>
        <v>Very High</v>
      </c>
      <c r="I111" s="166" t="str">
        <f>INDEX(Trends!$D$3:$D$400,MATCH(B111,Trends!$C$3:$C$400,0))</f>
        <v>Stable</v>
      </c>
      <c r="J111" s="165" t="str">
        <f>VLOOKUP($B111,Reliability!$A$3:$I$170,9,FALSE)</f>
        <v>Medium</v>
      </c>
      <c r="K111" s="167">
        <f t="shared" si="8"/>
        <v>4.8</v>
      </c>
      <c r="L111" s="167">
        <f>VLOOKUP($B111,'Impact of the crisis'!$C$6:$N$170,12,FALSE)</f>
        <v>4.5</v>
      </c>
      <c r="M111" s="167">
        <f>VLOOKUP($B111,'Impact of the crisis'!$C$6:$AB$170,26,FALSE)</f>
        <v>4.9000000000000004</v>
      </c>
      <c r="N111" s="167">
        <f>VLOOKUP($B111,'Conditions of people affected'!$C$6:$R$170,16,FALSE)</f>
        <v>5</v>
      </c>
      <c r="O111" s="167">
        <f>VLOOKUP($B111,'Conditions of people affected'!$C$6:$R$170,9,FALSE)</f>
        <v>5</v>
      </c>
      <c r="P111" s="167">
        <f>VLOOKUP($B111,'Conditions of people affected'!$C$6:$R$170,15,FALSE)</f>
        <v>5</v>
      </c>
      <c r="Q111" s="167">
        <f t="shared" si="9"/>
        <v>4.8</v>
      </c>
      <c r="R111" s="167">
        <f>VLOOKUP($B111,'Complexity of the crisis'!$C$6:$AN$170,22,FALSE)</f>
        <v>4.5</v>
      </c>
      <c r="S111" s="167">
        <f>VLOOKUP($B111,'Complexity of the crisis'!$C$6:$AN$170,38,FALSE)</f>
        <v>5</v>
      </c>
      <c r="T111" s="171" t="str">
        <f>VLOOKUP(B111,Lists!$C$3:$E$167,3,FALSE)</f>
        <v>Middle east</v>
      </c>
      <c r="U111" s="172">
        <v>44130</v>
      </c>
    </row>
    <row r="112" spans="1:21" x14ac:dyDescent="0.3">
      <c r="A112" s="168" t="str" cm="1">
        <f t="array" ref="A112">IFERROR(INDEX(Lists!$B$2:$B$160,SMALL(IF(Lists!$I$2:$I$160="Individual",ROW(Lists!$B$2:$B$160)),ROW(108:108))-1,1),"")</f>
        <v>Syrian Regional Crisis</v>
      </c>
      <c r="B112" s="169" t="str">
        <f>VLOOKUP(A112,Lists!$B$2:$G$160,2,FALSE)</f>
        <v>REG004</v>
      </c>
      <c r="C112" s="169" t="str">
        <f>VLOOKUP(B112,'INFORM Severity - hidden'!$C$5:$D$160,2,FALSE)</f>
        <v>Syria, Turkey, Iraq, Egypt, Jordan, Lebanon</v>
      </c>
      <c r="D112" s="169" t="str">
        <f>VLOOKUP(A112,Lists!$B$2:$G$160,3,FALSE)</f>
        <v>SYR, TUR, IRQ, EGY, JOR, LBN</v>
      </c>
      <c r="E112" s="170" t="str">
        <f>VLOOKUP(A112,Lists!$B$2:$G$160,5,FALSE)</f>
        <v>Regional crisis</v>
      </c>
      <c r="F112" s="164">
        <f t="shared" si="5"/>
        <v>4.2</v>
      </c>
      <c r="G112" s="165">
        <f t="shared" si="6"/>
        <v>5</v>
      </c>
      <c r="H112" s="165" t="str">
        <f t="shared" si="7"/>
        <v>Very High</v>
      </c>
      <c r="I112" s="166" t="str">
        <f>INDEX(Trends!$D$3:$D$400,MATCH(B112,Trends!$C$3:$C$400,0))</f>
        <v>Stable</v>
      </c>
      <c r="J112" s="165" t="str">
        <f>VLOOKUP($B112,Reliability!$A$3:$I$170,9,FALSE)</f>
        <v>High</v>
      </c>
      <c r="K112" s="167">
        <f t="shared" si="8"/>
        <v>4</v>
      </c>
      <c r="L112" s="167">
        <f>VLOOKUP($B112,'Impact of the crisis'!$C$6:$N$170,12,FALSE)</f>
        <v>3.1</v>
      </c>
      <c r="M112" s="167">
        <f>VLOOKUP($B112,'Impact of the crisis'!$C$6:$AB$170,26,FALSE)</f>
        <v>4.3</v>
      </c>
      <c r="N112" s="167">
        <f>VLOOKUP($B112,'Conditions of people affected'!$C$6:$R$170,16,FALSE)</f>
        <v>4.5</v>
      </c>
      <c r="O112" s="167">
        <f>VLOOKUP($B112,'Conditions of people affected'!$C$6:$R$170,9,FALSE)</f>
        <v>5</v>
      </c>
      <c r="P112" s="167">
        <f>VLOOKUP($B112,'Conditions of people affected'!$C$6:$R$170,15,FALSE)</f>
        <v>4</v>
      </c>
      <c r="Q112" s="167">
        <f t="shared" si="9"/>
        <v>3.8</v>
      </c>
      <c r="R112" s="167">
        <f>VLOOKUP($B112,'Complexity of the crisis'!$C$6:$AN$170,22,FALSE)</f>
        <v>3.6</v>
      </c>
      <c r="S112" s="167">
        <f>VLOOKUP($B112,'Complexity of the crisis'!$C$6:$AN$170,38,FALSE)</f>
        <v>4</v>
      </c>
      <c r="T112" s="171" t="str">
        <f>VLOOKUP(B112,Lists!$C$3:$E$167,3,FALSE)</f>
        <v>Middle east</v>
      </c>
      <c r="U112" s="172">
        <v>44109</v>
      </c>
    </row>
    <row r="113" spans="1:21" x14ac:dyDescent="0.3">
      <c r="A113" s="168" t="str" cm="1">
        <f t="array" ref="A113">IFERROR(INDEX(Lists!$B$2:$B$160,SMALL(IF(Lists!$I$2:$I$160="Individual",ROW(Lists!$B$2:$B$160)),ROW(109:109))-1,1),"")</f>
        <v>International Displacement in Tanzania</v>
      </c>
      <c r="B113" s="169" t="str">
        <f>VLOOKUP(A113,Lists!$B$2:$G$160,2,FALSE)</f>
        <v>TZA002</v>
      </c>
      <c r="C113" s="169" t="str">
        <f>VLOOKUP(B113,'INFORM Severity - hidden'!$C$5:$D$160,2,FALSE)</f>
        <v>Tanzania</v>
      </c>
      <c r="D113" s="169" t="str">
        <f>VLOOKUP(A113,Lists!$B$2:$G$160,3,FALSE)</f>
        <v>TZA</v>
      </c>
      <c r="E113" s="170" t="str">
        <f>VLOOKUP(A113,Lists!$B$2:$G$160,5,FALSE)</f>
        <v>International displacement</v>
      </c>
      <c r="F113" s="164">
        <f t="shared" si="5"/>
        <v>1.7</v>
      </c>
      <c r="G113" s="165">
        <f t="shared" si="6"/>
        <v>2</v>
      </c>
      <c r="H113" s="165" t="str">
        <f t="shared" si="7"/>
        <v>Low</v>
      </c>
      <c r="I113" s="166" t="str">
        <f>INDEX(Trends!$D$3:$D$400,MATCH(B113,Trends!$C$3:$C$400,0))</f>
        <v>Increasing</v>
      </c>
      <c r="J113" s="165" t="str">
        <f>VLOOKUP($B113,Reliability!$A$3:$I$170,9,FALSE)</f>
        <v>High</v>
      </c>
      <c r="K113" s="167">
        <f t="shared" si="8"/>
        <v>2</v>
      </c>
      <c r="L113" s="167">
        <f>VLOOKUP($B113,'Impact of the crisis'!$C$6:$N$170,12,FALSE)</f>
        <v>2.2999999999999998</v>
      </c>
      <c r="M113" s="167">
        <f>VLOOKUP($B113,'Impact of the crisis'!$C$6:$AB$170,26,FALSE)</f>
        <v>1.9</v>
      </c>
      <c r="N113" s="167">
        <f>VLOOKUP($B113,'Conditions of people affected'!$C$6:$R$170,16,FALSE)</f>
        <v>1.7</v>
      </c>
      <c r="O113" s="167">
        <f>VLOOKUP($B113,'Conditions of people affected'!$C$6:$R$170,9,FALSE)</f>
        <v>2.4</v>
      </c>
      <c r="P113" s="167">
        <f>VLOOKUP($B113,'Conditions of people affected'!$C$6:$R$170,15,FALSE)</f>
        <v>1</v>
      </c>
      <c r="Q113" s="167">
        <f t="shared" si="9"/>
        <v>1.6</v>
      </c>
      <c r="R113" s="167">
        <f>VLOOKUP($B113,'Complexity of the crisis'!$C$6:$AN$170,22,FALSE)</f>
        <v>1.7</v>
      </c>
      <c r="S113" s="167">
        <f>VLOOKUP($B113,'Complexity of the crisis'!$C$6:$AN$170,38,FALSE)</f>
        <v>1.5</v>
      </c>
      <c r="T113" s="171" t="str">
        <f>VLOOKUP(B113,Lists!$C$3:$E$167,3,FALSE)</f>
        <v>Africa</v>
      </c>
      <c r="U113" s="172">
        <v>44134</v>
      </c>
    </row>
    <row r="114" spans="1:21" x14ac:dyDescent="0.3">
      <c r="A114" s="168" t="str" cm="1">
        <f t="array" ref="A114">IFERROR(INDEX(Lists!$B$2:$B$160,SMALL(IF(Lists!$I$2:$I$160="Individual",ROW(Lists!$B$2:$B$160)),ROW(110:110))-1,1),"")</f>
        <v xml:space="preserve">Conflict in southern Thailand </v>
      </c>
      <c r="B114" s="169" t="str">
        <f>VLOOKUP(A114,Lists!$B$2:$G$160,2,FALSE)</f>
        <v>THA002</v>
      </c>
      <c r="C114" s="169" t="str">
        <f>VLOOKUP(B114,'INFORM Severity - hidden'!$C$5:$D$160,2,FALSE)</f>
        <v>Thailand</v>
      </c>
      <c r="D114" s="169" t="str">
        <f>VLOOKUP(A114,Lists!$B$2:$G$160,3,FALSE)</f>
        <v>THA</v>
      </c>
      <c r="E114" s="170" t="str">
        <f>VLOOKUP(A114,Lists!$B$2:$G$160,5,FALSE)</f>
        <v>Conflict</v>
      </c>
      <c r="F114" s="164" t="str">
        <f t="shared" si="5"/>
        <v>x</v>
      </c>
      <c r="G114" s="165" t="str">
        <f t="shared" si="6"/>
        <v>x</v>
      </c>
      <c r="H114" s="165" t="str">
        <f t="shared" si="7"/>
        <v>x</v>
      </c>
      <c r="I114" s="166" t="str">
        <f>INDEX(Trends!$D$3:$D$400,MATCH(B114,Trends!$C$3:$C$400,0))</f>
        <v>-</v>
      </c>
      <c r="J114" s="165" t="str">
        <f>VLOOKUP($B114,Reliability!$A$3:$I$170,9,FALSE)</f>
        <v>Low</v>
      </c>
      <c r="K114" s="167">
        <f t="shared" si="8"/>
        <v>2.6</v>
      </c>
      <c r="L114" s="167">
        <f>VLOOKUP($B114,'Impact of the crisis'!$C$6:$N$170,12,FALSE)</f>
        <v>1.1000000000000001</v>
      </c>
      <c r="M114" s="167">
        <f>VLOOKUP($B114,'Impact of the crisis'!$C$6:$AB$170,26,FALSE)</f>
        <v>3.2</v>
      </c>
      <c r="N114" s="167" t="str">
        <f>VLOOKUP($B114,'Conditions of people affected'!$C$6:$R$170,16,FALSE)</f>
        <v>x</v>
      </c>
      <c r="O114" s="167" t="str">
        <f>VLOOKUP($B114,'Conditions of people affected'!$C$6:$R$170,9,FALSE)</f>
        <v>x</v>
      </c>
      <c r="P114" s="167" t="str">
        <f>VLOOKUP($B114,'Conditions of people affected'!$C$6:$R$170,15,FALSE)</f>
        <v>x</v>
      </c>
      <c r="Q114" s="167">
        <f t="shared" si="9"/>
        <v>1.9</v>
      </c>
      <c r="R114" s="167">
        <f>VLOOKUP($B114,'Complexity of the crisis'!$C$6:$AN$170,22,FALSE)</f>
        <v>2.6</v>
      </c>
      <c r="S114" s="167">
        <f>VLOOKUP($B114,'Complexity of the crisis'!$C$6:$AN$170,38,FALSE)</f>
        <v>1</v>
      </c>
      <c r="T114" s="171" t="str">
        <f>VLOOKUP(B114,Lists!$C$3:$E$167,3,FALSE)</f>
        <v>Asia</v>
      </c>
      <c r="U114" s="172">
        <v>44132</v>
      </c>
    </row>
    <row r="115" spans="1:21" x14ac:dyDescent="0.3">
      <c r="A115" s="168" t="str" cm="1">
        <f t="array" ref="A115">IFERROR(INDEX(Lists!$B$2:$B$160,SMALL(IF(Lists!$I$2:$I$160="Individual",ROW(Lists!$B$2:$B$160)),ROW(111:111))-1,1),"")</f>
        <v>Myanmar refugees in Thailand</v>
      </c>
      <c r="B115" s="169" t="str">
        <f>VLOOKUP(A115,Lists!$B$2:$G$160,2,FALSE)</f>
        <v>THA003</v>
      </c>
      <c r="C115" s="169" t="str">
        <f>VLOOKUP(B115,'INFORM Severity - hidden'!$C$5:$D$160,2,FALSE)</f>
        <v>Thailand</v>
      </c>
      <c r="D115" s="169" t="str">
        <f>VLOOKUP(A115,Lists!$B$2:$G$160,3,FALSE)</f>
        <v>THA</v>
      </c>
      <c r="E115" s="170" t="str">
        <f>VLOOKUP(A115,Lists!$B$2:$G$160,5,FALSE)</f>
        <v>International displacement</v>
      </c>
      <c r="F115" s="164">
        <f t="shared" si="5"/>
        <v>2.2000000000000002</v>
      </c>
      <c r="G115" s="165">
        <f t="shared" si="6"/>
        <v>3</v>
      </c>
      <c r="H115" s="165" t="str">
        <f t="shared" si="7"/>
        <v>Medium</v>
      </c>
      <c r="I115" s="166" t="str">
        <f>INDEX(Trends!$D$3:$D$400,MATCH(B115,Trends!$C$3:$C$400,0))</f>
        <v>Increasing</v>
      </c>
      <c r="J115" s="165" t="str">
        <f>VLOOKUP($B115,Reliability!$A$3:$I$170,9,FALSE)</f>
        <v>High</v>
      </c>
      <c r="K115" s="167">
        <f t="shared" si="8"/>
        <v>2.5</v>
      </c>
      <c r="L115" s="167">
        <f>VLOOKUP($B115,'Impact of the crisis'!$C$6:$N$170,12,FALSE)</f>
        <v>0</v>
      </c>
      <c r="M115" s="167">
        <f>VLOOKUP($B115,'Impact of the crisis'!$C$6:$AB$170,26,FALSE)</f>
        <v>3.4</v>
      </c>
      <c r="N115" s="167">
        <f>VLOOKUP($B115,'Conditions of people affected'!$C$6:$R$170,16,FALSE)</f>
        <v>2.2999999999999998</v>
      </c>
      <c r="O115" s="167">
        <f>VLOOKUP($B115,'Conditions of people affected'!$C$6:$R$170,9,FALSE)</f>
        <v>1.6</v>
      </c>
      <c r="P115" s="167">
        <f>VLOOKUP($B115,'Conditions of people affected'!$C$6:$R$170,15,FALSE)</f>
        <v>3</v>
      </c>
      <c r="Q115" s="167">
        <f t="shared" si="9"/>
        <v>1.9</v>
      </c>
      <c r="R115" s="167">
        <f>VLOOKUP($B115,'Complexity of the crisis'!$C$6:$AN$170,22,FALSE)</f>
        <v>2.6</v>
      </c>
      <c r="S115" s="167">
        <f>VLOOKUP($B115,'Complexity of the crisis'!$C$6:$AN$170,38,FALSE)</f>
        <v>1</v>
      </c>
      <c r="T115" s="171" t="str">
        <f>VLOOKUP(B115,Lists!$C$3:$E$167,3,FALSE)</f>
        <v>Asia</v>
      </c>
      <c r="U115" s="172">
        <v>44132</v>
      </c>
    </row>
    <row r="116" spans="1:21" x14ac:dyDescent="0.3">
      <c r="A116" s="168" t="str" cm="1">
        <f t="array" ref="A116">IFERROR(INDEX(Lists!$B$2:$B$160,SMALL(IF(Lists!$I$2:$I$160="Individual",ROW(Lists!$B$2:$B$160)),ROW(112:112))-1,1),"")</f>
        <v>Venezuelan refugees in Trinidad and Tobago</v>
      </c>
      <c r="B116" s="169" t="str">
        <f>VLOOKUP(A116,Lists!$B$2:$G$160,2,FALSE)</f>
        <v>TTO002</v>
      </c>
      <c r="C116" s="169" t="str">
        <f>VLOOKUP(B116,'INFORM Severity - hidden'!$C$5:$D$160,2,FALSE)</f>
        <v>Trinidad and Tobago</v>
      </c>
      <c r="D116" s="169" t="str">
        <f>VLOOKUP(A116,Lists!$B$2:$G$160,3,FALSE)</f>
        <v>TTO</v>
      </c>
      <c r="E116" s="170" t="str">
        <f>VLOOKUP(A116,Lists!$B$2:$G$160,5,FALSE)</f>
        <v>International displacement</v>
      </c>
      <c r="F116" s="164">
        <f t="shared" si="5"/>
        <v>1.5</v>
      </c>
      <c r="G116" s="165">
        <f t="shared" si="6"/>
        <v>2</v>
      </c>
      <c r="H116" s="165" t="str">
        <f t="shared" si="7"/>
        <v>Low</v>
      </c>
      <c r="I116" s="166" t="str">
        <f>INDEX(Trends!$D$3:$D$400,MATCH(B116,Trends!$C$3:$C$400,0))</f>
        <v>Stable</v>
      </c>
      <c r="J116" s="165" t="str">
        <f>VLOOKUP($B116,Reliability!$A$3:$I$170,9,FALSE)</f>
        <v>Medium</v>
      </c>
      <c r="K116" s="167">
        <f t="shared" si="8"/>
        <v>2</v>
      </c>
      <c r="L116" s="167">
        <f>VLOOKUP($B116,'Impact of the crisis'!$C$6:$N$170,12,FALSE)</f>
        <v>2.9</v>
      </c>
      <c r="M116" s="167">
        <f>VLOOKUP($B116,'Impact of the crisis'!$C$6:$AB$170,26,FALSE)</f>
        <v>1.4</v>
      </c>
      <c r="N116" s="167">
        <f>VLOOKUP($B116,'Conditions of people affected'!$C$6:$R$170,16,FALSE)</f>
        <v>1.1499999999999999</v>
      </c>
      <c r="O116" s="167">
        <f>VLOOKUP($B116,'Conditions of people affected'!$C$6:$R$170,9,FALSE)</f>
        <v>1.3</v>
      </c>
      <c r="P116" s="167">
        <f>VLOOKUP($B116,'Conditions of people affected'!$C$6:$R$170,15,FALSE)</f>
        <v>1</v>
      </c>
      <c r="Q116" s="167">
        <f t="shared" si="9"/>
        <v>1.5</v>
      </c>
      <c r="R116" s="167">
        <f>VLOOKUP($B116,'Complexity of the crisis'!$C$6:$AN$170,22,FALSE)</f>
        <v>1.4</v>
      </c>
      <c r="S116" s="167">
        <f>VLOOKUP($B116,'Complexity of the crisis'!$C$6:$AN$170,38,FALSE)</f>
        <v>1.5</v>
      </c>
      <c r="T116" s="171" t="str">
        <f>VLOOKUP(B116,Lists!$C$3:$E$167,3,FALSE)</f>
        <v>Americas</v>
      </c>
      <c r="U116" s="172">
        <v>44110</v>
      </c>
    </row>
    <row r="117" spans="1:21" x14ac:dyDescent="0.3">
      <c r="A117" s="168" t="str" cm="1">
        <f t="array" ref="A117">IFERROR(INDEX(Lists!$B$2:$B$160,SMALL(IF(Lists!$I$2:$I$160="Individual",ROW(Lists!$B$2:$B$160)),ROW(113:113))-1,1),"")</f>
        <v>Mixed migration flows in Tunisia</v>
      </c>
      <c r="B117" s="169" t="str">
        <f>VLOOKUP(A117,Lists!$B$2:$G$160,2,FALSE)</f>
        <v>TUN002</v>
      </c>
      <c r="C117" s="169" t="str">
        <f>VLOOKUP(B117,'INFORM Severity - hidden'!$C$5:$D$160,2,FALSE)</f>
        <v>Tunisia</v>
      </c>
      <c r="D117" s="169" t="str">
        <f>VLOOKUP(A117,Lists!$B$2:$G$160,3,FALSE)</f>
        <v>TUN</v>
      </c>
      <c r="E117" s="170" t="str">
        <f>VLOOKUP(A117,Lists!$B$2:$G$160,5,FALSE)</f>
        <v>International displacement</v>
      </c>
      <c r="F117" s="164" t="str">
        <f t="shared" si="5"/>
        <v>x</v>
      </c>
      <c r="G117" s="165" t="str">
        <f t="shared" si="6"/>
        <v>x</v>
      </c>
      <c r="H117" s="165" t="str">
        <f t="shared" si="7"/>
        <v>x</v>
      </c>
      <c r="I117" s="166" t="str">
        <f>INDEX(Trends!$D$3:$D$400,MATCH(B117,Trends!$C$3:$C$400,0))</f>
        <v>-</v>
      </c>
      <c r="J117" s="165" t="str">
        <f>VLOOKUP($B117,Reliability!$A$3:$I$170,9,FALSE)</f>
        <v>Low</v>
      </c>
      <c r="K117" s="167">
        <f t="shared" si="8"/>
        <v>3.5</v>
      </c>
      <c r="L117" s="167">
        <f>VLOOKUP($B117,'Impact of the crisis'!$C$6:$N$170,12,FALSE)</f>
        <v>4.3</v>
      </c>
      <c r="M117" s="167">
        <f>VLOOKUP($B117,'Impact of the crisis'!$C$6:$AB$170,26,FALSE)</f>
        <v>3</v>
      </c>
      <c r="N117" s="167" t="str">
        <f>VLOOKUP($B117,'Conditions of people affected'!$C$6:$R$170,16,FALSE)</f>
        <v>x</v>
      </c>
      <c r="O117" s="167" t="str">
        <f>VLOOKUP($B117,'Conditions of people affected'!$C$6:$R$170,9,FALSE)</f>
        <v>x</v>
      </c>
      <c r="P117" s="167" t="str">
        <f>VLOOKUP($B117,'Conditions of people affected'!$C$6:$R$170,15,FALSE)</f>
        <v>x</v>
      </c>
      <c r="Q117" s="167">
        <f t="shared" si="9"/>
        <v>1.4</v>
      </c>
      <c r="R117" s="167">
        <f>VLOOKUP($B117,'Complexity of the crisis'!$C$6:$AN$170,22,FALSE)</f>
        <v>2.2000000000000002</v>
      </c>
      <c r="S117" s="167">
        <f>VLOOKUP($B117,'Complexity of the crisis'!$C$6:$AN$170,38,FALSE)</f>
        <v>0.5</v>
      </c>
      <c r="T117" s="171" t="str">
        <f>VLOOKUP(B117,Lists!$C$3:$E$167,3,FALSE)</f>
        <v>Africa</v>
      </c>
      <c r="U117" s="172">
        <v>44137</v>
      </c>
    </row>
    <row r="118" spans="1:21" x14ac:dyDescent="0.3">
      <c r="A118" s="168" t="str" cm="1">
        <f t="array" ref="A118">IFERROR(INDEX(Lists!$B$2:$B$160,SMALL(IF(Lists!$I$2:$I$160="Individual",ROW(Lists!$B$2:$B$160)),ROW(114:114))-1,1),"")</f>
        <v>Syrian Refugees in Turkey</v>
      </c>
      <c r="B118" s="169" t="str">
        <f>VLOOKUP(A118,Lists!$B$2:$G$160,2,FALSE)</f>
        <v>TUR002</v>
      </c>
      <c r="C118" s="169" t="str">
        <f>VLOOKUP(B118,'INFORM Severity - hidden'!$C$5:$D$160,2,FALSE)</f>
        <v>Turkey</v>
      </c>
      <c r="D118" s="169" t="str">
        <f>VLOOKUP(A118,Lists!$B$2:$G$160,3,FALSE)</f>
        <v>TUR</v>
      </c>
      <c r="E118" s="170" t="str">
        <f>VLOOKUP(A118,Lists!$B$2:$G$160,5,FALSE)</f>
        <v>International displacement</v>
      </c>
      <c r="F118" s="164">
        <f t="shared" si="5"/>
        <v>3.3</v>
      </c>
      <c r="G118" s="165">
        <f t="shared" si="6"/>
        <v>4</v>
      </c>
      <c r="H118" s="165" t="str">
        <f t="shared" si="7"/>
        <v>High</v>
      </c>
      <c r="I118" s="166" t="str">
        <f>INDEX(Trends!$D$3:$D$400,MATCH(B118,Trends!$C$3:$C$400,0))</f>
        <v>Stable</v>
      </c>
      <c r="J118" s="165" t="str">
        <f>VLOOKUP($B118,Reliability!$A$3:$I$170,9,FALSE)</f>
        <v>High</v>
      </c>
      <c r="K118" s="167">
        <f t="shared" si="8"/>
        <v>3.6</v>
      </c>
      <c r="L118" s="167">
        <f>VLOOKUP($B118,'Impact of the crisis'!$C$6:$N$170,12,FALSE)</f>
        <v>2.9</v>
      </c>
      <c r="M118" s="167">
        <f>VLOOKUP($B118,'Impact of the crisis'!$C$6:$AB$170,26,FALSE)</f>
        <v>3.9</v>
      </c>
      <c r="N118" s="167">
        <f>VLOOKUP($B118,'Conditions of people affected'!$C$6:$R$170,16,FALSE)</f>
        <v>3.4</v>
      </c>
      <c r="O118" s="167">
        <f>VLOOKUP($B118,'Conditions of people affected'!$C$6:$R$170,9,FALSE)</f>
        <v>3.8</v>
      </c>
      <c r="P118" s="167">
        <f>VLOOKUP($B118,'Conditions of people affected'!$C$6:$R$170,15,FALSE)</f>
        <v>3</v>
      </c>
      <c r="Q118" s="167">
        <f t="shared" si="9"/>
        <v>2.8</v>
      </c>
      <c r="R118" s="167">
        <f>VLOOKUP($B118,'Complexity of the crisis'!$C$6:$AN$170,22,FALSE)</f>
        <v>3.4</v>
      </c>
      <c r="S118" s="167">
        <f>VLOOKUP($B118,'Complexity of the crisis'!$C$6:$AN$170,38,FALSE)</f>
        <v>2</v>
      </c>
      <c r="T118" s="171" t="str">
        <f>VLOOKUP(B118,Lists!$C$3:$E$167,3,FALSE)</f>
        <v>Middle east</v>
      </c>
      <c r="U118" s="172">
        <v>44139</v>
      </c>
    </row>
    <row r="119" spans="1:21" x14ac:dyDescent="0.3">
      <c r="A119" s="168" t="str" cm="1">
        <f t="array" ref="A119">IFERROR(INDEX(Lists!$B$2:$B$160,SMALL(IF(Lists!$I$2:$I$160="Individual",ROW(Lists!$B$2:$B$160)),ROW(115:115))-1,1),"")</f>
        <v>Mixed Migration Flows in Turkey</v>
      </c>
      <c r="B119" s="169" t="str">
        <f>VLOOKUP(A119,Lists!$B$2:$G$160,2,FALSE)</f>
        <v>TUR003</v>
      </c>
      <c r="C119" s="169" t="str">
        <f>VLOOKUP(B119,'INFORM Severity - hidden'!$C$5:$D$160,2,FALSE)</f>
        <v>Turkey</v>
      </c>
      <c r="D119" s="169" t="str">
        <f>VLOOKUP(A119,Lists!$B$2:$G$160,3,FALSE)</f>
        <v>TUR</v>
      </c>
      <c r="E119" s="170" t="str">
        <f>VLOOKUP(A119,Lists!$B$2:$G$160,5,FALSE)</f>
        <v>International displacement</v>
      </c>
      <c r="F119" s="164">
        <f t="shared" si="5"/>
        <v>3.2</v>
      </c>
      <c r="G119" s="165">
        <f t="shared" si="6"/>
        <v>4</v>
      </c>
      <c r="H119" s="165" t="str">
        <f t="shared" si="7"/>
        <v>High</v>
      </c>
      <c r="I119" s="166" t="str">
        <f>INDEX(Trends!$D$3:$D$400,MATCH(B119,Trends!$C$3:$C$400,0))</f>
        <v>Stable</v>
      </c>
      <c r="J119" s="165" t="str">
        <f>VLOOKUP($B119,Reliability!$A$3:$I$170,9,FALSE)</f>
        <v>High</v>
      </c>
      <c r="K119" s="167">
        <f t="shared" si="8"/>
        <v>3.1</v>
      </c>
      <c r="L119" s="167">
        <f>VLOOKUP($B119,'Impact of the crisis'!$C$6:$N$170,12,FALSE)</f>
        <v>3.1</v>
      </c>
      <c r="M119" s="167">
        <f>VLOOKUP($B119,'Impact of the crisis'!$C$6:$AB$170,26,FALSE)</f>
        <v>3.1</v>
      </c>
      <c r="N119" s="167">
        <f>VLOOKUP($B119,'Conditions of people affected'!$C$6:$R$170,16,FALSE)</f>
        <v>3.45</v>
      </c>
      <c r="O119" s="167">
        <f>VLOOKUP($B119,'Conditions of people affected'!$C$6:$R$170,9,FALSE)</f>
        <v>3.9</v>
      </c>
      <c r="P119" s="167">
        <f>VLOOKUP($B119,'Conditions of people affected'!$C$6:$R$170,15,FALSE)</f>
        <v>3</v>
      </c>
      <c r="Q119" s="167">
        <f t="shared" si="9"/>
        <v>2.8</v>
      </c>
      <c r="R119" s="167">
        <f>VLOOKUP($B119,'Complexity of the crisis'!$C$6:$AN$170,22,FALSE)</f>
        <v>3.4</v>
      </c>
      <c r="S119" s="167">
        <f>VLOOKUP($B119,'Complexity of the crisis'!$C$6:$AN$170,38,FALSE)</f>
        <v>2</v>
      </c>
      <c r="T119" s="171" t="str">
        <f>VLOOKUP(B119,Lists!$C$3:$E$167,3,FALSE)</f>
        <v>Middle east</v>
      </c>
      <c r="U119" s="172">
        <v>44140</v>
      </c>
    </row>
    <row r="120" spans="1:21" x14ac:dyDescent="0.3">
      <c r="A120" s="168" t="str" cm="1">
        <f t="array" ref="A120">IFERROR(INDEX(Lists!$B$2:$B$160,SMALL(IF(Lists!$I$2:$I$160="Individual",ROW(Lists!$B$2:$B$160)),ROW(116:116))-1,1),"")</f>
        <v>Kurdish Conflict</v>
      </c>
      <c r="B120" s="169" t="str">
        <f>VLOOKUP(A120,Lists!$B$2:$G$160,2,FALSE)</f>
        <v>TUR004</v>
      </c>
      <c r="C120" s="169" t="str">
        <f>VLOOKUP(B120,'INFORM Severity - hidden'!$C$5:$D$160,2,FALSE)</f>
        <v>Turkey</v>
      </c>
      <c r="D120" s="169" t="str">
        <f>VLOOKUP(A120,Lists!$B$2:$G$160,3,FALSE)</f>
        <v>TUR</v>
      </c>
      <c r="E120" s="170" t="str">
        <f>VLOOKUP(A120,Lists!$B$2:$G$160,5,FALSE)</f>
        <v>Conflict</v>
      </c>
      <c r="F120" s="164" t="str">
        <f t="shared" si="5"/>
        <v>x</v>
      </c>
      <c r="G120" s="165" t="str">
        <f t="shared" si="6"/>
        <v>x</v>
      </c>
      <c r="H120" s="165" t="str">
        <f t="shared" si="7"/>
        <v>x</v>
      </c>
      <c r="I120" s="166" t="str">
        <f>INDEX(Trends!$D$3:$D$400,MATCH(B120,Trends!$C$3:$C$400,0))</f>
        <v>-</v>
      </c>
      <c r="J120" s="165" t="str">
        <f>VLOOKUP($B120,Reliability!$A$3:$I$170,9,FALSE)</f>
        <v>Medium</v>
      </c>
      <c r="K120" s="167">
        <f t="shared" si="8"/>
        <v>3.3</v>
      </c>
      <c r="L120" s="167">
        <f>VLOOKUP($B120,'Impact of the crisis'!$C$6:$N$170,12,FALSE)</f>
        <v>2.4</v>
      </c>
      <c r="M120" s="167">
        <f>VLOOKUP($B120,'Impact of the crisis'!$C$6:$AB$170,26,FALSE)</f>
        <v>3.7</v>
      </c>
      <c r="N120" s="167" t="str">
        <f>VLOOKUP($B120,'Conditions of people affected'!$C$6:$R$170,16,FALSE)</f>
        <v>x</v>
      </c>
      <c r="O120" s="167" t="str">
        <f>VLOOKUP($B120,'Conditions of people affected'!$C$6:$R$170,9,FALSE)</f>
        <v>x</v>
      </c>
      <c r="P120" s="167" t="str">
        <f>VLOOKUP($B120,'Conditions of people affected'!$C$6:$R$170,15,FALSE)</f>
        <v>x</v>
      </c>
      <c r="Q120" s="167">
        <f t="shared" si="9"/>
        <v>3.2</v>
      </c>
      <c r="R120" s="167">
        <f>VLOOKUP($B120,'Complexity of the crisis'!$C$6:$AN$170,22,FALSE)</f>
        <v>3.4</v>
      </c>
      <c r="S120" s="167">
        <f>VLOOKUP($B120,'Complexity of the crisis'!$C$6:$AN$170,38,FALSE)</f>
        <v>3</v>
      </c>
      <c r="T120" s="171" t="str">
        <f>VLOOKUP(B120,Lists!$C$3:$E$167,3,FALSE)</f>
        <v>Middle east</v>
      </c>
      <c r="U120" s="172">
        <v>44140</v>
      </c>
    </row>
    <row r="121" spans="1:21" x14ac:dyDescent="0.3">
      <c r="A121" s="168" t="str" cm="1">
        <f t="array" ref="A121">IFERROR(INDEX(Lists!$B$2:$B$160,SMALL(IF(Lists!$I$2:$I$160="Individual",ROW(Lists!$B$2:$B$160)),ROW(117:117))-1,1),"")</f>
        <v xml:space="preserve">Eastern Mediterranean Route </v>
      </c>
      <c r="B121" s="169" t="str">
        <f>VLOOKUP(A121,Lists!$B$2:$G$160,2,FALSE)</f>
        <v>REG006</v>
      </c>
      <c r="C121" s="169" t="str">
        <f>VLOOKUP(B121,'INFORM Severity - hidden'!$C$5:$D$160,2,FALSE)</f>
        <v>Turkey, Greece</v>
      </c>
      <c r="D121" s="169" t="str">
        <f>VLOOKUP(A121,Lists!$B$2:$G$160,3,FALSE)</f>
        <v>TUR, GRC</v>
      </c>
      <c r="E121" s="170" t="str">
        <f>VLOOKUP(A121,Lists!$B$2:$G$160,5,FALSE)</f>
        <v>Regional crisis</v>
      </c>
      <c r="F121" s="164" t="str">
        <f t="shared" si="5"/>
        <v>x</v>
      </c>
      <c r="G121" s="165" t="str">
        <f t="shared" si="6"/>
        <v>x</v>
      </c>
      <c r="H121" s="165" t="str">
        <f t="shared" si="7"/>
        <v>x</v>
      </c>
      <c r="I121" s="166" t="str">
        <f>INDEX(Trends!$D$3:$D$400,MATCH(B121,Trends!$C$3:$C$400,0))</f>
        <v>-</v>
      </c>
      <c r="J121" s="165" t="str">
        <f>VLOOKUP($B121,Reliability!$A$3:$I$170,9,FALSE)</f>
        <v>Very Low</v>
      </c>
      <c r="K121" s="167" t="str">
        <f t="shared" si="8"/>
        <v>x</v>
      </c>
      <c r="L121" s="167" t="str">
        <f>VLOOKUP($B121,'Impact of the crisis'!$C$6:$N$170,12,FALSE)</f>
        <v>x</v>
      </c>
      <c r="M121" s="167">
        <f>VLOOKUP($B121,'Impact of the crisis'!$C$6:$AB$170,26,FALSE)</f>
        <v>2</v>
      </c>
      <c r="N121" s="167" t="str">
        <f>VLOOKUP($B121,'Conditions of people affected'!$C$6:$R$170,16,FALSE)</f>
        <v>x</v>
      </c>
      <c r="O121" s="167" t="str">
        <f>VLOOKUP($B121,'Conditions of people affected'!$C$6:$R$170,9,FALSE)</f>
        <v>x</v>
      </c>
      <c r="P121" s="167" t="str">
        <f>VLOOKUP($B121,'Conditions of people affected'!$C$6:$R$170,15,FALSE)</f>
        <v>x</v>
      </c>
      <c r="Q121" s="167">
        <f t="shared" si="9"/>
        <v>2.2999999999999998</v>
      </c>
      <c r="R121" s="167">
        <f>VLOOKUP($B121,'Complexity of the crisis'!$C$6:$AN$170,22,FALSE)</f>
        <v>2.5</v>
      </c>
      <c r="S121" s="167">
        <f>VLOOKUP($B121,'Complexity of the crisis'!$C$6:$AN$170,38,FALSE)</f>
        <v>2</v>
      </c>
      <c r="T121" s="171" t="str">
        <f>VLOOKUP(B121,Lists!$C$3:$E$167,3,FALSE)</f>
        <v>Europe</v>
      </c>
      <c r="U121" s="172">
        <v>44140</v>
      </c>
    </row>
    <row r="122" spans="1:21" x14ac:dyDescent="0.3">
      <c r="A122" s="168" t="str" cm="1">
        <f t="array" ref="A122">IFERROR(INDEX(Lists!$B$2:$B$160,SMALL(IF(Lists!$I$2:$I$160="Individual",ROW(Lists!$B$2:$B$160)),ROW(118:118))-1,1),"")</f>
        <v>International Displacement in Uganda</v>
      </c>
      <c r="B122" s="169" t="str">
        <f>VLOOKUP(A122,Lists!$B$2:$G$160,2,FALSE)</f>
        <v>UGA005</v>
      </c>
      <c r="C122" s="169" t="str">
        <f>VLOOKUP(B122,'INFORM Severity - hidden'!$C$5:$D$160,2,FALSE)</f>
        <v>Uganda</v>
      </c>
      <c r="D122" s="169" t="str">
        <f>VLOOKUP(A122,Lists!$B$2:$G$160,3,FALSE)</f>
        <v>UGA</v>
      </c>
      <c r="E122" s="170" t="str">
        <f>VLOOKUP(A122,Lists!$B$2:$G$160,5,FALSE)</f>
        <v>International displacement</v>
      </c>
      <c r="F122" s="164">
        <f t="shared" si="5"/>
        <v>2.9</v>
      </c>
      <c r="G122" s="165">
        <f t="shared" si="6"/>
        <v>3</v>
      </c>
      <c r="H122" s="165" t="str">
        <f t="shared" si="7"/>
        <v>Medium</v>
      </c>
      <c r="I122" s="166" t="str">
        <f>INDEX(Trends!$D$3:$D$400,MATCH(B122,Trends!$C$3:$C$400,0))</f>
        <v>Stable</v>
      </c>
      <c r="J122" s="165" t="str">
        <f>VLOOKUP($B122,Reliability!$A$3:$I$170,9,FALSE)</f>
        <v>High</v>
      </c>
      <c r="K122" s="167">
        <f t="shared" si="8"/>
        <v>3.3</v>
      </c>
      <c r="L122" s="167">
        <f>VLOOKUP($B122,'Impact of the crisis'!$C$6:$N$170,12,FALSE)</f>
        <v>2.1</v>
      </c>
      <c r="M122" s="167">
        <f>VLOOKUP($B122,'Impact of the crisis'!$C$6:$AB$170,26,FALSE)</f>
        <v>3.7</v>
      </c>
      <c r="N122" s="167">
        <f>VLOOKUP($B122,'Conditions of people affected'!$C$6:$R$170,16,FALSE)</f>
        <v>3.3</v>
      </c>
      <c r="O122" s="167">
        <f>VLOOKUP($B122,'Conditions of people affected'!$C$6:$R$170,9,FALSE)</f>
        <v>3.6</v>
      </c>
      <c r="P122" s="167">
        <f>VLOOKUP($B122,'Conditions of people affected'!$C$6:$R$170,15,FALSE)</f>
        <v>3</v>
      </c>
      <c r="Q122" s="167">
        <f t="shared" si="9"/>
        <v>2.1</v>
      </c>
      <c r="R122" s="167">
        <f>VLOOKUP($B122,'Complexity of the crisis'!$C$6:$AN$170,22,FALSE)</f>
        <v>2.7</v>
      </c>
      <c r="S122" s="167">
        <f>VLOOKUP($B122,'Complexity of the crisis'!$C$6:$AN$170,38,FALSE)</f>
        <v>1.5</v>
      </c>
      <c r="T122" s="171" t="str">
        <f>VLOOKUP(B122,Lists!$C$3:$E$167,3,FALSE)</f>
        <v>Africa</v>
      </c>
      <c r="U122" s="172">
        <v>44064</v>
      </c>
    </row>
    <row r="123" spans="1:21" x14ac:dyDescent="0.3">
      <c r="A123" s="168" t="str" cm="1">
        <f t="array" ref="A123">IFERROR(INDEX(Lists!$B$2:$B$160,SMALL(IF(Lists!$I$2:$I$160="Individual",ROW(Lists!$B$2:$B$160)),ROW(119:119))-1,1),"")</f>
        <v>Floods and Landslides in Uganda</v>
      </c>
      <c r="B123" s="169" t="str">
        <f>VLOOKUP(A123,Lists!$B$2:$G$160,2,FALSE)</f>
        <v>UGA006</v>
      </c>
      <c r="C123" s="169" t="str">
        <f>VLOOKUP(B123,'INFORM Severity - hidden'!$C$5:$D$160,2,FALSE)</f>
        <v>Uganda</v>
      </c>
      <c r="D123" s="169" t="str">
        <f>VLOOKUP(A123,Lists!$B$2:$G$160,3,FALSE)</f>
        <v>UGA</v>
      </c>
      <c r="E123" s="170" t="str">
        <f>VLOOKUP(A123,Lists!$B$2:$G$160,5,FALSE)</f>
        <v>Flood</v>
      </c>
      <c r="F123" s="164" t="str">
        <f t="shared" si="5"/>
        <v>x</v>
      </c>
      <c r="G123" s="165" t="str">
        <f t="shared" si="6"/>
        <v>x</v>
      </c>
      <c r="H123" s="165" t="str">
        <f t="shared" si="7"/>
        <v>x</v>
      </c>
      <c r="I123" s="166" t="str">
        <f>INDEX(Trends!$D$3:$D$400,MATCH(B123,Trends!$C$3:$C$400,0))</f>
        <v>-</v>
      </c>
      <c r="J123" s="165" t="str">
        <f>VLOOKUP($B123,Reliability!$A$3:$I$170,9,FALSE)</f>
        <v>Medium</v>
      </c>
      <c r="K123" s="167">
        <f t="shared" si="8"/>
        <v>2.1</v>
      </c>
      <c r="L123" s="167">
        <f>VLOOKUP($B123,'Impact of the crisis'!$C$6:$N$170,12,FALSE)</f>
        <v>1.8</v>
      </c>
      <c r="M123" s="167">
        <f>VLOOKUP($B123,'Impact of the crisis'!$C$6:$AB$170,26,FALSE)</f>
        <v>2.2000000000000002</v>
      </c>
      <c r="N123" s="167" t="str">
        <f>VLOOKUP($B123,'Conditions of people affected'!$C$6:$R$170,16,FALSE)</f>
        <v>x</v>
      </c>
      <c r="O123" s="167" t="str">
        <f>VLOOKUP($B123,'Conditions of people affected'!$C$6:$R$170,9,FALSE)</f>
        <v>x</v>
      </c>
      <c r="P123" s="167" t="str">
        <f>VLOOKUP($B123,'Conditions of people affected'!$C$6:$R$170,15,FALSE)</f>
        <v>x</v>
      </c>
      <c r="Q123" s="167">
        <f t="shared" si="9"/>
        <v>2.1</v>
      </c>
      <c r="R123" s="167">
        <f>VLOOKUP($B123,'Complexity of the crisis'!$C$6:$AN$170,22,FALSE)</f>
        <v>2.7</v>
      </c>
      <c r="S123" s="167">
        <f>VLOOKUP($B123,'Complexity of the crisis'!$C$6:$AN$170,38,FALSE)</f>
        <v>1.5</v>
      </c>
      <c r="T123" s="171" t="str">
        <f>VLOOKUP(B123,Lists!$C$3:$E$167,3,FALSE)</f>
        <v>Africa</v>
      </c>
      <c r="U123" s="172">
        <v>43987</v>
      </c>
    </row>
    <row r="124" spans="1:21" x14ac:dyDescent="0.3">
      <c r="A124" s="168" t="str" cm="1">
        <f t="array" ref="A124">IFERROR(INDEX(Lists!$B$2:$B$160,SMALL(IF(Lists!$I$2:$I$160="Individual",ROW(Lists!$B$2:$B$160)),ROW(120:120))-1,1),"")</f>
        <v>Conflict in Ukraine</v>
      </c>
      <c r="B124" s="169" t="str">
        <f>VLOOKUP(A124,Lists!$B$2:$G$160,2,FALSE)</f>
        <v>UKR002</v>
      </c>
      <c r="C124" s="169" t="str">
        <f>VLOOKUP(B124,'INFORM Severity - hidden'!$C$5:$D$160,2,FALSE)</f>
        <v>Ukraine</v>
      </c>
      <c r="D124" s="169" t="str">
        <f>VLOOKUP(A124,Lists!$B$2:$G$160,3,FALSE)</f>
        <v>UKR</v>
      </c>
      <c r="E124" s="170" t="str">
        <f>VLOOKUP(A124,Lists!$B$2:$G$160,5,FALSE)</f>
        <v>Conflict</v>
      </c>
      <c r="F124" s="164">
        <f t="shared" si="5"/>
        <v>3.5</v>
      </c>
      <c r="G124" s="165">
        <f t="shared" si="6"/>
        <v>4</v>
      </c>
      <c r="H124" s="165" t="str">
        <f t="shared" si="7"/>
        <v>High</v>
      </c>
      <c r="I124" s="166" t="str">
        <f>INDEX(Trends!$D$3:$D$400,MATCH(B124,Trends!$C$3:$C$400,0))</f>
        <v>Stable</v>
      </c>
      <c r="J124" s="165" t="str">
        <f>VLOOKUP($B124,Reliability!$A$3:$I$170,9,FALSE)</f>
        <v>High</v>
      </c>
      <c r="K124" s="167">
        <f t="shared" si="8"/>
        <v>3.2</v>
      </c>
      <c r="L124" s="167">
        <f>VLOOKUP($B124,'Impact of the crisis'!$C$6:$N$170,12,FALSE)</f>
        <v>1.7</v>
      </c>
      <c r="M124" s="167">
        <f>VLOOKUP($B124,'Impact of the crisis'!$C$6:$AB$170,26,FALSE)</f>
        <v>3.8</v>
      </c>
      <c r="N124" s="167">
        <f>VLOOKUP($B124,'Conditions of people affected'!$C$6:$R$170,16,FALSE)</f>
        <v>4.0999999999999996</v>
      </c>
      <c r="O124" s="167">
        <f>VLOOKUP($B124,'Conditions of people affected'!$C$6:$R$170,9,FALSE)</f>
        <v>4.2</v>
      </c>
      <c r="P124" s="167">
        <f>VLOOKUP($B124,'Conditions of people affected'!$C$6:$R$170,15,FALSE)</f>
        <v>4</v>
      </c>
      <c r="Q124" s="167">
        <f t="shared" si="9"/>
        <v>2.6</v>
      </c>
      <c r="R124" s="167">
        <f>VLOOKUP($B124,'Complexity of the crisis'!$C$6:$AN$170,22,FALSE)</f>
        <v>2.2000000000000002</v>
      </c>
      <c r="S124" s="167">
        <f>VLOOKUP($B124,'Complexity of the crisis'!$C$6:$AN$170,38,FALSE)</f>
        <v>3</v>
      </c>
      <c r="T124" s="171" t="str">
        <f>VLOOKUP(B124,Lists!$C$3:$E$167,3,FALSE)</f>
        <v>Europe</v>
      </c>
      <c r="U124" s="172">
        <v>44140</v>
      </c>
    </row>
    <row r="125" spans="1:21" x14ac:dyDescent="0.3">
      <c r="A125" s="168" t="str" cm="1">
        <f t="array" ref="A125">IFERROR(INDEX(Lists!$B$2:$B$160,SMALL(IF(Lists!$I$2:$I$160="Individual",ROW(Lists!$B$2:$B$160)),ROW(121:121))-1,1),"")</f>
        <v>Cyclone Harold in Vanuatu</v>
      </c>
      <c r="B125" s="169" t="str">
        <f>VLOOKUP(A125,Lists!$B$2:$G$160,2,FALSE)</f>
        <v>VUT002</v>
      </c>
      <c r="C125" s="169" t="str">
        <f>VLOOKUP(B125,'INFORM Severity - hidden'!$C$5:$D$160,2,FALSE)</f>
        <v>Vanuatu</v>
      </c>
      <c r="D125" s="169" t="str">
        <f>VLOOKUP(A125,Lists!$B$2:$G$160,3,FALSE)</f>
        <v>VUT</v>
      </c>
      <c r="E125" s="170" t="str">
        <f>VLOOKUP(A125,Lists!$B$2:$G$160,5,FALSE)</f>
        <v>Tropical cyclone</v>
      </c>
      <c r="F125" s="164">
        <f t="shared" si="5"/>
        <v>2</v>
      </c>
      <c r="G125" s="165">
        <f t="shared" si="6"/>
        <v>2</v>
      </c>
      <c r="H125" s="165" t="str">
        <f t="shared" si="7"/>
        <v>Low</v>
      </c>
      <c r="I125" s="166" t="str">
        <f>INDEX(Trends!$D$3:$D$400,MATCH(B125,Trends!$C$3:$C$400,0))</f>
        <v>Stable</v>
      </c>
      <c r="J125" s="165" t="str">
        <f>VLOOKUP($B125,Reliability!$A$3:$I$170,9,FALSE)</f>
        <v>High</v>
      </c>
      <c r="K125" s="167">
        <f t="shared" si="8"/>
        <v>2.2999999999999998</v>
      </c>
      <c r="L125" s="167">
        <f>VLOOKUP($B125,'Impact of the crisis'!$C$6:$N$170,12,FALSE)</f>
        <v>2.6</v>
      </c>
      <c r="M125" s="167">
        <f>VLOOKUP($B125,'Impact of the crisis'!$C$6:$AB$170,26,FALSE)</f>
        <v>2.2000000000000002</v>
      </c>
      <c r="N125" s="167">
        <f>VLOOKUP($B125,'Conditions of people affected'!$C$6:$R$170,16,FALSE)</f>
        <v>2.4</v>
      </c>
      <c r="O125" s="167">
        <f>VLOOKUP($B125,'Conditions of people affected'!$C$6:$R$170,9,FALSE)</f>
        <v>1.8</v>
      </c>
      <c r="P125" s="167">
        <f>VLOOKUP($B125,'Conditions of people affected'!$C$6:$R$170,15,FALSE)</f>
        <v>3</v>
      </c>
      <c r="Q125" s="167">
        <f t="shared" si="9"/>
        <v>1.1000000000000001</v>
      </c>
      <c r="R125" s="167">
        <f>VLOOKUP($B125,'Complexity of the crisis'!$C$6:$AN$170,22,FALSE)</f>
        <v>1.1000000000000001</v>
      </c>
      <c r="S125" s="167">
        <f>VLOOKUP($B125,'Complexity of the crisis'!$C$6:$AN$170,38,FALSE)</f>
        <v>1</v>
      </c>
      <c r="T125" s="171" t="str">
        <f>VLOOKUP(B125,Lists!$C$3:$E$167,3,FALSE)</f>
        <v>Pacific</v>
      </c>
      <c r="U125" s="172">
        <v>44014</v>
      </c>
    </row>
    <row r="126" spans="1:21" x14ac:dyDescent="0.3">
      <c r="A126" s="168" t="str" cm="1">
        <f t="array" ref="A126">IFERROR(INDEX(Lists!$B$2:$B$160,SMALL(IF(Lists!$I$2:$I$160="Individual",ROW(Lists!$B$2:$B$160)),ROW(122:122))-1,1),"")</f>
        <v>Complex crisis in Venezuela</v>
      </c>
      <c r="B126" s="169" t="str">
        <f>VLOOKUP(A126,Lists!$B$2:$G$160,2,FALSE)</f>
        <v>VEN001</v>
      </c>
      <c r="C126" s="169" t="str">
        <f>VLOOKUP(B126,'INFORM Severity - hidden'!$C$5:$D$160,2,FALSE)</f>
        <v>Venezuela</v>
      </c>
      <c r="D126" s="169" t="str">
        <f>VLOOKUP(A126,Lists!$B$2:$G$160,3,FALSE)</f>
        <v>VEN</v>
      </c>
      <c r="E126" s="170" t="str">
        <f>VLOOKUP(A126,Lists!$B$2:$G$160,5,FALSE)</f>
        <v>Complex crisis</v>
      </c>
      <c r="F126" s="164">
        <f t="shared" si="5"/>
        <v>4.0999999999999996</v>
      </c>
      <c r="G126" s="165">
        <f t="shared" si="6"/>
        <v>5</v>
      </c>
      <c r="H126" s="165" t="str">
        <f t="shared" si="7"/>
        <v>Very High</v>
      </c>
      <c r="I126" s="166" t="str">
        <f>INDEX(Trends!$D$3:$D$400,MATCH(B126,Trends!$C$3:$C$400,0))</f>
        <v>Stable</v>
      </c>
      <c r="J126" s="165" t="str">
        <f>VLOOKUP($B126,Reliability!$A$3:$I$170,9,FALSE)</f>
        <v>High</v>
      </c>
      <c r="K126" s="167">
        <f t="shared" si="8"/>
        <v>5</v>
      </c>
      <c r="L126" s="167">
        <f>VLOOKUP($B126,'Impact of the crisis'!$C$6:$N$170,12,FALSE)</f>
        <v>4.9000000000000004</v>
      </c>
      <c r="M126" s="167">
        <f>VLOOKUP($B126,'Impact of the crisis'!$C$6:$AB$170,26,FALSE)</f>
        <v>5</v>
      </c>
      <c r="N126" s="167">
        <f>VLOOKUP($B126,'Conditions of people affected'!$C$6:$R$170,16,FALSE)</f>
        <v>4</v>
      </c>
      <c r="O126" s="167">
        <f>VLOOKUP($B126,'Conditions of people affected'!$C$6:$R$170,9,FALSE)</f>
        <v>5</v>
      </c>
      <c r="P126" s="167">
        <f>VLOOKUP($B126,'Conditions of people affected'!$C$6:$R$170,15,FALSE)</f>
        <v>3</v>
      </c>
      <c r="Q126" s="167">
        <f t="shared" si="9"/>
        <v>3.3</v>
      </c>
      <c r="R126" s="167">
        <f>VLOOKUP($B126,'Complexity of the crisis'!$C$6:$AN$170,22,FALSE)</f>
        <v>3.6</v>
      </c>
      <c r="S126" s="167">
        <f>VLOOKUP($B126,'Complexity of the crisis'!$C$6:$AN$170,38,FALSE)</f>
        <v>3</v>
      </c>
      <c r="T126" s="171" t="str">
        <f>VLOOKUP(B126,Lists!$C$3:$E$167,3,FALSE)</f>
        <v>Americas</v>
      </c>
      <c r="U126" s="172">
        <v>44140</v>
      </c>
    </row>
    <row r="127" spans="1:21" x14ac:dyDescent="0.3">
      <c r="A127" s="168" t="str" cm="1">
        <f t="array" ref="A127">IFERROR(INDEX(Lists!$B$2:$B$160,SMALL(IF(Lists!$I$2:$I$160="Individual",ROW(Lists!$B$2:$B$160)),ROW(123:123))-1,1),"")</f>
        <v>Venezuela Regional Crisis</v>
      </c>
      <c r="B127" s="169" t="str">
        <f>VLOOKUP(A127,Lists!$B$2:$G$160,2,FALSE)</f>
        <v>REG002</v>
      </c>
      <c r="C127" s="169" t="str">
        <f>VLOOKUP(B127,'INFORM Severity - hidden'!$C$5:$D$160,2,FALSE)</f>
        <v>Venezuela, Brazil, Colombia, Ecuador, Peru, Trinidad and Tobago</v>
      </c>
      <c r="D127" s="169" t="str">
        <f>VLOOKUP(A127,Lists!$B$2:$G$160,3,FALSE)</f>
        <v>VEN, BRA, COL, ECU, PER, TTO</v>
      </c>
      <c r="E127" s="170" t="str">
        <f>VLOOKUP(A127,Lists!$B$2:$G$160,5,FALSE)</f>
        <v>Regional crisis</v>
      </c>
      <c r="F127" s="164">
        <f t="shared" si="5"/>
        <v>3.6</v>
      </c>
      <c r="G127" s="165">
        <f t="shared" si="6"/>
        <v>4</v>
      </c>
      <c r="H127" s="165" t="str">
        <f t="shared" si="7"/>
        <v>High</v>
      </c>
      <c r="I127" s="166" t="str">
        <f>INDEX(Trends!$D$3:$D$400,MATCH(B127,Trends!$C$3:$C$400,0))</f>
        <v>Stable</v>
      </c>
      <c r="J127" s="165" t="str">
        <f>VLOOKUP($B127,Reliability!$A$3:$I$170,9,FALSE)</f>
        <v>Medium</v>
      </c>
      <c r="K127" s="167">
        <f t="shared" si="8"/>
        <v>4</v>
      </c>
      <c r="L127" s="167">
        <f>VLOOKUP($B127,'Impact of the crisis'!$C$6:$N$170,12,FALSE)</f>
        <v>2.9</v>
      </c>
      <c r="M127" s="167">
        <f>VLOOKUP($B127,'Impact of the crisis'!$C$6:$AB$170,26,FALSE)</f>
        <v>4.4000000000000004</v>
      </c>
      <c r="N127" s="167">
        <f>VLOOKUP($B127,'Conditions of people affected'!$C$6:$R$170,16,FALSE)</f>
        <v>4</v>
      </c>
      <c r="O127" s="167">
        <f>VLOOKUP($B127,'Conditions of people affected'!$C$6:$R$170,9,FALSE)</f>
        <v>5</v>
      </c>
      <c r="P127" s="167">
        <f>VLOOKUP($B127,'Conditions of people affected'!$C$6:$R$170,15,FALSE)</f>
        <v>3</v>
      </c>
      <c r="Q127" s="167">
        <f t="shared" si="9"/>
        <v>2.6</v>
      </c>
      <c r="R127" s="167">
        <f>VLOOKUP($B127,'Complexity of the crisis'!$C$6:$AN$170,22,FALSE)</f>
        <v>2.6</v>
      </c>
      <c r="S127" s="167">
        <f>VLOOKUP($B127,'Complexity of the crisis'!$C$6:$AN$170,38,FALSE)</f>
        <v>2.5</v>
      </c>
      <c r="T127" s="171" t="str">
        <f>VLOOKUP(B127,Lists!$C$3:$E$167,3,FALSE)</f>
        <v>Americas</v>
      </c>
      <c r="U127" s="172">
        <v>44110</v>
      </c>
    </row>
    <row r="128" spans="1:21" x14ac:dyDescent="0.3">
      <c r="A128" s="168" t="str" cm="1">
        <f t="array" ref="A128">IFERROR(INDEX(Lists!$B$2:$B$160,SMALL(IF(Lists!$I$2:$I$160="Individual",ROW(Lists!$B$2:$B$160)),ROW(124:124))-1,1),"")</f>
        <v>Floods in central Vietnam</v>
      </c>
      <c r="B128" s="169" t="str">
        <f>VLOOKUP(A128,Lists!$B$2:$G$160,2,FALSE)</f>
        <v>VNM002</v>
      </c>
      <c r="C128" s="169" t="str">
        <f>VLOOKUP(B128,'INFORM Severity - hidden'!$C$5:$D$160,2,FALSE)</f>
        <v>Vietnam</v>
      </c>
      <c r="D128" s="169" t="str">
        <f>VLOOKUP(A128,Lists!$B$2:$G$160,3,FALSE)</f>
        <v>VNM</v>
      </c>
      <c r="E128" s="170" t="str">
        <f>VLOOKUP(A128,Lists!$B$2:$G$160,5,FALSE)</f>
        <v>Flood</v>
      </c>
      <c r="F128" s="164">
        <f t="shared" si="5"/>
        <v>2.4</v>
      </c>
      <c r="G128" s="165">
        <f t="shared" si="6"/>
        <v>3</v>
      </c>
      <c r="H128" s="165" t="str">
        <f t="shared" si="7"/>
        <v>Medium</v>
      </c>
      <c r="I128" s="166" t="str">
        <f>INDEX(Trends!$D$3:$D$400,MATCH(B128,Trends!$C$3:$C$400,0))</f>
        <v>-</v>
      </c>
      <c r="J128" s="165" t="str">
        <f>VLOOKUP($B128,Reliability!$A$3:$I$170,9,FALSE)</f>
        <v>Very High</v>
      </c>
      <c r="K128" s="167">
        <f t="shared" si="8"/>
        <v>2.9</v>
      </c>
      <c r="L128" s="167">
        <f>VLOOKUP($B128,'Impact of the crisis'!$C$6:$N$170,12,FALSE)</f>
        <v>1.9</v>
      </c>
      <c r="M128" s="167">
        <f>VLOOKUP($B128,'Impact of the crisis'!$C$6:$AB$170,26,FALSE)</f>
        <v>3.3</v>
      </c>
      <c r="N128" s="167">
        <f>VLOOKUP($B128,'Conditions of people affected'!$C$6:$R$170,16,FALSE)</f>
        <v>2.0499999999999998</v>
      </c>
      <c r="O128" s="167">
        <f>VLOOKUP($B128,'Conditions of people affected'!$C$6:$R$170,9,FALSE)</f>
        <v>2.1</v>
      </c>
      <c r="P128" s="167">
        <f>VLOOKUP($B128,'Conditions of people affected'!$C$6:$R$170,15,FALSE)</f>
        <v>2</v>
      </c>
      <c r="Q128" s="167">
        <f t="shared" si="9"/>
        <v>2.5</v>
      </c>
      <c r="R128" s="167">
        <f>VLOOKUP($B128,'Complexity of the crisis'!$C$6:$AN$170,22,FALSE)</f>
        <v>3.3</v>
      </c>
      <c r="S128" s="167">
        <f>VLOOKUP($B128,'Complexity of the crisis'!$C$6:$AN$170,38,FALSE)</f>
        <v>1.5</v>
      </c>
      <c r="T128" s="171" t="str">
        <f>VLOOKUP(B128,Lists!$C$3:$E$167,3,FALSE)</f>
        <v>Asia</v>
      </c>
      <c r="U128" s="172">
        <v>44140</v>
      </c>
    </row>
    <row r="129" spans="1:21" x14ac:dyDescent="0.3">
      <c r="A129" s="168" t="str" cm="1">
        <f t="array" ref="A129">IFERROR(INDEX(Lists!$B$2:$B$160,SMALL(IF(Lists!$I$2:$I$160="Individual",ROW(Lists!$B$2:$B$160)),ROW(125:125))-1,1),"")</f>
        <v>Conflict in Yemen</v>
      </c>
      <c r="B129" s="169" t="str">
        <f>VLOOKUP(A129,Lists!$B$2:$G$160,2,FALSE)</f>
        <v>YEM001</v>
      </c>
      <c r="C129" s="169" t="str">
        <f>VLOOKUP(B129,'INFORM Severity - hidden'!$C$5:$D$160,2,FALSE)</f>
        <v>Yemen</v>
      </c>
      <c r="D129" s="169" t="str">
        <f>VLOOKUP(A129,Lists!$B$2:$G$160,3,FALSE)</f>
        <v>YEM</v>
      </c>
      <c r="E129" s="170" t="str">
        <f>VLOOKUP(A129,Lists!$B$2:$G$160,5,FALSE)</f>
        <v>Complex crisis</v>
      </c>
      <c r="F129" s="164">
        <f t="shared" si="5"/>
        <v>4.5999999999999996</v>
      </c>
      <c r="G129" s="165">
        <f t="shared" si="6"/>
        <v>5</v>
      </c>
      <c r="H129" s="165" t="str">
        <f t="shared" si="7"/>
        <v>Very High</v>
      </c>
      <c r="I129" s="166" t="str">
        <f>INDEX(Trends!$D$3:$D$400,MATCH(B129,Trends!$C$3:$C$400,0))</f>
        <v>Decreasing</v>
      </c>
      <c r="J129" s="165" t="str">
        <f>VLOOKUP($B129,Reliability!$A$3:$I$170,9,FALSE)</f>
        <v>High</v>
      </c>
      <c r="K129" s="167">
        <f t="shared" si="8"/>
        <v>4.9000000000000004</v>
      </c>
      <c r="L129" s="167">
        <f>VLOOKUP($B129,'Impact of the crisis'!$C$6:$N$170,12,FALSE)</f>
        <v>4.9000000000000004</v>
      </c>
      <c r="M129" s="167">
        <f>VLOOKUP($B129,'Impact of the crisis'!$C$6:$AB$170,26,FALSE)</f>
        <v>4.9000000000000004</v>
      </c>
      <c r="N129" s="167">
        <f>VLOOKUP($B129,'Conditions of people affected'!$C$6:$R$170,16,FALSE)</f>
        <v>4.5</v>
      </c>
      <c r="O129" s="167">
        <f>VLOOKUP($B129,'Conditions of people affected'!$C$6:$R$170,9,FALSE)</f>
        <v>5</v>
      </c>
      <c r="P129" s="167">
        <f>VLOOKUP($B129,'Conditions of people affected'!$C$6:$R$170,15,FALSE)</f>
        <v>4</v>
      </c>
      <c r="Q129" s="167">
        <f t="shared" si="9"/>
        <v>4.5</v>
      </c>
      <c r="R129" s="167">
        <f>VLOOKUP($B129,'Complexity of the crisis'!$C$6:$AN$170,22,FALSE)</f>
        <v>3.8</v>
      </c>
      <c r="S129" s="167">
        <f>VLOOKUP($B129,'Complexity of the crisis'!$C$6:$AN$170,38,FALSE)</f>
        <v>5</v>
      </c>
      <c r="T129" s="171" t="str">
        <f>VLOOKUP(B129,Lists!$C$3:$E$167,3,FALSE)</f>
        <v>Middle east</v>
      </c>
      <c r="U129" s="172">
        <v>44123</v>
      </c>
    </row>
    <row r="130" spans="1:21" x14ac:dyDescent="0.3">
      <c r="A130" s="168" t="str" cm="1">
        <f t="array" ref="A130">IFERROR(INDEX(Lists!$B$2:$B$160,SMALL(IF(Lists!$I$2:$I$160="Individual",ROW(Lists!$B$2:$B$160)),ROW(126:126))-1,1),"")</f>
        <v>Mixed migration flows in Yemen</v>
      </c>
      <c r="B130" s="169" t="str">
        <f>VLOOKUP(A130,Lists!$B$2:$G$160,2,FALSE)</f>
        <v>YEM002</v>
      </c>
      <c r="C130" s="169" t="str">
        <f>VLOOKUP(B130,'INFORM Severity - hidden'!$C$5:$D$160,2,FALSE)</f>
        <v>Yemen</v>
      </c>
      <c r="D130" s="169" t="str">
        <f>VLOOKUP(A130,Lists!$B$2:$G$160,3,FALSE)</f>
        <v>YEM</v>
      </c>
      <c r="E130" s="170" t="str">
        <f>VLOOKUP(A130,Lists!$B$2:$G$160,5,FALSE)</f>
        <v>International displacement</v>
      </c>
      <c r="F130" s="164">
        <f t="shared" si="5"/>
        <v>2.9</v>
      </c>
      <c r="G130" s="165">
        <f t="shared" si="6"/>
        <v>3</v>
      </c>
      <c r="H130" s="165" t="str">
        <f t="shared" si="7"/>
        <v>Medium</v>
      </c>
      <c r="I130" s="166" t="str">
        <f>INDEX(Trends!$D$3:$D$400,MATCH(B130,Trends!$C$3:$C$400,0))</f>
        <v>Decreasing</v>
      </c>
      <c r="J130" s="165" t="str">
        <f>VLOOKUP($B130,Reliability!$A$3:$I$170,9,FALSE)</f>
        <v>Medium</v>
      </c>
      <c r="K130" s="167">
        <f t="shared" si="8"/>
        <v>2</v>
      </c>
      <c r="L130" s="167">
        <f>VLOOKUP($B130,'Impact of the crisis'!$C$6:$N$170,12,FALSE)</f>
        <v>0.7</v>
      </c>
      <c r="M130" s="167">
        <f>VLOOKUP($B130,'Impact of the crisis'!$C$6:$AB$170,26,FALSE)</f>
        <v>2.5</v>
      </c>
      <c r="N130" s="167">
        <f>VLOOKUP($B130,'Conditions of people affected'!$C$6:$R$170,16,FALSE)</f>
        <v>2.85</v>
      </c>
      <c r="O130" s="167">
        <f>VLOOKUP($B130,'Conditions of people affected'!$C$6:$R$170,9,FALSE)</f>
        <v>2.7</v>
      </c>
      <c r="P130" s="167">
        <f>VLOOKUP($B130,'Conditions of people affected'!$C$6:$R$170,15,FALSE)</f>
        <v>3</v>
      </c>
      <c r="Q130" s="167">
        <f t="shared" si="9"/>
        <v>3.7</v>
      </c>
      <c r="R130" s="167">
        <f>VLOOKUP($B130,'Complexity of the crisis'!$C$6:$AN$170,22,FALSE)</f>
        <v>3.8</v>
      </c>
      <c r="S130" s="167">
        <f>VLOOKUP($B130,'Complexity of the crisis'!$C$6:$AN$170,38,FALSE)</f>
        <v>3.5</v>
      </c>
      <c r="T130" s="171" t="str">
        <f>VLOOKUP(B130,Lists!$C$3:$E$167,3,FALSE)</f>
        <v>Middle east</v>
      </c>
      <c r="U130" s="172">
        <v>44123</v>
      </c>
    </row>
    <row r="131" spans="1:21" x14ac:dyDescent="0.3">
      <c r="A131" s="168" t="str" cm="1">
        <f t="array" ref="A131">IFERROR(INDEX(Lists!$B$2:$B$160,SMALL(IF(Lists!$I$2:$I$160="Individual",ROW(Lists!$B$2:$B$160)),ROW(127:127))-1,1),"")</f>
        <v>Drought in Zambia</v>
      </c>
      <c r="B131" s="169" t="str">
        <f>VLOOKUP(A131,Lists!$B$2:$G$160,2,FALSE)</f>
        <v>ZMB002</v>
      </c>
      <c r="C131" s="169" t="str">
        <f>VLOOKUP(B131,'INFORM Severity - hidden'!$C$5:$D$160,2,FALSE)</f>
        <v>Zambia</v>
      </c>
      <c r="D131" s="169" t="str">
        <f>VLOOKUP(A131,Lists!$B$2:$G$160,3,FALSE)</f>
        <v>ZMB</v>
      </c>
      <c r="E131" s="170" t="str">
        <f>VLOOKUP(A131,Lists!$B$2:$G$160,5,FALSE)</f>
        <v>Drought</v>
      </c>
      <c r="F131" s="164">
        <f t="shared" si="5"/>
        <v>2.7</v>
      </c>
      <c r="G131" s="165">
        <f t="shared" si="6"/>
        <v>3</v>
      </c>
      <c r="H131" s="165" t="str">
        <f t="shared" si="7"/>
        <v>Medium</v>
      </c>
      <c r="I131" s="166" t="str">
        <f>INDEX(Trends!$D$3:$D$400,MATCH(B131,Trends!$C$3:$C$400,0))</f>
        <v>Stable</v>
      </c>
      <c r="J131" s="165" t="str">
        <f>VLOOKUP($B131,Reliability!$A$3:$I$170,9,FALSE)</f>
        <v>Low</v>
      </c>
      <c r="K131" s="167">
        <f t="shared" si="8"/>
        <v>2.4</v>
      </c>
      <c r="L131" s="167">
        <f>VLOOKUP($B131,'Impact of the crisis'!$C$6:$N$170,12,FALSE)</f>
        <v>3.9</v>
      </c>
      <c r="M131" s="167">
        <f>VLOOKUP($B131,'Impact of the crisis'!$C$6:$AB$170,26,FALSE)</f>
        <v>1.4</v>
      </c>
      <c r="N131" s="167">
        <f>VLOOKUP($B131,'Conditions of people affected'!$C$6:$R$170,16,FALSE)</f>
        <v>3.45</v>
      </c>
      <c r="O131" s="167">
        <f>VLOOKUP($B131,'Conditions of people affected'!$C$6:$R$170,9,FALSE)</f>
        <v>3.9</v>
      </c>
      <c r="P131" s="167">
        <f>VLOOKUP($B131,'Conditions of people affected'!$C$6:$R$170,15,FALSE)</f>
        <v>3</v>
      </c>
      <c r="Q131" s="167">
        <f t="shared" si="9"/>
        <v>1.7</v>
      </c>
      <c r="R131" s="167">
        <f>VLOOKUP($B131,'Complexity of the crisis'!$C$6:$AN$170,22,FALSE)</f>
        <v>1.8</v>
      </c>
      <c r="S131" s="167">
        <f>VLOOKUP($B131,'Complexity of the crisis'!$C$6:$AN$170,38,FALSE)</f>
        <v>1.5</v>
      </c>
      <c r="T131" s="171" t="str">
        <f>VLOOKUP(B131,Lists!$C$3:$E$167,3,FALSE)</f>
        <v>Africa</v>
      </c>
      <c r="U131" s="172">
        <v>44134</v>
      </c>
    </row>
    <row r="132" spans="1:21" x14ac:dyDescent="0.3">
      <c r="A132" s="168" t="str" cm="1">
        <f t="array" ref="A132">IFERROR(INDEX(Lists!$B$2:$B$160,SMALL(IF(Lists!$I$2:$I$160="Individual",ROW(Lists!$B$2:$B$160)),ROW(128:128))-1,1),"")</f>
        <v>Complex crisis in Zimbabwe</v>
      </c>
      <c r="B132" s="169" t="str">
        <f>VLOOKUP(A132,Lists!$B$2:$G$160,2,FALSE)</f>
        <v>ZWE001</v>
      </c>
      <c r="C132" s="169" t="str">
        <f>VLOOKUP(B132,'INFORM Severity - hidden'!$C$5:$D$160,2,FALSE)</f>
        <v>Zimbabwe</v>
      </c>
      <c r="D132" s="169" t="str">
        <f>VLOOKUP(A132,Lists!$B$2:$G$160,3,FALSE)</f>
        <v>ZWE</v>
      </c>
      <c r="E132" s="170" t="str">
        <f>VLOOKUP(A132,Lists!$B$2:$G$160,5,FALSE)</f>
        <v>Complex crisis</v>
      </c>
      <c r="F132" s="164">
        <f t="shared" si="5"/>
        <v>3.5</v>
      </c>
      <c r="G132" s="165">
        <f t="shared" si="6"/>
        <v>4</v>
      </c>
      <c r="H132" s="165" t="str">
        <f t="shared" si="7"/>
        <v>High</v>
      </c>
      <c r="I132" s="166" t="str">
        <f>INDEX(Trends!$D$3:$D$400,MATCH(B132,Trends!$C$3:$C$400,0))</f>
        <v>Decreasing</v>
      </c>
      <c r="J132" s="165" t="str">
        <f>VLOOKUP($B132,Reliability!$A$3:$I$170,9,FALSE)</f>
        <v>High</v>
      </c>
      <c r="K132" s="167">
        <f t="shared" si="8"/>
        <v>3.2</v>
      </c>
      <c r="L132" s="167">
        <f>VLOOKUP($B132,'Impact of the crisis'!$C$6:$N$170,12,FALSE)</f>
        <v>4.5999999999999996</v>
      </c>
      <c r="M132" s="167">
        <f>VLOOKUP($B132,'Impact of the crisis'!$C$6:$AB$170,26,FALSE)</f>
        <v>2.2000000000000002</v>
      </c>
      <c r="N132" s="167">
        <f>VLOOKUP($B132,'Conditions of people affected'!$C$6:$R$170,16,FALSE)</f>
        <v>3.85</v>
      </c>
      <c r="O132" s="167">
        <f>VLOOKUP($B132,'Conditions of people affected'!$C$6:$R$170,9,FALSE)</f>
        <v>4.7</v>
      </c>
      <c r="P132" s="167">
        <f>VLOOKUP($B132,'Conditions of people affected'!$C$6:$R$170,15,FALSE)</f>
        <v>3</v>
      </c>
      <c r="Q132" s="167">
        <f t="shared" si="9"/>
        <v>3.1</v>
      </c>
      <c r="R132" s="167">
        <f>VLOOKUP($B132,'Complexity of the crisis'!$C$6:$AN$170,22,FALSE)</f>
        <v>3.2</v>
      </c>
      <c r="S132" s="167">
        <f>VLOOKUP($B132,'Complexity of the crisis'!$C$6:$AN$170,38,FALSE)</f>
        <v>3</v>
      </c>
      <c r="T132" s="171" t="str">
        <f>VLOOKUP(B132,Lists!$C$3:$E$167,3,FALSE)</f>
        <v>Africa</v>
      </c>
      <c r="U132" s="172">
        <v>44134</v>
      </c>
    </row>
    <row r="133" spans="1:21" x14ac:dyDescent="0.3">
      <c r="A133" s="168" t="str" cm="1">
        <f t="array" ref="A133">IFERROR(INDEX(Lists!$B$2:$B$160,SMALL(IF(Lists!$I$2:$I$160="Individual",ROW(Lists!$B$2:$B$160)),ROW(129:129))-1,1),"")</f>
        <v>Malaria Outbreak in Zimbabwe</v>
      </c>
      <c r="B133" s="169" t="str">
        <f>VLOOKUP(A133,Lists!$B$2:$G$160,2,FALSE)</f>
        <v>ZWE003</v>
      </c>
      <c r="C133" s="169" t="str">
        <f>VLOOKUP(B133,'INFORM Severity - hidden'!$C$5:$D$160,2,FALSE)</f>
        <v>Zimbabwe</v>
      </c>
      <c r="D133" s="169" t="str">
        <f>VLOOKUP(A133,Lists!$B$2:$G$160,3,FALSE)</f>
        <v>ZWE</v>
      </c>
      <c r="E133" s="170" t="str">
        <f>VLOOKUP(A133,Lists!$B$2:$G$160,5,FALSE)</f>
        <v>Epidemic</v>
      </c>
      <c r="F133" s="164">
        <f t="shared" si="5"/>
        <v>2.6</v>
      </c>
      <c r="G133" s="165">
        <f t="shared" si="6"/>
        <v>3</v>
      </c>
      <c r="H133" s="165" t="str">
        <f t="shared" si="7"/>
        <v>Medium</v>
      </c>
      <c r="I133" s="166" t="str">
        <f>INDEX(Trends!$D$3:$D$400,MATCH(B133,Trends!$C$3:$C$400,0))</f>
        <v>Stable</v>
      </c>
      <c r="J133" s="165" t="str">
        <f>VLOOKUP($B133,Reliability!$A$3:$I$170,9,FALSE)</f>
        <v>Medium</v>
      </c>
      <c r="K133" s="167">
        <f t="shared" si="8"/>
        <v>2.8</v>
      </c>
      <c r="L133" s="167">
        <f>VLOOKUP($B133,'Impact of the crisis'!$C$6:$N$170,12,FALSE)</f>
        <v>2.2000000000000002</v>
      </c>
      <c r="M133" s="167">
        <f>VLOOKUP($B133,'Impact of the crisis'!$C$6:$AB$170,26,FALSE)</f>
        <v>3.1</v>
      </c>
      <c r="N133" s="167">
        <f>VLOOKUP($B133,'Conditions of people affected'!$C$6:$R$170,16,FALSE)</f>
        <v>2.8</v>
      </c>
      <c r="O133" s="167">
        <f>VLOOKUP($B133,'Conditions of people affected'!$C$6:$R$170,9,FALSE)</f>
        <v>2.6</v>
      </c>
      <c r="P133" s="167">
        <f>VLOOKUP($B133,'Conditions of people affected'!$C$6:$R$170,15,FALSE)</f>
        <v>3</v>
      </c>
      <c r="Q133" s="167">
        <f t="shared" si="9"/>
        <v>2.2000000000000002</v>
      </c>
      <c r="R133" s="167">
        <f>VLOOKUP($B133,'Complexity of the crisis'!$C$6:$AN$170,22,FALSE)</f>
        <v>3.2</v>
      </c>
      <c r="S133" s="167">
        <f>VLOOKUP($B133,'Complexity of the crisis'!$C$6:$AN$170,38,FALSE)</f>
        <v>1</v>
      </c>
      <c r="T133" s="171" t="str">
        <f>VLOOKUP(B133,Lists!$C$3:$E$167,3,FALSE)</f>
        <v>Africa</v>
      </c>
      <c r="U133" s="172">
        <v>44134</v>
      </c>
    </row>
    <row r="134" spans="1:21" x14ac:dyDescent="0.3">
      <c r="A134"/>
      <c r="B134"/>
      <c r="C134"/>
      <c r="D134"/>
      <c r="E134"/>
      <c r="F134"/>
      <c r="G134"/>
      <c r="H134"/>
      <c r="I134"/>
      <c r="J134"/>
      <c r="K134"/>
      <c r="L134"/>
      <c r="M134"/>
      <c r="N134"/>
      <c r="O134"/>
      <c r="P134"/>
      <c r="Q134"/>
      <c r="R134"/>
      <c r="S134"/>
      <c r="T134"/>
      <c r="U134"/>
    </row>
    <row r="135" spans="1:21" x14ac:dyDescent="0.3">
      <c r="A135"/>
      <c r="B135"/>
      <c r="C135"/>
      <c r="D135"/>
      <c r="E135"/>
      <c r="F135"/>
      <c r="G135"/>
      <c r="H135"/>
      <c r="I135"/>
      <c r="J135"/>
      <c r="K135"/>
      <c r="L135"/>
      <c r="M135"/>
      <c r="N135"/>
      <c r="O135"/>
      <c r="P135"/>
      <c r="Q135"/>
      <c r="R135"/>
      <c r="S135"/>
      <c r="T135"/>
      <c r="U135"/>
    </row>
    <row r="136" spans="1:21" x14ac:dyDescent="0.3">
      <c r="A136"/>
      <c r="B136"/>
      <c r="C136"/>
      <c r="D136"/>
      <c r="E136"/>
      <c r="F136"/>
      <c r="G136"/>
      <c r="H136"/>
      <c r="I136"/>
      <c r="J136"/>
      <c r="K136"/>
      <c r="L136"/>
      <c r="M136"/>
      <c r="N136"/>
      <c r="O136"/>
      <c r="P136"/>
      <c r="Q136"/>
      <c r="R136"/>
      <c r="S136"/>
      <c r="T136"/>
      <c r="U136"/>
    </row>
    <row r="137" spans="1:21" x14ac:dyDescent="0.3">
      <c r="A137"/>
      <c r="B137"/>
      <c r="C137"/>
      <c r="D137"/>
      <c r="E137"/>
      <c r="F137"/>
      <c r="G137"/>
      <c r="H137"/>
      <c r="I137"/>
      <c r="J137"/>
      <c r="K137"/>
      <c r="L137"/>
      <c r="M137"/>
      <c r="N137"/>
      <c r="O137"/>
      <c r="P137"/>
      <c r="Q137"/>
      <c r="R137"/>
      <c r="S137"/>
      <c r="T137"/>
      <c r="U137"/>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s="79" t="str" cm="1">
        <f t="array" ref="A140">IFERROR(INDEX(Lists!$B$2:$B$160,SMALL(IF(Lists!$I$2:$I$160="Individual",ROW(Lists!$B$2:$B$160)),ROW(136:136))-1,1),"")</f>
        <v/>
      </c>
      <c r="B140"/>
      <c r="C140"/>
      <c r="D140"/>
      <c r="E140"/>
      <c r="F140"/>
      <c r="G140"/>
      <c r="H140"/>
      <c r="I140"/>
      <c r="J140"/>
      <c r="K140"/>
      <c r="L140"/>
      <c r="M140"/>
      <c r="N140"/>
      <c r="O140"/>
      <c r="P140"/>
      <c r="Q140"/>
      <c r="R140"/>
      <c r="S140"/>
      <c r="T140"/>
      <c r="U140"/>
    </row>
    <row r="141" spans="1:21" x14ac:dyDescent="0.3">
      <c r="A141" s="79" t="str" cm="1">
        <f t="array" ref="A141">IFERROR(INDEX(Lists!$B$2:$B$160,SMALL(IF(Lists!$I$2:$I$160="Individual",ROW(Lists!$B$2:$B$160)),ROW(137:137))-1,1),"")</f>
        <v/>
      </c>
      <c r="B141"/>
      <c r="C141"/>
      <c r="D141"/>
      <c r="E141"/>
      <c r="F141"/>
      <c r="G141"/>
      <c r="H141"/>
      <c r="I141"/>
      <c r="J141"/>
      <c r="K141"/>
      <c r="L141"/>
      <c r="M141"/>
      <c r="N141"/>
      <c r="O141"/>
      <c r="P141"/>
      <c r="Q141"/>
      <c r="R141"/>
      <c r="S141"/>
      <c r="T141"/>
      <c r="U141"/>
    </row>
    <row r="142" spans="1:21" x14ac:dyDescent="0.3">
      <c r="A142" s="79" t="str" cm="1">
        <f t="array" ref="A142">IFERROR(INDEX(Lists!$B$2:$B$160,SMALL(IF(Lists!$I$2:$I$160="Individual",ROW(Lists!$B$2:$B$160)),ROW(138:138))-1,1),"")</f>
        <v/>
      </c>
      <c r="B142"/>
      <c r="C142"/>
      <c r="D142"/>
      <c r="E142"/>
      <c r="F142"/>
      <c r="G142"/>
      <c r="H142"/>
      <c r="I142"/>
      <c r="J142"/>
      <c r="K142"/>
      <c r="L142"/>
      <c r="M142"/>
      <c r="N142"/>
      <c r="O142"/>
      <c r="P142"/>
      <c r="Q142"/>
      <c r="R142"/>
      <c r="S142"/>
      <c r="T142"/>
      <c r="U142"/>
    </row>
    <row r="143" spans="1:21" x14ac:dyDescent="0.3">
      <c r="A143" s="79" t="str" cm="1">
        <f t="array" ref="A143">IFERROR(INDEX(Lists!$B$2:$B$160,SMALL(IF(Lists!$I$2:$I$160="Individual",ROW(Lists!$B$2:$B$160)),ROW(139:139))-1,1),"")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xmlns:xlrd2="http://schemas.microsoft.com/office/spreadsheetml/2017/richdata2" ref="A5:T143">
      <sortCondition ref="G4:G143"/>
    </sortState>
  </autoFilter>
  <conditionalFormatting sqref="K5:K133">
    <cfRule type="cellIs" dxfId="330" priority="64" stopIfTrue="1" operator="between">
      <formula>4</formula>
      <formula>5</formula>
    </cfRule>
    <cfRule type="cellIs" dxfId="329" priority="70" stopIfTrue="1" operator="between">
      <formula>3</formula>
      <formula>4</formula>
    </cfRule>
    <cfRule type="cellIs" dxfId="328" priority="71" stopIfTrue="1" operator="between">
      <formula>2</formula>
      <formula>3</formula>
    </cfRule>
    <cfRule type="cellIs" dxfId="327" priority="72" stopIfTrue="1" operator="between">
      <formula>1</formula>
      <formula>2</formula>
    </cfRule>
    <cfRule type="cellIs" dxfId="326" priority="73" stopIfTrue="1" operator="between">
      <formula>0</formula>
      <formula>1</formula>
    </cfRule>
  </conditionalFormatting>
  <conditionalFormatting sqref="L5:M133">
    <cfRule type="cellIs" dxfId="325" priority="65" stopIfTrue="1" operator="between">
      <formula>4</formula>
      <formula>5</formula>
    </cfRule>
    <cfRule type="cellIs" dxfId="324" priority="66" stopIfTrue="1" operator="between">
      <formula>3</formula>
      <formula>4</formula>
    </cfRule>
    <cfRule type="cellIs" dxfId="323" priority="67" stopIfTrue="1" operator="between">
      <formula>2</formula>
      <formula>3</formula>
    </cfRule>
    <cfRule type="cellIs" dxfId="322" priority="68" stopIfTrue="1" operator="between">
      <formula>1</formula>
      <formula>2</formula>
    </cfRule>
    <cfRule type="cellIs" dxfId="321" priority="69" stopIfTrue="1" operator="between">
      <formula>0</formula>
      <formula>1</formula>
    </cfRule>
  </conditionalFormatting>
  <conditionalFormatting sqref="S5:S133">
    <cfRule type="cellIs" dxfId="320" priority="49" stopIfTrue="1" operator="between">
      <formula>4</formula>
      <formula>5</formula>
    </cfRule>
    <cfRule type="cellIs" dxfId="319" priority="50" stopIfTrue="1" operator="between">
      <formula>3</formula>
      <formula>4</formula>
    </cfRule>
    <cfRule type="cellIs" dxfId="318" priority="51" stopIfTrue="1" operator="between">
      <formula>2</formula>
      <formula>3</formula>
    </cfRule>
    <cfRule type="cellIs" dxfId="317" priority="52" stopIfTrue="1" operator="between">
      <formula>1</formula>
      <formula>2</formula>
    </cfRule>
    <cfRule type="cellIs" dxfId="316" priority="53" stopIfTrue="1" operator="between">
      <formula>0</formula>
      <formula>1</formula>
    </cfRule>
  </conditionalFormatting>
  <conditionalFormatting sqref="Q5:Q133">
    <cfRule type="cellIs" dxfId="315" priority="34" stopIfTrue="1" operator="between">
      <formula>4</formula>
      <formula>5</formula>
    </cfRule>
    <cfRule type="cellIs" dxfId="314" priority="35" stopIfTrue="1" operator="between">
      <formula>3</formula>
      <formula>4</formula>
    </cfRule>
    <cfRule type="cellIs" dxfId="313" priority="36" stopIfTrue="1" operator="between">
      <formula>2</formula>
      <formula>3</formula>
    </cfRule>
    <cfRule type="cellIs" dxfId="312" priority="37" stopIfTrue="1" operator="between">
      <formula>1</formula>
      <formula>2</formula>
    </cfRule>
    <cfRule type="cellIs" dxfId="311" priority="38" stopIfTrue="1" operator="between">
      <formula>0</formula>
      <formula>1</formula>
    </cfRule>
  </conditionalFormatting>
  <conditionalFormatting sqref="I5:I133">
    <cfRule type="cellIs" dxfId="310" priority="26" operator="equal">
      <formula>"Increasing"</formula>
    </cfRule>
    <cfRule type="cellIs" dxfId="309" priority="27" operator="equal">
      <formula>"Stable"</formula>
    </cfRule>
    <cfRule type="cellIs" dxfId="308" priority="28" operator="equal">
      <formula>"Decreasing"</formula>
    </cfRule>
  </conditionalFormatting>
  <conditionalFormatting sqref="R5:S133">
    <cfRule type="cellIs" dxfId="307" priority="44" stopIfTrue="1" operator="between">
      <formula>4</formula>
      <formula>5</formula>
    </cfRule>
    <cfRule type="cellIs" dxfId="306" priority="45" stopIfTrue="1" operator="between">
      <formula>3</formula>
      <formula>4</formula>
    </cfRule>
    <cfRule type="cellIs" dxfId="305" priority="46" stopIfTrue="1" operator="between">
      <formula>2</formula>
      <formula>3</formula>
    </cfRule>
    <cfRule type="cellIs" dxfId="304" priority="47" stopIfTrue="1" operator="between">
      <formula>1</formula>
      <formula>2</formula>
    </cfRule>
    <cfRule type="cellIs" dxfId="303" priority="48" stopIfTrue="1" operator="between">
      <formula>0</formula>
      <formula>1</formula>
    </cfRule>
  </conditionalFormatting>
  <conditionalFormatting sqref="G5:G133">
    <cfRule type="cellIs" dxfId="302" priority="16" stopIfTrue="1" operator="equal">
      <formula>5</formula>
    </cfRule>
    <cfRule type="cellIs" dxfId="301" priority="17" stopIfTrue="1" operator="equal">
      <formula>4</formula>
    </cfRule>
    <cfRule type="cellIs" dxfId="300" priority="18" stopIfTrue="1" operator="equal">
      <formula>3</formula>
    </cfRule>
    <cfRule type="cellIs" dxfId="299" priority="19" stopIfTrue="1" operator="equal">
      <formula>2</formula>
    </cfRule>
    <cfRule type="cellIs" dxfId="298" priority="20" stopIfTrue="1" operator="equal">
      <formula>1</formula>
    </cfRule>
  </conditionalFormatting>
  <conditionalFormatting sqref="H5:H133">
    <cfRule type="cellIs" dxfId="297" priority="11" stopIfTrue="1" operator="equal">
      <formula>"Very High"</formula>
    </cfRule>
    <cfRule type="cellIs" dxfId="296" priority="12" stopIfTrue="1" operator="equal">
      <formula>"High"</formula>
    </cfRule>
    <cfRule type="cellIs" dxfId="295" priority="13" stopIfTrue="1" operator="equal">
      <formula>"Medium"</formula>
    </cfRule>
    <cfRule type="cellIs" dxfId="294" priority="14" stopIfTrue="1" operator="equal">
      <formula>"Low"</formula>
    </cfRule>
    <cfRule type="cellIs" dxfId="293" priority="15" stopIfTrue="1" operator="equal">
      <formula>"Very Low"</formula>
    </cfRule>
  </conditionalFormatting>
  <conditionalFormatting sqref="N5:P133">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J5:J133">
    <cfRule type="cellIs" dxfId="287" priority="1" stopIfTrue="1" operator="equal">
      <formula>"Very Low"</formula>
    </cfRule>
    <cfRule type="cellIs" dxfId="286" priority="2" stopIfTrue="1" operator="equal">
      <formula>"Low"</formula>
    </cfRule>
    <cfRule type="cellIs" dxfId="285" priority="3" stopIfTrue="1" operator="equal">
      <formula>"Medium"</formula>
    </cfRule>
    <cfRule type="cellIs" dxfId="284" priority="4" stopIfTrue="1" operator="equal">
      <formula>"High"</formula>
    </cfRule>
    <cfRule type="cellIs" dxfId="283"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sheetPr>
  <dimension ref="A1:U144"/>
  <sheetViews>
    <sheetView topLeftCell="B1" zoomScale="80" zoomScaleNormal="80" workbookViewId="0">
      <selection activeCell="U5" sqref="U5:U73"/>
    </sheetView>
  </sheetViews>
  <sheetFormatPr defaultColWidth="8.77734375" defaultRowHeight="14.4" x14ac:dyDescent="0.3"/>
  <cols>
    <col min="1" max="1" width="43.5546875" bestFit="1" customWidth="1"/>
    <col min="2" max="2" width="9.21875"/>
    <col min="3" max="3" width="17.5546875" customWidth="1"/>
    <col min="4" max="4" width="9.21875"/>
    <col min="5" max="5" width="27.44140625" bestFit="1" customWidth="1"/>
    <col min="6" max="7" width="9.21875"/>
    <col min="8" max="8" width="9.5546875" customWidth="1"/>
    <col min="9" max="9" width="13.5546875" style="79" customWidth="1"/>
    <col min="10" max="10" width="9.77734375" customWidth="1"/>
    <col min="11" max="20" width="9.21875"/>
    <col min="21" max="21" width="11.44140625" bestFit="1" customWidth="1"/>
    <col min="22" max="16384" width="8.77734375" style="201"/>
  </cols>
  <sheetData>
    <row r="1" spans="1:21" ht="22.8" x14ac:dyDescent="0.4">
      <c r="A1" s="162" t="str">
        <f>"INFORM Severity Index - all countries. Release: "&amp;About!$A$5&amp;""</f>
        <v>INFORM Severity Index - all countries. Release: October 2020</v>
      </c>
      <c r="B1" s="59"/>
      <c r="C1" s="59"/>
      <c r="D1" s="59"/>
      <c r="E1" s="59"/>
      <c r="F1" s="59"/>
      <c r="G1" s="59"/>
      <c r="H1" s="59"/>
      <c r="I1" s="59"/>
      <c r="J1" s="59"/>
      <c r="K1" s="59"/>
      <c r="L1" s="59"/>
      <c r="M1" s="59"/>
      <c r="N1" s="59"/>
      <c r="O1" s="59"/>
      <c r="P1" s="59"/>
      <c r="Q1" s="59"/>
      <c r="R1" s="59"/>
      <c r="S1" s="59"/>
      <c r="T1" s="59"/>
      <c r="U1" s="59"/>
    </row>
    <row r="2" spans="1:21" ht="96.6" thickBot="1" x14ac:dyDescent="0.35">
      <c r="A2" s="13" t="s">
        <v>399</v>
      </c>
      <c r="B2" s="13" t="s">
        <v>400</v>
      </c>
      <c r="C2" s="13" t="s">
        <v>367</v>
      </c>
      <c r="D2" s="6" t="s">
        <v>356</v>
      </c>
      <c r="E2" s="13" t="s">
        <v>410</v>
      </c>
      <c r="F2" s="105" t="s">
        <v>2961</v>
      </c>
      <c r="G2" s="106" t="s">
        <v>2962</v>
      </c>
      <c r="H2" s="105" t="s">
        <v>2962</v>
      </c>
      <c r="I2" s="107" t="s">
        <v>2969</v>
      </c>
      <c r="J2" s="107" t="s">
        <v>565</v>
      </c>
      <c r="K2" s="109" t="s">
        <v>2953</v>
      </c>
      <c r="L2" s="108" t="s">
        <v>3225</v>
      </c>
      <c r="M2" s="108" t="s">
        <v>3226</v>
      </c>
      <c r="N2" s="60" t="s">
        <v>2955</v>
      </c>
      <c r="O2" s="110" t="s">
        <v>1355</v>
      </c>
      <c r="P2" s="110" t="s">
        <v>2954</v>
      </c>
      <c r="Q2" s="111" t="s">
        <v>444</v>
      </c>
      <c r="R2" s="112" t="s">
        <v>445</v>
      </c>
      <c r="S2" s="112" t="s">
        <v>446</v>
      </c>
      <c r="T2" s="80" t="s">
        <v>1502</v>
      </c>
      <c r="U2" s="161" t="s">
        <v>3002</v>
      </c>
    </row>
    <row r="3" spans="1:21" ht="18" hidden="1" thickTop="1" x14ac:dyDescent="0.35">
      <c r="A3" s="57" t="s">
        <v>421</v>
      </c>
      <c r="B3" s="57"/>
      <c r="C3" s="57"/>
      <c r="D3" s="57"/>
      <c r="E3" s="57"/>
      <c r="F3" s="49"/>
      <c r="G3" s="49"/>
      <c r="H3" s="49"/>
      <c r="I3" s="102"/>
      <c r="J3" s="49"/>
      <c r="K3" s="48"/>
      <c r="L3" s="47"/>
      <c r="M3" s="47"/>
      <c r="N3" s="48"/>
      <c r="O3" s="49"/>
      <c r="P3" s="49"/>
      <c r="Q3" s="48"/>
      <c r="R3" s="47"/>
      <c r="S3" s="47"/>
      <c r="T3" s="2"/>
      <c r="U3" s="144"/>
    </row>
    <row r="4" spans="1:21" ht="18" thickTop="1" x14ac:dyDescent="0.35">
      <c r="A4" s="14" t="s">
        <v>378</v>
      </c>
      <c r="B4" s="14"/>
      <c r="C4" s="14"/>
      <c r="D4" s="7" t="s">
        <v>378</v>
      </c>
      <c r="E4" s="14"/>
      <c r="F4" s="35" t="s">
        <v>431</v>
      </c>
      <c r="G4" s="35" t="s">
        <v>431</v>
      </c>
      <c r="H4" s="35" t="s">
        <v>394</v>
      </c>
      <c r="I4" s="35" t="s">
        <v>2968</v>
      </c>
      <c r="J4" s="35" t="s">
        <v>394</v>
      </c>
      <c r="K4" s="35" t="s">
        <v>431</v>
      </c>
      <c r="L4" s="35" t="s">
        <v>431</v>
      </c>
      <c r="M4" s="35" t="s">
        <v>431</v>
      </c>
      <c r="N4" s="35" t="s">
        <v>431</v>
      </c>
      <c r="O4" s="35" t="s">
        <v>431</v>
      </c>
      <c r="P4" s="35" t="s">
        <v>431</v>
      </c>
      <c r="Q4" s="35" t="s">
        <v>431</v>
      </c>
      <c r="R4" s="35" t="s">
        <v>431</v>
      </c>
      <c r="S4" s="35" t="s">
        <v>431</v>
      </c>
      <c r="T4" s="2"/>
      <c r="U4" s="144"/>
    </row>
    <row r="5" spans="1:21" x14ac:dyDescent="0.3">
      <c r="A5" s="173" t="str" cm="1">
        <f t="array" ref="A5">IFERROR(INDEX(Lists!$B$2:$B$160,SMALL(IF(Lists!$H$2:$H$160="Yes",ROW(Lists!$B$2:$B$160)),ROW(1:1))-1,1),"")</f>
        <v>Complex crisis in Afghanistan</v>
      </c>
      <c r="B5" s="174" t="str">
        <f>VLOOKUP(A5,Lists!$B$2:$G$160,2,FALSE)</f>
        <v>AFG001</v>
      </c>
      <c r="C5" s="174" t="str">
        <f>VLOOKUP(B5,'INFORM Severity - hidden'!$C$5:$D$160,2,FALSE)</f>
        <v>Afghanistan</v>
      </c>
      <c r="D5" s="174" t="str">
        <f>VLOOKUP(A5,Lists!$B$2:$G$160,3,FALSE)</f>
        <v>AFG</v>
      </c>
      <c r="E5" s="174" t="str">
        <f>VLOOKUP(A5,Lists!$B$2:$G$160,5,FALSE)</f>
        <v>Complex crisis</v>
      </c>
      <c r="F5" s="181">
        <f>IF(OR(N5="x",K5="x"),"x",ROUND((5-GEOMEAN(((5-K5)/5*4+1),((5-N5)/5*4+1),((5-N5)/5*4+1)))/4*3.5+Q5*0.3,1))</f>
        <v>4.5999999999999996</v>
      </c>
      <c r="G5" s="182">
        <f>IF(F5="x","x",ROUNDUP(F5,0))</f>
        <v>5</v>
      </c>
      <c r="H5" s="182" t="str">
        <f>IF(N5="x","x",IF(K5="x","x",(IF(G5=5,"Very High",IF(G5=4,"High",IF(G5=3,"Medium",IF(G5=2,"Low","Very Low")))))))</f>
        <v>Very High</v>
      </c>
      <c r="I5" s="180" t="str">
        <f>INDEX(Trends!$D$3:$D$400,MATCH(B5,Trends!$C$3:$C$400,0))</f>
        <v>Increasing</v>
      </c>
      <c r="J5" s="182" t="str">
        <f>VLOOKUP($B5,Reliability!$A$3:$I$170,9,FALSE)</f>
        <v>High</v>
      </c>
      <c r="K5" s="183">
        <f>IF(OR(M5="x",L5="x"),"x",ROUND((5-GEOMEAN(((5-L5)/5*4+1),((5-M5)/5*4+1),((5-M5)/5*4+1)))/4*5,1))</f>
        <v>5</v>
      </c>
      <c r="L5" s="183">
        <f>VLOOKUP($B5,'Impact of the crisis'!$C$6:$N$170,12,FALSE)</f>
        <v>4.9000000000000004</v>
      </c>
      <c r="M5" s="183">
        <f>VLOOKUP($B5,'Impact of the crisis'!$C$6:$AB$170,26,FALSE)</f>
        <v>5</v>
      </c>
      <c r="N5" s="183">
        <f>VLOOKUP($B5,'Conditions of people affected'!$C$6:$R$170,16,FALSE)</f>
        <v>4.5</v>
      </c>
      <c r="O5" s="183">
        <f>VLOOKUP($B5,'Conditions of people affected'!$C$6:$R$170,9,FALSE)</f>
        <v>5</v>
      </c>
      <c r="P5" s="183">
        <f>VLOOKUP($B5,'Conditions of people affected'!$C$6:$R$170,15,FALSE)</f>
        <v>4</v>
      </c>
      <c r="Q5" s="183">
        <f>IF(OR(S5="x",R5="x"),R5,ROUND((5-GEOMEAN(((5-R5)/5*4+1),((5-S5)/5*4+1)))/4*5,1))</f>
        <v>4.3</v>
      </c>
      <c r="R5" s="183">
        <f>VLOOKUP($B5,'Complexity of the crisis'!$C$6:$AN$170,22,FALSE)</f>
        <v>4</v>
      </c>
      <c r="S5" s="184">
        <f>VLOOKUP($B5,'Complexity of the crisis'!$C$6:$AN$170,38,FALSE)</f>
        <v>4.5</v>
      </c>
      <c r="T5" s="179" t="str">
        <f>VLOOKUP(B5,Lists!$C$3:$E$167,3,FALSE)</f>
        <v>Asia</v>
      </c>
      <c r="U5" s="200">
        <v>44131</v>
      </c>
    </row>
    <row r="6" spans="1:21" x14ac:dyDescent="0.3">
      <c r="A6" s="175" t="str" cm="1">
        <f t="array" ref="A6">IFERROR(INDEX(Lists!$B$2:$B$160,SMALL(IF(Lists!$H$2:$H$160="Yes",ROW(Lists!$B$2:$B$160)),ROW(2:2))-1,1),"")</f>
        <v>Multiple crises in Algeria</v>
      </c>
      <c r="B6" s="176" t="str">
        <f>VLOOKUP(A6,Lists!$B$2:$G$160,2,FALSE)</f>
        <v>DZA004</v>
      </c>
      <c r="C6" s="176" t="str">
        <f>VLOOKUP(B6,'INFORM Severity - hidden'!$C$5:$D$160,2,FALSE)</f>
        <v>Algeria</v>
      </c>
      <c r="D6" s="176" t="str">
        <f>VLOOKUP(A6,Lists!$B$2:$G$160,3,FALSE)</f>
        <v>DZA</v>
      </c>
      <c r="E6" s="176" t="str">
        <f>VLOOKUP(A6,Lists!$B$2:$G$160,5,FALSE)</f>
        <v>Multiple crises country</v>
      </c>
      <c r="F6" s="181" t="str">
        <f t="shared" ref="F6:F69" si="0">IF(OR(N6="x",K6="x"),"x",ROUND((5-GEOMEAN(((5-K6)/5*4+1),((5-N6)/5*4+1),((5-N6)/5*4+1)))/4*3.5+Q6*0.3,1))</f>
        <v>x</v>
      </c>
      <c r="G6" s="182" t="str">
        <f t="shared" ref="G6:G69" si="1">IF(F6="x","x",ROUNDUP(F6,0))</f>
        <v>x</v>
      </c>
      <c r="H6" s="182" t="str">
        <f t="shared" ref="H6:H69" si="2">IF(N6="x","x",IF(K6="x","x",(IF(G6=5,"Very High",IF(G6=4,"High",IF(G6=3,"Medium",IF(G6=2,"Low","Very Low")))))))</f>
        <v>x</v>
      </c>
      <c r="I6" s="180" t="str">
        <f>INDEX(Trends!$D$3:$D$400,MATCH(B6,Trends!$C$3:$C$400,0))</f>
        <v>-</v>
      </c>
      <c r="J6" s="182" t="str">
        <f>VLOOKUP($B6,Reliability!$A$3:$I$170,9,FALSE)</f>
        <v>Low</v>
      </c>
      <c r="K6" s="183">
        <f t="shared" ref="K6:K69" si="3">IF(OR(M6="x",L6="x"),"x",ROUND((5-GEOMEAN(((5-L6)/5*4+1),((5-M6)/5*4+1),((5-M6)/5*4+1)))/4*5,1))</f>
        <v>4.4000000000000004</v>
      </c>
      <c r="L6" s="183">
        <f>VLOOKUP($B6,'Impact of the crisis'!$C$6:$N$170,12,FALSE)</f>
        <v>5</v>
      </c>
      <c r="M6" s="183">
        <f>VLOOKUP($B6,'Impact of the crisis'!$C$6:$AB$170,26,FALSE)</f>
        <v>4</v>
      </c>
      <c r="N6" s="183" t="str">
        <f>VLOOKUP($B6,'Conditions of people affected'!$C$6:$R$170,16,FALSE)</f>
        <v>x</v>
      </c>
      <c r="O6" s="183" t="str">
        <f>VLOOKUP($B6,'Conditions of people affected'!$C$6:$R$170,9,FALSE)</f>
        <v>x</v>
      </c>
      <c r="P6" s="183" t="str">
        <f>VLOOKUP($B6,'Conditions of people affected'!$C$6:$R$170,15,FALSE)</f>
        <v>x</v>
      </c>
      <c r="Q6" s="183">
        <f t="shared" ref="Q6:Q69" si="4">IF(OR(S6="x",R6="x"),R6,ROUND((5-GEOMEAN(((5-R6)/5*4+1),((5-S6)/5*4+1)))/4*5,1))</f>
        <v>2.5</v>
      </c>
      <c r="R6" s="183">
        <f>VLOOKUP($B6,'Complexity of the crisis'!$C$6:$AN$170,22,FALSE)</f>
        <v>3</v>
      </c>
      <c r="S6" s="184">
        <f>VLOOKUP($B6,'Complexity of the crisis'!$C$6:$AN$170,38,FALSE)</f>
        <v>2</v>
      </c>
      <c r="T6" s="179" t="str">
        <f>VLOOKUP(B6,Lists!$C$3:$E$167,3,FALSE)</f>
        <v>Africa</v>
      </c>
      <c r="U6" s="200">
        <v>44133</v>
      </c>
    </row>
    <row r="7" spans="1:21" x14ac:dyDescent="0.3">
      <c r="A7" s="175" t="str" cm="1">
        <f t="array" ref="A7">IFERROR(INDEX(Lists!$B$2:$B$160,SMALL(IF(Lists!$H$2:$H$160="Yes",ROW(Lists!$B$2:$B$160)),ROW(3:3))-1,1),"")</f>
        <v>Nagorno-Karabakh Conflict in Armenia</v>
      </c>
      <c r="B7" s="176" t="str">
        <f>VLOOKUP(A7,Lists!$B$2:$G$160,2,FALSE)</f>
        <v>ARM002</v>
      </c>
      <c r="C7" s="176" t="str">
        <f>VLOOKUP(B7,'INFORM Severity - hidden'!$C$5:$D$160,2,FALSE)</f>
        <v>Armenia</v>
      </c>
      <c r="D7" s="176" t="str">
        <f>VLOOKUP(A7,Lists!$B$2:$G$160,3,FALSE)</f>
        <v>ARM</v>
      </c>
      <c r="E7" s="176" t="str">
        <f>VLOOKUP(A7,Lists!$B$2:$G$160,5,FALSE)</f>
        <v>Conflict</v>
      </c>
      <c r="F7" s="181" t="str">
        <f t="shared" si="0"/>
        <v>x</v>
      </c>
      <c r="G7" s="182" t="str">
        <f t="shared" si="1"/>
        <v>x</v>
      </c>
      <c r="H7" s="182" t="str">
        <f t="shared" si="2"/>
        <v>x</v>
      </c>
      <c r="I7" s="180" t="str">
        <f>INDEX(Trends!$D$3:$D$400,MATCH(B7,Trends!$C$3:$C$400,0))</f>
        <v>-</v>
      </c>
      <c r="J7" s="182" t="str">
        <f>VLOOKUP($B7,Reliability!$A$3:$I$170,9,FALSE)</f>
        <v>High</v>
      </c>
      <c r="K7" s="183">
        <f t="shared" si="3"/>
        <v>2.2999999999999998</v>
      </c>
      <c r="L7" s="183">
        <f>VLOOKUP($B7,'Impact of the crisis'!$C$6:$N$170,12,FALSE)</f>
        <v>0.6</v>
      </c>
      <c r="M7" s="183">
        <f>VLOOKUP($B7,'Impact of the crisis'!$C$6:$AB$170,26,FALSE)</f>
        <v>2.9</v>
      </c>
      <c r="N7" s="183" t="str">
        <f>VLOOKUP($B7,'Conditions of people affected'!$C$6:$R$170,16,FALSE)</f>
        <v>x</v>
      </c>
      <c r="O7" s="183" t="str">
        <f>VLOOKUP($B7,'Conditions of people affected'!$C$6:$R$170,9,FALSE)</f>
        <v>x</v>
      </c>
      <c r="P7" s="183" t="str">
        <f>VLOOKUP($B7,'Conditions of people affected'!$C$6:$R$170,15,FALSE)</f>
        <v>x</v>
      </c>
      <c r="Q7" s="183">
        <f t="shared" si="4"/>
        <v>1.7</v>
      </c>
      <c r="R7" s="183">
        <f>VLOOKUP($B7,'Complexity of the crisis'!$C$6:$AN$170,22,FALSE)</f>
        <v>1.8</v>
      </c>
      <c r="S7" s="184">
        <f>VLOOKUP($B7,'Complexity of the crisis'!$C$6:$AN$170,38,FALSE)</f>
        <v>1.5</v>
      </c>
      <c r="T7" s="179" t="str">
        <f>VLOOKUP(B7,Lists!$C$3:$E$167,3,FALSE)</f>
        <v>Middle east</v>
      </c>
      <c r="U7" s="200">
        <v>44139</v>
      </c>
    </row>
    <row r="8" spans="1:21" x14ac:dyDescent="0.3">
      <c r="A8" s="175" t="str" cm="1">
        <f t="array" ref="A8">IFERROR(INDEX(Lists!$B$2:$B$160,SMALL(IF(Lists!$H$2:$H$160="Yes",ROW(Lists!$B$2:$B$160)),ROW(4:4))-1,1),"")</f>
        <v>Nagorno-Karabakh conflict in Azerbaijan</v>
      </c>
      <c r="B8" s="176" t="str">
        <f>VLOOKUP(A8,Lists!$B$2:$G$160,2,FALSE)</f>
        <v>AZE002</v>
      </c>
      <c r="C8" s="176" t="str">
        <f>VLOOKUP(B8,'INFORM Severity - hidden'!$C$5:$D$160,2,FALSE)</f>
        <v>Azerbaijan</v>
      </c>
      <c r="D8" s="176" t="str">
        <f>VLOOKUP(A8,Lists!$B$2:$G$160,3,FALSE)</f>
        <v>AZE</v>
      </c>
      <c r="E8" s="176" t="str">
        <f>VLOOKUP(A8,Lists!$B$2:$G$160,5,FALSE)</f>
        <v>Conflict</v>
      </c>
      <c r="F8" s="181" t="str">
        <f t="shared" si="0"/>
        <v>x</v>
      </c>
      <c r="G8" s="182" t="str">
        <f t="shared" si="1"/>
        <v>x</v>
      </c>
      <c r="H8" s="182" t="str">
        <f t="shared" si="2"/>
        <v>x</v>
      </c>
      <c r="I8" s="180" t="str">
        <f>INDEX(Trends!$D$3:$D$400,MATCH(B8,Trends!$C$3:$C$400,0))</f>
        <v>-</v>
      </c>
      <c r="J8" s="182" t="str">
        <f>VLOOKUP($B8,Reliability!$A$3:$I$170,9,FALSE)</f>
        <v>High</v>
      </c>
      <c r="K8" s="183">
        <f t="shared" si="3"/>
        <v>2.9</v>
      </c>
      <c r="L8" s="183">
        <f>VLOOKUP($B8,'Impact of the crisis'!$C$6:$N$170,12,FALSE)</f>
        <v>1.8</v>
      </c>
      <c r="M8" s="183">
        <f>VLOOKUP($B8,'Impact of the crisis'!$C$6:$AB$170,26,FALSE)</f>
        <v>3.3</v>
      </c>
      <c r="N8" s="183" t="str">
        <f>VLOOKUP($B8,'Conditions of people affected'!$C$6:$R$170,16,FALSE)</f>
        <v>x</v>
      </c>
      <c r="O8" s="183" t="str">
        <f>VLOOKUP($B8,'Conditions of people affected'!$C$6:$R$170,9,FALSE)</f>
        <v>x</v>
      </c>
      <c r="P8" s="183" t="str">
        <f>VLOOKUP($B8,'Conditions of people affected'!$C$6:$R$170,15,FALSE)</f>
        <v>x</v>
      </c>
      <c r="Q8" s="183">
        <f t="shared" si="4"/>
        <v>2.5</v>
      </c>
      <c r="R8" s="183">
        <f>VLOOKUP($B8,'Complexity of the crisis'!$C$6:$AN$170,22,FALSE)</f>
        <v>2.9</v>
      </c>
      <c r="S8" s="184">
        <f>VLOOKUP($B8,'Complexity of the crisis'!$C$6:$AN$170,38,FALSE)</f>
        <v>2</v>
      </c>
      <c r="T8" s="179" t="str">
        <f>VLOOKUP(B8,Lists!$C$3:$E$167,3,FALSE)</f>
        <v>Middle east</v>
      </c>
      <c r="U8" s="200">
        <v>44139</v>
      </c>
    </row>
    <row r="9" spans="1:21" x14ac:dyDescent="0.3">
      <c r="A9" s="175" t="str" cm="1">
        <f t="array" ref="A9">IFERROR(INDEX(Lists!$B$2:$B$160,SMALL(IF(Lists!$H$2:$H$160="Yes",ROW(Lists!$B$2:$B$160)),ROW(5:5))-1,1),"")</f>
        <v>Mutliple crises in Bangladesh</v>
      </c>
      <c r="B9" s="176" t="str">
        <f>VLOOKUP(A9,Lists!$B$2:$G$160,2,FALSE)</f>
        <v>BGD001</v>
      </c>
      <c r="C9" s="176" t="str">
        <f>VLOOKUP(B9,'INFORM Severity - hidden'!$C$5:$D$160,2,FALSE)</f>
        <v>Bangladesh</v>
      </c>
      <c r="D9" s="176" t="str">
        <f>VLOOKUP(A9,Lists!$B$2:$G$160,3,FALSE)</f>
        <v>BGD</v>
      </c>
      <c r="E9" s="176" t="str">
        <f>VLOOKUP(A9,Lists!$B$2:$G$160,5,FALSE)</f>
        <v>Multiple crises country</v>
      </c>
      <c r="F9" s="181">
        <f t="shared" si="0"/>
        <v>2.9</v>
      </c>
      <c r="G9" s="182">
        <f t="shared" si="1"/>
        <v>3</v>
      </c>
      <c r="H9" s="182" t="str">
        <f t="shared" si="2"/>
        <v>Medium</v>
      </c>
      <c r="I9" s="180" t="str">
        <f>INDEX(Trends!$D$3:$D$400,MATCH(B9,Trends!$C$3:$C$400,0))</f>
        <v>Decreasing</v>
      </c>
      <c r="J9" s="182" t="str">
        <f>VLOOKUP($B9,Reliability!$A$3:$I$170,9,FALSE)</f>
        <v>High</v>
      </c>
      <c r="K9" s="183">
        <f t="shared" si="3"/>
        <v>2.9</v>
      </c>
      <c r="L9" s="183">
        <f>VLOOKUP($B9,'Impact of the crisis'!$C$6:$N$170,12,FALSE)</f>
        <v>3.3</v>
      </c>
      <c r="M9" s="183">
        <f>VLOOKUP($B9,'Impact of the crisis'!$C$6:$AB$170,26,FALSE)</f>
        <v>2.6</v>
      </c>
      <c r="N9" s="183">
        <f>VLOOKUP($B9,'Conditions of people affected'!$C$6:$R$170,16,FALSE)</f>
        <v>2.85</v>
      </c>
      <c r="O9" s="183">
        <f>VLOOKUP($B9,'Conditions of people affected'!$C$6:$R$170,9,FALSE)</f>
        <v>3.7</v>
      </c>
      <c r="P9" s="183">
        <f>VLOOKUP($B9,'Conditions of people affected'!$C$6:$R$170,15,FALSE)</f>
        <v>2</v>
      </c>
      <c r="Q9" s="183">
        <f t="shared" si="4"/>
        <v>3.1</v>
      </c>
      <c r="R9" s="183">
        <f>VLOOKUP($B9,'Complexity of the crisis'!$C$6:$AN$170,22,FALSE)</f>
        <v>2.7</v>
      </c>
      <c r="S9" s="184">
        <f>VLOOKUP($B9,'Complexity of the crisis'!$C$6:$AN$170,38,FALSE)</f>
        <v>3.5</v>
      </c>
      <c r="T9" s="179" t="str">
        <f>VLOOKUP(B9,Lists!$C$3:$E$167,3,FALSE)</f>
        <v>Asia</v>
      </c>
      <c r="U9" s="200">
        <v>44132</v>
      </c>
    </row>
    <row r="10" spans="1:21" x14ac:dyDescent="0.3">
      <c r="A10" s="175" t="str" cm="1">
        <f t="array" ref="A10">IFERROR(INDEX(Lists!$B$2:$B$160,SMALL(IF(Lists!$H$2:$H$160="Yes",ROW(Lists!$B$2:$B$160)),ROW(6:6))-1,1),"")</f>
        <v>Venezuela displacement in Brazil</v>
      </c>
      <c r="B10" s="176" t="str">
        <f>VLOOKUP(A10,Lists!$B$2:$G$160,2,FALSE)</f>
        <v>BRA002</v>
      </c>
      <c r="C10" s="176" t="str">
        <f>VLOOKUP(B10,'INFORM Severity - hidden'!$C$5:$D$160,2,FALSE)</f>
        <v>Brazil</v>
      </c>
      <c r="D10" s="176" t="str">
        <f>VLOOKUP(A10,Lists!$B$2:$G$160,3,FALSE)</f>
        <v>BRA</v>
      </c>
      <c r="E10" s="176" t="str">
        <f>VLOOKUP(A10,Lists!$B$2:$G$160,5,FALSE)</f>
        <v>International displacement</v>
      </c>
      <c r="F10" s="181">
        <f t="shared" si="0"/>
        <v>2.2999999999999998</v>
      </c>
      <c r="G10" s="182">
        <f t="shared" si="1"/>
        <v>3</v>
      </c>
      <c r="H10" s="182" t="str">
        <f t="shared" si="2"/>
        <v>Medium</v>
      </c>
      <c r="I10" s="180" t="str">
        <f>INDEX(Trends!$D$3:$D$400,MATCH(B10,Trends!$C$3:$C$400,0))</f>
        <v>Increasing</v>
      </c>
      <c r="J10" s="182" t="str">
        <f>VLOOKUP($B10,Reliability!$A$3:$I$170,9,FALSE)</f>
        <v>High</v>
      </c>
      <c r="K10" s="183">
        <f t="shared" si="3"/>
        <v>2.4</v>
      </c>
      <c r="L10" s="183">
        <f>VLOOKUP($B10,'Impact of the crisis'!$C$6:$N$170,12,FALSE)</f>
        <v>1.1000000000000001</v>
      </c>
      <c r="M10" s="183">
        <f>VLOOKUP($B10,'Impact of the crisis'!$C$6:$AB$170,26,FALSE)</f>
        <v>2.9</v>
      </c>
      <c r="N10" s="183">
        <f>VLOOKUP($B10,'Conditions of people affected'!$C$6:$R$170,16,FALSE)</f>
        <v>2.7</v>
      </c>
      <c r="O10" s="183">
        <f>VLOOKUP($B10,'Conditions of people affected'!$C$6:$R$170,9,FALSE)</f>
        <v>2.4</v>
      </c>
      <c r="P10" s="183">
        <f>VLOOKUP($B10,'Conditions of people affected'!$C$6:$R$170,15,FALSE)</f>
        <v>3</v>
      </c>
      <c r="Q10" s="183">
        <f t="shared" si="4"/>
        <v>1.6</v>
      </c>
      <c r="R10" s="183">
        <f>VLOOKUP($B10,'Complexity of the crisis'!$C$6:$AN$170,22,FALSE)</f>
        <v>2.2000000000000002</v>
      </c>
      <c r="S10" s="184">
        <f>VLOOKUP($B10,'Complexity of the crisis'!$C$6:$AN$170,38,FALSE)</f>
        <v>1</v>
      </c>
      <c r="T10" s="179" t="str">
        <f>VLOOKUP(B10,Lists!$C$3:$E$167,3,FALSE)</f>
        <v>Americas</v>
      </c>
      <c r="U10" s="200">
        <v>44110</v>
      </c>
    </row>
    <row r="11" spans="1:21" x14ac:dyDescent="0.3">
      <c r="A11" s="175" t="str" cm="1">
        <f t="array" ref="A11">IFERROR(INDEX(Lists!$B$2:$B$160,SMALL(IF(Lists!$H$2:$H$160="Yes",ROW(Lists!$B$2:$B$160)),ROW(7:7))-1,1),"")</f>
        <v>Conflict in Burkina Faso</v>
      </c>
      <c r="B11" s="176" t="str">
        <f>VLOOKUP(A11,Lists!$B$2:$G$160,2,FALSE)</f>
        <v>BFA002</v>
      </c>
      <c r="C11" s="176" t="str">
        <f>VLOOKUP(B11,'INFORM Severity - hidden'!$C$5:$D$160,2,FALSE)</f>
        <v>Burkina Faso</v>
      </c>
      <c r="D11" s="176" t="str">
        <f>VLOOKUP(A11,Lists!$B$2:$G$160,3,FALSE)</f>
        <v>BFA</v>
      </c>
      <c r="E11" s="176" t="str">
        <f>VLOOKUP(A11,Lists!$B$2:$G$160,5,FALSE)</f>
        <v>Conflict</v>
      </c>
      <c r="F11" s="181">
        <f t="shared" si="0"/>
        <v>3.8</v>
      </c>
      <c r="G11" s="182">
        <f t="shared" si="1"/>
        <v>4</v>
      </c>
      <c r="H11" s="182" t="str">
        <f t="shared" si="2"/>
        <v>High</v>
      </c>
      <c r="I11" s="180" t="str">
        <f>INDEX(Trends!$D$3:$D$400,MATCH(B11,Trends!$C$3:$C$400,0))</f>
        <v>Increasing</v>
      </c>
      <c r="J11" s="182" t="str">
        <f>VLOOKUP($B11,Reliability!$A$3:$I$170,9,FALSE)</f>
        <v>High</v>
      </c>
      <c r="K11" s="183">
        <f t="shared" si="3"/>
        <v>3.8</v>
      </c>
      <c r="L11" s="183">
        <f>VLOOKUP($B11,'Impact of the crisis'!$C$6:$N$170,12,FALSE)</f>
        <v>2.9</v>
      </c>
      <c r="M11" s="183">
        <f>VLOOKUP($B11,'Impact of the crisis'!$C$6:$AB$170,26,FALSE)</f>
        <v>4.0999999999999996</v>
      </c>
      <c r="N11" s="183">
        <f>VLOOKUP($B11,'Conditions of people affected'!$C$6:$R$170,16,FALSE)</f>
        <v>4.45</v>
      </c>
      <c r="O11" s="183">
        <f>VLOOKUP($B11,'Conditions of people affected'!$C$6:$R$170,9,FALSE)</f>
        <v>3.9</v>
      </c>
      <c r="P11" s="183">
        <f>VLOOKUP($B11,'Conditions of people affected'!$C$6:$R$170,15,FALSE)</f>
        <v>5</v>
      </c>
      <c r="Q11" s="183">
        <f t="shared" si="4"/>
        <v>2.9</v>
      </c>
      <c r="R11" s="183">
        <f>VLOOKUP($B11,'Complexity of the crisis'!$C$6:$AN$170,22,FALSE)</f>
        <v>2.8</v>
      </c>
      <c r="S11" s="184">
        <f>VLOOKUP($B11,'Complexity of the crisis'!$C$6:$AN$170,38,FALSE)</f>
        <v>3</v>
      </c>
      <c r="T11" s="179" t="str">
        <f>VLOOKUP(B11,Lists!$C$3:$E$167,3,FALSE)</f>
        <v>Africa</v>
      </c>
      <c r="U11" s="200">
        <v>44134</v>
      </c>
    </row>
    <row r="12" spans="1:21" x14ac:dyDescent="0.3">
      <c r="A12" s="175" t="str" cm="1">
        <f t="array" ref="A12">IFERROR(INDEX(Lists!$B$2:$B$160,SMALL(IF(Lists!$H$2:$H$160="Yes",ROW(Lists!$B$2:$B$160)),ROW(8:8))-1,1),"")</f>
        <v>Multiple crises in Burkina Faso</v>
      </c>
      <c r="B12" s="176" t="str">
        <f>VLOOKUP(A12,Lists!$B$2:$G$160,2,FALSE)</f>
        <v>BFA004</v>
      </c>
      <c r="C12" s="176" t="str">
        <f>VLOOKUP(B12,'INFORM Severity - hidden'!$C$5:$D$160,2,FALSE)</f>
        <v>Burkina Faso</v>
      </c>
      <c r="D12" s="176" t="str">
        <f>VLOOKUP(A12,Lists!$B$2:$G$160,3,FALSE)</f>
        <v>BFA</v>
      </c>
      <c r="E12" s="176" t="str">
        <f>VLOOKUP(A12,Lists!$B$2:$G$160,5,FALSE)</f>
        <v>Multiple crises country</v>
      </c>
      <c r="F12" s="181">
        <f t="shared" si="0"/>
        <v>3.8</v>
      </c>
      <c r="G12" s="182">
        <f t="shared" si="1"/>
        <v>4</v>
      </c>
      <c r="H12" s="182" t="str">
        <f t="shared" si="2"/>
        <v>High</v>
      </c>
      <c r="I12" s="180" t="str">
        <f>INDEX(Trends!$D$3:$D$400,MATCH(B12,Trends!$C$3:$C$400,0))</f>
        <v>-</v>
      </c>
      <c r="J12" s="182" t="str">
        <f>VLOOKUP($B12,Reliability!$A$3:$I$170,9,FALSE)</f>
        <v>High</v>
      </c>
      <c r="K12" s="183">
        <f t="shared" si="3"/>
        <v>4.0999999999999996</v>
      </c>
      <c r="L12" s="183">
        <f>VLOOKUP($B12,'Impact of the crisis'!$C$6:$N$170,12,FALSE)</f>
        <v>4.5999999999999996</v>
      </c>
      <c r="M12" s="183">
        <f>VLOOKUP($B12,'Impact of the crisis'!$C$6:$AB$170,26,FALSE)</f>
        <v>3.8</v>
      </c>
      <c r="N12" s="183">
        <f>VLOOKUP($B12,'Conditions of people affected'!$C$6:$R$170,16,FALSE)</f>
        <v>3.95</v>
      </c>
      <c r="O12" s="183">
        <f>VLOOKUP($B12,'Conditions of people affected'!$C$6:$R$170,9,FALSE)</f>
        <v>3.9</v>
      </c>
      <c r="P12" s="183">
        <f>VLOOKUP($B12,'Conditions of people affected'!$C$6:$R$170,15,FALSE)</f>
        <v>4</v>
      </c>
      <c r="Q12" s="183">
        <f t="shared" si="4"/>
        <v>3.2</v>
      </c>
      <c r="R12" s="183">
        <f>VLOOKUP($B12,'Complexity of the crisis'!$C$6:$AN$170,22,FALSE)</f>
        <v>2.8</v>
      </c>
      <c r="S12" s="184">
        <f>VLOOKUP($B12,'Complexity of the crisis'!$C$6:$AN$170,38,FALSE)</f>
        <v>3.5</v>
      </c>
      <c r="T12" s="179" t="str">
        <f>VLOOKUP(B12,Lists!$C$3:$E$167,3,FALSE)</f>
        <v>Africa</v>
      </c>
      <c r="U12" s="200">
        <v>44134</v>
      </c>
    </row>
    <row r="13" spans="1:21" x14ac:dyDescent="0.3">
      <c r="A13" s="175" t="str" cm="1">
        <f t="array" ref="A13">IFERROR(INDEX(Lists!$B$2:$B$160,SMALL(IF(Lists!$H$2:$H$160="Yes",ROW(Lists!$B$2:$B$160)),ROW(9:9))-1,1),"")</f>
        <v>Complex in Burundi</v>
      </c>
      <c r="B13" s="176" t="str">
        <f>VLOOKUP(A13,Lists!$B$2:$G$160,2,FALSE)</f>
        <v>BDI001</v>
      </c>
      <c r="C13" s="176" t="str">
        <f>VLOOKUP(B13,'INFORM Severity - hidden'!$C$5:$D$160,2,FALSE)</f>
        <v>Burundi</v>
      </c>
      <c r="D13" s="176" t="str">
        <f>VLOOKUP(A13,Lists!$B$2:$G$160,3,FALSE)</f>
        <v>BDI</v>
      </c>
      <c r="E13" s="176" t="str">
        <f>VLOOKUP(A13,Lists!$B$2:$G$160,5,FALSE)</f>
        <v>Complex crisis</v>
      </c>
      <c r="F13" s="181">
        <f t="shared" si="0"/>
        <v>3.4</v>
      </c>
      <c r="G13" s="182">
        <f t="shared" si="1"/>
        <v>4</v>
      </c>
      <c r="H13" s="182" t="str">
        <f t="shared" si="2"/>
        <v>High</v>
      </c>
      <c r="I13" s="180" t="str">
        <f>INDEX(Trends!$D$3:$D$400,MATCH(B13,Trends!$C$3:$C$400,0))</f>
        <v>Stable</v>
      </c>
      <c r="J13" s="182" t="str">
        <f>VLOOKUP($B13,Reliability!$A$3:$I$170,9,FALSE)</f>
        <v>High</v>
      </c>
      <c r="K13" s="183">
        <f t="shared" si="3"/>
        <v>3.4</v>
      </c>
      <c r="L13" s="183">
        <f>VLOOKUP($B13,'Impact of the crisis'!$C$6:$N$170,12,FALSE)</f>
        <v>4</v>
      </c>
      <c r="M13" s="183">
        <f>VLOOKUP($B13,'Impact of the crisis'!$C$6:$AB$170,26,FALSE)</f>
        <v>3.1</v>
      </c>
      <c r="N13" s="183">
        <f>VLOOKUP($B13,'Conditions of people affected'!$C$6:$R$170,16,FALSE)</f>
        <v>3.25</v>
      </c>
      <c r="O13" s="183">
        <f>VLOOKUP($B13,'Conditions of people affected'!$C$6:$R$170,9,FALSE)</f>
        <v>3.5</v>
      </c>
      <c r="P13" s="183">
        <f>VLOOKUP($B13,'Conditions of people affected'!$C$6:$R$170,15,FALSE)</f>
        <v>3</v>
      </c>
      <c r="Q13" s="183">
        <f t="shared" si="4"/>
        <v>3.6</v>
      </c>
      <c r="R13" s="183">
        <f>VLOOKUP($B13,'Complexity of the crisis'!$C$6:$AN$170,22,FALSE)</f>
        <v>3.1</v>
      </c>
      <c r="S13" s="184">
        <f>VLOOKUP($B13,'Complexity of the crisis'!$C$6:$AN$170,38,FALSE)</f>
        <v>4</v>
      </c>
      <c r="T13" s="179" t="str">
        <f>VLOOKUP(B13,Lists!$C$3:$E$167,3,FALSE)</f>
        <v>Africa</v>
      </c>
      <c r="U13" s="200">
        <v>44134</v>
      </c>
    </row>
    <row r="14" spans="1:21" x14ac:dyDescent="0.3">
      <c r="A14" s="175" t="str" cm="1">
        <f t="array" ref="A14">IFERROR(INDEX(Lists!$B$2:$B$160,SMALL(IF(Lists!$H$2:$H$160="Yes",ROW(Lists!$B$2:$B$160)),ROW(10:10))-1,1),"")</f>
        <v>Multiple crises in Cameroon</v>
      </c>
      <c r="B14" s="176" t="str">
        <f>VLOOKUP(A14,Lists!$B$2:$G$160,2,FALSE)</f>
        <v>CMR001</v>
      </c>
      <c r="C14" s="176" t="str">
        <f>VLOOKUP(B14,'INFORM Severity - hidden'!$C$5:$D$160,2,FALSE)</f>
        <v>Cameroon</v>
      </c>
      <c r="D14" s="176" t="str">
        <f>VLOOKUP(A14,Lists!$B$2:$G$160,3,FALSE)</f>
        <v>CMR</v>
      </c>
      <c r="E14" s="176" t="str">
        <f>VLOOKUP(A14,Lists!$B$2:$G$160,5,FALSE)</f>
        <v>Multiple crises country</v>
      </c>
      <c r="F14" s="181">
        <f t="shared" si="0"/>
        <v>3.7</v>
      </c>
      <c r="G14" s="182">
        <f t="shared" si="1"/>
        <v>4</v>
      </c>
      <c r="H14" s="182" t="str">
        <f t="shared" si="2"/>
        <v>High</v>
      </c>
      <c r="I14" s="180" t="str">
        <f>INDEX(Trends!$D$3:$D$400,MATCH(B14,Trends!$C$3:$C$400,0))</f>
        <v>Increasing</v>
      </c>
      <c r="J14" s="182" t="str">
        <f>VLOOKUP($B14,Reliability!$A$3:$I$170,9,FALSE)</f>
        <v>High</v>
      </c>
      <c r="K14" s="183">
        <f t="shared" si="3"/>
        <v>3.8</v>
      </c>
      <c r="L14" s="183">
        <f>VLOOKUP($B14,'Impact of the crisis'!$C$6:$N$170,12,FALSE)</f>
        <v>3.2</v>
      </c>
      <c r="M14" s="183">
        <f>VLOOKUP($B14,'Impact of the crisis'!$C$6:$AB$170,26,FALSE)</f>
        <v>4</v>
      </c>
      <c r="N14" s="183">
        <f>VLOOKUP($B14,'Conditions of people affected'!$C$6:$R$170,16,FALSE)</f>
        <v>3.35</v>
      </c>
      <c r="O14" s="183">
        <f>VLOOKUP($B14,'Conditions of people affected'!$C$6:$R$170,9,FALSE)</f>
        <v>3.7</v>
      </c>
      <c r="P14" s="183">
        <f>VLOOKUP($B14,'Conditions of people affected'!$C$6:$R$170,15,FALSE)</f>
        <v>3</v>
      </c>
      <c r="Q14" s="183">
        <f t="shared" si="4"/>
        <v>4.0999999999999996</v>
      </c>
      <c r="R14" s="183">
        <f>VLOOKUP($B14,'Complexity of the crisis'!$C$6:$AN$170,22,FALSE)</f>
        <v>3.5</v>
      </c>
      <c r="S14" s="184">
        <f>VLOOKUP($B14,'Complexity of the crisis'!$C$6:$AN$170,38,FALSE)</f>
        <v>4.5</v>
      </c>
      <c r="T14" s="179" t="str">
        <f>VLOOKUP(B14,Lists!$C$3:$E$167,3,FALSE)</f>
        <v>Africa</v>
      </c>
      <c r="U14" s="200">
        <v>44134</v>
      </c>
    </row>
    <row r="15" spans="1:21" x14ac:dyDescent="0.3">
      <c r="A15" s="175" t="str" cm="1">
        <f t="array" ref="A15">IFERROR(INDEX(Lists!$B$2:$B$160,SMALL(IF(Lists!$H$2:$H$160="Yes",ROW(Lists!$B$2:$B$160)),ROW(11:11))-1,1),"")</f>
        <v>Complex crisis in CAR</v>
      </c>
      <c r="B15" s="176" t="str">
        <f>VLOOKUP(A15,Lists!$B$2:$G$160,2,FALSE)</f>
        <v>CAF001</v>
      </c>
      <c r="C15" s="176" t="str">
        <f>VLOOKUP(B15,'INFORM Severity - hidden'!$C$5:$D$160,2,FALSE)</f>
        <v>CAR</v>
      </c>
      <c r="D15" s="176" t="str">
        <f>VLOOKUP(A15,Lists!$B$2:$G$160,3,FALSE)</f>
        <v>CAF</v>
      </c>
      <c r="E15" s="176" t="str">
        <f>VLOOKUP(A15,Lists!$B$2:$G$160,5,FALSE)</f>
        <v>Complex crisis</v>
      </c>
      <c r="F15" s="181">
        <f t="shared" si="0"/>
        <v>4</v>
      </c>
      <c r="G15" s="182">
        <f t="shared" si="1"/>
        <v>4</v>
      </c>
      <c r="H15" s="182" t="str">
        <f t="shared" si="2"/>
        <v>High</v>
      </c>
      <c r="I15" s="180" t="str">
        <f>INDEX(Trends!$D$3:$D$400,MATCH(B15,Trends!$C$3:$C$400,0))</f>
        <v>Stable</v>
      </c>
      <c r="J15" s="182" t="str">
        <f>VLOOKUP($B15,Reliability!$A$3:$I$170,9,FALSE)</f>
        <v>High</v>
      </c>
      <c r="K15" s="183">
        <f t="shared" si="3"/>
        <v>4.2</v>
      </c>
      <c r="L15" s="183">
        <f>VLOOKUP($B15,'Impact of the crisis'!$C$6:$N$170,12,FALSE)</f>
        <v>4.3</v>
      </c>
      <c r="M15" s="183">
        <f>VLOOKUP($B15,'Impact of the crisis'!$C$6:$AB$170,26,FALSE)</f>
        <v>4.0999999999999996</v>
      </c>
      <c r="N15" s="183">
        <f>VLOOKUP($B15,'Conditions of people affected'!$C$6:$R$170,16,FALSE)</f>
        <v>4.05</v>
      </c>
      <c r="O15" s="183">
        <f>VLOOKUP($B15,'Conditions of people affected'!$C$6:$R$170,9,FALSE)</f>
        <v>4.0999999999999996</v>
      </c>
      <c r="P15" s="183">
        <f>VLOOKUP($B15,'Conditions of people affected'!$C$6:$R$170,15,FALSE)</f>
        <v>4</v>
      </c>
      <c r="Q15" s="183">
        <f t="shared" si="4"/>
        <v>3.9</v>
      </c>
      <c r="R15" s="183">
        <f>VLOOKUP($B15,'Complexity of the crisis'!$C$6:$AN$170,22,FALSE)</f>
        <v>3.7</v>
      </c>
      <c r="S15" s="184">
        <f>VLOOKUP($B15,'Complexity of the crisis'!$C$6:$AN$170,38,FALSE)</f>
        <v>4</v>
      </c>
      <c r="T15" s="179" t="str">
        <f>VLOOKUP(B15,Lists!$C$3:$E$167,3,FALSE)</f>
        <v>Africa</v>
      </c>
      <c r="U15" s="200">
        <v>44133</v>
      </c>
    </row>
    <row r="16" spans="1:21" x14ac:dyDescent="0.3">
      <c r="A16" s="175" t="str" cm="1">
        <f t="array" ref="A16">IFERROR(INDEX(Lists!$B$2:$B$160,SMALL(IF(Lists!$H$2:$H$160="Yes",ROW(Lists!$B$2:$B$160)),ROW(12:12))-1,1),"")</f>
        <v>Complex crisis in Chad</v>
      </c>
      <c r="B16" s="176" t="str">
        <f>VLOOKUP(A16,Lists!$B$2:$G$160,2,FALSE)</f>
        <v>TCD001</v>
      </c>
      <c r="C16" s="176" t="str">
        <f>VLOOKUP(B16,'INFORM Severity - hidden'!$C$5:$D$160,2,FALSE)</f>
        <v>Chad</v>
      </c>
      <c r="D16" s="176" t="str">
        <f>VLOOKUP(A16,Lists!$B$2:$G$160,3,FALSE)</f>
        <v>TCD</v>
      </c>
      <c r="E16" s="176" t="str">
        <f>VLOOKUP(A16,Lists!$B$2:$G$160,5,FALSE)</f>
        <v>Multiple crises country</v>
      </c>
      <c r="F16" s="181">
        <f t="shared" si="0"/>
        <v>4.2</v>
      </c>
      <c r="G16" s="182">
        <f t="shared" si="1"/>
        <v>5</v>
      </c>
      <c r="H16" s="182" t="str">
        <f t="shared" si="2"/>
        <v>Very High</v>
      </c>
      <c r="I16" s="180" t="str">
        <f>INDEX(Trends!$D$3:$D$400,MATCH(B16,Trends!$C$3:$C$400,0))</f>
        <v>Stable</v>
      </c>
      <c r="J16" s="182" t="str">
        <f>VLOOKUP($B16,Reliability!$A$3:$I$170,9,FALSE)</f>
        <v>High</v>
      </c>
      <c r="K16" s="183">
        <f t="shared" si="3"/>
        <v>4.2</v>
      </c>
      <c r="L16" s="183">
        <f>VLOOKUP($B16,'Impact of the crisis'!$C$6:$N$170,12,FALSE)</f>
        <v>4.8</v>
      </c>
      <c r="M16" s="183">
        <f>VLOOKUP($B16,'Impact of the crisis'!$C$6:$AB$170,26,FALSE)</f>
        <v>3.9</v>
      </c>
      <c r="N16" s="183">
        <f>VLOOKUP($B16,'Conditions of people affected'!$C$6:$R$170,16,FALSE)</f>
        <v>4.3499999999999996</v>
      </c>
      <c r="O16" s="183">
        <f>VLOOKUP($B16,'Conditions of people affected'!$C$6:$R$170,9,FALSE)</f>
        <v>4.7</v>
      </c>
      <c r="P16" s="183">
        <f>VLOOKUP($B16,'Conditions of people affected'!$C$6:$R$170,15,FALSE)</f>
        <v>4</v>
      </c>
      <c r="Q16" s="183">
        <f t="shared" si="4"/>
        <v>3.8</v>
      </c>
      <c r="R16" s="183">
        <f>VLOOKUP($B16,'Complexity of the crisis'!$C$6:$AN$170,22,FALSE)</f>
        <v>3.5</v>
      </c>
      <c r="S16" s="184">
        <f>VLOOKUP($B16,'Complexity of the crisis'!$C$6:$AN$170,38,FALSE)</f>
        <v>4</v>
      </c>
      <c r="T16" s="179" t="str">
        <f>VLOOKUP(B16,Lists!$C$3:$E$167,3,FALSE)</f>
        <v>Africa</v>
      </c>
      <c r="U16" s="200">
        <v>44139</v>
      </c>
    </row>
    <row r="17" spans="1:21" x14ac:dyDescent="0.3">
      <c r="A17" s="175" t="str" cm="1">
        <f t="array" ref="A17">IFERROR(INDEX(Lists!$B$2:$B$160,SMALL(IF(Lists!$H$2:$H$160="Yes",ROW(Lists!$B$2:$B$160)),ROW(13:13))-1,1),"")</f>
        <v>Complex crisis in Colombia</v>
      </c>
      <c r="B17" s="176" t="str">
        <f>VLOOKUP(A17,Lists!$B$2:$G$160,2,FALSE)</f>
        <v>COL001</v>
      </c>
      <c r="C17" s="176" t="str">
        <f>VLOOKUP(B17,'INFORM Severity - hidden'!$C$5:$D$160,2,FALSE)</f>
        <v>Colombia</v>
      </c>
      <c r="D17" s="176" t="str">
        <f>VLOOKUP(A17,Lists!$B$2:$G$160,3,FALSE)</f>
        <v>COL</v>
      </c>
      <c r="E17" s="176" t="str">
        <f>VLOOKUP(A17,Lists!$B$2:$G$160,5,FALSE)</f>
        <v>Complex crisis</v>
      </c>
      <c r="F17" s="181">
        <f t="shared" si="0"/>
        <v>4.2</v>
      </c>
      <c r="G17" s="182">
        <f t="shared" si="1"/>
        <v>5</v>
      </c>
      <c r="H17" s="182" t="str">
        <f t="shared" si="2"/>
        <v>Very High</v>
      </c>
      <c r="I17" s="180" t="str">
        <f>INDEX(Trends!$D$3:$D$400,MATCH(B17,Trends!$C$3:$C$400,0))</f>
        <v>Stable</v>
      </c>
      <c r="J17" s="182" t="str">
        <f>VLOOKUP($B17,Reliability!$A$3:$I$170,9,FALSE)</f>
        <v>Medium</v>
      </c>
      <c r="K17" s="183">
        <f t="shared" si="3"/>
        <v>4.5</v>
      </c>
      <c r="L17" s="183">
        <f>VLOOKUP($B17,'Impact of the crisis'!$C$6:$N$170,12,FALSE)</f>
        <v>5</v>
      </c>
      <c r="M17" s="183">
        <f>VLOOKUP($B17,'Impact of the crisis'!$C$6:$AB$170,26,FALSE)</f>
        <v>4.2</v>
      </c>
      <c r="N17" s="183">
        <f>VLOOKUP($B17,'Conditions of people affected'!$C$6:$R$170,16,FALSE)</f>
        <v>4.45</v>
      </c>
      <c r="O17" s="183">
        <f>VLOOKUP($B17,'Conditions of people affected'!$C$6:$R$170,9,FALSE)</f>
        <v>4.9000000000000004</v>
      </c>
      <c r="P17" s="183">
        <f>VLOOKUP($B17,'Conditions of people affected'!$C$6:$R$170,15,FALSE)</f>
        <v>4</v>
      </c>
      <c r="Q17" s="183">
        <f t="shared" si="4"/>
        <v>3.5</v>
      </c>
      <c r="R17" s="183">
        <f>VLOOKUP($B17,'Complexity of the crisis'!$C$6:$AN$170,22,FALSE)</f>
        <v>2.9</v>
      </c>
      <c r="S17" s="184">
        <f>VLOOKUP($B17,'Complexity of the crisis'!$C$6:$AN$170,38,FALSE)</f>
        <v>4</v>
      </c>
      <c r="T17" s="179" t="str">
        <f>VLOOKUP(B17,Lists!$C$3:$E$167,3,FALSE)</f>
        <v>Americas</v>
      </c>
      <c r="U17" s="200">
        <v>44119</v>
      </c>
    </row>
    <row r="18" spans="1:21" x14ac:dyDescent="0.3">
      <c r="A18" s="175" t="str" cm="1">
        <f t="array" ref="A18">IFERROR(INDEX(Lists!$B$2:$B$160,SMALL(IF(Lists!$H$2:$H$160="Yes",ROW(Lists!$B$2:$B$160)),ROW(14:14))-1,1),"")</f>
        <v>Floods in Congo</v>
      </c>
      <c r="B18" s="176" t="str">
        <f>VLOOKUP(A18,Lists!$B$2:$G$160,2,FALSE)</f>
        <v>COG004</v>
      </c>
      <c r="C18" s="176" t="str">
        <f>VLOOKUP(B18,'INFORM Severity - hidden'!$C$5:$D$160,2,FALSE)</f>
        <v>Congo</v>
      </c>
      <c r="D18" s="176" t="str">
        <f>VLOOKUP(A18,Lists!$B$2:$G$160,3,FALSE)</f>
        <v>COG</v>
      </c>
      <c r="E18" s="176" t="str">
        <f>VLOOKUP(A18,Lists!$B$2:$G$160,5,FALSE)</f>
        <v>Flood</v>
      </c>
      <c r="F18" s="181">
        <f t="shared" si="0"/>
        <v>2</v>
      </c>
      <c r="G18" s="182">
        <f t="shared" si="1"/>
        <v>2</v>
      </c>
      <c r="H18" s="182" t="str">
        <f t="shared" si="2"/>
        <v>Low</v>
      </c>
      <c r="I18" s="180" t="str">
        <f>INDEX(Trends!$D$3:$D$400,MATCH(B18,Trends!$C$3:$C$400,0))</f>
        <v>-</v>
      </c>
      <c r="J18" s="182" t="str">
        <f>VLOOKUP($B18,Reliability!$A$3:$I$170,9,FALSE)</f>
        <v>Medium</v>
      </c>
      <c r="K18" s="183">
        <f t="shared" si="3"/>
        <v>1.2</v>
      </c>
      <c r="L18" s="183">
        <f>VLOOKUP($B18,'Impact of the crisis'!$C$6:$N$170,12,FALSE)</f>
        <v>1.1000000000000001</v>
      </c>
      <c r="M18" s="183">
        <f>VLOOKUP($B18,'Impact of the crisis'!$C$6:$AB$170,26,FALSE)</f>
        <v>1.3</v>
      </c>
      <c r="N18" s="183">
        <f>VLOOKUP($B18,'Conditions of people affected'!$C$6:$R$170,16,FALSE)</f>
        <v>2.2000000000000002</v>
      </c>
      <c r="O18" s="183">
        <f>VLOOKUP($B18,'Conditions of people affected'!$C$6:$R$170,9,FALSE)</f>
        <v>1.4</v>
      </c>
      <c r="P18" s="183">
        <f>VLOOKUP($B18,'Conditions of people affected'!$C$6:$R$170,15,FALSE)</f>
        <v>3</v>
      </c>
      <c r="Q18" s="183">
        <f t="shared" si="4"/>
        <v>2.4</v>
      </c>
      <c r="R18" s="183">
        <f>VLOOKUP($B18,'Complexity of the crisis'!$C$6:$AN$170,22,FALSE)</f>
        <v>2.8</v>
      </c>
      <c r="S18" s="184">
        <f>VLOOKUP($B18,'Complexity of the crisis'!$C$6:$AN$170,38,FALSE)</f>
        <v>2</v>
      </c>
      <c r="T18" s="179" t="str">
        <f>VLOOKUP(B18,Lists!$C$3:$E$167,3,FALSE)</f>
        <v>Africa</v>
      </c>
      <c r="U18" s="200">
        <v>44140</v>
      </c>
    </row>
    <row r="19" spans="1:21" x14ac:dyDescent="0.3">
      <c r="A19" s="175" t="str" cm="1">
        <f t="array" ref="A19">IFERROR(INDEX(Lists!$B$2:$B$160,SMALL(IF(Lists!$H$2:$H$160="Yes",ROW(Lists!$B$2:$B$160)),ROW(15:15))-1,1),"")</f>
        <v>Nicaraguan refugees in Costa Rica</v>
      </c>
      <c r="B19" s="176" t="str">
        <f>VLOOKUP(A19,Lists!$B$2:$G$160,2,FALSE)</f>
        <v>CRI002</v>
      </c>
      <c r="C19" s="176" t="str">
        <f>VLOOKUP(B19,'INFORM Severity - hidden'!$C$5:$D$160,2,FALSE)</f>
        <v>Costa Rica</v>
      </c>
      <c r="D19" s="176" t="str">
        <f>VLOOKUP(A19,Lists!$B$2:$G$160,3,FALSE)</f>
        <v>CRI</v>
      </c>
      <c r="E19" s="176" t="str">
        <f>VLOOKUP(A19,Lists!$B$2:$G$160,5,FALSE)</f>
        <v>International displacement</v>
      </c>
      <c r="F19" s="181">
        <f t="shared" si="0"/>
        <v>1.1000000000000001</v>
      </c>
      <c r="G19" s="182">
        <f t="shared" si="1"/>
        <v>2</v>
      </c>
      <c r="H19" s="182" t="str">
        <f t="shared" si="2"/>
        <v>Low</v>
      </c>
      <c r="I19" s="180" t="str">
        <f>INDEX(Trends!$D$3:$D$400,MATCH(B19,Trends!$C$3:$C$400,0))</f>
        <v>Increasing</v>
      </c>
      <c r="J19" s="182" t="str">
        <f>VLOOKUP($B19,Reliability!$A$3:$I$170,9,FALSE)</f>
        <v>High</v>
      </c>
      <c r="K19" s="183">
        <f t="shared" si="3"/>
        <v>1.3</v>
      </c>
      <c r="L19" s="183">
        <f>VLOOKUP($B19,'Impact of the crisis'!$C$6:$N$170,12,FALSE)</f>
        <v>1</v>
      </c>
      <c r="M19" s="183">
        <f>VLOOKUP($B19,'Impact of the crisis'!$C$6:$AB$170,26,FALSE)</f>
        <v>1.5</v>
      </c>
      <c r="N19" s="183">
        <f>VLOOKUP($B19,'Conditions of people affected'!$C$6:$R$170,16,FALSE)</f>
        <v>1</v>
      </c>
      <c r="O19" s="183">
        <f>VLOOKUP($B19,'Conditions of people affected'!$C$6:$R$170,9,FALSE)</f>
        <v>1</v>
      </c>
      <c r="P19" s="183">
        <f>VLOOKUP($B19,'Conditions of people affected'!$C$6:$R$170,15,FALSE)</f>
        <v>1</v>
      </c>
      <c r="Q19" s="183">
        <f t="shared" si="4"/>
        <v>1</v>
      </c>
      <c r="R19" s="183">
        <f>VLOOKUP($B19,'Complexity of the crisis'!$C$6:$AN$170,22,FALSE)</f>
        <v>0.9</v>
      </c>
      <c r="S19" s="184">
        <f>VLOOKUP($B19,'Complexity of the crisis'!$C$6:$AN$170,38,FALSE)</f>
        <v>1</v>
      </c>
      <c r="T19" s="179" t="str">
        <f>VLOOKUP(B19,Lists!$C$3:$E$167,3,FALSE)</f>
        <v>Americas</v>
      </c>
      <c r="U19" s="200">
        <v>44110</v>
      </c>
    </row>
    <row r="20" spans="1:21" x14ac:dyDescent="0.3">
      <c r="A20" s="175" t="str" cm="1">
        <f t="array" ref="A20">IFERROR(INDEX(Lists!$B$2:$B$160,SMALL(IF(Lists!$H$2:$H$160="Yes",ROW(Lists!$B$2:$B$160)),ROW(16:16))-1,1),"")</f>
        <v>Multiple crises in Djibouti</v>
      </c>
      <c r="B20" s="176" t="str">
        <f>VLOOKUP(A20,Lists!$B$2:$G$160,2,FALSE)</f>
        <v>DJI001</v>
      </c>
      <c r="C20" s="176" t="str">
        <f>VLOOKUP(B20,'INFORM Severity - hidden'!$C$5:$D$160,2,FALSE)</f>
        <v>Djibouti</v>
      </c>
      <c r="D20" s="176" t="str">
        <f>VLOOKUP(A20,Lists!$B$2:$G$160,3,FALSE)</f>
        <v>DJI</v>
      </c>
      <c r="E20" s="176" t="str">
        <f>VLOOKUP(A20,Lists!$B$2:$G$160,5,FALSE)</f>
        <v>Multiple crises country</v>
      </c>
      <c r="F20" s="181">
        <f t="shared" si="0"/>
        <v>2.9</v>
      </c>
      <c r="G20" s="182">
        <f t="shared" si="1"/>
        <v>3</v>
      </c>
      <c r="H20" s="182" t="str">
        <f t="shared" si="2"/>
        <v>Medium</v>
      </c>
      <c r="I20" s="180" t="str">
        <f>INDEX(Trends!$D$3:$D$400,MATCH(B20,Trends!$C$3:$C$400,0))</f>
        <v>Stable</v>
      </c>
      <c r="J20" s="182" t="str">
        <f>VLOOKUP($B20,Reliability!$A$3:$I$170,9,FALSE)</f>
        <v>High</v>
      </c>
      <c r="K20" s="183">
        <f t="shared" si="3"/>
        <v>2.1</v>
      </c>
      <c r="L20" s="183">
        <f>VLOOKUP($B20,'Impact of the crisis'!$C$6:$N$170,12,FALSE)</f>
        <v>3.1</v>
      </c>
      <c r="M20" s="183">
        <f>VLOOKUP($B20,'Impact of the crisis'!$C$6:$AB$170,26,FALSE)</f>
        <v>1.5</v>
      </c>
      <c r="N20" s="183">
        <f>VLOOKUP($B20,'Conditions of people affected'!$C$6:$R$170,16,FALSE)</f>
        <v>3.25</v>
      </c>
      <c r="O20" s="183">
        <f>VLOOKUP($B20,'Conditions of people affected'!$C$6:$R$170,9,FALSE)</f>
        <v>2.5</v>
      </c>
      <c r="P20" s="183">
        <f>VLOOKUP($B20,'Conditions of people affected'!$C$6:$R$170,15,FALSE)</f>
        <v>4</v>
      </c>
      <c r="Q20" s="183">
        <f t="shared" si="4"/>
        <v>2.9</v>
      </c>
      <c r="R20" s="183">
        <f>VLOOKUP($B20,'Complexity of the crisis'!$C$6:$AN$170,22,FALSE)</f>
        <v>2.7</v>
      </c>
      <c r="S20" s="184">
        <f>VLOOKUP($B20,'Complexity of the crisis'!$C$6:$AN$170,38,FALSE)</f>
        <v>3</v>
      </c>
      <c r="T20" s="179" t="str">
        <f>VLOOKUP(B20,Lists!$C$3:$E$167,3,FALSE)</f>
        <v>Africa</v>
      </c>
      <c r="U20" s="200">
        <v>44140</v>
      </c>
    </row>
    <row r="21" spans="1:21" x14ac:dyDescent="0.3">
      <c r="A21" s="175" t="str" cm="1">
        <f t="array" ref="A21">IFERROR(INDEX(Lists!$B$2:$B$160,SMALL(IF(Lists!$H$2:$H$160="Yes",ROW(Lists!$B$2:$B$160)),ROW(17:17))-1,1),"")</f>
        <v>Complex crisis in DPRK</v>
      </c>
      <c r="B21" s="176" t="str">
        <f>VLOOKUP(A21,Lists!$B$2:$G$160,2,FALSE)</f>
        <v>PRK001</v>
      </c>
      <c r="C21" s="176" t="str">
        <f>VLOOKUP(B21,'INFORM Severity - hidden'!$C$5:$D$160,2,FALSE)</f>
        <v>DPRK</v>
      </c>
      <c r="D21" s="176" t="str">
        <f>VLOOKUP(A21,Lists!$B$2:$G$160,3,FALSE)</f>
        <v>PRK</v>
      </c>
      <c r="E21" s="176" t="str">
        <f>VLOOKUP(A21,Lists!$B$2:$G$160,5,FALSE)</f>
        <v>Complex crisis</v>
      </c>
      <c r="F21" s="181">
        <f t="shared" si="0"/>
        <v>4.0999999999999996</v>
      </c>
      <c r="G21" s="182">
        <f t="shared" si="1"/>
        <v>5</v>
      </c>
      <c r="H21" s="182" t="str">
        <f t="shared" si="2"/>
        <v>Very High</v>
      </c>
      <c r="I21" s="180" t="str">
        <f>INDEX(Trends!$D$3:$D$400,MATCH(B21,Trends!$C$3:$C$400,0))</f>
        <v>Stable</v>
      </c>
      <c r="J21" s="182" t="str">
        <f>VLOOKUP($B21,Reliability!$A$3:$I$170,9,FALSE)</f>
        <v>Very Low</v>
      </c>
      <c r="K21" s="183">
        <f t="shared" si="3"/>
        <v>4.8</v>
      </c>
      <c r="L21" s="183">
        <f>VLOOKUP($B21,'Impact of the crisis'!$C$6:$N$170,12,FALSE)</f>
        <v>4.5999999999999996</v>
      </c>
      <c r="M21" s="183">
        <f>VLOOKUP($B21,'Impact of the crisis'!$C$6:$AB$170,26,FALSE)</f>
        <v>4.9000000000000004</v>
      </c>
      <c r="N21" s="183">
        <f>VLOOKUP($B21,'Conditions of people affected'!$C$6:$R$170,16,FALSE)</f>
        <v>4.5</v>
      </c>
      <c r="O21" s="183">
        <f>VLOOKUP($B21,'Conditions of people affected'!$C$6:$R$170,9,FALSE)</f>
        <v>5</v>
      </c>
      <c r="P21" s="183">
        <f>VLOOKUP($B21,'Conditions of people affected'!$C$6:$R$170,15,FALSE)</f>
        <v>4</v>
      </c>
      <c r="Q21" s="183">
        <f t="shared" si="4"/>
        <v>2.9</v>
      </c>
      <c r="R21" s="183">
        <f>VLOOKUP($B21,'Complexity of the crisis'!$C$6:$AN$170,22,FALSE)</f>
        <v>3.2</v>
      </c>
      <c r="S21" s="184">
        <f>VLOOKUP($B21,'Complexity of the crisis'!$C$6:$AN$170,38,FALSE)</f>
        <v>2.5</v>
      </c>
      <c r="T21" s="179" t="str">
        <f>VLOOKUP(B21,Lists!$C$3:$E$167,3,FALSE)</f>
        <v>Asia</v>
      </c>
      <c r="U21" s="200">
        <v>43920</v>
      </c>
    </row>
    <row r="22" spans="1:21" x14ac:dyDescent="0.3">
      <c r="A22" s="175" t="str" cm="1">
        <f t="array" ref="A22">IFERROR(INDEX(Lists!$B$2:$B$160,SMALL(IF(Lists!$H$2:$H$160="Yes",ROW(Lists!$B$2:$B$160)),ROW(18:18))-1,1),"")</f>
        <v>Complex crisis in DRC</v>
      </c>
      <c r="B22" s="176" t="str">
        <f>VLOOKUP(A22,Lists!$B$2:$G$160,2,FALSE)</f>
        <v>COD001</v>
      </c>
      <c r="C22" s="176" t="str">
        <f>VLOOKUP(B22,'INFORM Severity - hidden'!$C$5:$D$160,2,FALSE)</f>
        <v>DRC</v>
      </c>
      <c r="D22" s="176" t="str">
        <f>VLOOKUP(A22,Lists!$B$2:$G$160,3,FALSE)</f>
        <v>COD</v>
      </c>
      <c r="E22" s="176" t="str">
        <f>VLOOKUP(A22,Lists!$B$2:$G$160,5,FALSE)</f>
        <v>Complex crisis</v>
      </c>
      <c r="F22" s="181">
        <f t="shared" si="0"/>
        <v>4.5</v>
      </c>
      <c r="G22" s="182">
        <f t="shared" si="1"/>
        <v>5</v>
      </c>
      <c r="H22" s="182" t="str">
        <f t="shared" si="2"/>
        <v>Very High</v>
      </c>
      <c r="I22" s="180" t="str">
        <f>INDEX(Trends!$D$3:$D$400,MATCH(B22,Trends!$C$3:$C$400,0))</f>
        <v>Increasing</v>
      </c>
      <c r="J22" s="182" t="str">
        <f>VLOOKUP($B22,Reliability!$A$3:$I$170,9,FALSE)</f>
        <v>High</v>
      </c>
      <c r="K22" s="183">
        <f t="shared" si="3"/>
        <v>4.5999999999999996</v>
      </c>
      <c r="L22" s="183">
        <f>VLOOKUP($B22,'Impact of the crisis'!$C$6:$N$170,12,FALSE)</f>
        <v>5</v>
      </c>
      <c r="M22" s="183">
        <f>VLOOKUP($B22,'Impact of the crisis'!$C$6:$AB$170,26,FALSE)</f>
        <v>4.3</v>
      </c>
      <c r="N22" s="183">
        <f>VLOOKUP($B22,'Conditions of people affected'!$C$6:$R$170,16,FALSE)</f>
        <v>4.5</v>
      </c>
      <c r="O22" s="183">
        <f>VLOOKUP($B22,'Conditions of people affected'!$C$6:$R$170,9,FALSE)</f>
        <v>5</v>
      </c>
      <c r="P22" s="183">
        <f>VLOOKUP($B22,'Conditions of people affected'!$C$6:$R$170,15,FALSE)</f>
        <v>4</v>
      </c>
      <c r="Q22" s="183">
        <f t="shared" si="4"/>
        <v>4.4000000000000004</v>
      </c>
      <c r="R22" s="183">
        <f>VLOOKUP($B22,'Complexity of the crisis'!$C$6:$AN$170,22,FALSE)</f>
        <v>4.3</v>
      </c>
      <c r="S22" s="184">
        <f>VLOOKUP($B22,'Complexity of the crisis'!$C$6:$AN$170,38,FALSE)</f>
        <v>4.5</v>
      </c>
      <c r="T22" s="179" t="str">
        <f>VLOOKUP(B22,Lists!$C$3:$E$167,3,FALSE)</f>
        <v>Africa</v>
      </c>
      <c r="U22" s="200">
        <v>44139</v>
      </c>
    </row>
    <row r="23" spans="1:21" x14ac:dyDescent="0.3">
      <c r="A23" s="175" t="str" cm="1">
        <f t="array" ref="A23">IFERROR(INDEX(Lists!$B$2:$B$160,SMALL(IF(Lists!$H$2:$H$160="Yes",ROW(Lists!$B$2:$B$160)),ROW(19:19))-1,1),"")</f>
        <v>Venezuela displacement in Ecuador</v>
      </c>
      <c r="B23" s="176" t="str">
        <f>VLOOKUP(A23,Lists!$B$2:$G$160,2,FALSE)</f>
        <v>ECU002</v>
      </c>
      <c r="C23" s="176" t="str">
        <f>VLOOKUP(B23,'INFORM Severity - hidden'!$C$5:$D$160,2,FALSE)</f>
        <v>Ecuador</v>
      </c>
      <c r="D23" s="176" t="str">
        <f>VLOOKUP(A23,Lists!$B$2:$G$160,3,FALSE)</f>
        <v>ECU</v>
      </c>
      <c r="E23" s="176" t="str">
        <f>VLOOKUP(A23,Lists!$B$2:$G$160,5,FALSE)</f>
        <v>International displacement</v>
      </c>
      <c r="F23" s="181">
        <f t="shared" si="0"/>
        <v>2.4</v>
      </c>
      <c r="G23" s="182">
        <f t="shared" si="1"/>
        <v>3</v>
      </c>
      <c r="H23" s="182" t="str">
        <f t="shared" si="2"/>
        <v>Medium</v>
      </c>
      <c r="I23" s="180" t="str">
        <f>INDEX(Trends!$D$3:$D$400,MATCH(B23,Trends!$C$3:$C$400,0))</f>
        <v>Stable</v>
      </c>
      <c r="J23" s="182" t="str">
        <f>VLOOKUP($B23,Reliability!$A$3:$I$170,9,FALSE)</f>
        <v>High</v>
      </c>
      <c r="K23" s="183">
        <f t="shared" si="3"/>
        <v>1.9</v>
      </c>
      <c r="L23" s="183">
        <f>VLOOKUP($B23,'Impact of the crisis'!$C$6:$N$170,12,FALSE)</f>
        <v>1.3</v>
      </c>
      <c r="M23" s="183">
        <f>VLOOKUP($B23,'Impact of the crisis'!$C$6:$AB$170,26,FALSE)</f>
        <v>2.2000000000000002</v>
      </c>
      <c r="N23" s="183">
        <f>VLOOKUP($B23,'Conditions of people affected'!$C$6:$R$170,16,FALSE)</f>
        <v>2.95</v>
      </c>
      <c r="O23" s="183">
        <f>VLOOKUP($B23,'Conditions of people affected'!$C$6:$R$170,9,FALSE)</f>
        <v>2.9</v>
      </c>
      <c r="P23" s="183">
        <f>VLOOKUP($B23,'Conditions of people affected'!$C$6:$R$170,15,FALSE)</f>
        <v>3</v>
      </c>
      <c r="Q23" s="183">
        <f t="shared" si="4"/>
        <v>1.8</v>
      </c>
      <c r="R23" s="183">
        <f>VLOOKUP($B23,'Complexity of the crisis'!$C$6:$AN$170,22,FALSE)</f>
        <v>2.1</v>
      </c>
      <c r="S23" s="184">
        <f>VLOOKUP($B23,'Complexity of the crisis'!$C$6:$AN$170,38,FALSE)</f>
        <v>1.5</v>
      </c>
      <c r="T23" s="179" t="str">
        <f>VLOOKUP(B23,Lists!$C$3:$E$167,3,FALSE)</f>
        <v>Americas</v>
      </c>
      <c r="U23" s="200">
        <v>44110</v>
      </c>
    </row>
    <row r="24" spans="1:21" x14ac:dyDescent="0.3">
      <c r="A24" s="175" t="str" cm="1">
        <f t="array" ref="A24">IFERROR(INDEX(Lists!$B$2:$B$160,SMALL(IF(Lists!$H$2:$H$160="Yes",ROW(Lists!$B$2:$B$160)),ROW(20:20))-1,1),"")</f>
        <v>Syrian Refugee Crisis in Egypt</v>
      </c>
      <c r="B24" s="176" t="str">
        <f>VLOOKUP(A24,Lists!$B$2:$G$160,2,FALSE)</f>
        <v>EGY002</v>
      </c>
      <c r="C24" s="176" t="str">
        <f>VLOOKUP(B24,'INFORM Severity - hidden'!$C$5:$D$160,2,FALSE)</f>
        <v>Egypt</v>
      </c>
      <c r="D24" s="176" t="str">
        <f>VLOOKUP(A24,Lists!$B$2:$G$160,3,FALSE)</f>
        <v>EGY</v>
      </c>
      <c r="E24" s="176" t="str">
        <f>VLOOKUP(A24,Lists!$B$2:$G$160,5,FALSE)</f>
        <v>International displacement</v>
      </c>
      <c r="F24" s="181">
        <f t="shared" si="0"/>
        <v>2.2000000000000002</v>
      </c>
      <c r="G24" s="182">
        <f t="shared" si="1"/>
        <v>3</v>
      </c>
      <c r="H24" s="182" t="str">
        <f t="shared" si="2"/>
        <v>Medium</v>
      </c>
      <c r="I24" s="180" t="str">
        <f>INDEX(Trends!$D$3:$D$400,MATCH(B24,Trends!$C$3:$C$400,0))</f>
        <v>Stable</v>
      </c>
      <c r="J24" s="182" t="str">
        <f>VLOOKUP($B24,Reliability!$A$3:$I$170,9,FALSE)</f>
        <v>High</v>
      </c>
      <c r="K24" s="183">
        <f t="shared" si="3"/>
        <v>2.5</v>
      </c>
      <c r="L24" s="183">
        <f>VLOOKUP($B24,'Impact of the crisis'!$C$6:$N$170,12,FALSE)</f>
        <v>2.4</v>
      </c>
      <c r="M24" s="183">
        <f>VLOOKUP($B24,'Impact of the crisis'!$C$6:$AB$170,26,FALSE)</f>
        <v>2.5</v>
      </c>
      <c r="N24" s="183">
        <f>VLOOKUP($B24,'Conditions of people affected'!$C$6:$R$170,16,FALSE)</f>
        <v>1.9</v>
      </c>
      <c r="O24" s="183">
        <f>VLOOKUP($B24,'Conditions of people affected'!$C$6:$R$170,9,FALSE)</f>
        <v>1.8</v>
      </c>
      <c r="P24" s="183">
        <f>VLOOKUP($B24,'Conditions of people affected'!$C$6:$R$170,15,FALSE)</f>
        <v>2</v>
      </c>
      <c r="Q24" s="183">
        <f t="shared" si="4"/>
        <v>2.4</v>
      </c>
      <c r="R24" s="183">
        <f>VLOOKUP($B24,'Complexity of the crisis'!$C$6:$AN$170,22,FALSE)</f>
        <v>2.7</v>
      </c>
      <c r="S24" s="184">
        <f>VLOOKUP($B24,'Complexity of the crisis'!$C$6:$AN$170,38,FALSE)</f>
        <v>2</v>
      </c>
      <c r="T24" s="179" t="str">
        <f>VLOOKUP(B24,Lists!$C$3:$E$167,3,FALSE)</f>
        <v>Africa</v>
      </c>
      <c r="U24" s="200">
        <v>44064</v>
      </c>
    </row>
    <row r="25" spans="1:21" x14ac:dyDescent="0.3">
      <c r="A25" s="175" t="str" cm="1">
        <f t="array" ref="A25">IFERROR(INDEX(Lists!$B$2:$B$160,SMALL(IF(Lists!$H$2:$H$160="Yes",ROW(Lists!$B$2:$B$160)),ROW(21:21))-1,1),"")</f>
        <v>Complex crisis in El Salvador</v>
      </c>
      <c r="B25" s="176" t="str">
        <f>VLOOKUP(A25,Lists!$B$2:$G$160,2,FALSE)</f>
        <v>SLV001</v>
      </c>
      <c r="C25" s="176" t="str">
        <f>VLOOKUP(B25,'INFORM Severity - hidden'!$C$5:$D$160,2,FALSE)</f>
        <v>El Salvador</v>
      </c>
      <c r="D25" s="176" t="str">
        <f>VLOOKUP(A25,Lists!$B$2:$G$160,3,FALSE)</f>
        <v>SLV</v>
      </c>
      <c r="E25" s="176" t="str">
        <f>VLOOKUP(A25,Lists!$B$2:$G$160,5,FALSE)</f>
        <v>Complex crisis</v>
      </c>
      <c r="F25" s="181">
        <f t="shared" si="0"/>
        <v>3</v>
      </c>
      <c r="G25" s="182">
        <f t="shared" si="1"/>
        <v>3</v>
      </c>
      <c r="H25" s="182" t="str">
        <f t="shared" si="2"/>
        <v>Medium</v>
      </c>
      <c r="I25" s="180" t="str">
        <f>INDEX(Trends!$D$3:$D$400,MATCH(B25,Trends!$C$3:$C$400,0))</f>
        <v>Increasing</v>
      </c>
      <c r="J25" s="182" t="str">
        <f>VLOOKUP($B25,Reliability!$A$3:$I$170,9,FALSE)</f>
        <v>High</v>
      </c>
      <c r="K25" s="183">
        <f t="shared" si="3"/>
        <v>3.5</v>
      </c>
      <c r="L25" s="183">
        <f>VLOOKUP($B25,'Impact of the crisis'!$C$6:$N$170,12,FALSE)</f>
        <v>3.8</v>
      </c>
      <c r="M25" s="183">
        <f>VLOOKUP($B25,'Impact of the crisis'!$C$6:$AB$170,26,FALSE)</f>
        <v>3.4</v>
      </c>
      <c r="N25" s="183">
        <f>VLOOKUP($B25,'Conditions of people affected'!$C$6:$R$170,16,FALSE)</f>
        <v>3</v>
      </c>
      <c r="O25" s="183">
        <f>VLOOKUP($B25,'Conditions of people affected'!$C$6:$R$170,9,FALSE)</f>
        <v>3</v>
      </c>
      <c r="P25" s="183">
        <f>VLOOKUP($B25,'Conditions of people affected'!$C$6:$R$170,15,FALSE)</f>
        <v>3</v>
      </c>
      <c r="Q25" s="183">
        <f t="shared" si="4"/>
        <v>2.5</v>
      </c>
      <c r="R25" s="183">
        <f>VLOOKUP($B25,'Complexity of the crisis'!$C$6:$AN$170,22,FALSE)</f>
        <v>2.4</v>
      </c>
      <c r="S25" s="184">
        <f>VLOOKUP($B25,'Complexity of the crisis'!$C$6:$AN$170,38,FALSE)</f>
        <v>2.5</v>
      </c>
      <c r="T25" s="179" t="str">
        <f>VLOOKUP(B25,Lists!$C$3:$E$167,3,FALSE)</f>
        <v>Americas</v>
      </c>
      <c r="U25" s="200">
        <v>44111</v>
      </c>
    </row>
    <row r="26" spans="1:21" x14ac:dyDescent="0.3">
      <c r="A26" s="175" t="str" cm="1">
        <f t="array" ref="A26">IFERROR(INDEX(Lists!$B$2:$B$160,SMALL(IF(Lists!$H$2:$H$160="Yes",ROW(Lists!$B$2:$B$160)),ROW(22:22))-1,1),"")</f>
        <v>Complex crisis in Eritrea</v>
      </c>
      <c r="B26" s="176" t="str">
        <f>VLOOKUP(A26,Lists!$B$2:$G$160,2,FALSE)</f>
        <v>ERI001</v>
      </c>
      <c r="C26" s="176" t="str">
        <f>VLOOKUP(B26,'INFORM Severity - hidden'!$C$5:$D$160,2,FALSE)</f>
        <v>Eritrea</v>
      </c>
      <c r="D26" s="176" t="str">
        <f>VLOOKUP(A26,Lists!$B$2:$G$160,3,FALSE)</f>
        <v>ERI</v>
      </c>
      <c r="E26" s="176" t="str">
        <f>VLOOKUP(A26,Lists!$B$2:$G$160,5,FALSE)</f>
        <v>Complex crisis</v>
      </c>
      <c r="F26" s="181">
        <f t="shared" si="0"/>
        <v>3.7</v>
      </c>
      <c r="G26" s="182">
        <f t="shared" si="1"/>
        <v>4</v>
      </c>
      <c r="H26" s="182" t="str">
        <f t="shared" si="2"/>
        <v>High</v>
      </c>
      <c r="I26" s="180" t="str">
        <f>INDEX(Trends!$D$3:$D$400,MATCH(B26,Trends!$C$3:$C$400,0))</f>
        <v>Stable</v>
      </c>
      <c r="J26" s="182" t="str">
        <f>VLOOKUP($B26,Reliability!$A$3:$I$170,9,FALSE)</f>
        <v>Low</v>
      </c>
      <c r="K26" s="183">
        <f t="shared" si="3"/>
        <v>3.5</v>
      </c>
      <c r="L26" s="183">
        <f>VLOOKUP($B26,'Impact of the crisis'!$C$6:$N$170,12,FALSE)</f>
        <v>3.8</v>
      </c>
      <c r="M26" s="183">
        <f>VLOOKUP($B26,'Impact of the crisis'!$C$6:$AB$170,26,FALSE)</f>
        <v>3.3</v>
      </c>
      <c r="N26" s="183">
        <f>VLOOKUP($B26,'Conditions of people affected'!$C$6:$R$170,16,FALSE)</f>
        <v>3.5</v>
      </c>
      <c r="O26" s="183">
        <f>VLOOKUP($B26,'Conditions of people affected'!$C$6:$R$170,9,FALSE)</f>
        <v>4</v>
      </c>
      <c r="P26" s="183">
        <f>VLOOKUP($B26,'Conditions of people affected'!$C$6:$R$170,15,FALSE)</f>
        <v>3</v>
      </c>
      <c r="Q26" s="183">
        <f t="shared" si="4"/>
        <v>4.2</v>
      </c>
      <c r="R26" s="183">
        <f>VLOOKUP($B26,'Complexity of the crisis'!$C$6:$AN$170,22,FALSE)</f>
        <v>2.8</v>
      </c>
      <c r="S26" s="184">
        <f>VLOOKUP($B26,'Complexity of the crisis'!$C$6:$AN$170,38,FALSE)</f>
        <v>5</v>
      </c>
      <c r="T26" s="179" t="str">
        <f>VLOOKUP(B26,Lists!$C$3:$E$167,3,FALSE)</f>
        <v>Africa</v>
      </c>
      <c r="U26" s="200">
        <v>44140</v>
      </c>
    </row>
    <row r="27" spans="1:21" x14ac:dyDescent="0.3">
      <c r="A27" s="175" t="str" cm="1">
        <f t="array" ref="A27">IFERROR(INDEX(Lists!$B$2:$B$160,SMALL(IF(Lists!$H$2:$H$160="Yes",ROW(Lists!$B$2:$B$160)),ROW(23:23))-1,1),"")</f>
        <v>Food Security Crisis in Eswatini</v>
      </c>
      <c r="B27" s="176" t="str">
        <f>VLOOKUP(A27,Lists!$B$2:$G$160,2,FALSE)</f>
        <v>SWZ001</v>
      </c>
      <c r="C27" s="176" t="str">
        <f>VLOOKUP(B27,'INFORM Severity - hidden'!$C$5:$D$160,2,FALSE)</f>
        <v>Eswatini</v>
      </c>
      <c r="D27" s="176" t="str">
        <f>VLOOKUP(A27,Lists!$B$2:$G$160,3,FALSE)</f>
        <v>SWZ</v>
      </c>
      <c r="E27" s="176" t="str">
        <f>VLOOKUP(A27,Lists!$B$2:$G$160,5,FALSE)</f>
        <v>Food Security</v>
      </c>
      <c r="F27" s="181">
        <f t="shared" si="0"/>
        <v>2.6</v>
      </c>
      <c r="G27" s="182">
        <f t="shared" si="1"/>
        <v>3</v>
      </c>
      <c r="H27" s="182" t="str">
        <f t="shared" si="2"/>
        <v>Medium</v>
      </c>
      <c r="I27" s="180" t="str">
        <f>INDEX(Trends!$D$3:$D$400,MATCH(B27,Trends!$C$3:$C$400,0))</f>
        <v>-</v>
      </c>
      <c r="J27" s="182" t="str">
        <f>VLOOKUP($B27,Reliability!$A$3:$I$170,9,FALSE)</f>
        <v>Medium</v>
      </c>
      <c r="K27" s="183">
        <f t="shared" si="3"/>
        <v>2.2000000000000002</v>
      </c>
      <c r="L27" s="183">
        <f>VLOOKUP($B27,'Impact of the crisis'!$C$6:$N$170,12,FALSE)</f>
        <v>3.1</v>
      </c>
      <c r="M27" s="183">
        <f>VLOOKUP($B27,'Impact of the crisis'!$C$6:$AB$170,26,FALSE)</f>
        <v>1.6</v>
      </c>
      <c r="N27" s="183">
        <f>VLOOKUP($B27,'Conditions of people affected'!$C$6:$R$170,16,FALSE)</f>
        <v>3.3</v>
      </c>
      <c r="O27" s="183">
        <f>VLOOKUP($B27,'Conditions of people affected'!$C$6:$R$170,9,FALSE)</f>
        <v>2.6</v>
      </c>
      <c r="P27" s="183">
        <f>VLOOKUP($B27,'Conditions of people affected'!$C$6:$R$170,15,FALSE)</f>
        <v>4</v>
      </c>
      <c r="Q27" s="183">
        <f t="shared" si="4"/>
        <v>1.9</v>
      </c>
      <c r="R27" s="183">
        <f>VLOOKUP($B27,'Complexity of the crisis'!$C$6:$AN$170,22,FALSE)</f>
        <v>3</v>
      </c>
      <c r="S27" s="184">
        <f>VLOOKUP($B27,'Complexity of the crisis'!$C$6:$AN$170,38,FALSE)</f>
        <v>0.5</v>
      </c>
      <c r="T27" s="179" t="str">
        <f>VLOOKUP(B27,Lists!$C$3:$E$167,3,FALSE)</f>
        <v>Africa</v>
      </c>
      <c r="U27" s="200">
        <v>44134</v>
      </c>
    </row>
    <row r="28" spans="1:21" x14ac:dyDescent="0.3">
      <c r="A28" s="175" t="str" cm="1">
        <f t="array" ref="A28">IFERROR(INDEX(Lists!$B$2:$B$160,SMALL(IF(Lists!$H$2:$H$160="Yes",ROW(Lists!$B$2:$B$160)),ROW(24:24))-1,1),"")</f>
        <v>Complex crisis in Ethiopia</v>
      </c>
      <c r="B28" s="176" t="str">
        <f>VLOOKUP(A28,Lists!$B$2:$G$160,2,FALSE)</f>
        <v>ETH001</v>
      </c>
      <c r="C28" s="176" t="str">
        <f>VLOOKUP(B28,'INFORM Severity - hidden'!$C$5:$D$160,2,FALSE)</f>
        <v>Ethiopia</v>
      </c>
      <c r="D28" s="176" t="str">
        <f>VLOOKUP(A28,Lists!$B$2:$G$160,3,FALSE)</f>
        <v>ETH</v>
      </c>
      <c r="E28" s="176" t="str">
        <f>VLOOKUP(A28,Lists!$B$2:$G$160,5,FALSE)</f>
        <v>Complex crisis</v>
      </c>
      <c r="F28" s="181">
        <f t="shared" si="0"/>
        <v>4</v>
      </c>
      <c r="G28" s="182">
        <f t="shared" si="1"/>
        <v>4</v>
      </c>
      <c r="H28" s="182" t="str">
        <f t="shared" si="2"/>
        <v>High</v>
      </c>
      <c r="I28" s="180" t="str">
        <f>INDEX(Trends!$D$3:$D$400,MATCH(B28,Trends!$C$3:$C$400,0))</f>
        <v>Stable</v>
      </c>
      <c r="J28" s="182" t="str">
        <f>VLOOKUP($B28,Reliability!$A$3:$I$170,9,FALSE)</f>
        <v>High</v>
      </c>
      <c r="K28" s="183">
        <f t="shared" si="3"/>
        <v>3.9</v>
      </c>
      <c r="L28" s="183">
        <f>VLOOKUP($B28,'Impact of the crisis'!$C$6:$N$170,12,FALSE)</f>
        <v>4.3</v>
      </c>
      <c r="M28" s="183">
        <f>VLOOKUP($B28,'Impact of the crisis'!$C$6:$AB$170,26,FALSE)</f>
        <v>3.7</v>
      </c>
      <c r="N28" s="183">
        <f>VLOOKUP($B28,'Conditions of people affected'!$C$6:$R$170,16,FALSE)</f>
        <v>4.45</v>
      </c>
      <c r="O28" s="183">
        <f>VLOOKUP($B28,'Conditions of people affected'!$C$6:$R$170,9,FALSE)</f>
        <v>4.9000000000000004</v>
      </c>
      <c r="P28" s="183">
        <f>VLOOKUP($B28,'Conditions of people affected'!$C$6:$R$170,15,FALSE)</f>
        <v>4</v>
      </c>
      <c r="Q28" s="183">
        <f t="shared" si="4"/>
        <v>3.4</v>
      </c>
      <c r="R28" s="183">
        <f>VLOOKUP($B28,'Complexity of the crisis'!$C$6:$AN$170,22,FALSE)</f>
        <v>3.3</v>
      </c>
      <c r="S28" s="184">
        <f>VLOOKUP($B28,'Complexity of the crisis'!$C$6:$AN$170,38,FALSE)</f>
        <v>3.5</v>
      </c>
      <c r="T28" s="179" t="str">
        <f>VLOOKUP(B28,Lists!$C$3:$E$167,3,FALSE)</f>
        <v>Africa</v>
      </c>
      <c r="U28" s="200">
        <v>44140</v>
      </c>
    </row>
    <row r="29" spans="1:21" x14ac:dyDescent="0.3">
      <c r="A29" s="175" t="str" cm="1">
        <f t="array" ref="A29">IFERROR(INDEX(Lists!$B$2:$B$160,SMALL(IF(Lists!$H$2:$H$160="Yes",ROW(Lists!$B$2:$B$160)),ROW(25:25))-1,1),"")</f>
        <v>Mixed migration flows in Greece</v>
      </c>
      <c r="B29" s="176" t="str">
        <f>VLOOKUP(A29,Lists!$B$2:$G$160,2,FALSE)</f>
        <v>GRC002</v>
      </c>
      <c r="C29" s="176" t="str">
        <f>VLOOKUP(B29,'INFORM Severity - hidden'!$C$5:$D$160,2,FALSE)</f>
        <v>Greece</v>
      </c>
      <c r="D29" s="176" t="str">
        <f>VLOOKUP(A29,Lists!$B$2:$G$160,3,FALSE)</f>
        <v>GRC</v>
      </c>
      <c r="E29" s="176" t="str">
        <f>VLOOKUP(A29,Lists!$B$2:$G$160,5,FALSE)</f>
        <v>International displacement</v>
      </c>
      <c r="F29" s="181">
        <f t="shared" si="0"/>
        <v>1.8</v>
      </c>
      <c r="G29" s="182">
        <f t="shared" si="1"/>
        <v>2</v>
      </c>
      <c r="H29" s="182" t="str">
        <f t="shared" si="2"/>
        <v>Low</v>
      </c>
      <c r="I29" s="180" t="str">
        <f>INDEX(Trends!$D$3:$D$400,MATCH(B29,Trends!$C$3:$C$400,0))</f>
        <v>Decreasing</v>
      </c>
      <c r="J29" s="182" t="str">
        <f>VLOOKUP($B29,Reliability!$A$3:$I$170,9,FALSE)</f>
        <v>Very High</v>
      </c>
      <c r="K29" s="183">
        <f t="shared" si="3"/>
        <v>2</v>
      </c>
      <c r="L29" s="183">
        <f>VLOOKUP($B29,'Impact of the crisis'!$C$6:$N$170,12,FALSE)</f>
        <v>0.3</v>
      </c>
      <c r="M29" s="183">
        <f>VLOOKUP($B29,'Impact of the crisis'!$C$6:$AB$170,26,FALSE)</f>
        <v>2.7</v>
      </c>
      <c r="N29" s="183">
        <f>VLOOKUP($B29,'Conditions of people affected'!$C$6:$R$170,16,FALSE)</f>
        <v>1.8</v>
      </c>
      <c r="O29" s="183">
        <f>VLOOKUP($B29,'Conditions of people affected'!$C$6:$R$170,9,FALSE)</f>
        <v>0.6</v>
      </c>
      <c r="P29" s="183">
        <f>VLOOKUP($B29,'Conditions of people affected'!$C$6:$R$170,15,FALSE)</f>
        <v>3</v>
      </c>
      <c r="Q29" s="183">
        <f t="shared" si="4"/>
        <v>1.7</v>
      </c>
      <c r="R29" s="183">
        <f>VLOOKUP($B29,'Complexity of the crisis'!$C$6:$AN$170,22,FALSE)</f>
        <v>1.8</v>
      </c>
      <c r="S29" s="184">
        <f>VLOOKUP($B29,'Complexity of the crisis'!$C$6:$AN$170,38,FALSE)</f>
        <v>1.5</v>
      </c>
      <c r="T29" s="179" t="str">
        <f>VLOOKUP(B29,Lists!$C$3:$E$167,3,FALSE)</f>
        <v>Europe</v>
      </c>
      <c r="U29" s="200">
        <v>44140</v>
      </c>
    </row>
    <row r="30" spans="1:21" x14ac:dyDescent="0.3">
      <c r="A30" s="175" t="str" cm="1">
        <f t="array" ref="A30">IFERROR(INDEX(Lists!$B$2:$B$160,SMALL(IF(Lists!$H$2:$H$160="Yes",ROW(Lists!$B$2:$B$160)),ROW(26:26))-1,1),"")</f>
        <v>Complex crisis in Guatemala</v>
      </c>
      <c r="B30" s="176" t="str">
        <f>VLOOKUP(A30,Lists!$B$2:$G$160,2,FALSE)</f>
        <v>GTM001</v>
      </c>
      <c r="C30" s="176" t="str">
        <f>VLOOKUP(B30,'INFORM Severity - hidden'!$C$5:$D$160,2,FALSE)</f>
        <v>Guatemala</v>
      </c>
      <c r="D30" s="176" t="str">
        <f>VLOOKUP(A30,Lists!$B$2:$G$160,3,FALSE)</f>
        <v>GTM</v>
      </c>
      <c r="E30" s="176" t="str">
        <f>VLOOKUP(A30,Lists!$B$2:$G$160,5,FALSE)</f>
        <v>Complex crisis</v>
      </c>
      <c r="F30" s="181">
        <f t="shared" si="0"/>
        <v>3.4</v>
      </c>
      <c r="G30" s="182">
        <f t="shared" si="1"/>
        <v>4</v>
      </c>
      <c r="H30" s="182" t="str">
        <f t="shared" si="2"/>
        <v>High</v>
      </c>
      <c r="I30" s="180" t="str">
        <f>INDEX(Trends!$D$3:$D$400,MATCH(B30,Trends!$C$3:$C$400,0))</f>
        <v>Stable</v>
      </c>
      <c r="J30" s="182" t="str">
        <f>VLOOKUP($B30,Reliability!$A$3:$I$170,9,FALSE)</f>
        <v>Very High</v>
      </c>
      <c r="K30" s="183">
        <f t="shared" si="3"/>
        <v>3.7</v>
      </c>
      <c r="L30" s="183">
        <f>VLOOKUP($B30,'Impact of the crisis'!$C$6:$N$170,12,FALSE)</f>
        <v>4.3</v>
      </c>
      <c r="M30" s="183">
        <f>VLOOKUP($B30,'Impact of the crisis'!$C$6:$AB$170,26,FALSE)</f>
        <v>3.4</v>
      </c>
      <c r="N30" s="183">
        <f>VLOOKUP($B30,'Conditions of people affected'!$C$6:$R$170,16,FALSE)</f>
        <v>3.6</v>
      </c>
      <c r="O30" s="183">
        <f>VLOOKUP($B30,'Conditions of people affected'!$C$6:$R$170,9,FALSE)</f>
        <v>4.2</v>
      </c>
      <c r="P30" s="183">
        <f>VLOOKUP($B30,'Conditions of people affected'!$C$6:$R$170,15,FALSE)</f>
        <v>3</v>
      </c>
      <c r="Q30" s="183">
        <f t="shared" si="4"/>
        <v>2.9</v>
      </c>
      <c r="R30" s="183">
        <f>VLOOKUP($B30,'Complexity of the crisis'!$C$6:$AN$170,22,FALSE)</f>
        <v>3.3</v>
      </c>
      <c r="S30" s="184">
        <f>VLOOKUP($B30,'Complexity of the crisis'!$C$6:$AN$170,38,FALSE)</f>
        <v>2.5</v>
      </c>
      <c r="T30" s="179" t="str">
        <f>VLOOKUP(B30,Lists!$C$3:$E$167,3,FALSE)</f>
        <v>Americas</v>
      </c>
      <c r="U30" s="200">
        <v>44111</v>
      </c>
    </row>
    <row r="31" spans="1:21" x14ac:dyDescent="0.3">
      <c r="A31" s="175" t="str" cm="1">
        <f t="array" ref="A31">IFERROR(INDEX(Lists!$B$2:$B$160,SMALL(IF(Lists!$H$2:$H$160="Yes",ROW(Lists!$B$2:$B$160)),ROW(27:27))-1,1),"")</f>
        <v>Complex crisis in Haiti</v>
      </c>
      <c r="B31" s="176" t="str">
        <f>VLOOKUP(A31,Lists!$B$2:$G$160,2,FALSE)</f>
        <v>HTI001</v>
      </c>
      <c r="C31" s="176" t="str">
        <f>VLOOKUP(B31,'INFORM Severity - hidden'!$C$5:$D$160,2,FALSE)</f>
        <v>Haiti</v>
      </c>
      <c r="D31" s="176" t="str">
        <f>VLOOKUP(A31,Lists!$B$2:$G$160,3,FALSE)</f>
        <v>HTI</v>
      </c>
      <c r="E31" s="176" t="str">
        <f>VLOOKUP(A31,Lists!$B$2:$G$160,5,FALSE)</f>
        <v>Complex crisis</v>
      </c>
      <c r="F31" s="181">
        <f t="shared" si="0"/>
        <v>3.5</v>
      </c>
      <c r="G31" s="182">
        <f t="shared" si="1"/>
        <v>4</v>
      </c>
      <c r="H31" s="182" t="str">
        <f t="shared" si="2"/>
        <v>High</v>
      </c>
      <c r="I31" s="180" t="str">
        <f>INDEX(Trends!$D$3:$D$400,MATCH(B31,Trends!$C$3:$C$400,0))</f>
        <v>Stable</v>
      </c>
      <c r="J31" s="182" t="str">
        <f>VLOOKUP($B31,Reliability!$A$3:$I$170,9,FALSE)</f>
        <v>High</v>
      </c>
      <c r="K31" s="183">
        <f t="shared" si="3"/>
        <v>3.2</v>
      </c>
      <c r="L31" s="183">
        <f>VLOOKUP($B31,'Impact of the crisis'!$C$6:$N$170,12,FALSE)</f>
        <v>4</v>
      </c>
      <c r="M31" s="183">
        <f>VLOOKUP($B31,'Impact of the crisis'!$C$6:$AB$170,26,FALSE)</f>
        <v>2.7</v>
      </c>
      <c r="N31" s="183">
        <f>VLOOKUP($B31,'Conditions of people affected'!$C$6:$R$170,16,FALSE)</f>
        <v>4.1500000000000004</v>
      </c>
      <c r="O31" s="183">
        <f>VLOOKUP($B31,'Conditions of people affected'!$C$6:$R$170,9,FALSE)</f>
        <v>4.3</v>
      </c>
      <c r="P31" s="183">
        <f>VLOOKUP($B31,'Conditions of people affected'!$C$6:$R$170,15,FALSE)</f>
        <v>4</v>
      </c>
      <c r="Q31" s="183">
        <f t="shared" si="4"/>
        <v>2.5</v>
      </c>
      <c r="R31" s="183">
        <f>VLOOKUP($B31,'Complexity of the crisis'!$C$6:$AN$170,22,FALSE)</f>
        <v>2.9</v>
      </c>
      <c r="S31" s="184">
        <f>VLOOKUP($B31,'Complexity of the crisis'!$C$6:$AN$170,38,FALSE)</f>
        <v>2</v>
      </c>
      <c r="T31" s="179" t="str">
        <f>VLOOKUP(B31,Lists!$C$3:$E$167,3,FALSE)</f>
        <v>Americas</v>
      </c>
      <c r="U31" s="200">
        <v>44140</v>
      </c>
    </row>
    <row r="32" spans="1:21" x14ac:dyDescent="0.3">
      <c r="A32" s="175" t="str" cm="1">
        <f t="array" ref="A32">IFERROR(INDEX(Lists!$B$2:$B$160,SMALL(IF(Lists!$H$2:$H$160="Yes",ROW(Lists!$B$2:$B$160)),ROW(28:28))-1,1),"")</f>
        <v>Complex crisis in Honduras</v>
      </c>
      <c r="B32" s="176" t="str">
        <f>VLOOKUP(A32,Lists!$B$2:$G$160,2,FALSE)</f>
        <v>HND001</v>
      </c>
      <c r="C32" s="176" t="str">
        <f>VLOOKUP(B32,'INFORM Severity - hidden'!$C$5:$D$160,2,FALSE)</f>
        <v>Honduras</v>
      </c>
      <c r="D32" s="176" t="str">
        <f>VLOOKUP(A32,Lists!$B$2:$G$160,3,FALSE)</f>
        <v>HND</v>
      </c>
      <c r="E32" s="176" t="str">
        <f>VLOOKUP(A32,Lists!$B$2:$G$160,5,FALSE)</f>
        <v>Complex crisis</v>
      </c>
      <c r="F32" s="181">
        <f t="shared" si="0"/>
        <v>3.2</v>
      </c>
      <c r="G32" s="182">
        <f t="shared" si="1"/>
        <v>4</v>
      </c>
      <c r="H32" s="182" t="str">
        <f t="shared" si="2"/>
        <v>High</v>
      </c>
      <c r="I32" s="180" t="str">
        <f>INDEX(Trends!$D$3:$D$400,MATCH(B32,Trends!$C$3:$C$400,0))</f>
        <v>Decreasing</v>
      </c>
      <c r="J32" s="182" t="str">
        <f>VLOOKUP($B32,Reliability!$A$3:$I$170,9,FALSE)</f>
        <v>High</v>
      </c>
      <c r="K32" s="183">
        <f t="shared" si="3"/>
        <v>3.7</v>
      </c>
      <c r="L32" s="183">
        <f>VLOOKUP($B32,'Impact of the crisis'!$C$6:$N$170,12,FALSE)</f>
        <v>4.2</v>
      </c>
      <c r="M32" s="183">
        <f>VLOOKUP($B32,'Impact of the crisis'!$C$6:$AB$170,26,FALSE)</f>
        <v>3.4</v>
      </c>
      <c r="N32" s="183">
        <f>VLOOKUP($B32,'Conditions of people affected'!$C$6:$R$170,16,FALSE)</f>
        <v>3.25</v>
      </c>
      <c r="O32" s="183">
        <f>VLOOKUP($B32,'Conditions of people affected'!$C$6:$R$170,9,FALSE)</f>
        <v>3.5</v>
      </c>
      <c r="P32" s="183">
        <f>VLOOKUP($B32,'Conditions of people affected'!$C$6:$R$170,15,FALSE)</f>
        <v>3</v>
      </c>
      <c r="Q32" s="183">
        <f t="shared" si="4"/>
        <v>2.8</v>
      </c>
      <c r="R32" s="183">
        <f>VLOOKUP($B32,'Complexity of the crisis'!$C$6:$AN$170,22,FALSE)</f>
        <v>3.1</v>
      </c>
      <c r="S32" s="184">
        <f>VLOOKUP($B32,'Complexity of the crisis'!$C$6:$AN$170,38,FALSE)</f>
        <v>2.5</v>
      </c>
      <c r="T32" s="179" t="str">
        <f>VLOOKUP(B32,Lists!$C$3:$E$167,3,FALSE)</f>
        <v>Americas</v>
      </c>
      <c r="U32" s="200">
        <v>44111</v>
      </c>
    </row>
    <row r="33" spans="1:21" x14ac:dyDescent="0.3">
      <c r="A33" s="175" t="str" cm="1">
        <f t="array" ref="A33">IFERROR(INDEX(Lists!$B$2:$B$160,SMALL(IF(Lists!$H$2:$H$160="Yes",ROW(Lists!$B$2:$B$160)),ROW(29:29))-1,1),"")</f>
        <v>Multiple Crises in India</v>
      </c>
      <c r="B33" s="176" t="str">
        <f>VLOOKUP(A33,Lists!$B$2:$G$160,2,FALSE)</f>
        <v>IND001</v>
      </c>
      <c r="C33" s="176" t="str">
        <f>VLOOKUP(B33,'INFORM Severity - hidden'!$C$5:$D$160,2,FALSE)</f>
        <v>India</v>
      </c>
      <c r="D33" s="176" t="str">
        <f>VLOOKUP(A33,Lists!$B$2:$G$160,3,FALSE)</f>
        <v>IND</v>
      </c>
      <c r="E33" s="176" t="str">
        <f>VLOOKUP(A33,Lists!$B$2:$G$160,5,FALSE)</f>
        <v>Multiple crises country</v>
      </c>
      <c r="F33" s="181">
        <f t="shared" si="0"/>
        <v>2.6</v>
      </c>
      <c r="G33" s="182">
        <f t="shared" si="1"/>
        <v>3</v>
      </c>
      <c r="H33" s="182" t="str">
        <f t="shared" si="2"/>
        <v>Medium</v>
      </c>
      <c r="I33" s="180" t="str">
        <f>INDEX(Trends!$D$3:$D$400,MATCH(B33,Trends!$C$3:$C$400,0))</f>
        <v>Increasing</v>
      </c>
      <c r="J33" s="182" t="str">
        <f>VLOOKUP($B33,Reliability!$A$3:$I$170,9,FALSE)</f>
        <v>High</v>
      </c>
      <c r="K33" s="183">
        <f t="shared" si="3"/>
        <v>3.8</v>
      </c>
      <c r="L33" s="183">
        <f>VLOOKUP($B33,'Impact of the crisis'!$C$6:$N$170,12,FALSE)</f>
        <v>4.2</v>
      </c>
      <c r="M33" s="183">
        <f>VLOOKUP($B33,'Impact of the crisis'!$C$6:$AB$170,26,FALSE)</f>
        <v>3.5</v>
      </c>
      <c r="N33" s="183">
        <f>VLOOKUP($B33,'Conditions of people affected'!$C$6:$R$170,16,FALSE)</f>
        <v>2.4</v>
      </c>
      <c r="O33" s="183">
        <f>VLOOKUP($B33,'Conditions of people affected'!$C$6:$R$170,9,FALSE)</f>
        <v>3.8</v>
      </c>
      <c r="P33" s="183">
        <f>VLOOKUP($B33,'Conditions of people affected'!$C$6:$R$170,15,FALSE)</f>
        <v>1</v>
      </c>
      <c r="Q33" s="183">
        <f t="shared" si="4"/>
        <v>1.7</v>
      </c>
      <c r="R33" s="183">
        <f>VLOOKUP($B33,'Complexity of the crisis'!$C$6:$AN$170,22,FALSE)</f>
        <v>2.9</v>
      </c>
      <c r="S33" s="184">
        <f>VLOOKUP($B33,'Complexity of the crisis'!$C$6:$AN$170,38,FALSE)</f>
        <v>0</v>
      </c>
      <c r="T33" s="179" t="str">
        <f>VLOOKUP(B33,Lists!$C$3:$E$167,3,FALSE)</f>
        <v>Asia</v>
      </c>
      <c r="U33" s="200">
        <v>44132</v>
      </c>
    </row>
    <row r="34" spans="1:21" x14ac:dyDescent="0.3">
      <c r="A34" s="175" t="str" cm="1">
        <f t="array" ref="A34">IFERROR(INDEX(Lists!$B$2:$B$160,SMALL(IF(Lists!$H$2:$H$160="Yes",ROW(Lists!$B$2:$B$160)),ROW(30:30))-1,1),"")</f>
        <v>Afghan Refugees in Iran</v>
      </c>
      <c r="B34" s="176" t="str">
        <f>VLOOKUP(A34,Lists!$B$2:$G$160,2,FALSE)</f>
        <v>IRN004</v>
      </c>
      <c r="C34" s="176" t="str">
        <f>VLOOKUP(B34,'INFORM Severity - hidden'!$C$5:$D$160,2,FALSE)</f>
        <v>Iran</v>
      </c>
      <c r="D34" s="176" t="str">
        <f>VLOOKUP(A34,Lists!$B$2:$G$160,3,FALSE)</f>
        <v>IRN</v>
      </c>
      <c r="E34" s="176" t="str">
        <f>VLOOKUP(A34,Lists!$B$2:$G$160,5,FALSE)</f>
        <v>International displacement</v>
      </c>
      <c r="F34" s="181">
        <f t="shared" si="0"/>
        <v>3.4</v>
      </c>
      <c r="G34" s="182">
        <f t="shared" si="1"/>
        <v>4</v>
      </c>
      <c r="H34" s="182" t="str">
        <f t="shared" si="2"/>
        <v>High</v>
      </c>
      <c r="I34" s="180" t="str">
        <f>INDEX(Trends!$D$3:$D$400,MATCH(B34,Trends!$C$3:$C$400,0))</f>
        <v>Stable</v>
      </c>
      <c r="J34" s="182" t="str">
        <f>VLOOKUP($B34,Reliability!$A$3:$I$170,9,FALSE)</f>
        <v>Medium</v>
      </c>
      <c r="K34" s="183">
        <f t="shared" si="3"/>
        <v>2.8</v>
      </c>
      <c r="L34" s="183">
        <f>VLOOKUP($B34,'Impact of the crisis'!$C$6:$N$170,12,FALSE)</f>
        <v>2.7</v>
      </c>
      <c r="M34" s="183">
        <f>VLOOKUP($B34,'Impact of the crisis'!$C$6:$AB$170,26,FALSE)</f>
        <v>2.8</v>
      </c>
      <c r="N34" s="183">
        <f>VLOOKUP($B34,'Conditions of people affected'!$C$6:$R$170,16,FALSE)</f>
        <v>4.05</v>
      </c>
      <c r="O34" s="183">
        <f>VLOOKUP($B34,'Conditions of people affected'!$C$6:$R$170,9,FALSE)</f>
        <v>4.0999999999999996</v>
      </c>
      <c r="P34" s="183">
        <f>VLOOKUP($B34,'Conditions of people affected'!$C$6:$R$170,15,FALSE)</f>
        <v>4</v>
      </c>
      <c r="Q34" s="183">
        <f t="shared" si="4"/>
        <v>2.7</v>
      </c>
      <c r="R34" s="183">
        <f>VLOOKUP($B34,'Complexity of the crisis'!$C$6:$AN$170,22,FALSE)</f>
        <v>2.8</v>
      </c>
      <c r="S34" s="184">
        <f>VLOOKUP($B34,'Complexity of the crisis'!$C$6:$AN$170,38,FALSE)</f>
        <v>2.5</v>
      </c>
      <c r="T34" s="179" t="str">
        <f>VLOOKUP(B34,Lists!$C$3:$E$167,3,FALSE)</f>
        <v>Middle east</v>
      </c>
      <c r="U34" s="200">
        <v>44132</v>
      </c>
    </row>
    <row r="35" spans="1:21" x14ac:dyDescent="0.3">
      <c r="A35" s="175" t="str" cm="1">
        <f t="array" ref="A35">IFERROR(INDEX(Lists!$B$2:$B$160,SMALL(IF(Lists!$H$2:$H$160="Yes",ROW(Lists!$B$2:$B$160)),ROW(31:31))-1,1),"")</f>
        <v>Multiple crises in Iraq</v>
      </c>
      <c r="B35" s="176" t="str">
        <f>VLOOKUP(A35,Lists!$B$2:$G$160,2,FALSE)</f>
        <v>IRQ001</v>
      </c>
      <c r="C35" s="176" t="str">
        <f>VLOOKUP(B35,'INFORM Severity - hidden'!$C$5:$D$160,2,FALSE)</f>
        <v>Iraq</v>
      </c>
      <c r="D35" s="176" t="str">
        <f>VLOOKUP(A35,Lists!$B$2:$G$160,3,FALSE)</f>
        <v>IRQ</v>
      </c>
      <c r="E35" s="176" t="str">
        <f>VLOOKUP(A35,Lists!$B$2:$G$160,5,FALSE)</f>
        <v>Multiple crises country</v>
      </c>
      <c r="F35" s="181">
        <f t="shared" si="0"/>
        <v>3.9</v>
      </c>
      <c r="G35" s="182">
        <f t="shared" si="1"/>
        <v>4</v>
      </c>
      <c r="H35" s="182" t="str">
        <f t="shared" si="2"/>
        <v>High</v>
      </c>
      <c r="I35" s="180" t="str">
        <f>INDEX(Trends!$D$3:$D$400,MATCH(B35,Trends!$C$3:$C$400,0))</f>
        <v>Stable</v>
      </c>
      <c r="J35" s="182" t="str">
        <f>VLOOKUP($B35,Reliability!$A$3:$I$170,9,FALSE)</f>
        <v>High</v>
      </c>
      <c r="K35" s="183">
        <f t="shared" si="3"/>
        <v>4.4000000000000004</v>
      </c>
      <c r="L35" s="183">
        <f>VLOOKUP($B35,'Impact of the crisis'!$C$6:$N$170,12,FALSE)</f>
        <v>4.9000000000000004</v>
      </c>
      <c r="M35" s="183">
        <f>VLOOKUP($B35,'Impact of the crisis'!$C$6:$AB$170,26,FALSE)</f>
        <v>4</v>
      </c>
      <c r="N35" s="183">
        <f>VLOOKUP($B35,'Conditions of people affected'!$C$6:$R$170,16,FALSE)</f>
        <v>3.7</v>
      </c>
      <c r="O35" s="183">
        <f>VLOOKUP($B35,'Conditions of people affected'!$C$6:$R$170,9,FALSE)</f>
        <v>4.4000000000000004</v>
      </c>
      <c r="P35" s="183">
        <f>VLOOKUP($B35,'Conditions of people affected'!$C$6:$R$170,15,FALSE)</f>
        <v>3</v>
      </c>
      <c r="Q35" s="183">
        <f t="shared" si="4"/>
        <v>3.7</v>
      </c>
      <c r="R35" s="183">
        <f>VLOOKUP($B35,'Complexity of the crisis'!$C$6:$AN$170,22,FALSE)</f>
        <v>3.4</v>
      </c>
      <c r="S35" s="184">
        <f>VLOOKUP($B35,'Complexity of the crisis'!$C$6:$AN$170,38,FALSE)</f>
        <v>4</v>
      </c>
      <c r="T35" s="179" t="str">
        <f>VLOOKUP(B35,Lists!$C$3:$E$167,3,FALSE)</f>
        <v>Middle east</v>
      </c>
      <c r="U35" s="200">
        <v>44130</v>
      </c>
    </row>
    <row r="36" spans="1:21" x14ac:dyDescent="0.3">
      <c r="A36" s="175" t="str" cm="1">
        <f t="array" ref="A36">IFERROR(INDEX(Lists!$B$2:$B$160,SMALL(IF(Lists!$H$2:$H$160="Yes",ROW(Lists!$B$2:$B$160)),ROW(32:32))-1,1),"")</f>
        <v>Syrian refugees in Jordan</v>
      </c>
      <c r="B36" s="176" t="str">
        <f>VLOOKUP(A36,Lists!$B$2:$G$160,2,FALSE)</f>
        <v>JOR002</v>
      </c>
      <c r="C36" s="176" t="str">
        <f>VLOOKUP(B36,'INFORM Severity - hidden'!$C$5:$D$160,2,FALSE)</f>
        <v>Jordan</v>
      </c>
      <c r="D36" s="176" t="str">
        <f>VLOOKUP(A36,Lists!$B$2:$G$160,3,FALSE)</f>
        <v>JOR</v>
      </c>
      <c r="E36" s="176" t="str">
        <f>VLOOKUP(A36,Lists!$B$2:$G$160,5,FALSE)</f>
        <v>International displacement</v>
      </c>
      <c r="F36" s="181">
        <f t="shared" si="0"/>
        <v>2.6</v>
      </c>
      <c r="G36" s="182">
        <f t="shared" si="1"/>
        <v>3</v>
      </c>
      <c r="H36" s="182" t="str">
        <f t="shared" si="2"/>
        <v>Medium</v>
      </c>
      <c r="I36" s="180" t="str">
        <f>INDEX(Trends!$D$3:$D$400,MATCH(B36,Trends!$C$3:$C$400,0))</f>
        <v>Increasing</v>
      </c>
      <c r="J36" s="182" t="str">
        <f>VLOOKUP($B36,Reliability!$A$3:$I$170,9,FALSE)</f>
        <v>High</v>
      </c>
      <c r="K36" s="183">
        <f t="shared" si="3"/>
        <v>2.7</v>
      </c>
      <c r="L36" s="183">
        <f>VLOOKUP($B36,'Impact of the crisis'!$C$6:$N$170,12,FALSE)</f>
        <v>3</v>
      </c>
      <c r="M36" s="183">
        <f>VLOOKUP($B36,'Impact of the crisis'!$C$6:$AB$170,26,FALSE)</f>
        <v>2.5</v>
      </c>
      <c r="N36" s="183">
        <f>VLOOKUP($B36,'Conditions of people affected'!$C$6:$R$170,16,FALSE)</f>
        <v>3</v>
      </c>
      <c r="O36" s="183">
        <f>VLOOKUP($B36,'Conditions of people affected'!$C$6:$R$170,9,FALSE)</f>
        <v>3</v>
      </c>
      <c r="P36" s="183">
        <f>VLOOKUP($B36,'Conditions of people affected'!$C$6:$R$170,15,FALSE)</f>
        <v>3</v>
      </c>
      <c r="Q36" s="183">
        <f t="shared" si="4"/>
        <v>1.8</v>
      </c>
      <c r="R36" s="183">
        <f>VLOOKUP($B36,'Complexity of the crisis'!$C$6:$AN$170,22,FALSE)</f>
        <v>2.5</v>
      </c>
      <c r="S36" s="184">
        <f>VLOOKUP($B36,'Complexity of the crisis'!$C$6:$AN$170,38,FALSE)</f>
        <v>1</v>
      </c>
      <c r="T36" s="179" t="str">
        <f>VLOOKUP(B36,Lists!$C$3:$E$167,3,FALSE)</f>
        <v>Middle east</v>
      </c>
      <c r="U36" s="200">
        <v>44102</v>
      </c>
    </row>
    <row r="37" spans="1:21" x14ac:dyDescent="0.3">
      <c r="A37" s="175" t="str" cm="1">
        <f t="array" ref="A37">IFERROR(INDEX(Lists!$B$2:$B$160,SMALL(IF(Lists!$H$2:$H$160="Yes",ROW(Lists!$B$2:$B$160)),ROW(33:33))-1,1),"")</f>
        <v xml:space="preserve">Multiple crisis in Kenya </v>
      </c>
      <c r="B37" s="176" t="str">
        <f>VLOOKUP(A37,Lists!$B$2:$G$160,2,FALSE)</f>
        <v>KEN001</v>
      </c>
      <c r="C37" s="176" t="str">
        <f>VLOOKUP(B37,'INFORM Severity - hidden'!$C$5:$D$160,2,FALSE)</f>
        <v>Kenya</v>
      </c>
      <c r="D37" s="176" t="str">
        <f>VLOOKUP(A37,Lists!$B$2:$G$160,3,FALSE)</f>
        <v>KEN</v>
      </c>
      <c r="E37" s="176" t="str">
        <f>VLOOKUP(A37,Lists!$B$2:$G$160,5,FALSE)</f>
        <v>Multiple crises country</v>
      </c>
      <c r="F37" s="181">
        <f t="shared" si="0"/>
        <v>2.9</v>
      </c>
      <c r="G37" s="182">
        <f t="shared" si="1"/>
        <v>3</v>
      </c>
      <c r="H37" s="182" t="str">
        <f t="shared" si="2"/>
        <v>Medium</v>
      </c>
      <c r="I37" s="180" t="str">
        <f>INDEX(Trends!$D$3:$D$400,MATCH(B37,Trends!$C$3:$C$400,0))</f>
        <v>Decreasing</v>
      </c>
      <c r="J37" s="182" t="str">
        <f>VLOOKUP($B37,Reliability!$A$3:$I$170,9,FALSE)</f>
        <v>High</v>
      </c>
      <c r="K37" s="183">
        <f t="shared" si="3"/>
        <v>3.6</v>
      </c>
      <c r="L37" s="183">
        <f>VLOOKUP($B37,'Impact of the crisis'!$C$6:$N$170,12,FALSE)</f>
        <v>4.9000000000000004</v>
      </c>
      <c r="M37" s="183">
        <f>VLOOKUP($B37,'Impact of the crisis'!$C$6:$AB$170,26,FALSE)</f>
        <v>2.5</v>
      </c>
      <c r="N37" s="183">
        <f>VLOOKUP($B37,'Conditions of people affected'!$C$6:$R$170,16,FALSE)</f>
        <v>2.8</v>
      </c>
      <c r="O37" s="183">
        <f>VLOOKUP($B37,'Conditions of people affected'!$C$6:$R$170,9,FALSE)</f>
        <v>3.6</v>
      </c>
      <c r="P37" s="183">
        <f>VLOOKUP($B37,'Conditions of people affected'!$C$6:$R$170,15,FALSE)</f>
        <v>2</v>
      </c>
      <c r="Q37" s="183">
        <f t="shared" si="4"/>
        <v>2.5</v>
      </c>
      <c r="R37" s="183">
        <f>VLOOKUP($B37,'Complexity of the crisis'!$C$6:$AN$170,22,FALSE)</f>
        <v>3</v>
      </c>
      <c r="S37" s="184">
        <f>VLOOKUP($B37,'Complexity of the crisis'!$C$6:$AN$170,38,FALSE)</f>
        <v>2</v>
      </c>
      <c r="T37" s="179" t="str">
        <f>VLOOKUP(B37,Lists!$C$3:$E$167,3,FALSE)</f>
        <v>Africa</v>
      </c>
      <c r="U37" s="200">
        <v>44140</v>
      </c>
    </row>
    <row r="38" spans="1:21" x14ac:dyDescent="0.3">
      <c r="A38" s="175" t="str" cm="1">
        <f t="array" ref="A38">IFERROR(INDEX(Lists!$B$2:$B$160,SMALL(IF(Lists!$H$2:$H$160="Yes",ROW(Lists!$B$2:$B$160)),ROW(34:34))-1,1),"")</f>
        <v>Socioeconomic crisis in Lebanon</v>
      </c>
      <c r="B38" s="176" t="str">
        <f>VLOOKUP(A38,Lists!$B$2:$G$160,2,FALSE)</f>
        <v>LBN004</v>
      </c>
      <c r="C38" s="176" t="str">
        <f>VLOOKUP(B38,'INFORM Severity - hidden'!$C$5:$D$160,2,FALSE)</f>
        <v>Lebanon</v>
      </c>
      <c r="D38" s="176" t="str">
        <f>VLOOKUP(A38,Lists!$B$2:$G$160,3,FALSE)</f>
        <v>LBN</v>
      </c>
      <c r="E38" s="176" t="str">
        <f>VLOOKUP(A38,Lists!$B$2:$G$160,5,FALSE)</f>
        <v>Political and economic crisis</v>
      </c>
      <c r="F38" s="181">
        <f t="shared" si="0"/>
        <v>3.5</v>
      </c>
      <c r="G38" s="182">
        <f t="shared" si="1"/>
        <v>4</v>
      </c>
      <c r="H38" s="182" t="str">
        <f t="shared" si="2"/>
        <v>High</v>
      </c>
      <c r="I38" s="180" t="str">
        <f>INDEX(Trends!$D$3:$D$400,MATCH(B38,Trends!$C$3:$C$400,0))</f>
        <v>Increasing</v>
      </c>
      <c r="J38" s="182" t="str">
        <f>VLOOKUP($B38,Reliability!$A$3:$I$170,9,FALSE)</f>
        <v>Medium</v>
      </c>
      <c r="K38" s="183">
        <f t="shared" si="3"/>
        <v>2.6</v>
      </c>
      <c r="L38" s="183">
        <f>VLOOKUP($B38,'Impact of the crisis'!$C$6:$N$170,12,FALSE)</f>
        <v>3.6</v>
      </c>
      <c r="M38" s="183">
        <f>VLOOKUP($B38,'Impact of the crisis'!$C$6:$AB$170,26,FALSE)</f>
        <v>2</v>
      </c>
      <c r="N38" s="183">
        <f>VLOOKUP($B38,'Conditions of people affected'!$C$6:$R$170,16,FALSE)</f>
        <v>4.1500000000000004</v>
      </c>
      <c r="O38" s="183">
        <f>VLOOKUP($B38,'Conditions of people affected'!$C$6:$R$170,9,FALSE)</f>
        <v>4.3</v>
      </c>
      <c r="P38" s="183">
        <f>VLOOKUP($B38,'Conditions of people affected'!$C$6:$R$170,15,FALSE)</f>
        <v>4</v>
      </c>
      <c r="Q38" s="183">
        <f t="shared" si="4"/>
        <v>2.9</v>
      </c>
      <c r="R38" s="183">
        <f>VLOOKUP($B38,'Complexity of the crisis'!$C$6:$AN$170,22,FALSE)</f>
        <v>2.8</v>
      </c>
      <c r="S38" s="184">
        <f>VLOOKUP($B38,'Complexity of the crisis'!$C$6:$AN$170,38,FALSE)</f>
        <v>3</v>
      </c>
      <c r="T38" s="179" t="str">
        <f>VLOOKUP(B38,Lists!$C$3:$E$167,3,FALSE)</f>
        <v>Middle east</v>
      </c>
      <c r="U38" s="200">
        <v>44132</v>
      </c>
    </row>
    <row r="39" spans="1:21" x14ac:dyDescent="0.3">
      <c r="A39" s="175" t="str" cm="1">
        <f t="array" ref="A39">IFERROR(INDEX(Lists!$B$2:$B$160,SMALL(IF(Lists!$H$2:$H$160="Yes",ROW(Lists!$B$2:$B$160)),ROW(35:35))-1,1),"")</f>
        <v>Drought in Lesotho</v>
      </c>
      <c r="B39" s="176" t="str">
        <f>VLOOKUP(A39,Lists!$B$2:$G$160,2,FALSE)</f>
        <v>LSO002</v>
      </c>
      <c r="C39" s="176" t="str">
        <f>VLOOKUP(B39,'INFORM Severity - hidden'!$C$5:$D$160,2,FALSE)</f>
        <v>Lesotho</v>
      </c>
      <c r="D39" s="176" t="str">
        <f>VLOOKUP(A39,Lists!$B$2:$G$160,3,FALSE)</f>
        <v>LSO</v>
      </c>
      <c r="E39" s="176" t="str">
        <f>VLOOKUP(A39,Lists!$B$2:$G$160,5,FALSE)</f>
        <v>Drought</v>
      </c>
      <c r="F39" s="181">
        <f t="shared" si="0"/>
        <v>2.5</v>
      </c>
      <c r="G39" s="182">
        <f t="shared" si="1"/>
        <v>3</v>
      </c>
      <c r="H39" s="182" t="str">
        <f t="shared" si="2"/>
        <v>Medium</v>
      </c>
      <c r="I39" s="180" t="str">
        <f>INDEX(Trends!$D$3:$D$400,MATCH(B39,Trends!$C$3:$C$400,0))</f>
        <v>Decreasing</v>
      </c>
      <c r="J39" s="182" t="str">
        <f>VLOOKUP($B39,Reliability!$A$3:$I$170,9,FALSE)</f>
        <v>High</v>
      </c>
      <c r="K39" s="183">
        <f t="shared" si="3"/>
        <v>2.2000000000000002</v>
      </c>
      <c r="L39" s="183">
        <f>VLOOKUP($B39,'Impact of the crisis'!$C$6:$N$170,12,FALSE)</f>
        <v>3</v>
      </c>
      <c r="M39" s="183">
        <f>VLOOKUP($B39,'Impact of the crisis'!$C$6:$AB$170,26,FALSE)</f>
        <v>1.8</v>
      </c>
      <c r="N39" s="183">
        <f>VLOOKUP($B39,'Conditions of people affected'!$C$6:$R$170,16,FALSE)</f>
        <v>3.45</v>
      </c>
      <c r="O39" s="183">
        <f>VLOOKUP($B39,'Conditions of people affected'!$C$6:$R$170,9,FALSE)</f>
        <v>2.9</v>
      </c>
      <c r="P39" s="183">
        <f>VLOOKUP($B39,'Conditions of people affected'!$C$6:$R$170,15,FALSE)</f>
        <v>4</v>
      </c>
      <c r="Q39" s="183">
        <f t="shared" si="4"/>
        <v>1</v>
      </c>
      <c r="R39" s="183">
        <f>VLOOKUP($B39,'Complexity of the crisis'!$C$6:$AN$170,22,FALSE)</f>
        <v>1.4</v>
      </c>
      <c r="S39" s="184">
        <f>VLOOKUP($B39,'Complexity of the crisis'!$C$6:$AN$170,38,FALSE)</f>
        <v>0.5</v>
      </c>
      <c r="T39" s="179" t="str">
        <f>VLOOKUP(B39,Lists!$C$3:$E$167,3,FALSE)</f>
        <v>Africa</v>
      </c>
      <c r="U39" s="200">
        <v>44134</v>
      </c>
    </row>
    <row r="40" spans="1:21" x14ac:dyDescent="0.3">
      <c r="A40" s="175" t="str" cm="1">
        <f t="array" ref="A40">IFERROR(INDEX(Lists!$B$2:$B$160,SMALL(IF(Lists!$H$2:$H$160="Yes",ROW(Lists!$B$2:$B$160)),ROW(36:36))-1,1),"")</f>
        <v>Complex crisis in Libya</v>
      </c>
      <c r="B40" s="176" t="str">
        <f>VLOOKUP(A40,Lists!$B$2:$G$160,2,FALSE)</f>
        <v>LBY001</v>
      </c>
      <c r="C40" s="176" t="str">
        <f>VLOOKUP(B40,'INFORM Severity - hidden'!$C$5:$D$160,2,FALSE)</f>
        <v>Libya</v>
      </c>
      <c r="D40" s="176" t="str">
        <f>VLOOKUP(A40,Lists!$B$2:$G$160,3,FALSE)</f>
        <v>LBY</v>
      </c>
      <c r="E40" s="176" t="str">
        <f>VLOOKUP(A40,Lists!$B$2:$G$160,5,FALSE)</f>
        <v>Multiple crises country</v>
      </c>
      <c r="F40" s="181">
        <f t="shared" si="0"/>
        <v>4.0999999999999996</v>
      </c>
      <c r="G40" s="182">
        <f t="shared" si="1"/>
        <v>5</v>
      </c>
      <c r="H40" s="182" t="str">
        <f t="shared" si="2"/>
        <v>Very High</v>
      </c>
      <c r="I40" s="180" t="str">
        <f>INDEX(Trends!$D$3:$D$400,MATCH(B40,Trends!$C$3:$C$400,0))</f>
        <v>Decreasing</v>
      </c>
      <c r="J40" s="182" t="str">
        <f>VLOOKUP($B40,Reliability!$A$3:$I$170,9,FALSE)</f>
        <v>High</v>
      </c>
      <c r="K40" s="183">
        <f t="shared" si="3"/>
        <v>4</v>
      </c>
      <c r="L40" s="183">
        <f>VLOOKUP($B40,'Impact of the crisis'!$C$6:$N$170,12,FALSE)</f>
        <v>4.5</v>
      </c>
      <c r="M40" s="183">
        <f>VLOOKUP($B40,'Impact of the crisis'!$C$6:$AB$170,26,FALSE)</f>
        <v>3.7</v>
      </c>
      <c r="N40" s="183">
        <f>VLOOKUP($B40,'Conditions of people affected'!$C$6:$R$170,16,FALSE)</f>
        <v>4.2</v>
      </c>
      <c r="O40" s="183">
        <f>VLOOKUP($B40,'Conditions of people affected'!$C$6:$R$170,9,FALSE)</f>
        <v>3.4</v>
      </c>
      <c r="P40" s="183">
        <f>VLOOKUP($B40,'Conditions of people affected'!$C$6:$R$170,15,FALSE)</f>
        <v>5</v>
      </c>
      <c r="Q40" s="183">
        <f t="shared" si="4"/>
        <v>4.0999999999999996</v>
      </c>
      <c r="R40" s="183">
        <f>VLOOKUP($B40,'Complexity of the crisis'!$C$6:$AN$170,22,FALSE)</f>
        <v>3.6</v>
      </c>
      <c r="S40" s="184">
        <f>VLOOKUP($B40,'Complexity of the crisis'!$C$6:$AN$170,38,FALSE)</f>
        <v>4.5</v>
      </c>
      <c r="T40" s="179" t="str">
        <f>VLOOKUP(B40,Lists!$C$3:$E$167,3,FALSE)</f>
        <v>Africa</v>
      </c>
      <c r="U40" s="200">
        <v>44130</v>
      </c>
    </row>
    <row r="41" spans="1:21" x14ac:dyDescent="0.3">
      <c r="A41" s="175" t="str" cm="1">
        <f t="array" ref="A41">IFERROR(INDEX(Lists!$B$2:$B$160,SMALL(IF(Lists!$H$2:$H$160="Yes",ROW(Lists!$B$2:$B$160)),ROW(37:37))-1,1),"")</f>
        <v>Complex Country Crisis in Madagascar</v>
      </c>
      <c r="B41" s="176" t="str">
        <f>VLOOKUP(A41,Lists!$B$2:$G$160,2,FALSE)</f>
        <v>MDG005</v>
      </c>
      <c r="C41" s="176" t="str">
        <f>VLOOKUP(B41,'INFORM Severity - hidden'!$C$5:$D$160,2,FALSE)</f>
        <v>Madagascar</v>
      </c>
      <c r="D41" s="176" t="str">
        <f>VLOOKUP(A41,Lists!$B$2:$G$160,3,FALSE)</f>
        <v>MDG</v>
      </c>
      <c r="E41" s="176" t="str">
        <f>VLOOKUP(A41,Lists!$B$2:$G$160,5,FALSE)</f>
        <v>Complex crisis</v>
      </c>
      <c r="F41" s="181">
        <f t="shared" si="0"/>
        <v>2.6</v>
      </c>
      <c r="G41" s="182">
        <f t="shared" si="1"/>
        <v>3</v>
      </c>
      <c r="H41" s="182" t="str">
        <f t="shared" si="2"/>
        <v>Medium</v>
      </c>
      <c r="I41" s="180" t="str">
        <f>INDEX(Trends!$D$3:$D$400,MATCH(B41,Trends!$C$3:$C$400,0))</f>
        <v>Stable</v>
      </c>
      <c r="J41" s="182" t="str">
        <f>VLOOKUP($B41,Reliability!$A$3:$I$170,9,FALSE)</f>
        <v>High</v>
      </c>
      <c r="K41" s="183">
        <f t="shared" si="3"/>
        <v>2.2999999999999998</v>
      </c>
      <c r="L41" s="183">
        <f>VLOOKUP($B41,'Impact of the crisis'!$C$6:$N$170,12,FALSE)</f>
        <v>1.9</v>
      </c>
      <c r="M41" s="183">
        <f>VLOOKUP($B41,'Impact of the crisis'!$C$6:$AB$170,26,FALSE)</f>
        <v>2.5</v>
      </c>
      <c r="N41" s="183">
        <f>VLOOKUP($B41,'Conditions of people affected'!$C$6:$R$170,16,FALSE)</f>
        <v>3.05</v>
      </c>
      <c r="O41" s="183">
        <f>VLOOKUP($B41,'Conditions of people affected'!$C$6:$R$170,9,FALSE)</f>
        <v>3.1</v>
      </c>
      <c r="P41" s="183">
        <f>VLOOKUP($B41,'Conditions of people affected'!$C$6:$R$170,15,FALSE)</f>
        <v>3</v>
      </c>
      <c r="Q41" s="183">
        <f t="shared" si="4"/>
        <v>2</v>
      </c>
      <c r="R41" s="183">
        <f>VLOOKUP($B41,'Complexity of the crisis'!$C$6:$AN$170,22,FALSE)</f>
        <v>2.4</v>
      </c>
      <c r="S41" s="184">
        <f>VLOOKUP($B41,'Complexity of the crisis'!$C$6:$AN$170,38,FALSE)</f>
        <v>1.5</v>
      </c>
      <c r="T41" s="179" t="str">
        <f>VLOOKUP(B41,Lists!$C$3:$E$167,3,FALSE)</f>
        <v>Africa</v>
      </c>
      <c r="U41" s="200">
        <v>44134</v>
      </c>
    </row>
    <row r="42" spans="1:21" x14ac:dyDescent="0.3">
      <c r="A42" s="175" t="str" cm="1">
        <f t="array" ref="A42">IFERROR(INDEX(Lists!$B$2:$B$160,SMALL(IF(Lists!$H$2:$H$160="Yes",ROW(Lists!$B$2:$B$160)),ROW(38:38))-1,1),"")</f>
        <v>Complex crisis in Malawi</v>
      </c>
      <c r="B42" s="176" t="str">
        <f>VLOOKUP(A42,Lists!$B$2:$G$160,2,FALSE)</f>
        <v>MWI002</v>
      </c>
      <c r="C42" s="176" t="str">
        <f>VLOOKUP(B42,'INFORM Severity - hidden'!$C$5:$D$160,2,FALSE)</f>
        <v>Malawi</v>
      </c>
      <c r="D42" s="176" t="str">
        <f>VLOOKUP(A42,Lists!$B$2:$G$160,3,FALSE)</f>
        <v>MWI</v>
      </c>
      <c r="E42" s="176" t="str">
        <f>VLOOKUP(A42,Lists!$B$2:$G$160,5,FALSE)</f>
        <v>Complex crisis</v>
      </c>
      <c r="F42" s="181">
        <f t="shared" si="0"/>
        <v>2.7</v>
      </c>
      <c r="G42" s="182">
        <f t="shared" si="1"/>
        <v>3</v>
      </c>
      <c r="H42" s="182" t="str">
        <f t="shared" si="2"/>
        <v>Medium</v>
      </c>
      <c r="I42" s="180" t="str">
        <f>INDEX(Trends!$D$3:$D$400,MATCH(B42,Trends!$C$3:$C$400,0))</f>
        <v>Decreasing</v>
      </c>
      <c r="J42" s="182" t="str">
        <f>VLOOKUP($B42,Reliability!$A$3:$I$170,9,FALSE)</f>
        <v>High</v>
      </c>
      <c r="K42" s="183">
        <f t="shared" si="3"/>
        <v>3.1</v>
      </c>
      <c r="L42" s="183">
        <f>VLOOKUP($B42,'Impact of the crisis'!$C$6:$N$170,12,FALSE)</f>
        <v>4.3</v>
      </c>
      <c r="M42" s="183">
        <f>VLOOKUP($B42,'Impact of the crisis'!$C$6:$AB$170,26,FALSE)</f>
        <v>2.2000000000000002</v>
      </c>
      <c r="N42" s="183">
        <f>VLOOKUP($B42,'Conditions of people affected'!$C$6:$R$170,16,FALSE)</f>
        <v>3.5</v>
      </c>
      <c r="O42" s="183">
        <f>VLOOKUP($B42,'Conditions of people affected'!$C$6:$R$170,9,FALSE)</f>
        <v>4</v>
      </c>
      <c r="P42" s="183">
        <f>VLOOKUP($B42,'Conditions of people affected'!$C$6:$R$170,15,FALSE)</f>
        <v>3</v>
      </c>
      <c r="Q42" s="183">
        <f t="shared" si="4"/>
        <v>1.2</v>
      </c>
      <c r="R42" s="183">
        <f>VLOOKUP($B42,'Complexity of the crisis'!$C$6:$AN$170,22,FALSE)</f>
        <v>1.9</v>
      </c>
      <c r="S42" s="184">
        <f>VLOOKUP($B42,'Complexity of the crisis'!$C$6:$AN$170,38,FALSE)</f>
        <v>0.5</v>
      </c>
      <c r="T42" s="179" t="str">
        <f>VLOOKUP(B42,Lists!$C$3:$E$167,3,FALSE)</f>
        <v>Africa</v>
      </c>
      <c r="U42" s="200">
        <v>44134</v>
      </c>
    </row>
    <row r="43" spans="1:21" x14ac:dyDescent="0.3">
      <c r="A43" s="175" t="str" cm="1">
        <f t="array" ref="A43">IFERROR(INDEX(Lists!$B$2:$B$160,SMALL(IF(Lists!$H$2:$H$160="Yes",ROW(Lists!$B$2:$B$160)),ROW(39:39))-1,1),"")</f>
        <v>Complex crisis in Mali</v>
      </c>
      <c r="B43" s="176" t="str">
        <f>VLOOKUP(A43,Lists!$B$2:$G$160,2,FALSE)</f>
        <v>MLI001</v>
      </c>
      <c r="C43" s="176" t="str">
        <f>VLOOKUP(B43,'INFORM Severity - hidden'!$C$5:$D$160,2,FALSE)</f>
        <v>Mali</v>
      </c>
      <c r="D43" s="176" t="str">
        <f>VLOOKUP(A43,Lists!$B$2:$G$160,3,FALSE)</f>
        <v>MLI</v>
      </c>
      <c r="E43" s="176" t="str">
        <f>VLOOKUP(A43,Lists!$B$2:$G$160,5,FALSE)</f>
        <v>Complex crisis</v>
      </c>
      <c r="F43" s="181">
        <f t="shared" si="0"/>
        <v>3.8</v>
      </c>
      <c r="G43" s="182">
        <f t="shared" si="1"/>
        <v>4</v>
      </c>
      <c r="H43" s="182" t="str">
        <f t="shared" si="2"/>
        <v>High</v>
      </c>
      <c r="I43" s="180" t="str">
        <f>INDEX(Trends!$D$3:$D$400,MATCH(B43,Trends!$C$3:$C$400,0))</f>
        <v>Stable</v>
      </c>
      <c r="J43" s="182" t="str">
        <f>VLOOKUP($B43,Reliability!$A$3:$I$170,9,FALSE)</f>
        <v>High</v>
      </c>
      <c r="K43" s="183">
        <f t="shared" si="3"/>
        <v>4</v>
      </c>
      <c r="L43" s="183">
        <f>VLOOKUP($B43,'Impact of the crisis'!$C$6:$N$170,12,FALSE)</f>
        <v>4.8</v>
      </c>
      <c r="M43" s="183">
        <f>VLOOKUP($B43,'Impact of the crisis'!$C$6:$AB$170,26,FALSE)</f>
        <v>3.5</v>
      </c>
      <c r="N43" s="183">
        <f>VLOOKUP($B43,'Conditions of people affected'!$C$6:$R$170,16,FALSE)</f>
        <v>3.7</v>
      </c>
      <c r="O43" s="183">
        <f>VLOOKUP($B43,'Conditions of people affected'!$C$6:$R$170,9,FALSE)</f>
        <v>4.4000000000000004</v>
      </c>
      <c r="P43" s="183">
        <f>VLOOKUP($B43,'Conditions of people affected'!$C$6:$R$170,15,FALSE)</f>
        <v>3</v>
      </c>
      <c r="Q43" s="183">
        <f t="shared" si="4"/>
        <v>3.9</v>
      </c>
      <c r="R43" s="183">
        <f>VLOOKUP($B43,'Complexity of the crisis'!$C$6:$AN$170,22,FALSE)</f>
        <v>3.2</v>
      </c>
      <c r="S43" s="184">
        <f>VLOOKUP($B43,'Complexity of the crisis'!$C$6:$AN$170,38,FALSE)</f>
        <v>4.5</v>
      </c>
      <c r="T43" s="179" t="str">
        <f>VLOOKUP(B43,Lists!$C$3:$E$167,3,FALSE)</f>
        <v>Africa</v>
      </c>
      <c r="U43" s="200">
        <v>44140</v>
      </c>
    </row>
    <row r="44" spans="1:21" x14ac:dyDescent="0.3">
      <c r="A44" s="175" t="str" cm="1">
        <f t="array" ref="A44">IFERROR(INDEX(Lists!$B$2:$B$160,SMALL(IF(Lists!$H$2:$H$160="Yes",ROW(Lists!$B$2:$B$160)),ROW(40:40))-1,1),"")</f>
        <v>Food Security in Mauritania</v>
      </c>
      <c r="B44" s="176" t="str">
        <f>VLOOKUP(A44,Lists!$B$2:$G$160,2,FALSE)</f>
        <v>MRT003</v>
      </c>
      <c r="C44" s="176" t="str">
        <f>VLOOKUP(B44,'INFORM Severity - hidden'!$C$5:$D$160,2,FALSE)</f>
        <v>Mauritania</v>
      </c>
      <c r="D44" s="176" t="str">
        <f>VLOOKUP(A44,Lists!$B$2:$G$160,3,FALSE)</f>
        <v>MRT</v>
      </c>
      <c r="E44" s="176" t="str">
        <f>VLOOKUP(A44,Lists!$B$2:$G$160,5,FALSE)</f>
        <v>Drought</v>
      </c>
      <c r="F44" s="181">
        <f t="shared" si="0"/>
        <v>2.9</v>
      </c>
      <c r="G44" s="182">
        <f t="shared" si="1"/>
        <v>3</v>
      </c>
      <c r="H44" s="182" t="str">
        <f t="shared" si="2"/>
        <v>Medium</v>
      </c>
      <c r="I44" s="180" t="str">
        <f>INDEX(Trends!$D$3:$D$400,MATCH(B44,Trends!$C$3:$C$400,0))</f>
        <v>Increasing</v>
      </c>
      <c r="J44" s="182" t="str">
        <f>VLOOKUP($B44,Reliability!$A$3:$I$170,9,FALSE)</f>
        <v>Medium</v>
      </c>
      <c r="K44" s="183">
        <f t="shared" si="3"/>
        <v>3.2</v>
      </c>
      <c r="L44" s="183">
        <f>VLOOKUP($B44,'Impact of the crisis'!$C$6:$N$170,12,FALSE)</f>
        <v>4.4000000000000004</v>
      </c>
      <c r="M44" s="183">
        <f>VLOOKUP($B44,'Impact of the crisis'!$C$6:$AB$170,26,FALSE)</f>
        <v>2.25</v>
      </c>
      <c r="N44" s="183">
        <f>VLOOKUP($B44,'Conditions of people affected'!$C$6:$R$170,16,FALSE)</f>
        <v>3</v>
      </c>
      <c r="O44" s="183">
        <f>VLOOKUP($B44,'Conditions of people affected'!$C$6:$R$170,9,FALSE)</f>
        <v>3</v>
      </c>
      <c r="P44" s="183">
        <f>VLOOKUP($B44,'Conditions of people affected'!$C$6:$R$170,15,FALSE)</f>
        <v>3</v>
      </c>
      <c r="Q44" s="183">
        <f t="shared" si="4"/>
        <v>2.6</v>
      </c>
      <c r="R44" s="183">
        <f>VLOOKUP($B44,'Complexity of the crisis'!$C$6:$AN$170,22,FALSE)</f>
        <v>2.6</v>
      </c>
      <c r="S44" s="184">
        <f>VLOOKUP($B44,'Complexity of the crisis'!$C$6:$AN$170,38,FALSE)</f>
        <v>2.5</v>
      </c>
      <c r="T44" s="179" t="str">
        <f>VLOOKUP(B44,Lists!$C$3:$E$167,3,FALSE)</f>
        <v>Africa</v>
      </c>
      <c r="U44" s="200">
        <v>44130</v>
      </c>
    </row>
    <row r="45" spans="1:21" x14ac:dyDescent="0.3">
      <c r="A45" s="175" t="str" cm="1">
        <f t="array" ref="A45">IFERROR(INDEX(Lists!$B$2:$B$160,SMALL(IF(Lists!$H$2:$H$160="Yes",ROW(Lists!$B$2:$B$160)),ROW(41:41))-1,1),"")</f>
        <v>Multiple crisis in Mexico</v>
      </c>
      <c r="B45" s="176" t="str">
        <f>VLOOKUP(A45,Lists!$B$2:$G$160,2,FALSE)</f>
        <v>MEX001</v>
      </c>
      <c r="C45" s="176" t="str">
        <f>VLOOKUP(B45,'INFORM Severity - hidden'!$C$5:$D$160,2,FALSE)</f>
        <v>Mexico</v>
      </c>
      <c r="D45" s="176" t="str">
        <f>VLOOKUP(A45,Lists!$B$2:$G$160,3,FALSE)</f>
        <v>MEX</v>
      </c>
      <c r="E45" s="176" t="str">
        <f>VLOOKUP(A45,Lists!$B$2:$G$160,5,FALSE)</f>
        <v>Multiple crises country</v>
      </c>
      <c r="F45" s="181" t="str">
        <f t="shared" si="0"/>
        <v>x</v>
      </c>
      <c r="G45" s="182" t="str">
        <f t="shared" si="1"/>
        <v>x</v>
      </c>
      <c r="H45" s="182" t="str">
        <f t="shared" si="2"/>
        <v>x</v>
      </c>
      <c r="I45" s="180" t="str">
        <f>INDEX(Trends!$D$3:$D$400,MATCH(B45,Trends!$C$3:$C$400,0))</f>
        <v>-</v>
      </c>
      <c r="J45" s="182" t="str">
        <f>VLOOKUP($B45,Reliability!$A$3:$I$170,9,FALSE)</f>
        <v>Very Low</v>
      </c>
      <c r="K45" s="183">
        <f t="shared" si="3"/>
        <v>4.2</v>
      </c>
      <c r="L45" s="183">
        <f>VLOOKUP($B45,'Impact of the crisis'!$C$6:$N$170,12,FALSE)</f>
        <v>4.5999999999999996</v>
      </c>
      <c r="M45" s="183">
        <f>VLOOKUP($B45,'Impact of the crisis'!$C$6:$AB$170,26,FALSE)</f>
        <v>4</v>
      </c>
      <c r="N45" s="183" t="str">
        <f>VLOOKUP($B45,'Conditions of people affected'!$C$6:$R$170,16,FALSE)</f>
        <v>x</v>
      </c>
      <c r="O45" s="183" t="str">
        <f>VLOOKUP($B45,'Conditions of people affected'!$C$6:$R$170,9,FALSE)</f>
        <v>x</v>
      </c>
      <c r="P45" s="183" t="str">
        <f>VLOOKUP($B45,'Conditions of people affected'!$C$6:$R$170,15,FALSE)</f>
        <v>x</v>
      </c>
      <c r="Q45" s="183">
        <f t="shared" si="4"/>
        <v>3</v>
      </c>
      <c r="R45" s="183">
        <f>VLOOKUP($B45,'Complexity of the crisis'!$C$6:$AN$170,22,FALSE)</f>
        <v>2.9</v>
      </c>
      <c r="S45" s="184">
        <f>VLOOKUP($B45,'Complexity of the crisis'!$C$6:$AN$170,38,FALSE)</f>
        <v>3</v>
      </c>
      <c r="T45" s="179" t="str">
        <f>VLOOKUP(B45,Lists!$C$3:$E$167,3,FALSE)</f>
        <v>Americas</v>
      </c>
      <c r="U45" s="200">
        <v>44110</v>
      </c>
    </row>
    <row r="46" spans="1:21" x14ac:dyDescent="0.3">
      <c r="A46" s="175" t="str" cm="1">
        <f t="array" ref="A46">IFERROR(INDEX(Lists!$B$2:$B$160,SMALL(IF(Lists!$H$2:$H$160="Yes",ROW(Lists!$B$2:$B$160)),ROW(42:42))-1,1),"")</f>
        <v>Mixed migration flows in Morocco</v>
      </c>
      <c r="B46" s="176" t="str">
        <f>VLOOKUP(A46,Lists!$B$2:$G$160,2,FALSE)</f>
        <v>MAR002</v>
      </c>
      <c r="C46" s="176" t="str">
        <f>VLOOKUP(B46,'INFORM Severity - hidden'!$C$5:$D$160,2,FALSE)</f>
        <v>Morocco</v>
      </c>
      <c r="D46" s="176" t="str">
        <f>VLOOKUP(A46,Lists!$B$2:$G$160,3,FALSE)</f>
        <v>MAR</v>
      </c>
      <c r="E46" s="176" t="str">
        <f>VLOOKUP(A46,Lists!$B$2:$G$160,5,FALSE)</f>
        <v>International displacement</v>
      </c>
      <c r="F46" s="181" t="str">
        <f t="shared" si="0"/>
        <v>x</v>
      </c>
      <c r="G46" s="182" t="str">
        <f t="shared" si="1"/>
        <v>x</v>
      </c>
      <c r="H46" s="182" t="str">
        <f t="shared" si="2"/>
        <v>x</v>
      </c>
      <c r="I46" s="180" t="str">
        <f>INDEX(Trends!$D$3:$D$400,MATCH(B46,Trends!$C$3:$C$400,0))</f>
        <v>-</v>
      </c>
      <c r="J46" s="182" t="str">
        <f>VLOOKUP($B46,Reliability!$A$3:$I$170,9,FALSE)</f>
        <v>Very Low</v>
      </c>
      <c r="K46" s="183">
        <f t="shared" si="3"/>
        <v>3.5</v>
      </c>
      <c r="L46" s="183">
        <f>VLOOKUP($B46,'Impact of the crisis'!$C$6:$N$170,12,FALSE)</f>
        <v>4.8</v>
      </c>
      <c r="M46" s="183">
        <f>VLOOKUP($B46,'Impact of the crisis'!$C$6:$AB$170,26,FALSE)</f>
        <v>2.5</v>
      </c>
      <c r="N46" s="183" t="str">
        <f>VLOOKUP($B46,'Conditions of people affected'!$C$6:$R$170,16,FALSE)</f>
        <v>x</v>
      </c>
      <c r="O46" s="183" t="str">
        <f>VLOOKUP($B46,'Conditions of people affected'!$C$6:$R$170,9,FALSE)</f>
        <v>x</v>
      </c>
      <c r="P46" s="183" t="str">
        <f>VLOOKUP($B46,'Conditions of people affected'!$C$6:$R$170,15,FALSE)</f>
        <v>x</v>
      </c>
      <c r="Q46" s="183">
        <f t="shared" si="4"/>
        <v>2.1</v>
      </c>
      <c r="R46" s="183">
        <f>VLOOKUP($B46,'Complexity of the crisis'!$C$6:$AN$170,22,FALSE)</f>
        <v>3</v>
      </c>
      <c r="S46" s="184">
        <f>VLOOKUP($B46,'Complexity of the crisis'!$C$6:$AN$170,38,FALSE)</f>
        <v>1</v>
      </c>
      <c r="T46" s="179" t="str">
        <f>VLOOKUP(B46,Lists!$C$3:$E$167,3,FALSE)</f>
        <v>Africa</v>
      </c>
      <c r="U46" s="200">
        <v>44137</v>
      </c>
    </row>
    <row r="47" spans="1:21" x14ac:dyDescent="0.3">
      <c r="A47" s="175" t="str" cm="1">
        <f t="array" ref="A47">IFERROR(INDEX(Lists!$B$2:$B$160,SMALL(IF(Lists!$H$2:$H$160="Yes",ROW(Lists!$B$2:$B$160)),ROW(43:43))-1,1),"")</f>
        <v>Complex crisis in Mozambique</v>
      </c>
      <c r="B47" s="176" t="str">
        <f>VLOOKUP(A47,Lists!$B$2:$G$160,2,FALSE)</f>
        <v>MOZ001</v>
      </c>
      <c r="C47" s="176" t="str">
        <f>VLOOKUP(B47,'INFORM Severity - hidden'!$C$5:$D$160,2,FALSE)</f>
        <v>Mozambique</v>
      </c>
      <c r="D47" s="176" t="str">
        <f>VLOOKUP(A47,Lists!$B$2:$G$160,3,FALSE)</f>
        <v>MOZ</v>
      </c>
      <c r="E47" s="176" t="str">
        <f>VLOOKUP(A47,Lists!$B$2:$G$160,5,FALSE)</f>
        <v>Complex crisis</v>
      </c>
      <c r="F47" s="181">
        <f t="shared" si="0"/>
        <v>3.2</v>
      </c>
      <c r="G47" s="182">
        <f t="shared" si="1"/>
        <v>4</v>
      </c>
      <c r="H47" s="182" t="str">
        <f t="shared" si="2"/>
        <v>High</v>
      </c>
      <c r="I47" s="180" t="str">
        <f>INDEX(Trends!$D$3:$D$400,MATCH(B47,Trends!$C$3:$C$400,0))</f>
        <v>Stable</v>
      </c>
      <c r="J47" s="182" t="str">
        <f>VLOOKUP($B47,Reliability!$A$3:$I$170,9,FALSE)</f>
        <v>High</v>
      </c>
      <c r="K47" s="183">
        <f t="shared" si="3"/>
        <v>3.5</v>
      </c>
      <c r="L47" s="183">
        <f>VLOOKUP($B47,'Impact of the crisis'!$C$6:$N$170,12,FALSE)</f>
        <v>2.5</v>
      </c>
      <c r="M47" s="183">
        <f>VLOOKUP($B47,'Impact of the crisis'!$C$6:$AB$170,26,FALSE)</f>
        <v>3.9</v>
      </c>
      <c r="N47" s="183">
        <f>VLOOKUP($B47,'Conditions of people affected'!$C$6:$R$170,16,FALSE)</f>
        <v>3.2</v>
      </c>
      <c r="O47" s="183">
        <f>VLOOKUP($B47,'Conditions of people affected'!$C$6:$R$170,9,FALSE)</f>
        <v>3.4</v>
      </c>
      <c r="P47" s="183">
        <f>VLOOKUP($B47,'Conditions of people affected'!$C$6:$R$170,15,FALSE)</f>
        <v>3</v>
      </c>
      <c r="Q47" s="183">
        <f t="shared" si="4"/>
        <v>3</v>
      </c>
      <c r="R47" s="183">
        <f>VLOOKUP($B47,'Complexity of the crisis'!$C$6:$AN$170,22,FALSE)</f>
        <v>3.5</v>
      </c>
      <c r="S47" s="184">
        <f>VLOOKUP($B47,'Complexity of the crisis'!$C$6:$AN$170,38,FALSE)</f>
        <v>2.5</v>
      </c>
      <c r="T47" s="179" t="str">
        <f>VLOOKUP(B47,Lists!$C$3:$E$167,3,FALSE)</f>
        <v>Africa</v>
      </c>
      <c r="U47" s="200">
        <v>44140</v>
      </c>
    </row>
    <row r="48" spans="1:21" x14ac:dyDescent="0.3">
      <c r="A48" s="175" t="str" cm="1">
        <f t="array" ref="A48">IFERROR(INDEX(Lists!$B$2:$B$160,SMALL(IF(Lists!$H$2:$H$160="Yes",ROW(Lists!$B$2:$B$160)),ROW(44:44))-1,1),"")</f>
        <v>Multiple crises in Myanmar</v>
      </c>
      <c r="B48" s="176" t="str">
        <f>VLOOKUP(A48,Lists!$B$2:$G$160,2,FALSE)</f>
        <v>MMR001</v>
      </c>
      <c r="C48" s="176" t="str">
        <f>VLOOKUP(B48,'INFORM Severity - hidden'!$C$5:$D$160,2,FALSE)</f>
        <v>Myanmar</v>
      </c>
      <c r="D48" s="176" t="str">
        <f>VLOOKUP(A48,Lists!$B$2:$G$160,3,FALSE)</f>
        <v>MMR</v>
      </c>
      <c r="E48" s="176" t="str">
        <f>VLOOKUP(A48,Lists!$B$2:$G$160,5,FALSE)</f>
        <v>Multiple crises country</v>
      </c>
      <c r="F48" s="181">
        <f t="shared" si="0"/>
        <v>3.5</v>
      </c>
      <c r="G48" s="182">
        <f t="shared" si="1"/>
        <v>4</v>
      </c>
      <c r="H48" s="182" t="str">
        <f t="shared" si="2"/>
        <v>High</v>
      </c>
      <c r="I48" s="180" t="str">
        <f>INDEX(Trends!$D$3:$D$400,MATCH(B48,Trends!$C$3:$C$400,0))</f>
        <v>Decreasing</v>
      </c>
      <c r="J48" s="182" t="str">
        <f>VLOOKUP($B48,Reliability!$A$3:$I$170,9,FALSE)</f>
        <v>High</v>
      </c>
      <c r="K48" s="183">
        <f t="shared" si="3"/>
        <v>3.3</v>
      </c>
      <c r="L48" s="183">
        <f>VLOOKUP($B48,'Impact of the crisis'!$C$6:$N$170,12,FALSE)</f>
        <v>2.7</v>
      </c>
      <c r="M48" s="183">
        <f>VLOOKUP($B48,'Impact of the crisis'!$C$6:$AB$170,26,FALSE)</f>
        <v>3.6</v>
      </c>
      <c r="N48" s="183">
        <f>VLOOKUP($B48,'Conditions of people affected'!$C$6:$R$170,16,FALSE)</f>
        <v>3.65</v>
      </c>
      <c r="O48" s="183">
        <f>VLOOKUP($B48,'Conditions of people affected'!$C$6:$R$170,9,FALSE)</f>
        <v>3.3</v>
      </c>
      <c r="P48" s="183">
        <f>VLOOKUP($B48,'Conditions of people affected'!$C$6:$R$170,15,FALSE)</f>
        <v>4</v>
      </c>
      <c r="Q48" s="183">
        <f t="shared" si="4"/>
        <v>3.5</v>
      </c>
      <c r="R48" s="183">
        <f>VLOOKUP($B48,'Complexity of the crisis'!$C$6:$AN$170,22,FALSE)</f>
        <v>3.4</v>
      </c>
      <c r="S48" s="184">
        <f>VLOOKUP($B48,'Complexity of the crisis'!$C$6:$AN$170,38,FALSE)</f>
        <v>3.5</v>
      </c>
      <c r="T48" s="179" t="str">
        <f>VLOOKUP(B48,Lists!$C$3:$E$167,3,FALSE)</f>
        <v>Asia</v>
      </c>
      <c r="U48" s="200">
        <v>44132</v>
      </c>
    </row>
    <row r="49" spans="1:21" x14ac:dyDescent="0.3">
      <c r="A49" s="175" t="str" cm="1">
        <f t="array" ref="A49">IFERROR(INDEX(Lists!$B$2:$B$160,SMALL(IF(Lists!$H$2:$H$160="Yes",ROW(Lists!$B$2:$B$160)),ROW(45:45))-1,1),"")</f>
        <v>Food Security Crisis in Namibia</v>
      </c>
      <c r="B49" s="176" t="str">
        <f>VLOOKUP(A49,Lists!$B$2:$G$160,2,FALSE)</f>
        <v>NAM002</v>
      </c>
      <c r="C49" s="176" t="str">
        <f>VLOOKUP(B49,'INFORM Severity - hidden'!$C$5:$D$160,2,FALSE)</f>
        <v>Namibia</v>
      </c>
      <c r="D49" s="176" t="str">
        <f>VLOOKUP(A49,Lists!$B$2:$G$160,3,FALSE)</f>
        <v>NAM</v>
      </c>
      <c r="E49" s="176" t="str">
        <f>VLOOKUP(A49,Lists!$B$2:$G$160,5,FALSE)</f>
        <v>Food Security</v>
      </c>
      <c r="F49" s="181">
        <f t="shared" si="0"/>
        <v>2</v>
      </c>
      <c r="G49" s="182">
        <f t="shared" si="1"/>
        <v>2</v>
      </c>
      <c r="H49" s="182" t="str">
        <f t="shared" si="2"/>
        <v>Low</v>
      </c>
      <c r="I49" s="180" t="str">
        <f>INDEX(Trends!$D$3:$D$400,MATCH(B49,Trends!$C$3:$C$400,0))</f>
        <v>Decreasing</v>
      </c>
      <c r="J49" s="182" t="str">
        <f>VLOOKUP($B49,Reliability!$A$3:$I$170,9,FALSE)</f>
        <v>Medium</v>
      </c>
      <c r="K49" s="183">
        <f t="shared" si="3"/>
        <v>1.5</v>
      </c>
      <c r="L49" s="183">
        <f>VLOOKUP($B49,'Impact of the crisis'!$C$6:$N$170,12,FALSE)</f>
        <v>1.6</v>
      </c>
      <c r="M49" s="183">
        <f>VLOOKUP($B49,'Impact of the crisis'!$C$6:$AB$170,26,FALSE)</f>
        <v>1.4</v>
      </c>
      <c r="N49" s="183">
        <f>VLOOKUP($B49,'Conditions of people affected'!$C$6:$R$170,16,FALSE)</f>
        <v>2.85</v>
      </c>
      <c r="O49" s="183">
        <f>VLOOKUP($B49,'Conditions of people affected'!$C$6:$R$170,9,FALSE)</f>
        <v>2.7</v>
      </c>
      <c r="P49" s="183">
        <f>VLOOKUP($B49,'Conditions of people affected'!$C$6:$R$170,15,FALSE)</f>
        <v>3</v>
      </c>
      <c r="Q49" s="183">
        <f t="shared" si="4"/>
        <v>1</v>
      </c>
      <c r="R49" s="183">
        <f>VLOOKUP($B49,'Complexity of the crisis'!$C$6:$AN$170,22,FALSE)</f>
        <v>1.5</v>
      </c>
      <c r="S49" s="184">
        <f>VLOOKUP($B49,'Complexity of the crisis'!$C$6:$AN$170,38,FALSE)</f>
        <v>0.5</v>
      </c>
      <c r="T49" s="179" t="str">
        <f>VLOOKUP(B49,Lists!$C$3:$E$167,3,FALSE)</f>
        <v>Africa</v>
      </c>
      <c r="U49" s="200">
        <v>44134</v>
      </c>
    </row>
    <row r="50" spans="1:21" x14ac:dyDescent="0.3">
      <c r="A50" s="175" t="str" cm="1">
        <f t="array" ref="A50">IFERROR(INDEX(Lists!$B$2:$B$160,SMALL(IF(Lists!$H$2:$H$160="Yes",ROW(Lists!$B$2:$B$160)),ROW(46:46))-1,1),"")</f>
        <v>Socioeconomic crisis in Nicaragua</v>
      </c>
      <c r="B50" s="176" t="str">
        <f>VLOOKUP(A50,Lists!$B$2:$G$160,2,FALSE)</f>
        <v>NIC001</v>
      </c>
      <c r="C50" s="176" t="str">
        <f>VLOOKUP(B50,'INFORM Severity - hidden'!$C$5:$D$160,2,FALSE)</f>
        <v>Nicaragua</v>
      </c>
      <c r="D50" s="176" t="str">
        <f>VLOOKUP(A50,Lists!$B$2:$G$160,3,FALSE)</f>
        <v>NIC</v>
      </c>
      <c r="E50" s="176" t="str">
        <f>VLOOKUP(A50,Lists!$B$2:$G$160,5,FALSE)</f>
        <v>Political and economic crisis</v>
      </c>
      <c r="F50" s="181" t="str">
        <f t="shared" si="0"/>
        <v>x</v>
      </c>
      <c r="G50" s="182" t="str">
        <f t="shared" si="1"/>
        <v>x</v>
      </c>
      <c r="H50" s="182" t="str">
        <f t="shared" si="2"/>
        <v>x</v>
      </c>
      <c r="I50" s="180" t="str">
        <f>INDEX(Trends!$D$3:$D$400,MATCH(B50,Trends!$C$3:$C$400,0))</f>
        <v>-</v>
      </c>
      <c r="J50" s="182" t="str">
        <f>VLOOKUP($B50,Reliability!$A$3:$I$170,9,FALSE)</f>
        <v>Low</v>
      </c>
      <c r="K50" s="183">
        <f t="shared" si="3"/>
        <v>2.9</v>
      </c>
      <c r="L50" s="183">
        <f>VLOOKUP($B50,'Impact of the crisis'!$C$6:$N$170,12,FALSE)</f>
        <v>4.0999999999999996</v>
      </c>
      <c r="M50" s="183">
        <f>VLOOKUP($B50,'Impact of the crisis'!$C$6:$AB$170,26,FALSE)</f>
        <v>2</v>
      </c>
      <c r="N50" s="183" t="str">
        <f>VLOOKUP($B50,'Conditions of people affected'!$C$6:$R$170,16,FALSE)</f>
        <v>x</v>
      </c>
      <c r="O50" s="183" t="str">
        <f>VLOOKUP($B50,'Conditions of people affected'!$C$6:$R$170,9,FALSE)</f>
        <v>x</v>
      </c>
      <c r="P50" s="183" t="str">
        <f>VLOOKUP($B50,'Conditions of people affected'!$C$6:$R$170,15,FALSE)</f>
        <v>x</v>
      </c>
      <c r="Q50" s="183">
        <f t="shared" si="4"/>
        <v>2.1</v>
      </c>
      <c r="R50" s="183">
        <f>VLOOKUP($B50,'Complexity of the crisis'!$C$6:$AN$170,22,FALSE)</f>
        <v>2.7</v>
      </c>
      <c r="S50" s="184">
        <f>VLOOKUP($B50,'Complexity of the crisis'!$C$6:$AN$170,38,FALSE)</f>
        <v>1.5</v>
      </c>
      <c r="T50" s="179" t="str">
        <f>VLOOKUP(B50,Lists!$C$3:$E$167,3,FALSE)</f>
        <v>Americas</v>
      </c>
      <c r="U50" s="200">
        <v>44110</v>
      </c>
    </row>
    <row r="51" spans="1:21" x14ac:dyDescent="0.3">
      <c r="A51" s="175" t="str" cm="1">
        <f t="array" ref="A51">IFERROR(INDEX(Lists!$B$2:$B$160,SMALL(IF(Lists!$H$2:$H$160="Yes",ROW(Lists!$B$2:$B$160)),ROW(47:47))-1,1),"")</f>
        <v>Multiple crises in Niger</v>
      </c>
      <c r="B51" s="176" t="str">
        <f>VLOOKUP(A51,Lists!$B$2:$G$160,2,FALSE)</f>
        <v>NER001</v>
      </c>
      <c r="C51" s="176" t="str">
        <f>VLOOKUP(B51,'INFORM Severity - hidden'!$C$5:$D$160,2,FALSE)</f>
        <v>Niger</v>
      </c>
      <c r="D51" s="176" t="str">
        <f>VLOOKUP(A51,Lists!$B$2:$G$160,3,FALSE)</f>
        <v>NER</v>
      </c>
      <c r="E51" s="176" t="str">
        <f>VLOOKUP(A51,Lists!$B$2:$G$160,5,FALSE)</f>
        <v>Multiple crises country</v>
      </c>
      <c r="F51" s="181">
        <f t="shared" si="0"/>
        <v>3.8</v>
      </c>
      <c r="G51" s="182">
        <f t="shared" si="1"/>
        <v>4</v>
      </c>
      <c r="H51" s="182" t="str">
        <f t="shared" si="2"/>
        <v>High</v>
      </c>
      <c r="I51" s="180" t="str">
        <f>INDEX(Trends!$D$3:$D$400,MATCH(B51,Trends!$C$3:$C$400,0))</f>
        <v>Increasing</v>
      </c>
      <c r="J51" s="182" t="str">
        <f>VLOOKUP($B51,Reliability!$A$3:$I$170,9,FALSE)</f>
        <v>High</v>
      </c>
      <c r="K51" s="183">
        <f t="shared" si="3"/>
        <v>4.4000000000000004</v>
      </c>
      <c r="L51" s="183">
        <f>VLOOKUP($B51,'Impact of the crisis'!$C$6:$N$170,12,FALSE)</f>
        <v>4.9000000000000004</v>
      </c>
      <c r="M51" s="183">
        <f>VLOOKUP($B51,'Impact of the crisis'!$C$6:$AB$170,26,FALSE)</f>
        <v>4</v>
      </c>
      <c r="N51" s="183">
        <f>VLOOKUP($B51,'Conditions of people affected'!$C$6:$R$170,16,FALSE)</f>
        <v>3.65</v>
      </c>
      <c r="O51" s="183">
        <f>VLOOKUP($B51,'Conditions of people affected'!$C$6:$R$170,9,FALSE)</f>
        <v>4.3</v>
      </c>
      <c r="P51" s="183">
        <f>VLOOKUP($B51,'Conditions of people affected'!$C$6:$R$170,15,FALSE)</f>
        <v>3</v>
      </c>
      <c r="Q51" s="183">
        <f t="shared" si="4"/>
        <v>3.4</v>
      </c>
      <c r="R51" s="183">
        <f>VLOOKUP($B51,'Complexity of the crisis'!$C$6:$AN$170,22,FALSE)</f>
        <v>2.7</v>
      </c>
      <c r="S51" s="184">
        <f>VLOOKUP($B51,'Complexity of the crisis'!$C$6:$AN$170,38,FALSE)</f>
        <v>4</v>
      </c>
      <c r="T51" s="179" t="str">
        <f>VLOOKUP(B51,Lists!$C$3:$E$167,3,FALSE)</f>
        <v>Africa</v>
      </c>
      <c r="U51" s="200">
        <v>44139</v>
      </c>
    </row>
    <row r="52" spans="1:21" x14ac:dyDescent="0.3">
      <c r="A52" s="175" t="str" cm="1">
        <f t="array" ref="A52">IFERROR(INDEX(Lists!$B$2:$B$160,SMALL(IF(Lists!$H$2:$H$160="Yes",ROW(Lists!$B$2:$B$160)),ROW(48:48))-1,1),"")</f>
        <v>Complex crisis in Nigeria</v>
      </c>
      <c r="B52" s="176" t="str">
        <f>VLOOKUP(A52,Lists!$B$2:$G$160,2,FALSE)</f>
        <v>NGA001</v>
      </c>
      <c r="C52" s="176" t="str">
        <f>VLOOKUP(B52,'INFORM Severity - hidden'!$C$5:$D$160,2,FALSE)</f>
        <v>Nigeria</v>
      </c>
      <c r="D52" s="176" t="str">
        <f>VLOOKUP(A52,Lists!$B$2:$G$160,3,FALSE)</f>
        <v>NGA</v>
      </c>
      <c r="E52" s="176" t="str">
        <f>VLOOKUP(A52,Lists!$B$2:$G$160,5,FALSE)</f>
        <v>Complex crisis</v>
      </c>
      <c r="F52" s="181">
        <f t="shared" si="0"/>
        <v>4.2</v>
      </c>
      <c r="G52" s="182">
        <f t="shared" si="1"/>
        <v>5</v>
      </c>
      <c r="H52" s="182" t="str">
        <f t="shared" si="2"/>
        <v>Very High</v>
      </c>
      <c r="I52" s="180" t="str">
        <f>INDEX(Trends!$D$3:$D$400,MATCH(B52,Trends!$C$3:$C$400,0))</f>
        <v>Stable</v>
      </c>
      <c r="J52" s="182" t="str">
        <f>VLOOKUP($B52,Reliability!$A$3:$I$170,9,FALSE)</f>
        <v>High</v>
      </c>
      <c r="K52" s="183">
        <f t="shared" si="3"/>
        <v>4.0999999999999996</v>
      </c>
      <c r="L52" s="183">
        <f>VLOOKUP($B52,'Impact of the crisis'!$C$6:$N$170,12,FALSE)</f>
        <v>4.3</v>
      </c>
      <c r="M52" s="183">
        <f>VLOOKUP($B52,'Impact of the crisis'!$C$6:$AB$170,26,FALSE)</f>
        <v>4</v>
      </c>
      <c r="N52" s="183">
        <f>VLOOKUP($B52,'Conditions of people affected'!$C$6:$R$170,16,FALSE)</f>
        <v>4.3</v>
      </c>
      <c r="O52" s="183">
        <f>VLOOKUP($B52,'Conditions of people affected'!$C$6:$R$170,9,FALSE)</f>
        <v>4.5999999999999996</v>
      </c>
      <c r="P52" s="183">
        <f>VLOOKUP($B52,'Conditions of people affected'!$C$6:$R$170,15,FALSE)</f>
        <v>4</v>
      </c>
      <c r="Q52" s="183">
        <f t="shared" si="4"/>
        <v>4.0999999999999996</v>
      </c>
      <c r="R52" s="183">
        <f>VLOOKUP($B52,'Complexity of the crisis'!$C$6:$AN$170,22,FALSE)</f>
        <v>3.5</v>
      </c>
      <c r="S52" s="184">
        <f>VLOOKUP($B52,'Complexity of the crisis'!$C$6:$AN$170,38,FALSE)</f>
        <v>4.5</v>
      </c>
      <c r="T52" s="179" t="str">
        <f>VLOOKUP(B52,Lists!$C$3:$E$167,3,FALSE)</f>
        <v>Africa</v>
      </c>
      <c r="U52" s="200">
        <v>44134</v>
      </c>
    </row>
    <row r="53" spans="1:21" x14ac:dyDescent="0.3">
      <c r="A53" s="175" t="str" cm="1">
        <f t="array" ref="A53">IFERROR(INDEX(Lists!$B$2:$B$160,SMALL(IF(Lists!$H$2:$H$160="Yes",ROW(Lists!$B$2:$B$160)),ROW(49:49))-1,1),"")</f>
        <v>Complex crisis in Pakistan</v>
      </c>
      <c r="B53" s="176" t="str">
        <f>VLOOKUP(A53,Lists!$B$2:$G$160,2,FALSE)</f>
        <v>PAK001</v>
      </c>
      <c r="C53" s="176" t="str">
        <f>VLOOKUP(B53,'INFORM Severity - hidden'!$C$5:$D$160,2,FALSE)</f>
        <v>Pakistan</v>
      </c>
      <c r="D53" s="176" t="str">
        <f>VLOOKUP(A53,Lists!$B$2:$G$160,3,FALSE)</f>
        <v>PAK</v>
      </c>
      <c r="E53" s="176" t="str">
        <f>VLOOKUP(A53,Lists!$B$2:$G$160,5,FALSE)</f>
        <v>Complex crisis</v>
      </c>
      <c r="F53" s="181">
        <f t="shared" si="0"/>
        <v>3.4</v>
      </c>
      <c r="G53" s="182">
        <f t="shared" si="1"/>
        <v>4</v>
      </c>
      <c r="H53" s="182" t="str">
        <f t="shared" si="2"/>
        <v>High</v>
      </c>
      <c r="I53" s="180" t="str">
        <f>INDEX(Trends!$D$3:$D$400,MATCH(B53,Trends!$C$3:$C$400,0))</f>
        <v>Stable</v>
      </c>
      <c r="J53" s="182" t="str">
        <f>VLOOKUP($B53,Reliability!$A$3:$I$170,9,FALSE)</f>
        <v>High</v>
      </c>
      <c r="K53" s="183">
        <f t="shared" si="3"/>
        <v>3.7</v>
      </c>
      <c r="L53" s="183">
        <f>VLOOKUP($B53,'Impact of the crisis'!$C$6:$N$170,12,FALSE)</f>
        <v>5</v>
      </c>
      <c r="M53" s="183">
        <f>VLOOKUP($B53,'Impact of the crisis'!$C$6:$AB$170,26,FALSE)</f>
        <v>2.7</v>
      </c>
      <c r="N53" s="183">
        <f>VLOOKUP($B53,'Conditions of people affected'!$C$6:$R$170,16,FALSE)</f>
        <v>3.05</v>
      </c>
      <c r="O53" s="183">
        <f>VLOOKUP($B53,'Conditions of people affected'!$C$6:$R$170,9,FALSE)</f>
        <v>4.0999999999999996</v>
      </c>
      <c r="P53" s="183">
        <f>VLOOKUP($B53,'Conditions of people affected'!$C$6:$R$170,15,FALSE)</f>
        <v>2</v>
      </c>
      <c r="Q53" s="183">
        <f t="shared" si="4"/>
        <v>3.6</v>
      </c>
      <c r="R53" s="183">
        <f>VLOOKUP($B53,'Complexity of the crisis'!$C$6:$AN$170,22,FALSE)</f>
        <v>3.2</v>
      </c>
      <c r="S53" s="184">
        <f>VLOOKUP($B53,'Complexity of the crisis'!$C$6:$AN$170,38,FALSE)</f>
        <v>4</v>
      </c>
      <c r="T53" s="179" t="str">
        <f>VLOOKUP(B53,Lists!$C$3:$E$167,3,FALSE)</f>
        <v>Asia</v>
      </c>
      <c r="U53" s="200">
        <v>44132</v>
      </c>
    </row>
    <row r="54" spans="1:21" x14ac:dyDescent="0.3">
      <c r="A54" s="175" t="str" cm="1">
        <f t="array" ref="A54">IFERROR(INDEX(Lists!$B$2:$B$160,SMALL(IF(Lists!$H$2:$H$160="Yes",ROW(Lists!$B$2:$B$160)),ROW(50:50))-1,1),"")</f>
        <v>Conflict in Palestine</v>
      </c>
      <c r="B54" s="176" t="str">
        <f>VLOOKUP(A54,Lists!$B$2:$G$160,2,FALSE)</f>
        <v>PSE002</v>
      </c>
      <c r="C54" s="176" t="str">
        <f>VLOOKUP(B54,'INFORM Severity - hidden'!$C$5:$D$160,2,FALSE)</f>
        <v>Palestine</v>
      </c>
      <c r="D54" s="176" t="str">
        <f>VLOOKUP(A54,Lists!$B$2:$G$160,3,FALSE)</f>
        <v>PSE</v>
      </c>
      <c r="E54" s="176" t="str">
        <f>VLOOKUP(A54,Lists!$B$2:$G$160,5,FALSE)</f>
        <v>Conflict</v>
      </c>
      <c r="F54" s="181">
        <f t="shared" si="0"/>
        <v>3.9</v>
      </c>
      <c r="G54" s="182">
        <f t="shared" si="1"/>
        <v>4</v>
      </c>
      <c r="H54" s="182" t="str">
        <f t="shared" si="2"/>
        <v>High</v>
      </c>
      <c r="I54" s="180" t="str">
        <f>INDEX(Trends!$D$3:$D$400,MATCH(B54,Trends!$C$3:$C$400,0))</f>
        <v>Increasing</v>
      </c>
      <c r="J54" s="182" t="str">
        <f>VLOOKUP($B54,Reliability!$A$3:$I$170,9,FALSE)</f>
        <v>High</v>
      </c>
      <c r="K54" s="183">
        <f t="shared" si="3"/>
        <v>3.8</v>
      </c>
      <c r="L54" s="183">
        <f>VLOOKUP($B54,'Impact of the crisis'!$C$6:$N$170,12,FALSE)</f>
        <v>3.4</v>
      </c>
      <c r="M54" s="183">
        <f>VLOOKUP($B54,'Impact of the crisis'!$C$6:$AB$170,26,FALSE)</f>
        <v>4</v>
      </c>
      <c r="N54" s="183">
        <f>VLOOKUP($B54,'Conditions of people affected'!$C$6:$R$170,16,FALSE)</f>
        <v>4.45</v>
      </c>
      <c r="O54" s="183">
        <f>VLOOKUP($B54,'Conditions of people affected'!$C$6:$R$170,9,FALSE)</f>
        <v>3.9</v>
      </c>
      <c r="P54" s="183">
        <f>VLOOKUP($B54,'Conditions of people affected'!$C$6:$R$170,15,FALSE)</f>
        <v>5</v>
      </c>
      <c r="Q54" s="183">
        <f t="shared" si="4"/>
        <v>3.2</v>
      </c>
      <c r="R54" s="183">
        <f>VLOOKUP($B54,'Complexity of the crisis'!$C$6:$AN$170,22,FALSE)</f>
        <v>2.2000000000000002</v>
      </c>
      <c r="S54" s="184">
        <f>VLOOKUP($B54,'Complexity of the crisis'!$C$6:$AN$170,38,FALSE)</f>
        <v>4</v>
      </c>
      <c r="T54" s="179" t="str">
        <f>VLOOKUP(B54,Lists!$C$3:$E$167,3,FALSE)</f>
        <v>Middle east</v>
      </c>
      <c r="U54" s="200">
        <v>44130</v>
      </c>
    </row>
    <row r="55" spans="1:21" x14ac:dyDescent="0.3">
      <c r="A55" s="175" t="str" cm="1">
        <f t="array" ref="A55">IFERROR(INDEX(Lists!$B$2:$B$160,SMALL(IF(Lists!$H$2:$H$160="Yes",ROW(Lists!$B$2:$B$160)),ROW(51:51))-1,1),"")</f>
        <v>Venezuela displacement in Peru</v>
      </c>
      <c r="B55" s="176" t="str">
        <f>VLOOKUP(A55,Lists!$B$2:$G$160,2,FALSE)</f>
        <v>PER002</v>
      </c>
      <c r="C55" s="176" t="str">
        <f>VLOOKUP(B55,'INFORM Severity - hidden'!$C$5:$D$160,2,FALSE)</f>
        <v>Peru</v>
      </c>
      <c r="D55" s="176" t="str">
        <f>VLOOKUP(A55,Lists!$B$2:$G$160,3,FALSE)</f>
        <v>PER</v>
      </c>
      <c r="E55" s="176" t="str">
        <f>VLOOKUP(A55,Lists!$B$2:$G$160,5,FALSE)</f>
        <v>International displacement</v>
      </c>
      <c r="F55" s="181">
        <f t="shared" si="0"/>
        <v>2.6</v>
      </c>
      <c r="G55" s="182">
        <f t="shared" si="1"/>
        <v>3</v>
      </c>
      <c r="H55" s="182" t="str">
        <f t="shared" si="2"/>
        <v>Medium</v>
      </c>
      <c r="I55" s="180" t="str">
        <f>INDEX(Trends!$D$3:$D$400,MATCH(B55,Trends!$C$3:$C$400,0))</f>
        <v>Stable</v>
      </c>
      <c r="J55" s="182" t="str">
        <f>VLOOKUP($B55,Reliability!$A$3:$I$170,9,FALSE)</f>
        <v>Medium</v>
      </c>
      <c r="K55" s="183">
        <f t="shared" si="3"/>
        <v>2.5</v>
      </c>
      <c r="L55" s="183">
        <f>VLOOKUP($B55,'Impact of the crisis'!$C$6:$N$170,12,FALSE)</f>
        <v>2.8</v>
      </c>
      <c r="M55" s="183">
        <f>VLOOKUP($B55,'Impact of the crisis'!$C$6:$AB$170,26,FALSE)</f>
        <v>2.4</v>
      </c>
      <c r="N55" s="183">
        <f>VLOOKUP($B55,'Conditions of people affected'!$C$6:$R$170,16,FALSE)</f>
        <v>3.1</v>
      </c>
      <c r="O55" s="183">
        <f>VLOOKUP($B55,'Conditions of people affected'!$C$6:$R$170,9,FALSE)</f>
        <v>3.2</v>
      </c>
      <c r="P55" s="183">
        <f>VLOOKUP($B55,'Conditions of people affected'!$C$6:$R$170,15,FALSE)</f>
        <v>3</v>
      </c>
      <c r="Q55" s="183">
        <f t="shared" si="4"/>
        <v>1.9</v>
      </c>
      <c r="R55" s="183">
        <f>VLOOKUP($B55,'Complexity of the crisis'!$C$6:$AN$170,22,FALSE)</f>
        <v>2.2999999999999998</v>
      </c>
      <c r="S55" s="184">
        <f>VLOOKUP($B55,'Complexity of the crisis'!$C$6:$AN$170,38,FALSE)</f>
        <v>1.5</v>
      </c>
      <c r="T55" s="179" t="str">
        <f>VLOOKUP(B55,Lists!$C$3:$E$167,3,FALSE)</f>
        <v>Americas</v>
      </c>
      <c r="U55" s="200">
        <v>44110</v>
      </c>
    </row>
    <row r="56" spans="1:21" x14ac:dyDescent="0.3">
      <c r="A56" s="175" t="str" cm="1">
        <f t="array" ref="A56">IFERROR(INDEX(Lists!$B$2:$B$160,SMALL(IF(Lists!$H$2:$H$160="Yes",ROW(Lists!$B$2:$B$160)),ROW(52:52))-1,1),"")</f>
        <v>Multiple crises in the Philippines</v>
      </c>
      <c r="B56" s="176" t="str">
        <f>VLOOKUP(A56,Lists!$B$2:$G$160,2,FALSE)</f>
        <v>PHL001</v>
      </c>
      <c r="C56" s="176" t="str">
        <f>VLOOKUP(B56,'INFORM Severity - hidden'!$C$5:$D$160,2,FALSE)</f>
        <v>Philippines</v>
      </c>
      <c r="D56" s="176" t="str">
        <f>VLOOKUP(A56,Lists!$B$2:$G$160,3,FALSE)</f>
        <v>PHL</v>
      </c>
      <c r="E56" s="176" t="str">
        <f>VLOOKUP(A56,Lists!$B$2:$G$160,5,FALSE)</f>
        <v>Multiple crises country</v>
      </c>
      <c r="F56" s="181">
        <f t="shared" si="0"/>
        <v>2.4</v>
      </c>
      <c r="G56" s="182">
        <f t="shared" si="1"/>
        <v>3</v>
      </c>
      <c r="H56" s="182" t="str">
        <f t="shared" si="2"/>
        <v>Medium</v>
      </c>
      <c r="I56" s="180" t="str">
        <f>INDEX(Trends!$D$3:$D$400,MATCH(B56,Trends!$C$3:$C$400,0))</f>
        <v>Decreasing</v>
      </c>
      <c r="J56" s="182" t="str">
        <f>VLOOKUP($B56,Reliability!$A$3:$I$170,9,FALSE)</f>
        <v>Very High</v>
      </c>
      <c r="K56" s="183">
        <f t="shared" si="3"/>
        <v>3.1</v>
      </c>
      <c r="L56" s="183">
        <f>VLOOKUP($B56,'Impact of the crisis'!$C$6:$N$170,12,FALSE)</f>
        <v>3.3</v>
      </c>
      <c r="M56" s="183">
        <f>VLOOKUP($B56,'Impact of the crisis'!$C$6:$AB$170,26,FALSE)</f>
        <v>3</v>
      </c>
      <c r="N56" s="183">
        <f>VLOOKUP($B56,'Conditions of people affected'!$C$6:$R$170,16,FALSE)</f>
        <v>1.65</v>
      </c>
      <c r="O56" s="183">
        <f>VLOOKUP($B56,'Conditions of people affected'!$C$6:$R$170,9,FALSE)</f>
        <v>2.2999999999999998</v>
      </c>
      <c r="P56" s="183">
        <f>VLOOKUP($B56,'Conditions of people affected'!$C$6:$R$170,15,FALSE)</f>
        <v>1</v>
      </c>
      <c r="Q56" s="183">
        <f t="shared" si="4"/>
        <v>3</v>
      </c>
      <c r="R56" s="183">
        <f>VLOOKUP($B56,'Complexity of the crisis'!$C$6:$AN$170,22,FALSE)</f>
        <v>2.9</v>
      </c>
      <c r="S56" s="184">
        <f>VLOOKUP($B56,'Complexity of the crisis'!$C$6:$AN$170,38,FALSE)</f>
        <v>3</v>
      </c>
      <c r="T56" s="179" t="str">
        <f>VLOOKUP(B56,Lists!$C$3:$E$167,3,FALSE)</f>
        <v>Asia</v>
      </c>
      <c r="U56" s="200">
        <v>44132</v>
      </c>
    </row>
    <row r="57" spans="1:21" x14ac:dyDescent="0.3">
      <c r="A57" s="175" t="str" cm="1">
        <f t="array" ref="A57">IFERROR(INDEX(Lists!$B$2:$B$160,SMALL(IF(Lists!$H$2:$H$160="Yes",ROW(Lists!$B$2:$B$160)),ROW(53:53))-1,1),"")</f>
        <v>Burundi and DRC refugees in Rwanda</v>
      </c>
      <c r="B57" s="176" t="str">
        <f>VLOOKUP(A57,Lists!$B$2:$G$160,2,FALSE)</f>
        <v>RWA002</v>
      </c>
      <c r="C57" s="176" t="str">
        <f>VLOOKUP(B57,'INFORM Severity - hidden'!$C$5:$D$160,2,FALSE)</f>
        <v>Rwanda</v>
      </c>
      <c r="D57" s="176" t="str">
        <f>VLOOKUP(A57,Lists!$B$2:$G$160,3,FALSE)</f>
        <v>RWA</v>
      </c>
      <c r="E57" s="176" t="str">
        <f>VLOOKUP(A57,Lists!$B$2:$G$160,5,FALSE)</f>
        <v>International displacement</v>
      </c>
      <c r="F57" s="181">
        <f t="shared" si="0"/>
        <v>2</v>
      </c>
      <c r="G57" s="182">
        <f t="shared" si="1"/>
        <v>2</v>
      </c>
      <c r="H57" s="182" t="str">
        <f t="shared" si="2"/>
        <v>Low</v>
      </c>
      <c r="I57" s="180" t="str">
        <f>INDEX(Trends!$D$3:$D$400,MATCH(B57,Trends!$C$3:$C$400,0))</f>
        <v>Increasing</v>
      </c>
      <c r="J57" s="182" t="str">
        <f>VLOOKUP($B57,Reliability!$A$3:$I$170,9,FALSE)</f>
        <v>Medium</v>
      </c>
      <c r="K57" s="183">
        <f t="shared" si="3"/>
        <v>2.6</v>
      </c>
      <c r="L57" s="183">
        <f>VLOOKUP($B57,'Impact of the crisis'!$C$6:$N$170,12,FALSE)</f>
        <v>2.1</v>
      </c>
      <c r="M57" s="183">
        <f>VLOOKUP($B57,'Impact of the crisis'!$C$6:$AB$170,26,FALSE)</f>
        <v>2.8</v>
      </c>
      <c r="N57" s="183">
        <f>VLOOKUP($B57,'Conditions of people affected'!$C$6:$R$170,16,FALSE)</f>
        <v>1.5</v>
      </c>
      <c r="O57" s="183">
        <f>VLOOKUP($B57,'Conditions of people affected'!$C$6:$R$170,9,FALSE)</f>
        <v>2</v>
      </c>
      <c r="P57" s="183">
        <f>VLOOKUP($B57,'Conditions of people affected'!$C$6:$R$170,15,FALSE)</f>
        <v>1</v>
      </c>
      <c r="Q57" s="183">
        <f t="shared" si="4"/>
        <v>2.1</v>
      </c>
      <c r="R57" s="183">
        <f>VLOOKUP($B57,'Complexity of the crisis'!$C$6:$AN$170,22,FALSE)</f>
        <v>2.6</v>
      </c>
      <c r="S57" s="184">
        <f>VLOOKUP($B57,'Complexity of the crisis'!$C$6:$AN$170,38,FALSE)</f>
        <v>1.5</v>
      </c>
      <c r="T57" s="179" t="str">
        <f>VLOOKUP(B57,Lists!$C$3:$E$167,3,FALSE)</f>
        <v>Africa</v>
      </c>
      <c r="U57" s="200">
        <v>44134</v>
      </c>
    </row>
    <row r="58" spans="1:21" x14ac:dyDescent="0.3">
      <c r="A58" s="175" t="str" cm="1">
        <f t="array" ref="A58">IFERROR(INDEX(Lists!$B$2:$B$160,SMALL(IF(Lists!$H$2:$H$160="Yes",ROW(Lists!$B$2:$B$160)),ROW(54:54))-1,1),"")</f>
        <v>Complex crisis in Somalia</v>
      </c>
      <c r="B58" s="176" t="str">
        <f>VLOOKUP(A58,Lists!$B$2:$G$160,2,FALSE)</f>
        <v>SOM001</v>
      </c>
      <c r="C58" s="176" t="str">
        <f>VLOOKUP(B58,'INFORM Severity - hidden'!$C$5:$D$160,2,FALSE)</f>
        <v>Somalia</v>
      </c>
      <c r="D58" s="176" t="str">
        <f>VLOOKUP(A58,Lists!$B$2:$G$160,3,FALSE)</f>
        <v>SOM</v>
      </c>
      <c r="E58" s="176" t="str">
        <f>VLOOKUP(A58,Lists!$B$2:$G$160,5,FALSE)</f>
        <v>Complex crisis</v>
      </c>
      <c r="F58" s="181">
        <f t="shared" si="0"/>
        <v>4.5999999999999996</v>
      </c>
      <c r="G58" s="182">
        <f t="shared" si="1"/>
        <v>5</v>
      </c>
      <c r="H58" s="182" t="str">
        <f t="shared" si="2"/>
        <v>Very High</v>
      </c>
      <c r="I58" s="180" t="str">
        <f>INDEX(Trends!$D$3:$D$400,MATCH(B58,Trends!$C$3:$C$400,0))</f>
        <v>Decreasing</v>
      </c>
      <c r="J58" s="182" t="str">
        <f>VLOOKUP($B58,Reliability!$A$3:$I$170,9,FALSE)</f>
        <v>High</v>
      </c>
      <c r="K58" s="183">
        <f t="shared" si="3"/>
        <v>4.7</v>
      </c>
      <c r="L58" s="183">
        <f>VLOOKUP($B58,'Impact of the crisis'!$C$6:$N$170,12,FALSE)</f>
        <v>4.5999999999999996</v>
      </c>
      <c r="M58" s="183">
        <f>VLOOKUP($B58,'Impact of the crisis'!$C$6:$AB$170,26,FALSE)</f>
        <v>4.8</v>
      </c>
      <c r="N58" s="183">
        <f>VLOOKUP($B58,'Conditions of people affected'!$C$6:$R$170,16,FALSE)</f>
        <v>4.75</v>
      </c>
      <c r="O58" s="183">
        <f>VLOOKUP($B58,'Conditions of people affected'!$C$6:$R$170,9,FALSE)</f>
        <v>4.5</v>
      </c>
      <c r="P58" s="183">
        <f>VLOOKUP($B58,'Conditions of people affected'!$C$6:$R$170,15,FALSE)</f>
        <v>5</v>
      </c>
      <c r="Q58" s="183">
        <f t="shared" si="4"/>
        <v>4.2</v>
      </c>
      <c r="R58" s="183">
        <f>VLOOKUP($B58,'Complexity of the crisis'!$C$6:$AN$170,22,FALSE)</f>
        <v>3.9</v>
      </c>
      <c r="S58" s="184">
        <f>VLOOKUP($B58,'Complexity of the crisis'!$C$6:$AN$170,38,FALSE)</f>
        <v>4.5</v>
      </c>
      <c r="T58" s="179" t="str">
        <f>VLOOKUP(B58,Lists!$C$3:$E$167,3,FALSE)</f>
        <v>Africa</v>
      </c>
      <c r="U58" s="200">
        <v>44140</v>
      </c>
    </row>
    <row r="59" spans="1:21" x14ac:dyDescent="0.3">
      <c r="A59" s="175" t="str" cm="1">
        <f t="array" ref="A59">IFERROR(INDEX(Lists!$B$2:$B$160,SMALL(IF(Lists!$H$2:$H$160="Yes",ROW(Lists!$B$2:$B$160)),ROW(55:55))-1,1),"")</f>
        <v>Complex crisis in South Sudan</v>
      </c>
      <c r="B59" s="176" t="str">
        <f>VLOOKUP(A59,Lists!$B$2:$G$160,2,FALSE)</f>
        <v>SSD001</v>
      </c>
      <c r="C59" s="176" t="str">
        <f>VLOOKUP(B59,'INFORM Severity - hidden'!$C$5:$D$160,2,FALSE)</f>
        <v>South Sudan</v>
      </c>
      <c r="D59" s="176" t="str">
        <f>VLOOKUP(A59,Lists!$B$2:$G$160,3,FALSE)</f>
        <v>SSD</v>
      </c>
      <c r="E59" s="176" t="str">
        <f>VLOOKUP(A59,Lists!$B$2:$G$160,5,FALSE)</f>
        <v>Complex crisis</v>
      </c>
      <c r="F59" s="181">
        <f t="shared" si="0"/>
        <v>4.4000000000000004</v>
      </c>
      <c r="G59" s="182">
        <f t="shared" si="1"/>
        <v>5</v>
      </c>
      <c r="H59" s="182" t="str">
        <f t="shared" si="2"/>
        <v>Very High</v>
      </c>
      <c r="I59" s="180" t="str">
        <f>INDEX(Trends!$D$3:$D$400,MATCH(B59,Trends!$C$3:$C$400,0))</f>
        <v>Increasing</v>
      </c>
      <c r="J59" s="182" t="str">
        <f>VLOOKUP($B59,Reliability!$A$3:$I$170,9,FALSE)</f>
        <v>Medium</v>
      </c>
      <c r="K59" s="183">
        <f t="shared" si="3"/>
        <v>4.7</v>
      </c>
      <c r="L59" s="183">
        <f>VLOOKUP($B59,'Impact of the crisis'!$C$6:$N$170,12,FALSE)</f>
        <v>4.5999999999999996</v>
      </c>
      <c r="M59" s="183">
        <f>VLOOKUP($B59,'Impact of the crisis'!$C$6:$AB$170,26,FALSE)</f>
        <v>4.8</v>
      </c>
      <c r="N59" s="183">
        <f>VLOOKUP($B59,'Conditions of people affected'!$C$6:$R$170,16,FALSE)</f>
        <v>4.4000000000000004</v>
      </c>
      <c r="O59" s="183">
        <f>VLOOKUP($B59,'Conditions of people affected'!$C$6:$R$170,9,FALSE)</f>
        <v>4.8</v>
      </c>
      <c r="P59" s="183">
        <f>VLOOKUP($B59,'Conditions of people affected'!$C$6:$R$170,15,FALSE)</f>
        <v>4</v>
      </c>
      <c r="Q59" s="183">
        <f t="shared" si="4"/>
        <v>4.0999999999999996</v>
      </c>
      <c r="R59" s="183">
        <f>VLOOKUP($B59,'Complexity of the crisis'!$C$6:$AN$170,22,FALSE)</f>
        <v>3.7</v>
      </c>
      <c r="S59" s="184">
        <f>VLOOKUP($B59,'Complexity of the crisis'!$C$6:$AN$170,38,FALSE)</f>
        <v>4.5</v>
      </c>
      <c r="T59" s="179" t="str">
        <f>VLOOKUP(B59,Lists!$C$3:$E$167,3,FALSE)</f>
        <v>Africa</v>
      </c>
      <c r="U59" s="200">
        <v>44140</v>
      </c>
    </row>
    <row r="60" spans="1:21" x14ac:dyDescent="0.3">
      <c r="A60" s="175" t="str" cm="1">
        <f t="array" ref="A60">IFERROR(INDEX(Lists!$B$2:$B$160,SMALL(IF(Lists!$H$2:$H$160="Yes",ROW(Lists!$B$2:$B$160)),ROW(56:56))-1,1),"")</f>
        <v>Complex crisis in Sudan</v>
      </c>
      <c r="B60" s="176" t="str">
        <f>VLOOKUP(A60,Lists!$B$2:$G$160,2,FALSE)</f>
        <v>SDN001</v>
      </c>
      <c r="C60" s="176" t="str">
        <f>VLOOKUP(B60,'INFORM Severity - hidden'!$C$5:$D$160,2,FALSE)</f>
        <v>Sudan</v>
      </c>
      <c r="D60" s="176" t="str">
        <f>VLOOKUP(A60,Lists!$B$2:$G$160,3,FALSE)</f>
        <v>SDN</v>
      </c>
      <c r="E60" s="176" t="str">
        <f>VLOOKUP(A60,Lists!$B$2:$G$160,5,FALSE)</f>
        <v>Complex crisis</v>
      </c>
      <c r="F60" s="181">
        <f t="shared" si="0"/>
        <v>4.5999999999999996</v>
      </c>
      <c r="G60" s="182">
        <f t="shared" si="1"/>
        <v>5</v>
      </c>
      <c r="H60" s="182" t="str">
        <f t="shared" si="2"/>
        <v>Very High</v>
      </c>
      <c r="I60" s="180" t="str">
        <f>INDEX(Trends!$D$3:$D$400,MATCH(B60,Trends!$C$3:$C$400,0))</f>
        <v>Stable</v>
      </c>
      <c r="J60" s="182" t="str">
        <f>VLOOKUP($B60,Reliability!$A$3:$I$170,9,FALSE)</f>
        <v>High</v>
      </c>
      <c r="K60" s="183">
        <f t="shared" si="3"/>
        <v>4.2</v>
      </c>
      <c r="L60" s="183">
        <f>VLOOKUP($B60,'Impact of the crisis'!$C$6:$N$170,12,FALSE)</f>
        <v>4.8</v>
      </c>
      <c r="M60" s="183">
        <f>VLOOKUP($B60,'Impact of the crisis'!$C$6:$AB$170,26,FALSE)</f>
        <v>3.9</v>
      </c>
      <c r="N60" s="183">
        <f>VLOOKUP($B60,'Conditions of people affected'!$C$6:$R$170,16,FALSE)</f>
        <v>4.95</v>
      </c>
      <c r="O60" s="183">
        <f>VLOOKUP($B60,'Conditions of people affected'!$C$6:$R$170,9,FALSE)</f>
        <v>4.9000000000000004</v>
      </c>
      <c r="P60" s="183">
        <f>VLOOKUP($B60,'Conditions of people affected'!$C$6:$R$170,15,FALSE)</f>
        <v>5</v>
      </c>
      <c r="Q60" s="183">
        <f t="shared" si="4"/>
        <v>4.2</v>
      </c>
      <c r="R60" s="183">
        <f>VLOOKUP($B60,'Complexity of the crisis'!$C$6:$AN$170,22,FALSE)</f>
        <v>3.9</v>
      </c>
      <c r="S60" s="184">
        <f>VLOOKUP($B60,'Complexity of the crisis'!$C$6:$AN$170,38,FALSE)</f>
        <v>4.5</v>
      </c>
      <c r="T60" s="179" t="str">
        <f>VLOOKUP(B60,Lists!$C$3:$E$167,3,FALSE)</f>
        <v>Africa</v>
      </c>
      <c r="U60" s="200">
        <v>44140</v>
      </c>
    </row>
    <row r="61" spans="1:21" x14ac:dyDescent="0.3">
      <c r="A61" s="175" t="str" cm="1">
        <f t="array" ref="A61">IFERROR(INDEX(Lists!$B$2:$B$160,SMALL(IF(Lists!$H$2:$H$160="Yes",ROW(Lists!$B$2:$B$160)),ROW(57:57))-1,1),"")</f>
        <v>Syrian conflict</v>
      </c>
      <c r="B61" s="176" t="str">
        <f>VLOOKUP(A61,Lists!$B$2:$G$160,2,FALSE)</f>
        <v>SYR001</v>
      </c>
      <c r="C61" s="176" t="str">
        <f>VLOOKUP(B61,'INFORM Severity - hidden'!$C$5:$D$160,2,FALSE)</f>
        <v>Syria</v>
      </c>
      <c r="D61" s="176" t="str">
        <f>VLOOKUP(A61,Lists!$B$2:$G$160,3,FALSE)</f>
        <v>SYR</v>
      </c>
      <c r="E61" s="176" t="str">
        <f>VLOOKUP(A61,Lists!$B$2:$G$160,5,FALSE)</f>
        <v>Complex crisis</v>
      </c>
      <c r="F61" s="181">
        <f t="shared" si="0"/>
        <v>4.9000000000000004</v>
      </c>
      <c r="G61" s="182">
        <f t="shared" si="1"/>
        <v>5</v>
      </c>
      <c r="H61" s="182" t="str">
        <f t="shared" si="2"/>
        <v>Very High</v>
      </c>
      <c r="I61" s="180" t="str">
        <f>INDEX(Trends!$D$3:$D$400,MATCH(B61,Trends!$C$3:$C$400,0))</f>
        <v>Stable</v>
      </c>
      <c r="J61" s="182" t="str">
        <f>VLOOKUP($B61,Reliability!$A$3:$I$170,9,FALSE)</f>
        <v>Medium</v>
      </c>
      <c r="K61" s="183">
        <f t="shared" si="3"/>
        <v>4.8</v>
      </c>
      <c r="L61" s="183">
        <f>VLOOKUP($B61,'Impact of the crisis'!$C$6:$N$170,12,FALSE)</f>
        <v>4.5</v>
      </c>
      <c r="M61" s="183">
        <f>VLOOKUP($B61,'Impact of the crisis'!$C$6:$AB$170,26,FALSE)</f>
        <v>4.9000000000000004</v>
      </c>
      <c r="N61" s="183">
        <f>VLOOKUP($B61,'Conditions of people affected'!$C$6:$R$170,16,FALSE)</f>
        <v>5</v>
      </c>
      <c r="O61" s="183">
        <f>VLOOKUP($B61,'Conditions of people affected'!$C$6:$R$170,9,FALSE)</f>
        <v>5</v>
      </c>
      <c r="P61" s="183">
        <f>VLOOKUP($B61,'Conditions of people affected'!$C$6:$R$170,15,FALSE)</f>
        <v>5</v>
      </c>
      <c r="Q61" s="183">
        <f t="shared" si="4"/>
        <v>4.8</v>
      </c>
      <c r="R61" s="183">
        <f>VLOOKUP($B61,'Complexity of the crisis'!$C$6:$AN$170,22,FALSE)</f>
        <v>4.5</v>
      </c>
      <c r="S61" s="184">
        <f>VLOOKUP($B61,'Complexity of the crisis'!$C$6:$AN$170,38,FALSE)</f>
        <v>5</v>
      </c>
      <c r="T61" s="179" t="str">
        <f>VLOOKUP(B61,Lists!$C$3:$E$167,3,FALSE)</f>
        <v>Middle east</v>
      </c>
      <c r="U61" s="200">
        <v>44130</v>
      </c>
    </row>
    <row r="62" spans="1:21" x14ac:dyDescent="0.3">
      <c r="A62" s="175" t="str" cm="1">
        <f t="array" ref="A62">IFERROR(INDEX(Lists!$B$2:$B$160,SMALL(IF(Lists!$H$2:$H$160="Yes",ROW(Lists!$B$2:$B$160)),ROW(58:58))-1,1),"")</f>
        <v>International Displacement in Tanzania</v>
      </c>
      <c r="B62" s="176" t="str">
        <f>VLOOKUP(A62,Lists!$B$2:$G$160,2,FALSE)</f>
        <v>TZA002</v>
      </c>
      <c r="C62" s="176" t="str">
        <f>VLOOKUP(B62,'INFORM Severity - hidden'!$C$5:$D$160,2,FALSE)</f>
        <v>Tanzania</v>
      </c>
      <c r="D62" s="176" t="str">
        <f>VLOOKUP(A62,Lists!$B$2:$G$160,3,FALSE)</f>
        <v>TZA</v>
      </c>
      <c r="E62" s="176" t="str">
        <f>VLOOKUP(A62,Lists!$B$2:$G$160,5,FALSE)</f>
        <v>International displacement</v>
      </c>
      <c r="F62" s="181">
        <f t="shared" si="0"/>
        <v>1.7</v>
      </c>
      <c r="G62" s="182">
        <f t="shared" si="1"/>
        <v>2</v>
      </c>
      <c r="H62" s="182" t="str">
        <f t="shared" si="2"/>
        <v>Low</v>
      </c>
      <c r="I62" s="180" t="str">
        <f>INDEX(Trends!$D$3:$D$400,MATCH(B62,Trends!$C$3:$C$400,0))</f>
        <v>Increasing</v>
      </c>
      <c r="J62" s="182" t="str">
        <f>VLOOKUP($B62,Reliability!$A$3:$I$170,9,FALSE)</f>
        <v>High</v>
      </c>
      <c r="K62" s="183">
        <f t="shared" si="3"/>
        <v>2</v>
      </c>
      <c r="L62" s="183">
        <f>VLOOKUP($B62,'Impact of the crisis'!$C$6:$N$170,12,FALSE)</f>
        <v>2.2999999999999998</v>
      </c>
      <c r="M62" s="183">
        <f>VLOOKUP($B62,'Impact of the crisis'!$C$6:$AB$170,26,FALSE)</f>
        <v>1.9</v>
      </c>
      <c r="N62" s="183">
        <f>VLOOKUP($B62,'Conditions of people affected'!$C$6:$R$170,16,FALSE)</f>
        <v>1.7</v>
      </c>
      <c r="O62" s="183">
        <f>VLOOKUP($B62,'Conditions of people affected'!$C$6:$R$170,9,FALSE)</f>
        <v>2.4</v>
      </c>
      <c r="P62" s="183">
        <f>VLOOKUP($B62,'Conditions of people affected'!$C$6:$R$170,15,FALSE)</f>
        <v>1</v>
      </c>
      <c r="Q62" s="183">
        <f t="shared" si="4"/>
        <v>1.6</v>
      </c>
      <c r="R62" s="183">
        <f>VLOOKUP($B62,'Complexity of the crisis'!$C$6:$AN$170,22,FALSE)</f>
        <v>1.7</v>
      </c>
      <c r="S62" s="184">
        <f>VLOOKUP($B62,'Complexity of the crisis'!$C$6:$AN$170,38,FALSE)</f>
        <v>1.5</v>
      </c>
      <c r="T62" s="179" t="str">
        <f>VLOOKUP(B62,Lists!$C$3:$E$167,3,FALSE)</f>
        <v>Africa</v>
      </c>
      <c r="U62" s="200">
        <v>44134</v>
      </c>
    </row>
    <row r="63" spans="1:21" x14ac:dyDescent="0.3">
      <c r="A63" s="175" t="str" cm="1">
        <f t="array" ref="A63">IFERROR(INDEX(Lists!$B$2:$B$160,SMALL(IF(Lists!$H$2:$H$160="Yes",ROW(Lists!$B$2:$B$160)),ROW(59:59))-1,1),"")</f>
        <v>Multiple situations in Thailand</v>
      </c>
      <c r="B63" s="176" t="str">
        <f>VLOOKUP(A63,Lists!$B$2:$G$160,2,FALSE)</f>
        <v>THA001</v>
      </c>
      <c r="C63" s="176" t="str">
        <f>VLOOKUP(B63,'INFORM Severity - hidden'!$C$5:$D$160,2,FALSE)</f>
        <v>Thailand</v>
      </c>
      <c r="D63" s="176" t="str">
        <f>VLOOKUP(A63,Lists!$B$2:$G$160,3,FALSE)</f>
        <v>THA</v>
      </c>
      <c r="E63" s="176" t="str">
        <f>VLOOKUP(A63,Lists!$B$2:$G$160,5,FALSE)</f>
        <v>Multiple crises country</v>
      </c>
      <c r="F63" s="181">
        <f t="shared" si="0"/>
        <v>2.1</v>
      </c>
      <c r="G63" s="182">
        <f t="shared" si="1"/>
        <v>3</v>
      </c>
      <c r="H63" s="182" t="str">
        <f t="shared" si="2"/>
        <v>Medium</v>
      </c>
      <c r="I63" s="180" t="str">
        <f>INDEX(Trends!$D$3:$D$400,MATCH(B63,Trends!$C$3:$C$400,0))</f>
        <v>Stable</v>
      </c>
      <c r="J63" s="182" t="str">
        <f>VLOOKUP($B63,Reliability!$A$3:$I$170,9,FALSE)</f>
        <v>High</v>
      </c>
      <c r="K63" s="183">
        <f t="shared" si="3"/>
        <v>2.6</v>
      </c>
      <c r="L63" s="183">
        <f>VLOOKUP($B63,'Impact of the crisis'!$C$6:$N$170,12,FALSE)</f>
        <v>1.2</v>
      </c>
      <c r="M63" s="183">
        <f>VLOOKUP($B63,'Impact of the crisis'!$C$6:$AB$170,26,FALSE)</f>
        <v>3.2</v>
      </c>
      <c r="N63" s="183">
        <f>VLOOKUP($B63,'Conditions of people affected'!$C$6:$R$170,16,FALSE)</f>
        <v>1.8</v>
      </c>
      <c r="O63" s="183">
        <f>VLOOKUP($B63,'Conditions of people affected'!$C$6:$R$170,9,FALSE)</f>
        <v>1.6</v>
      </c>
      <c r="P63" s="183">
        <f>VLOOKUP($B63,'Conditions of people affected'!$C$6:$R$170,15,FALSE)</f>
        <v>2</v>
      </c>
      <c r="Q63" s="183">
        <f t="shared" si="4"/>
        <v>2.1</v>
      </c>
      <c r="R63" s="183">
        <f>VLOOKUP($B63,'Complexity of the crisis'!$C$6:$AN$170,22,FALSE)</f>
        <v>2.6</v>
      </c>
      <c r="S63" s="184">
        <f>VLOOKUP($B63,'Complexity of the crisis'!$C$6:$AN$170,38,FALSE)</f>
        <v>1.5</v>
      </c>
      <c r="T63" s="179" t="str">
        <f>VLOOKUP(B63,Lists!$C$3:$E$167,3,FALSE)</f>
        <v>Asia</v>
      </c>
      <c r="U63" s="200">
        <v>44132</v>
      </c>
    </row>
    <row r="64" spans="1:21" x14ac:dyDescent="0.3">
      <c r="A64" s="175" t="str" cm="1">
        <f t="array" ref="A64">IFERROR(INDEX(Lists!$B$2:$B$160,SMALL(IF(Lists!$H$2:$H$160="Yes",ROW(Lists!$B$2:$B$160)),ROW(60:60))-1,1),"")</f>
        <v>Venezuelan refugees in Trinidad and Tobago</v>
      </c>
      <c r="B64" s="176" t="str">
        <f>VLOOKUP(A64,Lists!$B$2:$G$160,2,FALSE)</f>
        <v>TTO002</v>
      </c>
      <c r="C64" s="176" t="str">
        <f>VLOOKUP(B64,'INFORM Severity - hidden'!$C$5:$D$160,2,FALSE)</f>
        <v>Trinidad and Tobago</v>
      </c>
      <c r="D64" s="176" t="str">
        <f>VLOOKUP(A64,Lists!$B$2:$G$160,3,FALSE)</f>
        <v>TTO</v>
      </c>
      <c r="E64" s="176" t="str">
        <f>VLOOKUP(A64,Lists!$B$2:$G$160,5,FALSE)</f>
        <v>International displacement</v>
      </c>
      <c r="F64" s="181">
        <f t="shared" si="0"/>
        <v>1.5</v>
      </c>
      <c r="G64" s="182">
        <f t="shared" si="1"/>
        <v>2</v>
      </c>
      <c r="H64" s="182" t="str">
        <f t="shared" si="2"/>
        <v>Low</v>
      </c>
      <c r="I64" s="180" t="str">
        <f>INDEX(Trends!$D$3:$D$400,MATCH(B64,Trends!$C$3:$C$400,0))</f>
        <v>Stable</v>
      </c>
      <c r="J64" s="182" t="str">
        <f>VLOOKUP($B64,Reliability!$A$3:$I$170,9,FALSE)</f>
        <v>Medium</v>
      </c>
      <c r="K64" s="183">
        <f t="shared" si="3"/>
        <v>2</v>
      </c>
      <c r="L64" s="183">
        <f>VLOOKUP($B64,'Impact of the crisis'!$C$6:$N$170,12,FALSE)</f>
        <v>2.9</v>
      </c>
      <c r="M64" s="183">
        <f>VLOOKUP($B64,'Impact of the crisis'!$C$6:$AB$170,26,FALSE)</f>
        <v>1.4</v>
      </c>
      <c r="N64" s="183">
        <f>VLOOKUP($B64,'Conditions of people affected'!$C$6:$R$170,16,FALSE)</f>
        <v>1.1499999999999999</v>
      </c>
      <c r="O64" s="183">
        <f>VLOOKUP($B64,'Conditions of people affected'!$C$6:$R$170,9,FALSE)</f>
        <v>1.3</v>
      </c>
      <c r="P64" s="183">
        <f>VLOOKUP($B64,'Conditions of people affected'!$C$6:$R$170,15,FALSE)</f>
        <v>1</v>
      </c>
      <c r="Q64" s="183">
        <f t="shared" si="4"/>
        <v>1.5</v>
      </c>
      <c r="R64" s="183">
        <f>VLOOKUP($B64,'Complexity of the crisis'!$C$6:$AN$170,22,FALSE)</f>
        <v>1.4</v>
      </c>
      <c r="S64" s="184">
        <f>VLOOKUP($B64,'Complexity of the crisis'!$C$6:$AN$170,38,FALSE)</f>
        <v>1.5</v>
      </c>
      <c r="T64" s="179" t="str">
        <f>VLOOKUP(B64,Lists!$C$3:$E$167,3,FALSE)</f>
        <v>Americas</v>
      </c>
      <c r="U64" s="200">
        <v>44110</v>
      </c>
    </row>
    <row r="65" spans="1:21" x14ac:dyDescent="0.3">
      <c r="A65" s="175" t="str" cm="1">
        <f t="array" ref="A65">IFERROR(INDEX(Lists!$B$2:$B$160,SMALL(IF(Lists!$H$2:$H$160="Yes",ROW(Lists!$B$2:$B$160)),ROW(61:61))-1,1),"")</f>
        <v>Mixed migration flows in Tunisia</v>
      </c>
      <c r="B65" s="176" t="str">
        <f>VLOOKUP(A65,Lists!$B$2:$G$160,2,FALSE)</f>
        <v>TUN002</v>
      </c>
      <c r="C65" s="176" t="str">
        <f>VLOOKUP(B65,'INFORM Severity - hidden'!$C$5:$D$160,2,FALSE)</f>
        <v>Tunisia</v>
      </c>
      <c r="D65" s="176" t="str">
        <f>VLOOKUP(A65,Lists!$B$2:$G$160,3,FALSE)</f>
        <v>TUN</v>
      </c>
      <c r="E65" s="176" t="str">
        <f>VLOOKUP(A65,Lists!$B$2:$G$160,5,FALSE)</f>
        <v>International displacement</v>
      </c>
      <c r="F65" s="181" t="str">
        <f t="shared" si="0"/>
        <v>x</v>
      </c>
      <c r="G65" s="182" t="str">
        <f t="shared" si="1"/>
        <v>x</v>
      </c>
      <c r="H65" s="182" t="str">
        <f t="shared" si="2"/>
        <v>x</v>
      </c>
      <c r="I65" s="180" t="str">
        <f>INDEX(Trends!$D$3:$D$400,MATCH(B65,Trends!$C$3:$C$400,0))</f>
        <v>-</v>
      </c>
      <c r="J65" s="182" t="str">
        <f>VLOOKUP($B65,Reliability!$A$3:$I$170,9,FALSE)</f>
        <v>Low</v>
      </c>
      <c r="K65" s="183">
        <f t="shared" si="3"/>
        <v>3.5</v>
      </c>
      <c r="L65" s="183">
        <f>VLOOKUP($B65,'Impact of the crisis'!$C$6:$N$170,12,FALSE)</f>
        <v>4.3</v>
      </c>
      <c r="M65" s="183">
        <f>VLOOKUP($B65,'Impact of the crisis'!$C$6:$AB$170,26,FALSE)</f>
        <v>3</v>
      </c>
      <c r="N65" s="183" t="str">
        <f>VLOOKUP($B65,'Conditions of people affected'!$C$6:$R$170,16,FALSE)</f>
        <v>x</v>
      </c>
      <c r="O65" s="183" t="str">
        <f>VLOOKUP($B65,'Conditions of people affected'!$C$6:$R$170,9,FALSE)</f>
        <v>x</v>
      </c>
      <c r="P65" s="183" t="str">
        <f>VLOOKUP($B65,'Conditions of people affected'!$C$6:$R$170,15,FALSE)</f>
        <v>x</v>
      </c>
      <c r="Q65" s="183">
        <f t="shared" si="4"/>
        <v>1.4</v>
      </c>
      <c r="R65" s="183">
        <f>VLOOKUP($B65,'Complexity of the crisis'!$C$6:$AN$170,22,FALSE)</f>
        <v>2.2000000000000002</v>
      </c>
      <c r="S65" s="184">
        <f>VLOOKUP($B65,'Complexity of the crisis'!$C$6:$AN$170,38,FALSE)</f>
        <v>0.5</v>
      </c>
      <c r="T65" s="179" t="str">
        <f>VLOOKUP(B65,Lists!$C$3:$E$167,3,FALSE)</f>
        <v>Africa</v>
      </c>
      <c r="U65" s="200">
        <v>44137</v>
      </c>
    </row>
    <row r="66" spans="1:21" x14ac:dyDescent="0.3">
      <c r="A66" s="175" t="str" cm="1">
        <f t="array" ref="A66">IFERROR(INDEX(Lists!$B$2:$B$160,SMALL(IF(Lists!$H$2:$H$160="Yes",ROW(Lists!$B$2:$B$160)),ROW(62:62))-1,1),"")</f>
        <v>Complex situation in Turkey</v>
      </c>
      <c r="B66" s="176" t="str">
        <f>VLOOKUP(A66,Lists!$B$2:$G$160,2,FALSE)</f>
        <v>TUR001</v>
      </c>
      <c r="C66" s="176" t="str">
        <f>VLOOKUP(B66,'INFORM Severity - hidden'!$C$5:$D$160,2,FALSE)</f>
        <v>Turkey</v>
      </c>
      <c r="D66" s="176" t="str">
        <f>VLOOKUP(A66,Lists!$B$2:$G$160,3,FALSE)</f>
        <v>TUR</v>
      </c>
      <c r="E66" s="176" t="str">
        <f>VLOOKUP(A66,Lists!$B$2:$G$160,5,FALSE)</f>
        <v>Multiple crises country</v>
      </c>
      <c r="F66" s="181">
        <f t="shared" si="0"/>
        <v>3.2</v>
      </c>
      <c r="G66" s="182">
        <f t="shared" si="1"/>
        <v>4</v>
      </c>
      <c r="H66" s="182" t="str">
        <f t="shared" si="2"/>
        <v>High</v>
      </c>
      <c r="I66" s="180" t="str">
        <f>INDEX(Trends!$D$3:$D$400,MATCH(B66,Trends!$C$3:$C$400,0))</f>
        <v>Stable</v>
      </c>
      <c r="J66" s="182" t="str">
        <f>VLOOKUP($B66,Reliability!$A$3:$I$170,9,FALSE)</f>
        <v>High</v>
      </c>
      <c r="K66" s="183">
        <f t="shared" si="3"/>
        <v>3.7</v>
      </c>
      <c r="L66" s="183">
        <f>VLOOKUP($B66,'Impact of the crisis'!$C$6:$N$170,12,FALSE)</f>
        <v>3.8</v>
      </c>
      <c r="M66" s="183">
        <f>VLOOKUP($B66,'Impact of the crisis'!$C$6:$AB$170,26,FALSE)</f>
        <v>3.7</v>
      </c>
      <c r="N66" s="183">
        <f>VLOOKUP($B66,'Conditions of people affected'!$C$6:$R$170,16,FALSE)</f>
        <v>2.95</v>
      </c>
      <c r="O66" s="183">
        <f>VLOOKUP($B66,'Conditions of people affected'!$C$6:$R$170,9,FALSE)</f>
        <v>3.9</v>
      </c>
      <c r="P66" s="183">
        <f>VLOOKUP($B66,'Conditions of people affected'!$C$6:$R$170,15,FALSE)</f>
        <v>2</v>
      </c>
      <c r="Q66" s="183">
        <f t="shared" si="4"/>
        <v>3.2</v>
      </c>
      <c r="R66" s="183">
        <f>VLOOKUP($B66,'Complexity of the crisis'!$C$6:$AN$170,22,FALSE)</f>
        <v>3.4</v>
      </c>
      <c r="S66" s="184">
        <f>VLOOKUP($B66,'Complexity of the crisis'!$C$6:$AN$170,38,FALSE)</f>
        <v>3</v>
      </c>
      <c r="T66" s="179" t="str">
        <f>VLOOKUP(B66,Lists!$C$3:$E$167,3,FALSE)</f>
        <v>Middle east</v>
      </c>
      <c r="U66" s="200">
        <v>44139</v>
      </c>
    </row>
    <row r="67" spans="1:21" x14ac:dyDescent="0.3">
      <c r="A67" s="177" t="str" cm="1">
        <f t="array" ref="A67">IFERROR(INDEX(Lists!$B$2:$B$160,SMALL(IF(Lists!$H$2:$H$160="Yes",ROW(Lists!$B$2:$B$160)),ROW(63:63))-1,1),"")</f>
        <v>Multiple crises in Uganda</v>
      </c>
      <c r="B67" s="178" t="str">
        <f>VLOOKUP(A67,Lists!$B$2:$G$160,2,FALSE)</f>
        <v>UGA001</v>
      </c>
      <c r="C67" s="178" t="str">
        <f>VLOOKUP(B67,'INFORM Severity - hidden'!$C$5:$D$160,2,FALSE)</f>
        <v>Uganda</v>
      </c>
      <c r="D67" s="178" t="str">
        <f>VLOOKUP(A67,Lists!$B$2:$G$160,3,FALSE)</f>
        <v>UGA</v>
      </c>
      <c r="E67" s="178" t="str">
        <f>VLOOKUP(A67,Lists!$B$2:$G$160,5,FALSE)</f>
        <v>Multiple crises country</v>
      </c>
      <c r="F67" s="181">
        <f t="shared" si="0"/>
        <v>2.9</v>
      </c>
      <c r="G67" s="182">
        <f t="shared" si="1"/>
        <v>3</v>
      </c>
      <c r="H67" s="182" t="str">
        <f t="shared" si="2"/>
        <v>Medium</v>
      </c>
      <c r="I67" s="180" t="str">
        <f>INDEX(Trends!$D$3:$D$400,MATCH(B67,Trends!$C$3:$C$400,0))</f>
        <v>Stable</v>
      </c>
      <c r="J67" s="182" t="str">
        <f>VLOOKUP($B67,Reliability!$A$3:$I$170,9,FALSE)</f>
        <v>High</v>
      </c>
      <c r="K67" s="183">
        <f t="shared" si="3"/>
        <v>3.2</v>
      </c>
      <c r="L67" s="183">
        <f>VLOOKUP($B67,'Impact of the crisis'!$C$6:$N$170,12,FALSE)</f>
        <v>2.9</v>
      </c>
      <c r="M67" s="183">
        <f>VLOOKUP($B67,'Impact of the crisis'!$C$6:$AB$170,26,FALSE)</f>
        <v>3.3</v>
      </c>
      <c r="N67" s="183">
        <f>VLOOKUP($B67,'Conditions of people affected'!$C$6:$R$170,16,FALSE)</f>
        <v>3.3</v>
      </c>
      <c r="O67" s="183">
        <f>VLOOKUP($B67,'Conditions of people affected'!$C$6:$R$170,9,FALSE)</f>
        <v>3.6</v>
      </c>
      <c r="P67" s="183">
        <f>VLOOKUP($B67,'Conditions of people affected'!$C$6:$R$170,15,FALSE)</f>
        <v>3</v>
      </c>
      <c r="Q67" s="183">
        <f t="shared" si="4"/>
        <v>2.1</v>
      </c>
      <c r="R67" s="183">
        <f>VLOOKUP($B67,'Complexity of the crisis'!$C$6:$AN$170,22,FALSE)</f>
        <v>2.7</v>
      </c>
      <c r="S67" s="184">
        <f>VLOOKUP($B67,'Complexity of the crisis'!$C$6:$AN$170,38,FALSE)</f>
        <v>1.5</v>
      </c>
      <c r="T67" s="179" t="str">
        <f>VLOOKUP(B67,Lists!$C$3:$E$167,3,FALSE)</f>
        <v>Africa</v>
      </c>
      <c r="U67" s="200">
        <v>44140</v>
      </c>
    </row>
    <row r="68" spans="1:21" x14ac:dyDescent="0.3">
      <c r="A68" s="177" t="str" cm="1">
        <f t="array" ref="A68">IFERROR(INDEX(Lists!$B$2:$B$160,SMALL(IF(Lists!$H$2:$H$160="Yes",ROW(Lists!$B$2:$B$160)),ROW(64:64))-1,1),"")</f>
        <v>Conflict in Ukraine</v>
      </c>
      <c r="B68" s="178" t="str">
        <f>VLOOKUP(A68,Lists!$B$2:$G$160,2,FALSE)</f>
        <v>UKR002</v>
      </c>
      <c r="C68" s="178" t="str">
        <f>VLOOKUP(B68,'INFORM Severity - hidden'!$C$5:$D$160,2,FALSE)</f>
        <v>Ukraine</v>
      </c>
      <c r="D68" s="178" t="str">
        <f>VLOOKUP(A68,Lists!$B$2:$G$160,3,FALSE)</f>
        <v>UKR</v>
      </c>
      <c r="E68" s="178" t="str">
        <f>VLOOKUP(A68,Lists!$B$2:$G$160,5,FALSE)</f>
        <v>Conflict</v>
      </c>
      <c r="F68" s="181">
        <f t="shared" si="0"/>
        <v>3.5</v>
      </c>
      <c r="G68" s="182">
        <f t="shared" si="1"/>
        <v>4</v>
      </c>
      <c r="H68" s="182" t="str">
        <f t="shared" si="2"/>
        <v>High</v>
      </c>
      <c r="I68" s="180" t="str">
        <f>INDEX(Trends!$D$3:$D$400,MATCH(B68,Trends!$C$3:$C$400,0))</f>
        <v>Stable</v>
      </c>
      <c r="J68" s="182" t="str">
        <f>VLOOKUP($B68,Reliability!$A$3:$I$170,9,FALSE)</f>
        <v>High</v>
      </c>
      <c r="K68" s="183">
        <f t="shared" si="3"/>
        <v>3.2</v>
      </c>
      <c r="L68" s="183">
        <f>VLOOKUP($B68,'Impact of the crisis'!$C$6:$N$170,12,FALSE)</f>
        <v>1.7</v>
      </c>
      <c r="M68" s="183">
        <f>VLOOKUP($B68,'Impact of the crisis'!$C$6:$AB$170,26,FALSE)</f>
        <v>3.8</v>
      </c>
      <c r="N68" s="183">
        <f>VLOOKUP($B68,'Conditions of people affected'!$C$6:$R$170,16,FALSE)</f>
        <v>4.0999999999999996</v>
      </c>
      <c r="O68" s="183">
        <f>VLOOKUP($B68,'Conditions of people affected'!$C$6:$R$170,9,FALSE)</f>
        <v>4.2</v>
      </c>
      <c r="P68" s="183">
        <f>VLOOKUP($B68,'Conditions of people affected'!$C$6:$R$170,15,FALSE)</f>
        <v>4</v>
      </c>
      <c r="Q68" s="183">
        <f t="shared" si="4"/>
        <v>2.6</v>
      </c>
      <c r="R68" s="183">
        <f>VLOOKUP($B68,'Complexity of the crisis'!$C$6:$AN$170,22,FALSE)</f>
        <v>2.2000000000000002</v>
      </c>
      <c r="S68" s="184">
        <f>VLOOKUP($B68,'Complexity of the crisis'!$C$6:$AN$170,38,FALSE)</f>
        <v>3</v>
      </c>
      <c r="T68" s="179" t="str">
        <f>VLOOKUP(B68,Lists!$C$3:$E$167,3,FALSE)</f>
        <v>Europe</v>
      </c>
      <c r="U68" s="200">
        <v>44140</v>
      </c>
    </row>
    <row r="69" spans="1:21" x14ac:dyDescent="0.3">
      <c r="A69" s="177" t="str" cm="1">
        <f t="array" ref="A69">IFERROR(INDEX(Lists!$B$2:$B$160,SMALL(IF(Lists!$H$2:$H$160="Yes",ROW(Lists!$B$2:$B$160)),ROW(65:65))-1,1),"")</f>
        <v>Complex crisis in Venezuela</v>
      </c>
      <c r="B69" s="178" t="str">
        <f>VLOOKUP(A69,Lists!$B$2:$G$160,2,FALSE)</f>
        <v>VEN001</v>
      </c>
      <c r="C69" s="178" t="str">
        <f>VLOOKUP(B69,'INFORM Severity - hidden'!$C$5:$D$160,2,FALSE)</f>
        <v>Venezuela</v>
      </c>
      <c r="D69" s="178" t="str">
        <f>VLOOKUP(A69,Lists!$B$2:$G$160,3,FALSE)</f>
        <v>VEN</v>
      </c>
      <c r="E69" s="178" t="str">
        <f>VLOOKUP(A69,Lists!$B$2:$G$160,5,FALSE)</f>
        <v>Complex crisis</v>
      </c>
      <c r="F69" s="181">
        <f t="shared" si="0"/>
        <v>4.0999999999999996</v>
      </c>
      <c r="G69" s="182">
        <f t="shared" si="1"/>
        <v>5</v>
      </c>
      <c r="H69" s="182" t="str">
        <f t="shared" si="2"/>
        <v>Very High</v>
      </c>
      <c r="I69" s="180" t="str">
        <f>INDEX(Trends!$D$3:$D$400,MATCH(B69,Trends!$C$3:$C$400,0))</f>
        <v>Stable</v>
      </c>
      <c r="J69" s="182" t="str">
        <f>VLOOKUP($B69,Reliability!$A$3:$I$170,9,FALSE)</f>
        <v>High</v>
      </c>
      <c r="K69" s="183">
        <f t="shared" si="3"/>
        <v>5</v>
      </c>
      <c r="L69" s="183">
        <f>VLOOKUP($B69,'Impact of the crisis'!$C$6:$N$170,12,FALSE)</f>
        <v>4.9000000000000004</v>
      </c>
      <c r="M69" s="183">
        <f>VLOOKUP($B69,'Impact of the crisis'!$C$6:$AB$170,26,FALSE)</f>
        <v>5</v>
      </c>
      <c r="N69" s="183">
        <f>VLOOKUP($B69,'Conditions of people affected'!$C$6:$R$170,16,FALSE)</f>
        <v>4</v>
      </c>
      <c r="O69" s="183">
        <f>VLOOKUP($B69,'Conditions of people affected'!$C$6:$R$170,9,FALSE)</f>
        <v>5</v>
      </c>
      <c r="P69" s="183">
        <f>VLOOKUP($B69,'Conditions of people affected'!$C$6:$R$170,15,FALSE)</f>
        <v>3</v>
      </c>
      <c r="Q69" s="183">
        <f t="shared" si="4"/>
        <v>3.3</v>
      </c>
      <c r="R69" s="183">
        <f>VLOOKUP($B69,'Complexity of the crisis'!$C$6:$AN$170,22,FALSE)</f>
        <v>3.6</v>
      </c>
      <c r="S69" s="184">
        <f>VLOOKUP($B69,'Complexity of the crisis'!$C$6:$AN$170,38,FALSE)</f>
        <v>3</v>
      </c>
      <c r="T69" s="179" t="str">
        <f>VLOOKUP(B69,Lists!$C$3:$E$167,3,FALSE)</f>
        <v>Americas</v>
      </c>
      <c r="U69" s="200">
        <v>44140</v>
      </c>
    </row>
    <row r="70" spans="1:21" x14ac:dyDescent="0.3">
      <c r="A70" s="177" t="str" cm="1">
        <f t="array" ref="A70">IFERROR(INDEX(Lists!$B$2:$B$160,SMALL(IF(Lists!$H$2:$H$160="Yes",ROW(Lists!$B$2:$B$160)),ROW(66:66))-1,1),"")</f>
        <v>Floods in central Vietnam</v>
      </c>
      <c r="B70" s="178" t="str">
        <f>VLOOKUP(A70,Lists!$B$2:$G$160,2,FALSE)</f>
        <v>VNM002</v>
      </c>
      <c r="C70" s="178" t="str">
        <f>VLOOKUP(B70,'INFORM Severity - hidden'!$C$5:$D$160,2,FALSE)</f>
        <v>Vietnam</v>
      </c>
      <c r="D70" s="178" t="str">
        <f>VLOOKUP(A70,Lists!$B$2:$G$160,3,FALSE)</f>
        <v>VNM</v>
      </c>
      <c r="E70" s="178" t="str">
        <f>VLOOKUP(A70,Lists!$B$2:$G$160,5,FALSE)</f>
        <v>Flood</v>
      </c>
      <c r="F70" s="181">
        <f t="shared" ref="F70:F73" si="5">IF(OR(N70="x",K70="x"),"x",ROUND((5-GEOMEAN(((5-K70)/5*4+1),((5-N70)/5*4+1),((5-N70)/5*4+1)))/4*3.5+Q70*0.3,1))</f>
        <v>2.4</v>
      </c>
      <c r="G70" s="182">
        <f t="shared" ref="G70:G73" si="6">IF(F70="x","x",ROUNDUP(F70,0))</f>
        <v>3</v>
      </c>
      <c r="H70" s="182" t="str">
        <f t="shared" ref="H70:H73" si="7">IF(N70="x","x",IF(K70="x","x",(IF(G70=5,"Very High",IF(G70=4,"High",IF(G70=3,"Medium",IF(G70=2,"Low","Very Low")))))))</f>
        <v>Medium</v>
      </c>
      <c r="I70" s="180" t="str">
        <f>INDEX(Trends!$D$3:$D$400,MATCH(B70,Trends!$C$3:$C$400,0))</f>
        <v>-</v>
      </c>
      <c r="J70" s="182" t="str">
        <f>VLOOKUP($B70,Reliability!$A$3:$I$170,9,FALSE)</f>
        <v>Very High</v>
      </c>
      <c r="K70" s="183">
        <f t="shared" ref="K70:K73" si="8">IF(OR(M70="x",L70="x"),"x",ROUND((5-GEOMEAN(((5-L70)/5*4+1),((5-M70)/5*4+1),((5-M70)/5*4+1)))/4*5,1))</f>
        <v>2.9</v>
      </c>
      <c r="L70" s="183">
        <f>VLOOKUP($B70,'Impact of the crisis'!$C$6:$N$170,12,FALSE)</f>
        <v>1.9</v>
      </c>
      <c r="M70" s="183">
        <f>VLOOKUP($B70,'Impact of the crisis'!$C$6:$AB$170,26,FALSE)</f>
        <v>3.3</v>
      </c>
      <c r="N70" s="183">
        <f>VLOOKUP($B70,'Conditions of people affected'!$C$6:$R$170,16,FALSE)</f>
        <v>2.0499999999999998</v>
      </c>
      <c r="O70" s="183">
        <f>VLOOKUP($B70,'Conditions of people affected'!$C$6:$R$170,9,FALSE)</f>
        <v>2.1</v>
      </c>
      <c r="P70" s="183">
        <f>VLOOKUP($B70,'Conditions of people affected'!$C$6:$R$170,15,FALSE)</f>
        <v>2</v>
      </c>
      <c r="Q70" s="183">
        <f t="shared" ref="Q70:Q73" si="9">IF(OR(S70="x",R70="x"),R70,ROUND((5-GEOMEAN(((5-R70)/5*4+1),((5-S70)/5*4+1)))/4*5,1))</f>
        <v>2.5</v>
      </c>
      <c r="R70" s="183">
        <f>VLOOKUP($B70,'Complexity of the crisis'!$C$6:$AN$170,22,FALSE)</f>
        <v>3.3</v>
      </c>
      <c r="S70" s="184">
        <f>VLOOKUP($B70,'Complexity of the crisis'!$C$6:$AN$170,38,FALSE)</f>
        <v>1.5</v>
      </c>
      <c r="T70" s="179" t="str">
        <f>VLOOKUP(B70,Lists!$C$3:$E$167,3,FALSE)</f>
        <v>Asia</v>
      </c>
      <c r="U70" s="200">
        <v>44140</v>
      </c>
    </row>
    <row r="71" spans="1:21" x14ac:dyDescent="0.3">
      <c r="A71" s="177" t="str" cm="1">
        <f t="array" ref="A71">IFERROR(INDEX(Lists!$B$2:$B$160,SMALL(IF(Lists!$H$2:$H$160="Yes",ROW(Lists!$B$2:$B$160)),ROW(67:67))-1,1),"")</f>
        <v>Conflict in Yemen</v>
      </c>
      <c r="B71" s="178" t="str">
        <f>VLOOKUP(A71,Lists!$B$2:$G$160,2,FALSE)</f>
        <v>YEM001</v>
      </c>
      <c r="C71" s="178" t="str">
        <f>VLOOKUP(B71,'INFORM Severity - hidden'!$C$5:$D$160,2,FALSE)</f>
        <v>Yemen</v>
      </c>
      <c r="D71" s="178" t="str">
        <f>VLOOKUP(A71,Lists!$B$2:$G$160,3,FALSE)</f>
        <v>YEM</v>
      </c>
      <c r="E71" s="178" t="str">
        <f>VLOOKUP(A71,Lists!$B$2:$G$160,5,FALSE)</f>
        <v>Complex crisis</v>
      </c>
      <c r="F71" s="181">
        <f t="shared" si="5"/>
        <v>4.5999999999999996</v>
      </c>
      <c r="G71" s="182">
        <f t="shared" si="6"/>
        <v>5</v>
      </c>
      <c r="H71" s="182" t="str">
        <f t="shared" si="7"/>
        <v>Very High</v>
      </c>
      <c r="I71" s="180" t="str">
        <f>INDEX(Trends!$D$3:$D$400,MATCH(B71,Trends!$C$3:$C$400,0))</f>
        <v>Decreasing</v>
      </c>
      <c r="J71" s="182" t="str">
        <f>VLOOKUP($B71,Reliability!$A$3:$I$170,9,FALSE)</f>
        <v>High</v>
      </c>
      <c r="K71" s="183">
        <f t="shared" si="8"/>
        <v>4.9000000000000004</v>
      </c>
      <c r="L71" s="183">
        <f>VLOOKUP($B71,'Impact of the crisis'!$C$6:$N$170,12,FALSE)</f>
        <v>4.9000000000000004</v>
      </c>
      <c r="M71" s="183">
        <f>VLOOKUP($B71,'Impact of the crisis'!$C$6:$AB$170,26,FALSE)</f>
        <v>4.9000000000000004</v>
      </c>
      <c r="N71" s="183">
        <f>VLOOKUP($B71,'Conditions of people affected'!$C$6:$R$170,16,FALSE)</f>
        <v>4.5</v>
      </c>
      <c r="O71" s="183">
        <f>VLOOKUP($B71,'Conditions of people affected'!$C$6:$R$170,9,FALSE)</f>
        <v>5</v>
      </c>
      <c r="P71" s="183">
        <f>VLOOKUP($B71,'Conditions of people affected'!$C$6:$R$170,15,FALSE)</f>
        <v>4</v>
      </c>
      <c r="Q71" s="183">
        <f t="shared" si="9"/>
        <v>4.5</v>
      </c>
      <c r="R71" s="183">
        <f>VLOOKUP($B71,'Complexity of the crisis'!$C$6:$AN$170,22,FALSE)</f>
        <v>3.8</v>
      </c>
      <c r="S71" s="184">
        <f>VLOOKUP($B71,'Complexity of the crisis'!$C$6:$AN$170,38,FALSE)</f>
        <v>5</v>
      </c>
      <c r="T71" s="179" t="str">
        <f>VLOOKUP(B71,Lists!$C$3:$E$167,3,FALSE)</f>
        <v>Middle east</v>
      </c>
      <c r="U71" s="200">
        <v>44123</v>
      </c>
    </row>
    <row r="72" spans="1:21" x14ac:dyDescent="0.3">
      <c r="A72" s="177" t="str" cm="1">
        <f t="array" ref="A72">IFERROR(INDEX(Lists!$B$2:$B$160,SMALL(IF(Lists!$H$2:$H$160="Yes",ROW(Lists!$B$2:$B$160)),ROW(68:68))-1,1),"")</f>
        <v>Drought in Zambia</v>
      </c>
      <c r="B72" s="178" t="str">
        <f>VLOOKUP(A72,Lists!$B$2:$G$160,2,FALSE)</f>
        <v>ZMB002</v>
      </c>
      <c r="C72" s="178" t="str">
        <f>VLOOKUP(B72,'INFORM Severity - hidden'!$C$5:$D$160,2,FALSE)</f>
        <v>Zambia</v>
      </c>
      <c r="D72" s="178" t="str">
        <f>VLOOKUP(A72,Lists!$B$2:$G$160,3,FALSE)</f>
        <v>ZMB</v>
      </c>
      <c r="E72" s="178" t="str">
        <f>VLOOKUP(A72,Lists!$B$2:$G$160,5,FALSE)</f>
        <v>Drought</v>
      </c>
      <c r="F72" s="181">
        <f t="shared" si="5"/>
        <v>2.7</v>
      </c>
      <c r="G72" s="182">
        <f t="shared" si="6"/>
        <v>3</v>
      </c>
      <c r="H72" s="182" t="str">
        <f t="shared" si="7"/>
        <v>Medium</v>
      </c>
      <c r="I72" s="180" t="str">
        <f>INDEX(Trends!$D$3:$D$400,MATCH(B72,Trends!$C$3:$C$400,0))</f>
        <v>Stable</v>
      </c>
      <c r="J72" s="182" t="str">
        <f>VLOOKUP($B72,Reliability!$A$3:$I$170,9,FALSE)</f>
        <v>Low</v>
      </c>
      <c r="K72" s="183">
        <f t="shared" si="8"/>
        <v>2.4</v>
      </c>
      <c r="L72" s="183">
        <f>VLOOKUP($B72,'Impact of the crisis'!$C$6:$N$170,12,FALSE)</f>
        <v>3.9</v>
      </c>
      <c r="M72" s="183">
        <f>VLOOKUP($B72,'Impact of the crisis'!$C$6:$AB$170,26,FALSE)</f>
        <v>1.4</v>
      </c>
      <c r="N72" s="183">
        <f>VLOOKUP($B72,'Conditions of people affected'!$C$6:$R$170,16,FALSE)</f>
        <v>3.45</v>
      </c>
      <c r="O72" s="183">
        <f>VLOOKUP($B72,'Conditions of people affected'!$C$6:$R$170,9,FALSE)</f>
        <v>3.9</v>
      </c>
      <c r="P72" s="183">
        <f>VLOOKUP($B72,'Conditions of people affected'!$C$6:$R$170,15,FALSE)</f>
        <v>3</v>
      </c>
      <c r="Q72" s="183">
        <f t="shared" si="9"/>
        <v>1.7</v>
      </c>
      <c r="R72" s="183">
        <f>VLOOKUP($B72,'Complexity of the crisis'!$C$6:$AN$170,22,FALSE)</f>
        <v>1.8</v>
      </c>
      <c r="S72" s="184">
        <f>VLOOKUP($B72,'Complexity of the crisis'!$C$6:$AN$170,38,FALSE)</f>
        <v>1.5</v>
      </c>
      <c r="T72" s="179" t="str">
        <f>VLOOKUP(B72,Lists!$C$3:$E$167,3,FALSE)</f>
        <v>Africa</v>
      </c>
      <c r="U72" s="200">
        <v>44134</v>
      </c>
    </row>
    <row r="73" spans="1:21" x14ac:dyDescent="0.3">
      <c r="A73" s="177" t="str" cm="1">
        <f t="array" ref="A73">IFERROR(INDEX(Lists!$B$2:$B$160,SMALL(IF(Lists!$H$2:$H$160="Yes",ROW(Lists!$B$2:$B$160)),ROW(69:69))-1,1),"")</f>
        <v>Complex crisis in Zimbabwe</v>
      </c>
      <c r="B73" s="178" t="str">
        <f>VLOOKUP(A73,Lists!$B$2:$G$160,2,FALSE)</f>
        <v>ZWE001</v>
      </c>
      <c r="C73" s="178" t="str">
        <f>VLOOKUP(B73,'INFORM Severity - hidden'!$C$5:$D$160,2,FALSE)</f>
        <v>Zimbabwe</v>
      </c>
      <c r="D73" s="178" t="str">
        <f>VLOOKUP(A73,Lists!$B$2:$G$160,3,FALSE)</f>
        <v>ZWE</v>
      </c>
      <c r="E73" s="178" t="str">
        <f>VLOOKUP(A73,Lists!$B$2:$G$160,5,FALSE)</f>
        <v>Complex crisis</v>
      </c>
      <c r="F73" s="181">
        <f t="shared" si="5"/>
        <v>3.5</v>
      </c>
      <c r="G73" s="182">
        <f t="shared" si="6"/>
        <v>4</v>
      </c>
      <c r="H73" s="182" t="str">
        <f t="shared" si="7"/>
        <v>High</v>
      </c>
      <c r="I73" s="180" t="str">
        <f>INDEX(Trends!$D$3:$D$400,MATCH(B73,Trends!$C$3:$C$400,0))</f>
        <v>Decreasing</v>
      </c>
      <c r="J73" s="182" t="str">
        <f>VLOOKUP($B73,Reliability!$A$3:$I$170,9,FALSE)</f>
        <v>High</v>
      </c>
      <c r="K73" s="183">
        <f t="shared" si="8"/>
        <v>3.2</v>
      </c>
      <c r="L73" s="183">
        <f>VLOOKUP($B73,'Impact of the crisis'!$C$6:$N$170,12,FALSE)</f>
        <v>4.5999999999999996</v>
      </c>
      <c r="M73" s="183">
        <f>VLOOKUP($B73,'Impact of the crisis'!$C$6:$AB$170,26,FALSE)</f>
        <v>2.2000000000000002</v>
      </c>
      <c r="N73" s="183">
        <f>VLOOKUP($B73,'Conditions of people affected'!$C$6:$R$170,16,FALSE)</f>
        <v>3.85</v>
      </c>
      <c r="O73" s="183">
        <f>VLOOKUP($B73,'Conditions of people affected'!$C$6:$R$170,9,FALSE)</f>
        <v>4.7</v>
      </c>
      <c r="P73" s="183">
        <f>VLOOKUP($B73,'Conditions of people affected'!$C$6:$R$170,15,FALSE)</f>
        <v>3</v>
      </c>
      <c r="Q73" s="183">
        <f t="shared" si="9"/>
        <v>3.1</v>
      </c>
      <c r="R73" s="183">
        <f>VLOOKUP($B73,'Complexity of the crisis'!$C$6:$AN$170,22,FALSE)</f>
        <v>3.2</v>
      </c>
      <c r="S73" s="184">
        <f>VLOOKUP($B73,'Complexity of the crisis'!$C$6:$AN$170,38,FALSE)</f>
        <v>3</v>
      </c>
      <c r="T73" s="179" t="str">
        <f>VLOOKUP(B73,Lists!$C$3:$E$167,3,FALSE)</f>
        <v>Africa</v>
      </c>
      <c r="U73" s="200">
        <v>44134</v>
      </c>
    </row>
    <row r="74" spans="1:21" x14ac:dyDescent="0.3">
      <c r="I74"/>
    </row>
    <row r="75" spans="1:21" x14ac:dyDescent="0.3">
      <c r="I75"/>
    </row>
    <row r="76" spans="1:21" x14ac:dyDescent="0.3">
      <c r="I76"/>
    </row>
    <row r="77" spans="1:21" x14ac:dyDescent="0.3">
      <c r="I77"/>
    </row>
    <row r="78" spans="1:21" x14ac:dyDescent="0.3">
      <c r="I78"/>
    </row>
    <row r="79" spans="1:21" x14ac:dyDescent="0.3">
      <c r="I79"/>
    </row>
    <row r="80" spans="1:21"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3">
    <cfRule type="cellIs" dxfId="282" priority="64" stopIfTrue="1" operator="between">
      <formula>4</formula>
      <formula>5</formula>
    </cfRule>
    <cfRule type="cellIs" dxfId="281" priority="70" stopIfTrue="1" operator="between">
      <formula>3</formula>
      <formula>4</formula>
    </cfRule>
    <cfRule type="cellIs" dxfId="280" priority="71" stopIfTrue="1" operator="between">
      <formula>2</formula>
      <formula>3</formula>
    </cfRule>
    <cfRule type="cellIs" dxfId="279" priority="72" stopIfTrue="1" operator="between">
      <formula>1</formula>
      <formula>2</formula>
    </cfRule>
    <cfRule type="cellIs" dxfId="278" priority="73" stopIfTrue="1" operator="between">
      <formula>0</formula>
      <formula>1</formula>
    </cfRule>
  </conditionalFormatting>
  <conditionalFormatting sqref="L5:M73">
    <cfRule type="cellIs" dxfId="277" priority="65" stopIfTrue="1" operator="between">
      <formula>4</formula>
      <formula>5</formula>
    </cfRule>
    <cfRule type="cellIs" dxfId="276" priority="66" stopIfTrue="1" operator="between">
      <formula>3</formula>
      <formula>4</formula>
    </cfRule>
    <cfRule type="cellIs" dxfId="275" priority="67" stopIfTrue="1" operator="between">
      <formula>2</formula>
      <formula>3</formula>
    </cfRule>
    <cfRule type="cellIs" dxfId="274" priority="68" stopIfTrue="1" operator="between">
      <formula>1</formula>
      <formula>2</formula>
    </cfRule>
    <cfRule type="cellIs" dxfId="273" priority="69" stopIfTrue="1" operator="between">
      <formula>0</formula>
      <formula>1</formula>
    </cfRule>
  </conditionalFormatting>
  <conditionalFormatting sqref="O5:P73">
    <cfRule type="cellIs" dxfId="272" priority="54" stopIfTrue="1" operator="between">
      <formula>7.1</formula>
      <formula>10</formula>
    </cfRule>
    <cfRule type="cellIs" dxfId="271" priority="55" stopIfTrue="1" operator="between">
      <formula>5.4</formula>
      <formula>7</formula>
    </cfRule>
    <cfRule type="cellIs" dxfId="270" priority="56" stopIfTrue="1" operator="between">
      <formula>3.5</formula>
      <formula>5.3</formula>
    </cfRule>
    <cfRule type="cellIs" dxfId="269" priority="57" stopIfTrue="1" operator="between">
      <formula>1.8</formula>
      <formula>3.4</formula>
    </cfRule>
    <cfRule type="cellIs" dxfId="268" priority="58" stopIfTrue="1" operator="between">
      <formula>0</formula>
      <formula>1.7</formula>
    </cfRule>
  </conditionalFormatting>
  <conditionalFormatting sqref="S5:S73">
    <cfRule type="cellIs" dxfId="267" priority="49" stopIfTrue="1" operator="between">
      <formula>4</formula>
      <formula>5</formula>
    </cfRule>
    <cfRule type="cellIs" dxfId="266" priority="50" stopIfTrue="1" operator="between">
      <formula>3</formula>
      <formula>4</formula>
    </cfRule>
    <cfRule type="cellIs" dxfId="265" priority="51" stopIfTrue="1" operator="between">
      <formula>2</formula>
      <formula>3</formula>
    </cfRule>
    <cfRule type="cellIs" dxfId="264" priority="52" stopIfTrue="1" operator="between">
      <formula>1</formula>
      <formula>2</formula>
    </cfRule>
    <cfRule type="cellIs" dxfId="263" priority="53" stopIfTrue="1" operator="between">
      <formula>0</formula>
      <formula>1</formula>
    </cfRule>
  </conditionalFormatting>
  <conditionalFormatting sqref="Q5:Q73">
    <cfRule type="cellIs" dxfId="262" priority="34" stopIfTrue="1" operator="between">
      <formula>4</formula>
      <formula>5</formula>
    </cfRule>
    <cfRule type="cellIs" dxfId="261" priority="35" stopIfTrue="1" operator="between">
      <formula>3</formula>
      <formula>4</formula>
    </cfRule>
    <cfRule type="cellIs" dxfId="260" priority="36" stopIfTrue="1" operator="between">
      <formula>2</formula>
      <formula>3</formula>
    </cfRule>
    <cfRule type="cellIs" dxfId="259" priority="37" stopIfTrue="1" operator="between">
      <formula>1</formula>
      <formula>2</formula>
    </cfRule>
    <cfRule type="cellIs" dxfId="258" priority="38" stopIfTrue="1" operator="between">
      <formula>0</formula>
      <formula>1</formula>
    </cfRule>
  </conditionalFormatting>
  <conditionalFormatting sqref="I5:I73">
    <cfRule type="cellIs" dxfId="257" priority="26" operator="equal">
      <formula>"Increasing"</formula>
    </cfRule>
    <cfRule type="cellIs" dxfId="256" priority="27" operator="equal">
      <formula>"Stable"</formula>
    </cfRule>
    <cfRule type="cellIs" dxfId="255" priority="28" operator="equal">
      <formula>"Decreasing"</formula>
    </cfRule>
  </conditionalFormatting>
  <conditionalFormatting sqref="R5:S73">
    <cfRule type="cellIs" dxfId="254" priority="44" stopIfTrue="1" operator="between">
      <formula>4</formula>
      <formula>5</formula>
    </cfRule>
    <cfRule type="cellIs" dxfId="253" priority="45" stopIfTrue="1" operator="between">
      <formula>3</formula>
      <formula>4</formula>
    </cfRule>
    <cfRule type="cellIs" dxfId="252" priority="46" stopIfTrue="1" operator="between">
      <formula>2</formula>
      <formula>3</formula>
    </cfRule>
    <cfRule type="cellIs" dxfId="251" priority="47" stopIfTrue="1" operator="between">
      <formula>1</formula>
      <formula>2</formula>
    </cfRule>
    <cfRule type="cellIs" dxfId="250" priority="48" stopIfTrue="1" operator="between">
      <formula>0</formula>
      <formula>1</formula>
    </cfRule>
  </conditionalFormatting>
  <conditionalFormatting sqref="G5:G73">
    <cfRule type="cellIs" dxfId="249" priority="16" stopIfTrue="1" operator="equal">
      <formula>5</formula>
    </cfRule>
    <cfRule type="cellIs" dxfId="248" priority="17" stopIfTrue="1" operator="equal">
      <formula>4</formula>
    </cfRule>
    <cfRule type="cellIs" dxfId="247" priority="18" stopIfTrue="1" operator="equal">
      <formula>3</formula>
    </cfRule>
    <cfRule type="cellIs" dxfId="246" priority="19" stopIfTrue="1" operator="equal">
      <formula>2</formula>
    </cfRule>
    <cfRule type="cellIs" dxfId="245" priority="20" stopIfTrue="1" operator="equal">
      <formula>1</formula>
    </cfRule>
  </conditionalFormatting>
  <conditionalFormatting sqref="H5:H73">
    <cfRule type="cellIs" dxfId="244" priority="11" stopIfTrue="1" operator="equal">
      <formula>"Very High"</formula>
    </cfRule>
    <cfRule type="cellIs" dxfId="243" priority="12" stopIfTrue="1" operator="equal">
      <formula>"High"</formula>
    </cfRule>
    <cfRule type="cellIs" dxfId="242" priority="13" stopIfTrue="1" operator="equal">
      <formula>"Medium"</formula>
    </cfRule>
    <cfRule type="cellIs" dxfId="241" priority="14" stopIfTrue="1" operator="equal">
      <formula>"Low"</formula>
    </cfRule>
    <cfRule type="cellIs" dxfId="240" priority="15" stopIfTrue="1" operator="equal">
      <formula>"Very Low"</formula>
    </cfRule>
  </conditionalFormatting>
  <conditionalFormatting sqref="N5:N73">
    <cfRule type="cellIs" dxfId="239" priority="6" stopIfTrue="1" operator="between">
      <formula>5</formula>
      <formula>5.9</formula>
    </cfRule>
    <cfRule type="cellIs" dxfId="238" priority="7" stopIfTrue="1" operator="between">
      <formula>4</formula>
      <formula>4.9</formula>
    </cfRule>
    <cfRule type="cellIs" dxfId="237" priority="8" stopIfTrue="1" operator="between">
      <formula>3</formula>
      <formula>3.9</formula>
    </cfRule>
    <cfRule type="cellIs" dxfId="236" priority="9" stopIfTrue="1" operator="between">
      <formula>2</formula>
      <formula>2.9</formula>
    </cfRule>
    <cfRule type="cellIs" dxfId="235" priority="10" stopIfTrue="1" operator="between">
      <formula>0</formula>
      <formula>1.9</formula>
    </cfRule>
  </conditionalFormatting>
  <conditionalFormatting sqref="J5:J73">
    <cfRule type="cellIs" dxfId="234" priority="1" stopIfTrue="1" operator="equal">
      <formula>"Very Low"</formula>
    </cfRule>
    <cfRule type="cellIs" dxfId="233" priority="2" stopIfTrue="1" operator="equal">
      <formula>"Low"</formula>
    </cfRule>
    <cfRule type="cellIs" dxfId="232" priority="3" stopIfTrue="1" operator="equal">
      <formula>"Medium"</formula>
    </cfRule>
    <cfRule type="cellIs" dxfId="231" priority="4" stopIfTrue="1" operator="equal">
      <formula>"High"</formula>
    </cfRule>
    <cfRule type="cellIs" dxfId="230" priority="5" stopIfTrue="1" operator="equal">
      <formula>"Very High"</formula>
    </cfRule>
  </conditionalFormatting>
  <pageMargins left="0.7" right="0.7" top="0.75" bottom="0.75" header="0.3" footer="0.3"/>
  <pageSetup paperSize="8"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L144" activePane="bottomRight" state="frozen"/>
      <selection pane="topRight" activeCell="C1" sqref="C1"/>
      <selection pane="bottomLeft" activeCell="A9" sqref="A9"/>
      <selection pane="bottomRight" activeCell="A152" sqref="A152:AB155"/>
    </sheetView>
  </sheetViews>
  <sheetFormatPr defaultColWidth="9.44140625" defaultRowHeight="14.4" x14ac:dyDescent="0.3"/>
  <cols>
    <col min="1" max="1" width="36" style="78" customWidth="1"/>
    <col min="2" max="2" width="26" style="78" bestFit="1" customWidth="1"/>
    <col min="3" max="3" width="10.44140625" style="78" bestFit="1" customWidth="1"/>
    <col min="4" max="4" width="14.44140625" style="78" customWidth="1"/>
    <col min="5" max="5" width="9.44140625" style="78"/>
    <col min="6" max="6" width="8.5546875" style="292" customWidth="1"/>
    <col min="7" max="7" width="8.5546875" style="295" customWidth="1"/>
    <col min="8" max="10" width="8.5546875" style="292" customWidth="1"/>
    <col min="11" max="11" width="8.5546875" style="295" customWidth="1"/>
    <col min="12" max="13" width="8.5546875" style="292" customWidth="1"/>
    <col min="14" max="14" width="8.5546875" style="78" customWidth="1"/>
    <col min="15" max="15" width="8.5546875" style="292" customWidth="1"/>
    <col min="16" max="16" width="8.5546875" style="295" customWidth="1"/>
    <col min="17" max="19" width="8.5546875" style="292" customWidth="1"/>
    <col min="20" max="20" width="8.5546875" style="295" customWidth="1"/>
    <col min="21" max="27" width="8.5546875" style="292" customWidth="1"/>
    <col min="28" max="28" width="8.5546875" style="78" customWidth="1"/>
    <col min="29" max="16384" width="9.44140625" style="78"/>
  </cols>
  <sheetData>
    <row r="1" spans="1:28" ht="15" thickBot="1" x14ac:dyDescent="0.35">
      <c r="A1" s="298"/>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row>
    <row r="2" spans="1:28" ht="111.6" customHeight="1" thickBot="1" x14ac:dyDescent="0.35">
      <c r="A2" s="1"/>
      <c r="B2" s="1"/>
      <c r="C2" s="15"/>
      <c r="D2" s="15"/>
      <c r="E2" s="8"/>
      <c r="F2" s="128" t="s">
        <v>2976</v>
      </c>
      <c r="G2" s="130" t="s">
        <v>2977</v>
      </c>
      <c r="H2" s="128" t="s">
        <v>2978</v>
      </c>
      <c r="I2" s="123" t="s">
        <v>450</v>
      </c>
      <c r="J2" s="128" t="s">
        <v>423</v>
      </c>
      <c r="K2" s="130" t="s">
        <v>544</v>
      </c>
      <c r="L2" s="128" t="s">
        <v>422</v>
      </c>
      <c r="M2" s="123" t="s">
        <v>451</v>
      </c>
      <c r="N2" s="122" t="s">
        <v>3225</v>
      </c>
      <c r="O2" s="128" t="s">
        <v>425</v>
      </c>
      <c r="P2" s="130" t="s">
        <v>2974</v>
      </c>
      <c r="Q2" s="128" t="s">
        <v>424</v>
      </c>
      <c r="R2" s="123" t="s">
        <v>448</v>
      </c>
      <c r="S2" s="128" t="s">
        <v>545</v>
      </c>
      <c r="T2" s="130" t="s">
        <v>2975</v>
      </c>
      <c r="U2" s="128" t="s">
        <v>546</v>
      </c>
      <c r="V2" s="126" t="s">
        <v>547</v>
      </c>
      <c r="W2" s="128" t="s">
        <v>2970</v>
      </c>
      <c r="X2" s="129" t="s">
        <v>2936</v>
      </c>
      <c r="Y2" s="127" t="s">
        <v>2971</v>
      </c>
      <c r="Z2" s="125" t="s">
        <v>550</v>
      </c>
      <c r="AA2" s="124" t="s">
        <v>2958</v>
      </c>
      <c r="AB2" s="122" t="s">
        <v>3226</v>
      </c>
    </row>
    <row r="3" spans="1:28" x14ac:dyDescent="0.3">
      <c r="A3" s="1"/>
      <c r="B3" s="1"/>
      <c r="C3" s="15"/>
      <c r="D3" s="15"/>
      <c r="E3" s="8" t="s">
        <v>370</v>
      </c>
      <c r="F3" s="91">
        <v>6</v>
      </c>
      <c r="G3" s="91"/>
      <c r="H3" s="92">
        <v>1</v>
      </c>
      <c r="I3" s="91"/>
      <c r="J3" s="98">
        <v>7.5</v>
      </c>
      <c r="K3" s="94"/>
      <c r="L3" s="92">
        <v>1</v>
      </c>
      <c r="M3" s="91"/>
      <c r="N3" s="95"/>
      <c r="O3" s="98">
        <v>7.5</v>
      </c>
      <c r="P3" s="94"/>
      <c r="Q3" s="92">
        <v>1</v>
      </c>
      <c r="R3" s="91"/>
      <c r="S3" s="98">
        <v>6.5</v>
      </c>
      <c r="T3" s="94"/>
      <c r="U3" s="97">
        <v>0.15</v>
      </c>
      <c r="V3" s="91"/>
      <c r="W3" s="98">
        <v>3.5</v>
      </c>
      <c r="X3" s="93"/>
      <c r="Y3" s="96">
        <v>1E-4</v>
      </c>
      <c r="Z3" s="93"/>
      <c r="AA3" s="91"/>
      <c r="AB3" s="95"/>
    </row>
    <row r="4" spans="1:28" x14ac:dyDescent="0.3">
      <c r="A4" s="1"/>
      <c r="B4" s="1"/>
      <c r="C4" s="15"/>
      <c r="D4" s="15"/>
      <c r="E4" s="8" t="s">
        <v>369</v>
      </c>
      <c r="F4" s="91">
        <v>3</v>
      </c>
      <c r="G4" s="91"/>
      <c r="H4" s="92">
        <v>0.02</v>
      </c>
      <c r="I4" s="91"/>
      <c r="J4" s="93">
        <v>6</v>
      </c>
      <c r="K4" s="94"/>
      <c r="L4" s="92">
        <v>0.01</v>
      </c>
      <c r="M4" s="91"/>
      <c r="N4" s="95"/>
      <c r="O4" s="98">
        <v>4.5</v>
      </c>
      <c r="P4" s="94"/>
      <c r="Q4" s="92">
        <v>0.01</v>
      </c>
      <c r="R4" s="91"/>
      <c r="S4" s="93">
        <v>3</v>
      </c>
      <c r="T4" s="94"/>
      <c r="U4" s="97">
        <v>0</v>
      </c>
      <c r="V4" s="91"/>
      <c r="W4" s="93">
        <v>0</v>
      </c>
      <c r="X4" s="93"/>
      <c r="Y4" s="92">
        <v>0</v>
      </c>
      <c r="Z4" s="93"/>
      <c r="AA4" s="91"/>
      <c r="AB4" s="95"/>
    </row>
    <row r="5" spans="1:28" x14ac:dyDescent="0.3">
      <c r="A5" s="20" t="s">
        <v>399</v>
      </c>
      <c r="B5" s="20" t="s">
        <v>410</v>
      </c>
      <c r="C5" s="20" t="s">
        <v>400</v>
      </c>
      <c r="D5" s="20" t="s">
        <v>367</v>
      </c>
      <c r="E5" s="21" t="s">
        <v>371</v>
      </c>
      <c r="F5" s="22"/>
      <c r="G5" s="23"/>
      <c r="H5" s="22"/>
      <c r="I5" s="24"/>
      <c r="J5" s="22"/>
      <c r="K5" s="23"/>
      <c r="L5" s="22"/>
      <c r="M5" s="24"/>
      <c r="N5" s="25"/>
      <c r="O5" s="22"/>
      <c r="P5" s="23"/>
      <c r="Q5" s="22"/>
      <c r="R5" s="24"/>
      <c r="S5" s="22"/>
      <c r="T5" s="23"/>
      <c r="U5" s="22"/>
      <c r="V5" s="24"/>
      <c r="W5" s="22"/>
      <c r="X5" s="24"/>
      <c r="Y5" s="24"/>
      <c r="Z5" s="22"/>
      <c r="AA5" s="24"/>
      <c r="AB5" s="25"/>
    </row>
    <row r="6" spans="1:28" x14ac:dyDescent="0.3">
      <c r="A6" s="191" t="str">
        <f>'Crisis Indicator Data'!A3</f>
        <v>Complex crisis in Afghanistan</v>
      </c>
      <c r="B6" s="192" t="str">
        <f>'Crisis Indicator Data'!B3</f>
        <v>Complex crisis</v>
      </c>
      <c r="C6" s="192" t="str">
        <f>'Crisis Indicator Data'!C3</f>
        <v>AFG001</v>
      </c>
      <c r="D6" s="192" t="str">
        <f>'Crisis Indicator Data'!D3</f>
        <v>Afghanistan</v>
      </c>
      <c r="E6" s="193" t="str">
        <f>'Crisis Indicator Data'!E3</f>
        <v>AFG</v>
      </c>
      <c r="F6" s="190">
        <f>IF('Crisis Indicator Data'!F3="x","x",IF(LOG('Crisis Indicator Data'!F3)&lt;F$4,0,IF(LOG('Crisis Indicator Data'!F3)&gt;F$3,5,ROUND(5-(F$3-LOG('Crisis Indicator Data'!F3))/(F$3-F$4)*5,1))))</f>
        <v>4.7</v>
      </c>
      <c r="G6" s="185">
        <f>IF('Crisis Indicator Data'!F3="x","x",IF(B6="Regional crisis",('Crisis Indicator Data'!F3/VLOOKUP('Impact of the crisis'!$C6,'Regional Crises'!$B$1:$R$66,4,FALSE)),'Crisis Indicator Data'!F3/VLOOKUP('Impact of the crisis'!$E6,'Country Indicator Data'!$B$4:$P$194,15,FALSE)))</f>
        <v>1.0000107220537329</v>
      </c>
      <c r="H6" s="167">
        <f>IF(G6="x","x",IF(G6&lt;H$4,0,IF(G6&gt;H$3,5,ROUND(5-(H$3-G6)/(H$3-H$4)*5,1))))</f>
        <v>5</v>
      </c>
      <c r="I6" s="167">
        <f>IF(AND(H6="x",F6="x"),"x",AVERAGE(F6,H6))</f>
        <v>4.8499999999999996</v>
      </c>
      <c r="J6" s="167">
        <f>IF('Crisis Indicator Data'!G3="x","x",IF(LOG('Crisis Indicator Data'!G3)&lt;J$4,0,IF(LOG('Crisis Indicator Data'!G3)&gt;J$3,5,ROUND(5-(J$3-LOG('Crisis Indicator Data'!G3))/(J$3-J$4)*5,1))))</f>
        <v>5</v>
      </c>
      <c r="K6" s="185">
        <f>IF('Crisis Indicator Data'!G3="x","x",IF(B6="Regional crisis",('Crisis Indicator Data'!G3/VLOOKUP('Impact of the crisis'!$C6,'Regional Crises'!$B$1:$R$66,5,FALSE)),'Crisis Indicator Data'!G3/VLOOKUP('Impact of the crisis'!$E6,'Country Indicator Data'!$B$4:$P$194,14,FALSE)))</f>
        <v>1</v>
      </c>
      <c r="L6" s="167">
        <f>IF(K6="x","x",IF(K6&lt;L$4,0,IF(K6&gt;L$3,5,ROUND(5-(L$3-K6)/(L$3-L$4)*5,1))))</f>
        <v>5</v>
      </c>
      <c r="M6" s="167">
        <f>IF(AND(L6="x",J6="x"),"x",AVERAGE(J6,L6))</f>
        <v>5</v>
      </c>
      <c r="N6" s="167">
        <f>IF(AND(M6="x",I6="x"),"x",IF(OR(M6="x",I6="x"),AVERAGE(I6,M6),ROUND((5-GEOMEAN(((5-I6)/5*4+1),((5-M6)/5*4+1)))/4*5,1)))</f>
        <v>4.9000000000000004</v>
      </c>
      <c r="O6" s="167">
        <f>IF('Crisis Indicator Data'!H3="x","x",IF('Crisis Indicator Data'!H3=0,0,IF(LOG('Crisis Indicator Data'!H3)&lt;O$4,0,IF(LOG('Crisis Indicator Data'!H3)&gt;O$3,5,ROUND(5-(O$3-LOG('Crisis Indicator Data'!H3))/(O$3-O$4)*5,1)))))</f>
        <v>5</v>
      </c>
      <c r="P6" s="185">
        <f>IF('Crisis Indicator Data'!H3="x","x",'Crisis Indicator Data'!H3/'Crisis Indicator Data'!G3)</f>
        <v>1</v>
      </c>
      <c r="Q6" s="167">
        <f>IF(P6="x","x",IF(P6&lt;Q$4,0,IF(P6&gt;Q$3,5,ROUND(5-(Q$3-P6)/(Q$3-Q$4)*5,1))))</f>
        <v>5</v>
      </c>
      <c r="R6" s="167">
        <f>IF(AND(Q6="x",O6="x"),"x",AVERAGE(O6,Q6))</f>
        <v>5</v>
      </c>
      <c r="S6" s="167">
        <f>IF('Crisis Indicator Data'!I3="x","x",IF('Crisis Indicator Data'!I3=0,0,IF(LOG('Crisis Indicator Data'!I3)&lt;S$4,0,IF(LOG('Crisis Indicator Data'!I3)&gt;S$3,5,ROUND(5-(S$3-LOG('Crisis Indicator Data'!I3))/(S$3-S$4)*5,1)))))</f>
        <v>5</v>
      </c>
      <c r="T6" s="185">
        <f>IF('Crisis Indicator Data'!H3="x","x",IF('Crisis Indicator Data'!I3="x","x",'Crisis Indicator Data'!I3/'Crisis Indicator Data'!H3))</f>
        <v>0.14263305322128852</v>
      </c>
      <c r="U6" s="167">
        <f>IF(T6="x","x",IF(T6&lt;U$4,0,IF(T6&gt;U$3,5,ROUND(5-(U$3-T6)/(U$3-U$4)*5,1))))</f>
        <v>4.8</v>
      </c>
      <c r="V6" s="167">
        <f>IF(AND(U6="x",S6="x"),"x",ROUND(AVERAGE(S6,U6),1))</f>
        <v>4.9000000000000004</v>
      </c>
      <c r="W6" s="167">
        <f>IF('Crisis Indicator Data'!L3="x","x",IF('Crisis Indicator Data'!L3=0,0,IF(LOG('Crisis Indicator Data'!L3)&lt;W$4,0,IF(LOG('Crisis Indicator Data'!L3)&gt;W$3,5,ROUND(5-(W$3-LOG('Crisis Indicator Data'!L3))/(W$3-W$4)*5,1)))))</f>
        <v>5</v>
      </c>
      <c r="X6" s="186">
        <f>IF(OR('Crisis Indicator Data'!L3="x",'Crisis Indicator Data'!H3="x"),"x",'Crisis Indicator Data'!L3/'Crisis Indicator Data'!H3)</f>
        <v>3.092997198879552E-4</v>
      </c>
      <c r="Y6" s="167">
        <f>IF(X6="x","x",IF(X6&lt;Y$4,0,IF(X6&gt;Y$3,5,ROUND(5-(Y$3-X6)/(Y$3-Y$4)*5,1))))</f>
        <v>5</v>
      </c>
      <c r="Z6" s="167">
        <f>IF(AND(Y6="x",W6="x"),"x",ROUND(AVERAGE(W6,Y6),1))</f>
        <v>5</v>
      </c>
      <c r="AA6" s="167">
        <f>IF(AND(V6="x",Z6="x"),"x",IF(OR(V6="x",Z6="x"),AVERAGE(V6,Z6),ROUND((5-GEOMEAN(((5-V6)/5*4+1),((5-Z6)/5*4+1)))/4*5,1)))</f>
        <v>5</v>
      </c>
      <c r="AB6" s="187">
        <f>IF(AND(R6="x",AA6="x"),"x",IF(OR(R6="x",AA6="x"),AVERAGE(R6,AA6),ROUND((5-GEOMEAN(((5-R6)/5*4+1),((5-AA6)/5*4+1)))/4*5,1)))</f>
        <v>5</v>
      </c>
    </row>
    <row r="7" spans="1:28" x14ac:dyDescent="0.3">
      <c r="A7" s="191" t="str">
        <f>'Crisis Indicator Data'!A4</f>
        <v>Mixed migration flows in Algeria</v>
      </c>
      <c r="B7" s="192" t="str">
        <f>'Crisis Indicator Data'!B4</f>
        <v>International displacement</v>
      </c>
      <c r="C7" s="192" t="str">
        <f>'Crisis Indicator Data'!C4</f>
        <v>DZA002</v>
      </c>
      <c r="D7" s="192" t="str">
        <f>'Crisis Indicator Data'!D4</f>
        <v>Algeria</v>
      </c>
      <c r="E7" s="193" t="str">
        <f>'Crisis Indicator Data'!E4</f>
        <v>DZA</v>
      </c>
      <c r="F7" s="190">
        <f>IF('Crisis Indicator Data'!F4="x","x",IF(LOG('Crisis Indicator Data'!F4)&lt;F$4,0,IF(LOG('Crisis Indicator Data'!F4)&gt;F$3,5,ROUND(5-(F$3-LOG('Crisis Indicator Data'!F4))/(F$3-F$4)*5,1))))</f>
        <v>5</v>
      </c>
      <c r="G7" s="185">
        <f>IF('Crisis Indicator Data'!F4="x","x",IF(B7="Regional crisis",('Crisis Indicator Data'!F4/VLOOKUP('Impact of the crisis'!$C7,'Regional Crises'!$B$1:$R$66,4,FALSE)),'Crisis Indicator Data'!F4/VLOOKUP('Impact of the crisis'!$E7,'Country Indicator Data'!$B$4:$P$194,15,FALSE)))</f>
        <v>0.99968888304815684</v>
      </c>
      <c r="H7" s="167">
        <f t="shared" ref="H7:H70" si="0">IF(G7="x","x",IF(G7&lt;H$4,0,IF(G7&gt;H$3,5,ROUND(5-(H$3-G7)/(H$3-H$4)*5,1))))</f>
        <v>5</v>
      </c>
      <c r="I7" s="167">
        <f t="shared" ref="I7:I53" si="1">IF(AND(H7="x",F7="x"),"x",AVERAGE(F7,H7))</f>
        <v>5</v>
      </c>
      <c r="J7" s="167">
        <f>IF('Crisis Indicator Data'!G4="x","x",IF(LOG('Crisis Indicator Data'!G4)&lt;J$4,0,IF(LOG('Crisis Indicator Data'!G4)&gt;J$3,5,ROUND(5-(J$3-LOG('Crisis Indicator Data'!G4))/(J$3-J$4)*5,1))))</f>
        <v>5</v>
      </c>
      <c r="K7" s="185">
        <f>IF('Crisis Indicator Data'!G4="x","x",IF(B7="Regional crisis",('Crisis Indicator Data'!G4/VLOOKUP('Impact of the crisis'!$C7,'Regional Crises'!$B$1:$R$66,5,FALSE)),'Crisis Indicator Data'!G4/VLOOKUP('Impact of the crisis'!$E7,'Country Indicator Data'!$B$4:$P$194,14,FALSE)))</f>
        <v>1</v>
      </c>
      <c r="L7" s="167">
        <f t="shared" ref="L7:L70" si="2">IF(K7="x","x",IF(K7&lt;L$4,0,IF(K7&gt;L$3,5,ROUND(5-(L$3-K7)/(L$3-L$4)*5,1))))</f>
        <v>5</v>
      </c>
      <c r="M7" s="167">
        <f t="shared" ref="M7:M53" si="3">IF(AND(L7="x",J7="x"),"x",AVERAGE(J7,L7))</f>
        <v>5</v>
      </c>
      <c r="N7" s="167">
        <f t="shared" ref="N7:N70" si="4">IF(AND(M7="x",I7="x"),"x",IF(OR(M7="x",I7="x"),AVERAGE(I7,M7),ROUND((5-GEOMEAN(((5-I7)/5*4+1),((5-M7)/5*4+1)))/4*5,1)))</f>
        <v>5</v>
      </c>
      <c r="O7" s="167" t="str">
        <f>IF('Crisis Indicator Data'!H4="x","x",IF('Crisis Indicator Data'!H4=0,0,IF(LOG('Crisis Indicator Data'!H4)&lt;O$4,0,IF(LOG('Crisis Indicator Data'!H4)&gt;O$3,5,ROUND(5-(O$3-LOG('Crisis Indicator Data'!H4))/(O$3-O$4)*5,1)))))</f>
        <v>x</v>
      </c>
      <c r="P7" s="185" t="str">
        <f>IF('Crisis Indicator Data'!H4="x","x",'Crisis Indicator Data'!H4/'Crisis Indicator Data'!G4)</f>
        <v>x</v>
      </c>
      <c r="Q7" s="167" t="str">
        <f t="shared" ref="Q7:Q70" si="5">IF(P7="x","x",IF(P7&lt;Q$4,0,IF(P7&gt;Q$3,5,ROUND(5-(Q$3-P7)/(Q$3-Q$4)*5,1))))</f>
        <v>x</v>
      </c>
      <c r="R7" s="167" t="str">
        <f t="shared" ref="R7:R53" si="6">IF(AND(Q7="x",O7="x"),"x",AVERAGE(O7,Q7))</f>
        <v>x</v>
      </c>
      <c r="S7" s="167" t="str">
        <f>IF('Crisis Indicator Data'!I4="x","x",IF('Crisis Indicator Data'!I4=0,0,IF(LOG('Crisis Indicator Data'!I4)&lt;S$4,0,IF(LOG('Crisis Indicator Data'!I4)&gt;S$3,5,ROUND(5-(S$3-LOG('Crisis Indicator Data'!I4))/(S$3-S$4)*5,1)))))</f>
        <v>x</v>
      </c>
      <c r="T7" s="185" t="str">
        <f>IF('Crisis Indicator Data'!H4="x","x",IF('Crisis Indicator Data'!I4="x","x",'Crisis Indicator Data'!I4/'Crisis Indicator Data'!H4))</f>
        <v>x</v>
      </c>
      <c r="U7" s="167" t="str">
        <f t="shared" ref="U7:U70" si="7">IF(T7="x","x",IF(T7&lt;U$4,0,IF(T7&gt;U$3,5,ROUND(5-(U$3-T7)/(U$3-U$4)*5,1))))</f>
        <v>x</v>
      </c>
      <c r="V7" s="167" t="str">
        <f t="shared" ref="V7:V70" si="8">IF(AND(U7="x",S7="x"),"x",ROUND(AVERAGE(S7,U7),1))</f>
        <v>x</v>
      </c>
      <c r="W7" s="167">
        <f>IF('Crisis Indicator Data'!L4="x","x",IF('Crisis Indicator Data'!L4=0,0,IF(LOG('Crisis Indicator Data'!L4)&lt;W$4,0,IF(LOG('Crisis Indicator Data'!L4)&gt;W$3,5,ROUND(5-(W$3-LOG('Crisis Indicator Data'!L4))/(W$3-W$4)*5,1)))))</f>
        <v>4</v>
      </c>
      <c r="X7" s="186" t="str">
        <f>IF(OR('Crisis Indicator Data'!L4="x",'Crisis Indicator Data'!H4="x"),"x",'Crisis Indicator Data'!L4/'Crisis Indicator Data'!H4)</f>
        <v>x</v>
      </c>
      <c r="Y7" s="167" t="str">
        <f t="shared" ref="Y7:Y70" si="9">IF(X7="x","x",IF(X7&lt;Y$4,0,IF(X7&gt;Y$3,5,ROUND(5-(Y$3-X7)/(Y$3-Y$4)*5,1))))</f>
        <v>x</v>
      </c>
      <c r="Z7" s="167">
        <f t="shared" ref="Z7:Z70" si="10">IF(AND(Y7="x",W7="x"),"x",ROUND(AVERAGE(W7,Y7),1))</f>
        <v>4</v>
      </c>
      <c r="AA7" s="167">
        <f t="shared" ref="AA7:AA70" si="11">IF(AND(V7="x",Z7="x"),"x",IF(OR(V7="x",Z7="x"),AVERAGE(V7,Z7),ROUND((5-GEOMEAN(((5-V7)/5*4+1),((5-Z7)/5*4+1)))/4*5,1)))</f>
        <v>4</v>
      </c>
      <c r="AB7" s="187">
        <f t="shared" ref="AB7:AB70" si="12">IF(AND(R7="x",AA7="x"),"x",IF(OR(R7="x",AA7="x"),AVERAGE(R7,AA7),ROUND((5-GEOMEAN(((5-R7)/5*4+1),((5-AA7)/5*4+1)))/4*5,1)))</f>
        <v>4</v>
      </c>
    </row>
    <row r="8" spans="1:28" x14ac:dyDescent="0.3">
      <c r="A8" s="191" t="str">
        <f>'Crisis Indicator Data'!A5</f>
        <v>Sahrawi refugees in Algeria</v>
      </c>
      <c r="B8" s="192" t="str">
        <f>'Crisis Indicator Data'!B5</f>
        <v>International displacement</v>
      </c>
      <c r="C8" s="192" t="str">
        <f>'Crisis Indicator Data'!C5</f>
        <v>DZA003</v>
      </c>
      <c r="D8" s="192" t="str">
        <f>'Crisis Indicator Data'!D5</f>
        <v>Algeria</v>
      </c>
      <c r="E8" s="193" t="str">
        <f>'Crisis Indicator Data'!E5</f>
        <v>DZA</v>
      </c>
      <c r="F8" s="190">
        <f>IF('Crisis Indicator Data'!F5="x","x",IF(LOG('Crisis Indicator Data'!F5)&lt;F$4,0,IF(LOG('Crisis Indicator Data'!F5)&gt;F$3,5,ROUND(5-(F$3-LOG('Crisis Indicator Data'!F5))/(F$3-F$4)*5,1))))</f>
        <v>3.7</v>
      </c>
      <c r="G8" s="185">
        <f>IF('Crisis Indicator Data'!F5="x","x",IF(B8="Regional crisis",('Crisis Indicator Data'!F5/VLOOKUP('Impact of the crisis'!$C8,'Regional Crises'!$B$1:$R$66,4,FALSE)),'Crisis Indicator Data'!F5/VLOOKUP('Impact of the crisis'!$E8,'Country Indicator Data'!$B$4:$P$194,15,FALSE)))</f>
        <v>6.6757888452186873E-2</v>
      </c>
      <c r="H8" s="167">
        <f t="shared" si="0"/>
        <v>0.2</v>
      </c>
      <c r="I8" s="167">
        <f t="shared" si="1"/>
        <v>1.9500000000000002</v>
      </c>
      <c r="J8" s="167">
        <f>IF('Crisis Indicator Data'!G5="x","x",IF(LOG('Crisis Indicator Data'!G5)&lt;J$4,0,IF(LOG('Crisis Indicator Data'!G5)&gt;J$3,5,ROUND(5-(J$3-LOG('Crisis Indicator Data'!G5))/(J$3-J$4)*5,1))))</f>
        <v>0</v>
      </c>
      <c r="K8" s="185">
        <f>IF('Crisis Indicator Data'!G5="x","x",IF(B8="Regional crisis",('Crisis Indicator Data'!G5/VLOOKUP('Impact of the crisis'!$C8,'Regional Crises'!$B$1:$R$66,5,FALSE)),'Crisis Indicator Data'!G5/VLOOKUP('Impact of the crisis'!$E8,'Country Indicator Data'!$B$4:$P$194,14,FALSE)))</f>
        <v>5.1740139211136887E-3</v>
      </c>
      <c r="L8" s="167">
        <f t="shared" si="2"/>
        <v>0</v>
      </c>
      <c r="M8" s="167">
        <f t="shared" si="3"/>
        <v>0</v>
      </c>
      <c r="N8" s="167">
        <f t="shared" si="4"/>
        <v>1.1000000000000001</v>
      </c>
      <c r="O8" s="167">
        <f>IF('Crisis Indicator Data'!H5="x","x",IF('Crisis Indicator Data'!H5=0,0,IF(LOG('Crisis Indicator Data'!H5)&lt;O$4,0,IF(LOG('Crisis Indicator Data'!H5)&gt;O$3,5,ROUND(5-(O$3-LOG('Crisis Indicator Data'!H5))/(O$3-O$4)*5,1)))))</f>
        <v>1.2</v>
      </c>
      <c r="P8" s="185">
        <f>IF('Crisis Indicator Data'!H5="x","x",'Crisis Indicator Data'!H5/'Crisis Indicator Data'!G5)</f>
        <v>0.78026905829596416</v>
      </c>
      <c r="Q8" s="167">
        <f t="shared" si="5"/>
        <v>3.9</v>
      </c>
      <c r="R8" s="167">
        <f t="shared" si="6"/>
        <v>2.5499999999999998</v>
      </c>
      <c r="S8" s="167">
        <f>IF('Crisis Indicator Data'!I5="x","x",IF('Crisis Indicator Data'!I5=0,0,IF(LOG('Crisis Indicator Data'!I5)&lt;S$4,0,IF(LOG('Crisis Indicator Data'!I5)&gt;S$3,5,ROUND(5-(S$3-LOG('Crisis Indicator Data'!I5))/(S$3-S$4)*5,1)))))</f>
        <v>3.2</v>
      </c>
      <c r="T8" s="185">
        <f>IF('Crisis Indicator Data'!H5="x","x",IF('Crisis Indicator Data'!I5="x","x",'Crisis Indicator Data'!I5/'Crisis Indicator Data'!H5))</f>
        <v>1</v>
      </c>
      <c r="U8" s="167">
        <f t="shared" si="7"/>
        <v>5</v>
      </c>
      <c r="V8" s="167">
        <f t="shared" si="8"/>
        <v>4.0999999999999996</v>
      </c>
      <c r="W8" s="167">
        <f>IF('Crisis Indicator Data'!L5="x","x",IF('Crisis Indicator Data'!L5=0,0,IF(LOG('Crisis Indicator Data'!L5)&lt;W$4,0,IF(LOG('Crisis Indicator Data'!L5)&gt;W$3,5,ROUND(5-(W$3-LOG('Crisis Indicator Data'!L5))/(W$3-W$4)*5,1)))))</f>
        <v>0</v>
      </c>
      <c r="X8" s="186">
        <f>IF(OR('Crisis Indicator Data'!L5="x",'Crisis Indicator Data'!H5="x"),"x",'Crisis Indicator Data'!L5/'Crisis Indicator Data'!H5)</f>
        <v>0</v>
      </c>
      <c r="Y8" s="167">
        <f t="shared" si="9"/>
        <v>0</v>
      </c>
      <c r="Z8" s="167">
        <f t="shared" si="10"/>
        <v>0</v>
      </c>
      <c r="AA8" s="167">
        <f t="shared" si="11"/>
        <v>2.6</v>
      </c>
      <c r="AB8" s="187">
        <f t="shared" si="12"/>
        <v>2.6</v>
      </c>
    </row>
    <row r="9" spans="1:28" x14ac:dyDescent="0.3">
      <c r="A9" s="191" t="str">
        <f>'Crisis Indicator Data'!A6</f>
        <v>Multiple crises in Algeria</v>
      </c>
      <c r="B9" s="192" t="str">
        <f>'Crisis Indicator Data'!B6</f>
        <v>Multiple crises country</v>
      </c>
      <c r="C9" s="192" t="str">
        <f>'Crisis Indicator Data'!C6</f>
        <v>DZA004</v>
      </c>
      <c r="D9" s="192" t="str">
        <f>'Crisis Indicator Data'!D6</f>
        <v>Algeria</v>
      </c>
      <c r="E9" s="193" t="str">
        <f>'Crisis Indicator Data'!E6</f>
        <v>DZA</v>
      </c>
      <c r="F9" s="190">
        <f>IF('Crisis Indicator Data'!F6="x","x",IF(LOG('Crisis Indicator Data'!F6)&lt;F$4,0,IF(LOG('Crisis Indicator Data'!F6)&gt;F$3,5,ROUND(5-(F$3-LOG('Crisis Indicator Data'!F6))/(F$3-F$4)*5,1))))</f>
        <v>5</v>
      </c>
      <c r="G9" s="185">
        <f>IF('Crisis Indicator Data'!F6="x","x",IF(B9="Regional crisis",('Crisis Indicator Data'!F6/VLOOKUP('Impact of the crisis'!$C9,'Regional Crises'!$B$1:$R$66,4,FALSE)),'Crisis Indicator Data'!F6/VLOOKUP('Impact of the crisis'!$E9,'Country Indicator Data'!$B$4:$P$194,15,FALSE)))</f>
        <v>0.99968888304815684</v>
      </c>
      <c r="H9" s="167">
        <f t="shared" si="0"/>
        <v>5</v>
      </c>
      <c r="I9" s="167">
        <f t="shared" si="1"/>
        <v>5</v>
      </c>
      <c r="J9" s="167">
        <f>IF('Crisis Indicator Data'!G6="x","x",IF(LOG('Crisis Indicator Data'!G6)&lt;J$4,0,IF(LOG('Crisis Indicator Data'!G6)&gt;J$3,5,ROUND(5-(J$3-LOG('Crisis Indicator Data'!G6))/(J$3-J$4)*5,1))))</f>
        <v>5</v>
      </c>
      <c r="K9" s="185">
        <f>IF('Crisis Indicator Data'!G6="x","x",IF(B9="Regional crisis",('Crisis Indicator Data'!G6/VLOOKUP('Impact of the crisis'!$C9,'Regional Crises'!$B$1:$R$66,5,FALSE)),'Crisis Indicator Data'!G6/VLOOKUP('Impact of the crisis'!$E9,'Country Indicator Data'!$B$4:$P$194,14,FALSE)))</f>
        <v>1</v>
      </c>
      <c r="L9" s="167">
        <f t="shared" si="2"/>
        <v>5</v>
      </c>
      <c r="M9" s="167">
        <f t="shared" si="3"/>
        <v>5</v>
      </c>
      <c r="N9" s="167">
        <f t="shared" si="4"/>
        <v>5</v>
      </c>
      <c r="O9" s="167" t="str">
        <f>IF('Crisis Indicator Data'!H6="x","x",IF('Crisis Indicator Data'!H6=0,0,IF(LOG('Crisis Indicator Data'!H6)&lt;O$4,0,IF(LOG('Crisis Indicator Data'!H6)&gt;O$3,5,ROUND(5-(O$3-LOG('Crisis Indicator Data'!H6))/(O$3-O$4)*5,1)))))</f>
        <v>x</v>
      </c>
      <c r="P9" s="185" t="str">
        <f>IF('Crisis Indicator Data'!H6="x","x",'Crisis Indicator Data'!H6/'Crisis Indicator Data'!G6)</f>
        <v>x</v>
      </c>
      <c r="Q9" s="167" t="str">
        <f t="shared" si="5"/>
        <v>x</v>
      </c>
      <c r="R9" s="167" t="str">
        <f t="shared" si="6"/>
        <v>x</v>
      </c>
      <c r="S9" s="167" t="str">
        <f>IF('Crisis Indicator Data'!I6="x","x",IF('Crisis Indicator Data'!I6=0,0,IF(LOG('Crisis Indicator Data'!I6)&lt;S$4,0,IF(LOG('Crisis Indicator Data'!I6)&gt;S$3,5,ROUND(5-(S$3-LOG('Crisis Indicator Data'!I6))/(S$3-S$4)*5,1)))))</f>
        <v>x</v>
      </c>
      <c r="T9" s="185" t="str">
        <f>IF('Crisis Indicator Data'!H6="x","x",IF('Crisis Indicator Data'!I6="x","x",'Crisis Indicator Data'!I6/'Crisis Indicator Data'!H6))</f>
        <v>x</v>
      </c>
      <c r="U9" s="167" t="str">
        <f t="shared" si="7"/>
        <v>x</v>
      </c>
      <c r="V9" s="167" t="str">
        <f t="shared" si="8"/>
        <v>x</v>
      </c>
      <c r="W9" s="167">
        <f>IF('Crisis Indicator Data'!L6="x","x",IF('Crisis Indicator Data'!L6=0,0,IF(LOG('Crisis Indicator Data'!L6)&lt;W$4,0,IF(LOG('Crisis Indicator Data'!L6)&gt;W$3,5,ROUND(5-(W$3-LOG('Crisis Indicator Data'!L6))/(W$3-W$4)*5,1)))))</f>
        <v>4</v>
      </c>
      <c r="X9" s="186" t="str">
        <f>IF(OR('Crisis Indicator Data'!L6="x",'Crisis Indicator Data'!H6="x"),"x",'Crisis Indicator Data'!L6/'Crisis Indicator Data'!H6)</f>
        <v>x</v>
      </c>
      <c r="Y9" s="167" t="str">
        <f t="shared" si="9"/>
        <v>x</v>
      </c>
      <c r="Z9" s="167">
        <f t="shared" si="10"/>
        <v>4</v>
      </c>
      <c r="AA9" s="167">
        <f t="shared" si="11"/>
        <v>4</v>
      </c>
      <c r="AB9" s="187">
        <f t="shared" si="12"/>
        <v>4</v>
      </c>
    </row>
    <row r="10" spans="1:28" x14ac:dyDescent="0.3">
      <c r="A10" s="191" t="str">
        <f>'Crisis Indicator Data'!A7</f>
        <v>Western Mediterranean Route</v>
      </c>
      <c r="B10" s="192" t="str">
        <f>'Crisis Indicator Data'!B7</f>
        <v>Regional crisis</v>
      </c>
      <c r="C10" s="192" t="str">
        <f>'Crisis Indicator Data'!C7</f>
        <v>REG008</v>
      </c>
      <c r="D10" s="192" t="str">
        <f>'Crisis Indicator Data'!D7</f>
        <v>Algeria, Morocco, Spain</v>
      </c>
      <c r="E10" s="193" t="str">
        <f>'Crisis Indicator Data'!E7</f>
        <v>DZA, MAR, ESP</v>
      </c>
      <c r="F10" s="190" t="str">
        <f>IF('Crisis Indicator Data'!F7="x","x",IF(LOG('Crisis Indicator Data'!F7)&lt;F$4,0,IF(LOG('Crisis Indicator Data'!F7)&gt;F$3,5,ROUND(5-(F$3-LOG('Crisis Indicator Data'!F7))/(F$3-F$4)*5,1))))</f>
        <v>x</v>
      </c>
      <c r="G10" s="185" t="str">
        <f>IF('Crisis Indicator Data'!F7="x","x",IF(B10="Regional crisis",('Crisis Indicator Data'!F7/VLOOKUP('Impact of the crisis'!$C10,'Regional Crises'!$B$1:$R$66,4,FALSE)),'Crisis Indicator Data'!F7/VLOOKUP('Impact of the crisis'!$E10,'Country Indicator Data'!$B$4:$P$194,15,FALSE)))</f>
        <v>x</v>
      </c>
      <c r="H10" s="167" t="str">
        <f t="shared" si="0"/>
        <v>x</v>
      </c>
      <c r="I10" s="167" t="str">
        <f t="shared" si="1"/>
        <v>x</v>
      </c>
      <c r="J10" s="167" t="str">
        <f>IF('Crisis Indicator Data'!G7="x","x",IF(LOG('Crisis Indicator Data'!G7)&lt;J$4,0,IF(LOG('Crisis Indicator Data'!G7)&gt;J$3,5,ROUND(5-(J$3-LOG('Crisis Indicator Data'!G7))/(J$3-J$4)*5,1))))</f>
        <v>x</v>
      </c>
      <c r="K10" s="185" t="str">
        <f>IF('Crisis Indicator Data'!G7="x","x",IF(B10="Regional crisis",('Crisis Indicator Data'!G7/VLOOKUP('Impact of the crisis'!$C10,'Regional Crises'!$B$1:$R$66,5,FALSE)),'Crisis Indicator Data'!G7/VLOOKUP('Impact of the crisis'!$E10,'Country Indicator Data'!$B$4:$P$194,14,FALSE)))</f>
        <v>x</v>
      </c>
      <c r="L10" s="167" t="str">
        <f t="shared" si="2"/>
        <v>x</v>
      </c>
      <c r="M10" s="167" t="str">
        <f t="shared" si="3"/>
        <v>x</v>
      </c>
      <c r="N10" s="167" t="str">
        <f t="shared" si="4"/>
        <v>x</v>
      </c>
      <c r="O10" s="167" t="str">
        <f>IF('Crisis Indicator Data'!H7="x","x",IF('Crisis Indicator Data'!H7=0,0,IF(LOG('Crisis Indicator Data'!H7)&lt;O$4,0,IF(LOG('Crisis Indicator Data'!H7)&gt;O$3,5,ROUND(5-(O$3-LOG('Crisis Indicator Data'!H7))/(O$3-O$4)*5,1)))))</f>
        <v>x</v>
      </c>
      <c r="P10" s="185" t="str">
        <f>IF('Crisis Indicator Data'!H7="x","x",'Crisis Indicator Data'!H7/'Crisis Indicator Data'!G7)</f>
        <v>x</v>
      </c>
      <c r="Q10" s="167" t="str">
        <f t="shared" si="5"/>
        <v>x</v>
      </c>
      <c r="R10" s="167" t="str">
        <f t="shared" si="6"/>
        <v>x</v>
      </c>
      <c r="S10" s="167" t="str">
        <f>IF('Crisis Indicator Data'!I7="x","x",IF('Crisis Indicator Data'!I7=0,0,IF(LOG('Crisis Indicator Data'!I7)&lt;S$4,0,IF(LOG('Crisis Indicator Data'!I7)&gt;S$3,5,ROUND(5-(S$3-LOG('Crisis Indicator Data'!I7))/(S$3-S$4)*5,1)))))</f>
        <v>x</v>
      </c>
      <c r="T10" s="185" t="str">
        <f>IF('Crisis Indicator Data'!H7="x","x",IF('Crisis Indicator Data'!I7="x","x",'Crisis Indicator Data'!I7/'Crisis Indicator Data'!H7))</f>
        <v>x</v>
      </c>
      <c r="U10" s="167" t="str">
        <f t="shared" si="7"/>
        <v>x</v>
      </c>
      <c r="V10" s="167" t="str">
        <f t="shared" si="8"/>
        <v>x</v>
      </c>
      <c r="W10" s="167">
        <f>IF('Crisis Indicator Data'!L7="x","x",IF('Crisis Indicator Data'!L7=0,0,IF(LOG('Crisis Indicator Data'!L7)&lt;W$4,0,IF(LOG('Crisis Indicator Data'!L7)&gt;W$3,5,ROUND(5-(W$3-LOG('Crisis Indicator Data'!L7))/(W$3-W$4)*5,1)))))</f>
        <v>2.6</v>
      </c>
      <c r="X10" s="186" t="str">
        <f>IF(OR('Crisis Indicator Data'!L7="x",'Crisis Indicator Data'!H7="x"),"x",'Crisis Indicator Data'!L7/'Crisis Indicator Data'!H7)</f>
        <v>x</v>
      </c>
      <c r="Y10" s="167" t="str">
        <f t="shared" si="9"/>
        <v>x</v>
      </c>
      <c r="Z10" s="167">
        <f t="shared" si="10"/>
        <v>2.6</v>
      </c>
      <c r="AA10" s="167">
        <f t="shared" si="11"/>
        <v>2.6</v>
      </c>
      <c r="AB10" s="187">
        <f t="shared" si="12"/>
        <v>2.6</v>
      </c>
    </row>
    <row r="11" spans="1:28" x14ac:dyDescent="0.3">
      <c r="A11" s="191" t="str">
        <f>'Crisis Indicator Data'!A8</f>
        <v>Central Mediterranean Route</v>
      </c>
      <c r="B11" s="192" t="str">
        <f>'Crisis Indicator Data'!B8</f>
        <v>Regional crisis</v>
      </c>
      <c r="C11" s="192" t="str">
        <f>'Crisis Indicator Data'!C8</f>
        <v>REG007</v>
      </c>
      <c r="D11" s="192" t="str">
        <f>'Crisis Indicator Data'!D8</f>
        <v>Algeria, Tunisia, Libya, Italy</v>
      </c>
      <c r="E11" s="193" t="str">
        <f>'Crisis Indicator Data'!E8</f>
        <v>DZA, TUN, LBY, ITA</v>
      </c>
      <c r="F11" s="190" t="str">
        <f>IF('Crisis Indicator Data'!F8="x","x",IF(LOG('Crisis Indicator Data'!F8)&lt;F$4,0,IF(LOG('Crisis Indicator Data'!F8)&gt;F$3,5,ROUND(5-(F$3-LOG('Crisis Indicator Data'!F8))/(F$3-F$4)*5,1))))</f>
        <v>x</v>
      </c>
      <c r="G11" s="185" t="str">
        <f>IF('Crisis Indicator Data'!F8="x","x",IF(B11="Regional crisis",('Crisis Indicator Data'!F8/VLOOKUP('Impact of the crisis'!$C11,'Regional Crises'!$B$1:$R$66,4,FALSE)),'Crisis Indicator Data'!F8/VLOOKUP('Impact of the crisis'!$E11,'Country Indicator Data'!$B$4:$P$194,15,FALSE)))</f>
        <v>x</v>
      </c>
      <c r="H11" s="167" t="str">
        <f t="shared" si="0"/>
        <v>x</v>
      </c>
      <c r="I11" s="167" t="str">
        <f t="shared" si="1"/>
        <v>x</v>
      </c>
      <c r="J11" s="167" t="str">
        <f>IF('Crisis Indicator Data'!G8="x","x",IF(LOG('Crisis Indicator Data'!G8)&lt;J$4,0,IF(LOG('Crisis Indicator Data'!G8)&gt;J$3,5,ROUND(5-(J$3-LOG('Crisis Indicator Data'!G8))/(J$3-J$4)*5,1))))</f>
        <v>x</v>
      </c>
      <c r="K11" s="185" t="str">
        <f>IF('Crisis Indicator Data'!G8="x","x",IF(B11="Regional crisis",('Crisis Indicator Data'!G8/VLOOKUP('Impact of the crisis'!$C11,'Regional Crises'!$B$1:$R$66,5,FALSE)),'Crisis Indicator Data'!G8/VLOOKUP('Impact of the crisis'!$E11,'Country Indicator Data'!$B$4:$P$194,14,FALSE)))</f>
        <v>x</v>
      </c>
      <c r="L11" s="167" t="str">
        <f t="shared" si="2"/>
        <v>x</v>
      </c>
      <c r="M11" s="167" t="str">
        <f t="shared" si="3"/>
        <v>x</v>
      </c>
      <c r="N11" s="167" t="str">
        <f t="shared" si="4"/>
        <v>x</v>
      </c>
      <c r="O11" s="167" t="str">
        <f>IF('Crisis Indicator Data'!H8="x","x",IF('Crisis Indicator Data'!H8=0,0,IF(LOG('Crisis Indicator Data'!H8)&lt;O$4,0,IF(LOG('Crisis Indicator Data'!H8)&gt;O$3,5,ROUND(5-(O$3-LOG('Crisis Indicator Data'!H8))/(O$3-O$4)*5,1)))))</f>
        <v>x</v>
      </c>
      <c r="P11" s="185" t="str">
        <f>IF('Crisis Indicator Data'!H8="x","x",'Crisis Indicator Data'!H8/'Crisis Indicator Data'!G8)</f>
        <v>x</v>
      </c>
      <c r="Q11" s="167" t="str">
        <f t="shared" si="5"/>
        <v>x</v>
      </c>
      <c r="R11" s="167" t="str">
        <f t="shared" si="6"/>
        <v>x</v>
      </c>
      <c r="S11" s="167" t="str">
        <f>IF('Crisis Indicator Data'!I8="x","x",IF('Crisis Indicator Data'!I8=0,0,IF(LOG('Crisis Indicator Data'!I8)&lt;S$4,0,IF(LOG('Crisis Indicator Data'!I8)&gt;S$3,5,ROUND(5-(S$3-LOG('Crisis Indicator Data'!I8))/(S$3-S$4)*5,1)))))</f>
        <v>x</v>
      </c>
      <c r="T11" s="185" t="str">
        <f>IF('Crisis Indicator Data'!H8="x","x",IF('Crisis Indicator Data'!I8="x","x",'Crisis Indicator Data'!I8/'Crisis Indicator Data'!H8))</f>
        <v>x</v>
      </c>
      <c r="U11" s="167" t="str">
        <f t="shared" si="7"/>
        <v>x</v>
      </c>
      <c r="V11" s="167" t="str">
        <f t="shared" si="8"/>
        <v>x</v>
      </c>
      <c r="W11" s="167">
        <f>IF('Crisis Indicator Data'!L8="x","x",IF('Crisis Indicator Data'!L8=0,0,IF(LOG('Crisis Indicator Data'!L8)&lt;W$4,0,IF(LOG('Crisis Indicator Data'!L8)&gt;W$3,5,ROUND(5-(W$3-LOG('Crisis Indicator Data'!L8))/(W$3-W$4)*5,1)))))</f>
        <v>3.6</v>
      </c>
      <c r="X11" s="186" t="str">
        <f>IF(OR('Crisis Indicator Data'!L8="x",'Crisis Indicator Data'!H8="x"),"x",'Crisis Indicator Data'!L8/'Crisis Indicator Data'!H8)</f>
        <v>x</v>
      </c>
      <c r="Y11" s="167" t="str">
        <f t="shared" si="9"/>
        <v>x</v>
      </c>
      <c r="Z11" s="167">
        <f t="shared" si="10"/>
        <v>3.6</v>
      </c>
      <c r="AA11" s="167">
        <f t="shared" si="11"/>
        <v>3.6</v>
      </c>
      <c r="AB11" s="187">
        <f t="shared" si="12"/>
        <v>3.6</v>
      </c>
    </row>
    <row r="12" spans="1:28" x14ac:dyDescent="0.3">
      <c r="A12" s="191" t="str">
        <f>'Crisis Indicator Data'!A9</f>
        <v>Nagorno-Karabakh Conflict in Armenia</v>
      </c>
      <c r="B12" s="192" t="str">
        <f>'Crisis Indicator Data'!B9</f>
        <v>Conflict</v>
      </c>
      <c r="C12" s="192" t="str">
        <f>'Crisis Indicator Data'!C9</f>
        <v>ARM002</v>
      </c>
      <c r="D12" s="192" t="str">
        <f>'Crisis Indicator Data'!D9</f>
        <v>Armenia</v>
      </c>
      <c r="E12" s="193" t="str">
        <f>'Crisis Indicator Data'!E9</f>
        <v>ARM</v>
      </c>
      <c r="F12" s="190">
        <f>IF('Crisis Indicator Data'!F9="x","x",IF(LOG('Crisis Indicator Data'!F9)&lt;F$4,0,IF(LOG('Crisis Indicator Data'!F9)&gt;F$3,5,ROUND(5-(F$3-LOG('Crisis Indicator Data'!F9))/(F$3-F$4)*5,1))))</f>
        <v>0</v>
      </c>
      <c r="G12" s="185">
        <f>IF('Crisis Indicator Data'!F9="x","x",IF(B12="Regional crisis",('Crisis Indicator Data'!F9/VLOOKUP('Impact of the crisis'!$C12,'Regional Crises'!$B$1:$R$66,4,FALSE)),'Crisis Indicator Data'!F9/VLOOKUP('Impact of the crisis'!$E12,'Country Indicator Data'!$B$4:$P$194,15,FALSE)))</f>
        <v>8.1138040042149639E-3</v>
      </c>
      <c r="H12" s="167">
        <f t="shared" si="0"/>
        <v>0</v>
      </c>
      <c r="I12" s="167">
        <f t="shared" si="1"/>
        <v>0</v>
      </c>
      <c r="J12" s="167">
        <f>IF('Crisis Indicator Data'!G9="x","x",IF(LOG('Crisis Indicator Data'!G9)&lt;J$4,0,IF(LOG('Crisis Indicator Data'!G9)&gt;J$3,5,ROUND(5-(J$3-LOG('Crisis Indicator Data'!G9))/(J$3-J$4)*5,1))))</f>
        <v>0.3</v>
      </c>
      <c r="K12" s="185">
        <f>IF('Crisis Indicator Data'!G9="x","x",IF(B12="Regional crisis",('Crisis Indicator Data'!G9/VLOOKUP('Impact of the crisis'!$C12,'Regional Crises'!$B$1:$R$66,5,FALSE)),'Crisis Indicator Data'!G9/VLOOKUP('Impact of the crisis'!$E12,'Country Indicator Data'!$B$4:$P$194,14,FALSE)))</f>
        <v>0.40500338066260988</v>
      </c>
      <c r="L12" s="167">
        <f t="shared" si="2"/>
        <v>2</v>
      </c>
      <c r="M12" s="167">
        <f t="shared" si="3"/>
        <v>1.1499999999999999</v>
      </c>
      <c r="N12" s="167">
        <f t="shared" si="4"/>
        <v>0.6</v>
      </c>
      <c r="O12" s="167">
        <f>IF('Crisis Indicator Data'!H9="x","x",IF('Crisis Indicator Data'!H9=0,0,IF(LOG('Crisis Indicator Data'!H9)&lt;O$4,0,IF(LOG('Crisis Indicator Data'!H9)&gt;O$3,5,ROUND(5-(O$3-LOG('Crisis Indicator Data'!H9))/(O$3-O$4)*5,1)))))</f>
        <v>2.6</v>
      </c>
      <c r="P12" s="185">
        <f>IF('Crisis Indicator Data'!H9="x","x",'Crisis Indicator Data'!H9/'Crisis Indicator Data'!G9)</f>
        <v>1</v>
      </c>
      <c r="Q12" s="167">
        <f t="shared" si="5"/>
        <v>5</v>
      </c>
      <c r="R12" s="167">
        <f t="shared" si="6"/>
        <v>3.8</v>
      </c>
      <c r="S12" s="167">
        <f>IF('Crisis Indicator Data'!I9="x","x",IF('Crisis Indicator Data'!I9=0,0,IF(LOG('Crisis Indicator Data'!I9)&lt;S$4,0,IF(LOG('Crisis Indicator Data'!I9)&gt;S$3,5,ROUND(5-(S$3-LOG('Crisis Indicator Data'!I9))/(S$3-S$4)*5,1)))))</f>
        <v>2.8</v>
      </c>
      <c r="T12" s="185">
        <f>IF('Crisis Indicator Data'!H9="x","x",IF('Crisis Indicator Data'!I9="x","x",'Crisis Indicator Data'!I9/'Crisis Indicator Data'!H9))</f>
        <v>7.512520868113523E-2</v>
      </c>
      <c r="U12" s="167">
        <f t="shared" si="7"/>
        <v>2.5</v>
      </c>
      <c r="V12" s="167">
        <f t="shared" si="8"/>
        <v>2.7</v>
      </c>
      <c r="W12" s="167">
        <f>IF('Crisis Indicator Data'!L9="x","x",IF('Crisis Indicator Data'!L9=0,0,IF(LOG('Crisis Indicator Data'!L9)&lt;W$4,0,IF(LOG('Crisis Indicator Data'!L9)&gt;W$3,5,ROUND(5-(W$3-LOG('Crisis Indicator Data'!L9))/(W$3-W$4)*5,1)))))</f>
        <v>0.4</v>
      </c>
      <c r="X12" s="186">
        <f>IF(OR('Crisis Indicator Data'!L9="x",'Crisis Indicator Data'!H9="x"),"x",'Crisis Indicator Data'!L9/'Crisis Indicator Data'!H9)</f>
        <v>1.6694490818030049E-6</v>
      </c>
      <c r="Y12" s="167">
        <f t="shared" si="9"/>
        <v>0.1</v>
      </c>
      <c r="Z12" s="167">
        <f t="shared" si="10"/>
        <v>0.3</v>
      </c>
      <c r="AA12" s="167">
        <f t="shared" si="11"/>
        <v>1.7</v>
      </c>
      <c r="AB12" s="187">
        <f t="shared" si="12"/>
        <v>2.9</v>
      </c>
    </row>
    <row r="13" spans="1:28" x14ac:dyDescent="0.3">
      <c r="A13" s="191" t="str">
        <f>'Crisis Indicator Data'!A10</f>
        <v>Nagorno-Karabakh Conflict</v>
      </c>
      <c r="B13" s="192" t="str">
        <f>'Crisis Indicator Data'!B10</f>
        <v>Regional crisis</v>
      </c>
      <c r="C13" s="192" t="str">
        <f>'Crisis Indicator Data'!C10</f>
        <v>REG013</v>
      </c>
      <c r="D13" s="192" t="str">
        <f>'Crisis Indicator Data'!D10</f>
        <v>Armenia, Azerbaijan</v>
      </c>
      <c r="E13" s="193" t="str">
        <f>'Crisis Indicator Data'!E10</f>
        <v>ARM, AZE</v>
      </c>
      <c r="F13" s="190">
        <f>IF('Crisis Indicator Data'!F10="x","x",IF(LOG('Crisis Indicator Data'!F10)&lt;F$4,0,IF(LOG('Crisis Indicator Data'!F10)&gt;F$3,5,ROUND(5-(F$3-LOG('Crisis Indicator Data'!F10))/(F$3-F$4)*5,1))))</f>
        <v>2.5</v>
      </c>
      <c r="G13" s="185">
        <f>IF('Crisis Indicator Data'!F10="x","x",IF(B13="Regional crisis",('Crisis Indicator Data'!F10/VLOOKUP('Impact of the crisis'!$C13,'Regional Crises'!$B$1:$R$66,4,FALSE)),'Crisis Indicator Data'!F10/VLOOKUP('Impact of the crisis'!$E13,'Country Indicator Data'!$B$4:$P$194,15,FALSE)))</f>
        <v>0.28606264565880524</v>
      </c>
      <c r="H13" s="167">
        <f t="shared" si="0"/>
        <v>1.4</v>
      </c>
      <c r="I13" s="167">
        <f t="shared" si="1"/>
        <v>1.95</v>
      </c>
      <c r="J13" s="167">
        <f>IF('Crisis Indicator Data'!G10="x","x",IF(LOG('Crisis Indicator Data'!G10)&lt;J$4,0,IF(LOG('Crisis Indicator Data'!G10)&gt;J$3,5,ROUND(5-(J$3-LOG('Crisis Indicator Data'!G10))/(J$3-J$4)*5,1))))</f>
        <v>2</v>
      </c>
      <c r="K13" s="185">
        <f>IF('Crisis Indicator Data'!G10="x","x",IF(B13="Regional crisis",('Crisis Indicator Data'!G10/VLOOKUP('Impact of the crisis'!$C13,'Regional Crises'!$B$1:$R$66,5,FALSE)),'Crisis Indicator Data'!G10/VLOOKUP('Impact of the crisis'!$E13,'Country Indicator Data'!$B$4:$P$194,14,FALSE)))</f>
        <v>0.31109393119443368</v>
      </c>
      <c r="L13" s="167">
        <f t="shared" si="2"/>
        <v>1.5</v>
      </c>
      <c r="M13" s="167">
        <f t="shared" si="3"/>
        <v>1.75</v>
      </c>
      <c r="N13" s="167">
        <f t="shared" si="4"/>
        <v>1.9</v>
      </c>
      <c r="O13" s="167">
        <f>IF('Crisis Indicator Data'!H10="x","x",IF('Crisis Indicator Data'!H10=0,0,IF(LOG('Crisis Indicator Data'!H10)&lt;O$4,0,IF(LOG('Crisis Indicator Data'!H10)&gt;O$3,5,ROUND(5-(O$3-LOG('Crisis Indicator Data'!H10))/(O$3-O$4)*5,1)))))</f>
        <v>3.5</v>
      </c>
      <c r="P13" s="185">
        <f>IF('Crisis Indicator Data'!H10="x","x",'Crisis Indicator Data'!H10/'Crisis Indicator Data'!G10)</f>
        <v>1</v>
      </c>
      <c r="Q13" s="167">
        <f t="shared" si="5"/>
        <v>5</v>
      </c>
      <c r="R13" s="167">
        <f t="shared" si="6"/>
        <v>4.25</v>
      </c>
      <c r="S13" s="167">
        <f>IF('Crisis Indicator Data'!I10="x","x",IF('Crisis Indicator Data'!I10=0,0,IF(LOG('Crisis Indicator Data'!I10)&lt;S$4,0,IF(LOG('Crisis Indicator Data'!I10)&gt;S$3,5,ROUND(5-(S$3-LOG('Crisis Indicator Data'!I10))/(S$3-S$4)*5,1)))))</f>
        <v>3</v>
      </c>
      <c r="T13" s="185">
        <f>IF('Crisis Indicator Data'!H10="x","x",IF('Crisis Indicator Data'!I10="x","x",'Crisis Indicator Data'!I10/'Crisis Indicator Data'!H10))</f>
        <v>3.230616302186879E-2</v>
      </c>
      <c r="U13" s="167">
        <f t="shared" si="7"/>
        <v>1.1000000000000001</v>
      </c>
      <c r="V13" s="167">
        <f t="shared" si="8"/>
        <v>2.1</v>
      </c>
      <c r="W13" s="167">
        <f>IF('Crisis Indicator Data'!L10="x","x",IF('Crisis Indicator Data'!L10=0,0,IF(LOG('Crisis Indicator Data'!L10)&lt;W$4,0,IF(LOG('Crisis Indicator Data'!L10)&gt;W$3,5,ROUND(5-(W$3-LOG('Crisis Indicator Data'!L10))/(W$3-W$4)*5,1)))))</f>
        <v>3.1</v>
      </c>
      <c r="X13" s="186">
        <f>IF(OR('Crisis Indicator Data'!L10="x",'Crisis Indicator Data'!H10="x"),"x",'Crisis Indicator Data'!L10/'Crisis Indicator Data'!H10)</f>
        <v>3.429423459244533E-5</v>
      </c>
      <c r="Y13" s="167">
        <f t="shared" si="9"/>
        <v>1.7</v>
      </c>
      <c r="Z13" s="167">
        <f t="shared" si="10"/>
        <v>2.4</v>
      </c>
      <c r="AA13" s="167">
        <f t="shared" si="11"/>
        <v>2.2999999999999998</v>
      </c>
      <c r="AB13" s="187">
        <f t="shared" si="12"/>
        <v>3.4</v>
      </c>
    </row>
    <row r="14" spans="1:28" x14ac:dyDescent="0.3">
      <c r="A14" s="191" t="str">
        <f>'Crisis Indicator Data'!A11</f>
        <v>Nagorno-Karabakh conflict in Azerbaijan</v>
      </c>
      <c r="B14" s="192" t="str">
        <f>'Crisis Indicator Data'!B11</f>
        <v>Conflict</v>
      </c>
      <c r="C14" s="192" t="str">
        <f>'Crisis Indicator Data'!C11</f>
        <v>AZE002</v>
      </c>
      <c r="D14" s="192" t="str">
        <f>'Crisis Indicator Data'!D11</f>
        <v>Azerbaijan</v>
      </c>
      <c r="E14" s="193" t="str">
        <f>'Crisis Indicator Data'!E11</f>
        <v>AZE</v>
      </c>
      <c r="F14" s="190">
        <f>IF('Crisis Indicator Data'!F11="x","x",IF(LOG('Crisis Indicator Data'!F11)&lt;F$4,0,IF(LOG('Crisis Indicator Data'!F11)&gt;F$3,5,ROUND(5-(F$3-LOG('Crisis Indicator Data'!F11))/(F$3-F$4)*5,1))))</f>
        <v>2.5</v>
      </c>
      <c r="G14" s="185">
        <f>IF('Crisis Indicator Data'!F11="x","x",IF(B14="Regional crisis",('Crisis Indicator Data'!F11/VLOOKUP('Impact of the crisis'!$C14,'Regional Crises'!$B$1:$R$66,4,FALSE)),'Crisis Indicator Data'!F11/VLOOKUP('Impact of the crisis'!$E14,'Country Indicator Data'!$B$4:$P$194,15,FALSE)))</f>
        <v>0.38179112783228286</v>
      </c>
      <c r="H14" s="167">
        <f t="shared" si="0"/>
        <v>1.8</v>
      </c>
      <c r="I14" s="167">
        <f t="shared" si="1"/>
        <v>2.15</v>
      </c>
      <c r="J14" s="167">
        <f>IF('Crisis Indicator Data'!G11="x","x",IF(LOG('Crisis Indicator Data'!G11)&lt;J$4,0,IF(LOG('Crisis Indicator Data'!G11)&gt;J$3,5,ROUND(5-(J$3-LOG('Crisis Indicator Data'!G11))/(J$3-J$4)*5,1))))</f>
        <v>1.5</v>
      </c>
      <c r="K14" s="185">
        <f>IF('Crisis Indicator Data'!G11="x","x",IF(B14="Regional crisis",('Crisis Indicator Data'!G11/VLOOKUP('Impact of the crisis'!$C14,'Regional Crises'!$B$1:$R$66,5,FALSE)),'Crisis Indicator Data'!G11/VLOOKUP('Impact of the crisis'!$E14,'Country Indicator Data'!$B$4:$P$194,14,FALSE)))</f>
        <v>0.28325147840032072</v>
      </c>
      <c r="L14" s="167">
        <f t="shared" si="2"/>
        <v>1.4</v>
      </c>
      <c r="M14" s="167">
        <f t="shared" si="3"/>
        <v>1.45</v>
      </c>
      <c r="N14" s="167">
        <f t="shared" si="4"/>
        <v>1.8</v>
      </c>
      <c r="O14" s="167">
        <f>IF('Crisis Indicator Data'!H11="x","x",IF('Crisis Indicator Data'!H11=0,0,IF(LOG('Crisis Indicator Data'!H11)&lt;O$4,0,IF(LOG('Crisis Indicator Data'!H11)&gt;O$3,5,ROUND(5-(O$3-LOG('Crisis Indicator Data'!H11))/(O$3-O$4)*5,1)))))</f>
        <v>3.3</v>
      </c>
      <c r="P14" s="185">
        <f>IF('Crisis Indicator Data'!H11="x","x",'Crisis Indicator Data'!H11/'Crisis Indicator Data'!G11)</f>
        <v>1</v>
      </c>
      <c r="Q14" s="167">
        <f t="shared" si="5"/>
        <v>5</v>
      </c>
      <c r="R14" s="167">
        <f t="shared" si="6"/>
        <v>4.1500000000000004</v>
      </c>
      <c r="S14" s="167">
        <f>IF('Crisis Indicator Data'!I11="x","x",IF('Crisis Indicator Data'!I11=0,0,IF(LOG('Crisis Indicator Data'!I11)&lt;S$4,0,IF(LOG('Crisis Indicator Data'!I11)&gt;S$3,5,ROUND(5-(S$3-LOG('Crisis Indicator Data'!I11))/(S$3-S$4)*5,1)))))</f>
        <v>2.2999999999999998</v>
      </c>
      <c r="T14" s="185">
        <f>IF('Crisis Indicator Data'!H11="x","x",IF('Crisis Indicator Data'!I11="x","x",'Crisis Indicator Data'!I11/'Crisis Indicator Data'!H11))</f>
        <v>1.4154281670205236E-2</v>
      </c>
      <c r="U14" s="167">
        <f t="shared" si="7"/>
        <v>0.5</v>
      </c>
      <c r="V14" s="167">
        <f t="shared" si="8"/>
        <v>1.4</v>
      </c>
      <c r="W14" s="167">
        <f>IF('Crisis Indicator Data'!L11="x","x",IF('Crisis Indicator Data'!L11=0,0,IF(LOG('Crisis Indicator Data'!L11)&lt;W$4,0,IF(LOG('Crisis Indicator Data'!L11)&gt;W$3,5,ROUND(5-(W$3-LOG('Crisis Indicator Data'!L11))/(W$3-W$4)*5,1)))))</f>
        <v>3</v>
      </c>
      <c r="X14" s="186">
        <f>IF(OR('Crisis Indicator Data'!L11="x",'Crisis Indicator Data'!H11="x"),"x",'Crisis Indicator Data'!L11/'Crisis Indicator Data'!H11)</f>
        <v>4.8124557678697806E-5</v>
      </c>
      <c r="Y14" s="167">
        <f t="shared" si="9"/>
        <v>2.4</v>
      </c>
      <c r="Z14" s="167">
        <f t="shared" si="10"/>
        <v>2.7</v>
      </c>
      <c r="AA14" s="167">
        <f t="shared" si="11"/>
        <v>2.1</v>
      </c>
      <c r="AB14" s="187">
        <f t="shared" si="12"/>
        <v>3.3</v>
      </c>
    </row>
    <row r="15" spans="1:28" x14ac:dyDescent="0.3">
      <c r="A15" s="191" t="str">
        <f>'Crisis Indicator Data'!A12</f>
        <v>Mutliple crises in Bangladesh</v>
      </c>
      <c r="B15" s="192" t="str">
        <f>'Crisis Indicator Data'!B12</f>
        <v>Multiple crises country</v>
      </c>
      <c r="C15" s="192" t="str">
        <f>'Crisis Indicator Data'!C12</f>
        <v>BGD001</v>
      </c>
      <c r="D15" s="192" t="str">
        <f>'Crisis Indicator Data'!D12</f>
        <v>Bangladesh</v>
      </c>
      <c r="E15" s="193" t="str">
        <f>'Crisis Indicator Data'!E12</f>
        <v>BGD</v>
      </c>
      <c r="F15" s="190">
        <f>IF('Crisis Indicator Data'!F12="x","x",IF(LOG('Crisis Indicator Data'!F12)&lt;F$4,0,IF(LOG('Crisis Indicator Data'!F12)&gt;F$3,5,ROUND(5-(F$3-LOG('Crisis Indicator Data'!F12))/(F$3-F$4)*5,1))))</f>
        <v>2.7</v>
      </c>
      <c r="G15" s="185">
        <f>IF('Crisis Indicator Data'!F12="x","x",IF(B15="Regional crisis",('Crisis Indicator Data'!F12/VLOOKUP('Impact of the crisis'!$C15,'Regional Crises'!$B$1:$R$66,4,FALSE)),'Crisis Indicator Data'!F12/VLOOKUP('Impact of the crisis'!$E15,'Country Indicator Data'!$B$4:$P$194,15,FALSE)))</f>
        <v>0.30293462395329185</v>
      </c>
      <c r="H15" s="167">
        <f t="shared" si="0"/>
        <v>1.4</v>
      </c>
      <c r="I15" s="167">
        <f t="shared" si="1"/>
        <v>2.0499999999999998</v>
      </c>
      <c r="J15" s="167">
        <f>IF('Crisis Indicator Data'!G12="x","x",IF(LOG('Crisis Indicator Data'!G12)&lt;J$4,0,IF(LOG('Crisis Indicator Data'!G12)&gt;J$3,5,ROUND(5-(J$3-LOG('Crisis Indicator Data'!G12))/(J$3-J$4)*5,1))))</f>
        <v>5</v>
      </c>
      <c r="K15" s="185">
        <f>IF('Crisis Indicator Data'!G12="x","x",IF(B15="Regional crisis",('Crisis Indicator Data'!G12/VLOOKUP('Impact of the crisis'!$C15,'Regional Crises'!$B$1:$R$66,5,FALSE)),'Crisis Indicator Data'!G12/VLOOKUP('Impact of the crisis'!$E15,'Country Indicator Data'!$B$4:$P$194,14,FALSE)))</f>
        <v>0.68922552573316287</v>
      </c>
      <c r="L15" s="167">
        <f t="shared" si="2"/>
        <v>3.4</v>
      </c>
      <c r="M15" s="167">
        <f t="shared" si="3"/>
        <v>4.2</v>
      </c>
      <c r="N15" s="167">
        <f t="shared" si="4"/>
        <v>3.3</v>
      </c>
      <c r="O15" s="167">
        <f>IF('Crisis Indicator Data'!H12="x","x",IF('Crisis Indicator Data'!H12=0,0,IF(LOG('Crisis Indicator Data'!H12)&lt;O$4,0,IF(LOG('Crisis Indicator Data'!H12)&gt;O$3,5,ROUND(5-(O$3-LOG('Crisis Indicator Data'!H12))/(O$3-O$4)*5,1)))))</f>
        <v>4.5999999999999996</v>
      </c>
      <c r="P15" s="185">
        <f>IF('Crisis Indicator Data'!H12="x","x",'Crisis Indicator Data'!H12/'Crisis Indicator Data'!G12)</f>
        <v>0.19743828786834744</v>
      </c>
      <c r="Q15" s="167">
        <f t="shared" si="5"/>
        <v>0.9</v>
      </c>
      <c r="R15" s="167">
        <f t="shared" si="6"/>
        <v>2.75</v>
      </c>
      <c r="S15" s="167">
        <f>IF('Crisis Indicator Data'!I12="x","x",IF('Crisis Indicator Data'!I12=0,0,IF(LOG('Crisis Indicator Data'!I12)&lt;S$4,0,IF(LOG('Crisis Indicator Data'!I12)&gt;S$3,5,ROUND(5-(S$3-LOG('Crisis Indicator Data'!I12))/(S$3-S$4)*5,1)))))</f>
        <v>4.4000000000000004</v>
      </c>
      <c r="T15" s="185">
        <f>IF('Crisis Indicator Data'!H12="x","x",IF('Crisis Indicator Data'!I12="x","x",'Crisis Indicator Data'!I12/'Crisis Indicator Data'!H12))</f>
        <v>6.0357216177376306E-2</v>
      </c>
      <c r="U15" s="167">
        <f t="shared" si="7"/>
        <v>2</v>
      </c>
      <c r="V15" s="167">
        <f t="shared" si="8"/>
        <v>3.2</v>
      </c>
      <c r="W15" s="167">
        <f>IF('Crisis Indicator Data'!L12="x","x",IF('Crisis Indicator Data'!L12=0,0,IF(LOG('Crisis Indicator Data'!L12)&lt;W$4,0,IF(LOG('Crisis Indicator Data'!L12)&gt;W$3,5,ROUND(5-(W$3-LOG('Crisis Indicator Data'!L12))/(W$3-W$4)*5,1)))))</f>
        <v>2.6</v>
      </c>
      <c r="X15" s="186">
        <f>IF(OR('Crisis Indicator Data'!L12="x",'Crisis Indicator Data'!H12="x"),"x",'Crisis Indicator Data'!L12/'Crisis Indicator Data'!H12)</f>
        <v>3.6440156025456783E-6</v>
      </c>
      <c r="Y15" s="167">
        <f t="shared" si="9"/>
        <v>0.2</v>
      </c>
      <c r="Z15" s="167">
        <f t="shared" si="10"/>
        <v>1.4</v>
      </c>
      <c r="AA15" s="167">
        <f t="shared" si="11"/>
        <v>2.4</v>
      </c>
      <c r="AB15" s="187">
        <f t="shared" si="12"/>
        <v>2.6</v>
      </c>
    </row>
    <row r="16" spans="1:28" x14ac:dyDescent="0.3">
      <c r="A16" s="191" t="str">
        <f>'Crisis Indicator Data'!A13</f>
        <v>Rohingya refugee crisis</v>
      </c>
      <c r="B16" s="192" t="str">
        <f>'Crisis Indicator Data'!B13</f>
        <v>International displacement</v>
      </c>
      <c r="C16" s="192" t="str">
        <f>'Crisis Indicator Data'!C13</f>
        <v>BGD002</v>
      </c>
      <c r="D16" s="192" t="str">
        <f>'Crisis Indicator Data'!D13</f>
        <v>Bangladesh</v>
      </c>
      <c r="E16" s="193" t="str">
        <f>'Crisis Indicator Data'!E13</f>
        <v>BGD</v>
      </c>
      <c r="F16" s="190">
        <f>IF('Crisis Indicator Data'!F13="x","x",IF(LOG('Crisis Indicator Data'!F13)&lt;F$4,0,IF(LOG('Crisis Indicator Data'!F13)&gt;F$3,5,ROUND(5-(F$3-LOG('Crisis Indicator Data'!F13))/(F$3-F$4)*5,1))))</f>
        <v>0</v>
      </c>
      <c r="G16" s="185">
        <f>IF('Crisis Indicator Data'!F13="x","x",IF(B16="Regional crisis",('Crisis Indicator Data'!F13/VLOOKUP('Impact of the crisis'!$C16,'Regional Crises'!$B$1:$R$66,4,FALSE)),'Crisis Indicator Data'!F13/VLOOKUP('Impact of the crisis'!$E16,'Country Indicator Data'!$B$4:$P$194,15,FALSE)))</f>
        <v>4.9934700775908425E-3</v>
      </c>
      <c r="H16" s="167">
        <f t="shared" si="0"/>
        <v>0</v>
      </c>
      <c r="I16" s="167">
        <f t="shared" si="1"/>
        <v>0</v>
      </c>
      <c r="J16" s="167">
        <f>IF('Crisis Indicator Data'!G13="x","x",IF(LOG('Crisis Indicator Data'!G13)&lt;J$4,0,IF(LOG('Crisis Indicator Data'!G13)&gt;J$3,5,ROUND(5-(J$3-LOG('Crisis Indicator Data'!G13))/(J$3-J$4)*5,1))))</f>
        <v>0.4</v>
      </c>
      <c r="K16" s="185">
        <f>IF('Crisis Indicator Data'!G13="x","x",IF(B16="Regional crisis",('Crisis Indicator Data'!G13/VLOOKUP('Impact of the crisis'!$C16,'Regional Crises'!$B$1:$R$66,5,FALSE)),'Crisis Indicator Data'!G13/VLOOKUP('Impact of the crisis'!$E16,'Country Indicator Data'!$B$4:$P$194,14,FALSE)))</f>
        <v>9.3098944692382377E-3</v>
      </c>
      <c r="L16" s="167">
        <f t="shared" si="2"/>
        <v>0</v>
      </c>
      <c r="M16" s="167">
        <f t="shared" si="3"/>
        <v>0.2</v>
      </c>
      <c r="N16" s="167">
        <f t="shared" si="4"/>
        <v>0.1</v>
      </c>
      <c r="O16" s="167">
        <f>IF('Crisis Indicator Data'!H13="x","x",IF('Crisis Indicator Data'!H13=0,0,IF(LOG('Crisis Indicator Data'!H13)&lt;O$4,0,IF(LOG('Crisis Indicator Data'!H13)&gt;O$3,5,ROUND(5-(O$3-LOG('Crisis Indicator Data'!H13))/(O$3-O$4)*5,1)))))</f>
        <v>2.7</v>
      </c>
      <c r="P16" s="185">
        <f>IF('Crisis Indicator Data'!H13="x","x",'Crisis Indicator Data'!H13/'Crisis Indicator Data'!G13)</f>
        <v>1</v>
      </c>
      <c r="Q16" s="167">
        <f t="shared" si="5"/>
        <v>5</v>
      </c>
      <c r="R16" s="167">
        <f t="shared" si="6"/>
        <v>3.85</v>
      </c>
      <c r="S16" s="167">
        <f>IF('Crisis Indicator Data'!I13="x","x",IF('Crisis Indicator Data'!I13=0,0,IF(LOG('Crisis Indicator Data'!I13)&lt;S$4,0,IF(LOG('Crisis Indicator Data'!I13)&gt;S$3,5,ROUND(5-(S$3-LOG('Crisis Indicator Data'!I13))/(S$3-S$4)*5,1)))))</f>
        <v>4.2</v>
      </c>
      <c r="T16" s="185">
        <f>IF('Crisis Indicator Data'!H13="x","x",IF('Crisis Indicator Data'!I13="x","x",'Crisis Indicator Data'!I13/'Crisis Indicator Data'!H13))</f>
        <v>0.64666166541635406</v>
      </c>
      <c r="U16" s="167">
        <f t="shared" si="7"/>
        <v>5</v>
      </c>
      <c r="V16" s="167">
        <f t="shared" si="8"/>
        <v>4.5999999999999996</v>
      </c>
      <c r="W16" s="167">
        <f>IF('Crisis Indicator Data'!L13="x","x",IF('Crisis Indicator Data'!L13=0,0,IF(LOG('Crisis Indicator Data'!L13)&lt;W$4,0,IF(LOG('Crisis Indicator Data'!L13)&gt;W$3,5,ROUND(5-(W$3-LOG('Crisis Indicator Data'!L13))/(W$3-W$4)*5,1)))))</f>
        <v>0.9</v>
      </c>
      <c r="X16" s="186">
        <f>IF(OR('Crisis Indicator Data'!L13="x",'Crisis Indicator Data'!H13="x"),"x",'Crisis Indicator Data'!L13/'Crisis Indicator Data'!H13)</f>
        <v>3.0007501875468868E-6</v>
      </c>
      <c r="Y16" s="167">
        <f t="shared" si="9"/>
        <v>0.2</v>
      </c>
      <c r="Z16" s="167">
        <f t="shared" si="10"/>
        <v>0.6</v>
      </c>
      <c r="AA16" s="167">
        <f t="shared" si="11"/>
        <v>3.2</v>
      </c>
      <c r="AB16" s="187">
        <f t="shared" si="12"/>
        <v>3.5</v>
      </c>
    </row>
    <row r="17" spans="1:28" x14ac:dyDescent="0.3">
      <c r="A17" s="191" t="str">
        <f>'Crisis Indicator Data'!A14</f>
        <v>Floods in Bangladesh</v>
      </c>
      <c r="B17" s="192" t="str">
        <f>'Crisis Indicator Data'!B14</f>
        <v>Flood</v>
      </c>
      <c r="C17" s="192" t="str">
        <f>'Crisis Indicator Data'!C14</f>
        <v>BGD003</v>
      </c>
      <c r="D17" s="192" t="str">
        <f>'Crisis Indicator Data'!D14</f>
        <v>Bangladesh</v>
      </c>
      <c r="E17" s="193" t="str">
        <f>'Crisis Indicator Data'!E14</f>
        <v>BGD</v>
      </c>
      <c r="F17" s="190">
        <f>IF('Crisis Indicator Data'!F14="x","x",IF(LOG('Crisis Indicator Data'!F14)&lt;F$4,0,IF(LOG('Crisis Indicator Data'!F14)&gt;F$3,5,ROUND(5-(F$3-LOG('Crisis Indicator Data'!F14))/(F$3-F$4)*5,1))))</f>
        <v>2.6</v>
      </c>
      <c r="G17" s="185">
        <f>IF('Crisis Indicator Data'!F14="x","x",IF(B17="Regional crisis",('Crisis Indicator Data'!F14/VLOOKUP('Impact of the crisis'!$C17,'Regional Crises'!$B$1:$R$66,4,FALSE)),'Crisis Indicator Data'!F14/VLOOKUP('Impact of the crisis'!$E17,'Country Indicator Data'!$B$4:$P$194,15,FALSE)))</f>
        <v>0.26121226088960592</v>
      </c>
      <c r="H17" s="167">
        <f t="shared" si="0"/>
        <v>1.2</v>
      </c>
      <c r="I17" s="167">
        <f t="shared" si="1"/>
        <v>1.9</v>
      </c>
      <c r="J17" s="167">
        <f>IF('Crisis Indicator Data'!G14="x","x",IF(LOG('Crisis Indicator Data'!G14)&lt;J$4,0,IF(LOG('Crisis Indicator Data'!G14)&gt;J$3,5,ROUND(5-(J$3-LOG('Crisis Indicator Data'!G14))/(J$3-J$4)*5,1))))</f>
        <v>5</v>
      </c>
      <c r="K17" s="185">
        <f>IF('Crisis Indicator Data'!G14="x","x",IF(B17="Regional crisis",('Crisis Indicator Data'!G14/VLOOKUP('Impact of the crisis'!$C17,'Regional Crises'!$B$1:$R$66,5,FALSE)),'Crisis Indicator Data'!G14/VLOOKUP('Impact of the crisis'!$E17,'Country Indicator Data'!$B$4:$P$194,14,FALSE)))</f>
        <v>0.49006502259377988</v>
      </c>
      <c r="L17" s="167">
        <f t="shared" si="2"/>
        <v>2.4</v>
      </c>
      <c r="M17" s="167">
        <f t="shared" si="3"/>
        <v>3.7</v>
      </c>
      <c r="N17" s="167">
        <f t="shared" si="4"/>
        <v>2.9</v>
      </c>
      <c r="O17" s="167">
        <f>IF('Crisis Indicator Data'!H14="x","x",IF('Crisis Indicator Data'!H14=0,0,IF(LOG('Crisis Indicator Data'!H14)&lt;O$4,0,IF(LOG('Crisis Indicator Data'!H14)&gt;O$3,5,ROUND(5-(O$3-LOG('Crisis Indicator Data'!H14))/(O$3-O$4)*5,1)))))</f>
        <v>3.7</v>
      </c>
      <c r="P17" s="185">
        <f>IF('Crisis Indicator Data'!H14="x","x",'Crisis Indicator Data'!H14/'Crisis Indicator Data'!G14)</f>
        <v>7.6958157564701854E-2</v>
      </c>
      <c r="Q17" s="167">
        <f t="shared" si="5"/>
        <v>0.3</v>
      </c>
      <c r="R17" s="167">
        <f t="shared" si="6"/>
        <v>2</v>
      </c>
      <c r="S17" s="167">
        <f>IF('Crisis Indicator Data'!I14="x","x",IF('Crisis Indicator Data'!I14=0,0,IF(LOG('Crisis Indicator Data'!I14)&lt;S$4,0,IF(LOG('Crisis Indicator Data'!I14)&gt;S$3,5,ROUND(5-(S$3-LOG('Crisis Indicator Data'!I14))/(S$3-S$4)*5,1)))))</f>
        <v>2.8</v>
      </c>
      <c r="T17" s="185">
        <f>IF('Crisis Indicator Data'!H14="x","x",IF('Crisis Indicator Data'!I14="x","x",'Crisis Indicator Data'!I14/'Crisis Indicator Data'!H14))</f>
        <v>1.7407407407407406E-2</v>
      </c>
      <c r="U17" s="167">
        <f t="shared" si="7"/>
        <v>0.6</v>
      </c>
      <c r="V17" s="167">
        <f t="shared" si="8"/>
        <v>1.7</v>
      </c>
      <c r="W17" s="167">
        <f>IF('Crisis Indicator Data'!L14="x","x",IF('Crisis Indicator Data'!L14=0,0,IF(LOG('Crisis Indicator Data'!L14)&lt;W$4,0,IF(LOG('Crisis Indicator Data'!L14)&gt;W$3,5,ROUND(5-(W$3-LOG('Crisis Indicator Data'!L14))/(W$3-W$4)*5,1)))))</f>
        <v>2.2999999999999998</v>
      </c>
      <c r="X17" s="186">
        <f>IF(OR('Crisis Indicator Data'!L14="x",'Crisis Indicator Data'!H14="x"),"x",'Crisis Indicator Data'!L14/'Crisis Indicator Data'!H14)</f>
        <v>7.5925925925925929E-6</v>
      </c>
      <c r="Y17" s="167">
        <f t="shared" si="9"/>
        <v>0.4</v>
      </c>
      <c r="Z17" s="167">
        <f t="shared" si="10"/>
        <v>1.4</v>
      </c>
      <c r="AA17" s="167">
        <f t="shared" si="11"/>
        <v>1.6</v>
      </c>
      <c r="AB17" s="187">
        <f t="shared" si="12"/>
        <v>1.8</v>
      </c>
    </row>
    <row r="18" spans="1:28" x14ac:dyDescent="0.3">
      <c r="A18" s="191" t="str">
        <f>'Crisis Indicator Data'!A15</f>
        <v>Cyclone Amphan Bangladesh</v>
      </c>
      <c r="B18" s="192" t="str">
        <f>'Crisis Indicator Data'!B15</f>
        <v>Tropical cyclone</v>
      </c>
      <c r="C18" s="192" t="str">
        <f>'Crisis Indicator Data'!C15</f>
        <v>BGD006</v>
      </c>
      <c r="D18" s="192" t="str">
        <f>'Crisis Indicator Data'!D15</f>
        <v>Bangladesh</v>
      </c>
      <c r="E18" s="193" t="str">
        <f>'Crisis Indicator Data'!E15</f>
        <v>BGD</v>
      </c>
      <c r="F18" s="190">
        <f>IF('Crisis Indicator Data'!F15="x","x",IF(LOG('Crisis Indicator Data'!F15)&lt;F$4,0,IF(LOG('Crisis Indicator Data'!F15)&gt;F$3,5,ROUND(5-(F$3-LOG('Crisis Indicator Data'!F15))/(F$3-F$4)*5,1))))</f>
        <v>2.6</v>
      </c>
      <c r="G18" s="185">
        <f>IF('Crisis Indicator Data'!F15="x","x",IF(B18="Regional crisis",('Crisis Indicator Data'!F15/VLOOKUP('Impact of the crisis'!$C18,'Regional Crises'!$B$1:$R$66,4,FALSE)),'Crisis Indicator Data'!F15/VLOOKUP('Impact of the crisis'!$E18,'Country Indicator Data'!$B$4:$P$194,15,FALSE)))</f>
        <v>0.29794115387570103</v>
      </c>
      <c r="H18" s="167">
        <f t="shared" si="0"/>
        <v>1.4</v>
      </c>
      <c r="I18" s="167">
        <f t="shared" si="1"/>
        <v>2</v>
      </c>
      <c r="J18" s="167">
        <f>IF('Crisis Indicator Data'!G15="x","x",IF(LOG('Crisis Indicator Data'!G15)&lt;J$4,0,IF(LOG('Crisis Indicator Data'!G15)&gt;J$3,5,ROUND(5-(J$3-LOG('Crisis Indicator Data'!G15))/(J$3-J$4)*5,1))))</f>
        <v>4.8</v>
      </c>
      <c r="K18" s="185">
        <f>IF('Crisis Indicator Data'!G15="x","x",IF(B18="Regional crisis",('Crisis Indicator Data'!G15/VLOOKUP('Impact of the crisis'!$C18,'Regional Crises'!$B$1:$R$66,5,FALSE)),'Crisis Indicator Data'!G15/VLOOKUP('Impact of the crisis'!$E18,'Country Indicator Data'!$B$4:$P$194,14,FALSE)))</f>
        <v>0.18984362450325112</v>
      </c>
      <c r="L18" s="167">
        <f t="shared" si="2"/>
        <v>0.9</v>
      </c>
      <c r="M18" s="167">
        <f t="shared" si="3"/>
        <v>2.85</v>
      </c>
      <c r="N18" s="167">
        <f t="shared" si="4"/>
        <v>2.4</v>
      </c>
      <c r="O18" s="167">
        <f>IF('Crisis Indicator Data'!H15="x","x",IF('Crisis Indicator Data'!H15=0,0,IF(LOG('Crisis Indicator Data'!H15)&lt;O$4,0,IF(LOG('Crisis Indicator Data'!H15)&gt;O$3,5,ROUND(5-(O$3-LOG('Crisis Indicator Data'!H15))/(O$3-O$4)*5,1)))))</f>
        <v>4.3</v>
      </c>
      <c r="P18" s="185">
        <f>IF('Crisis Indicator Data'!H15="x","x",'Crisis Indicator Data'!H15/'Crisis Indicator Data'!G15)</f>
        <v>0.46909719667426975</v>
      </c>
      <c r="Q18" s="167">
        <f t="shared" si="5"/>
        <v>2.2999999999999998</v>
      </c>
      <c r="R18" s="167">
        <f t="shared" si="6"/>
        <v>3.3</v>
      </c>
      <c r="S18" s="167">
        <f>IF('Crisis Indicator Data'!I15="x","x",IF('Crisis Indicator Data'!I15=0,0,IF(LOG('Crisis Indicator Data'!I15)&lt;S$4,0,IF(LOG('Crisis Indicator Data'!I15)&gt;S$3,5,ROUND(5-(S$3-LOG('Crisis Indicator Data'!I15))/(S$3-S$4)*5,1)))))</f>
        <v>3.3</v>
      </c>
      <c r="T18" s="185">
        <f>IF('Crisis Indicator Data'!H15="x","x",IF('Crisis Indicator Data'!I15="x","x",'Crisis Indicator Data'!I15/'Crisis Indicator Data'!H15))</f>
        <v>1.7253548741275195E-2</v>
      </c>
      <c r="U18" s="167">
        <f t="shared" si="7"/>
        <v>0.6</v>
      </c>
      <c r="V18" s="167">
        <f t="shared" si="8"/>
        <v>2</v>
      </c>
      <c r="W18" s="167">
        <f>IF('Crisis Indicator Data'!L15="x","x",IF('Crisis Indicator Data'!L15=0,0,IF(LOG('Crisis Indicator Data'!L15)&lt;W$4,0,IF(LOG('Crisis Indicator Data'!L15)&gt;W$3,5,ROUND(5-(W$3-LOG('Crisis Indicator Data'!L15))/(W$3-W$4)*5,1)))))</f>
        <v>2</v>
      </c>
      <c r="X18" s="186">
        <f>IF(OR('Crisis Indicator Data'!L15="x",'Crisis Indicator Data'!H15="x"),"x",'Crisis Indicator Data'!L15/'Crisis Indicator Data'!H15)</f>
        <v>2.0390557603325228E-6</v>
      </c>
      <c r="Y18" s="167">
        <f t="shared" si="9"/>
        <v>0.1</v>
      </c>
      <c r="Z18" s="167">
        <f t="shared" si="10"/>
        <v>1.1000000000000001</v>
      </c>
      <c r="AA18" s="167">
        <f t="shared" si="11"/>
        <v>1.6</v>
      </c>
      <c r="AB18" s="187">
        <f t="shared" si="12"/>
        <v>2.5</v>
      </c>
    </row>
    <row r="19" spans="1:28" x14ac:dyDescent="0.3">
      <c r="A19" s="191" t="str">
        <f>'Crisis Indicator Data'!A16</f>
        <v>Rohingya Regional Crisis</v>
      </c>
      <c r="B19" s="192" t="str">
        <f>'Crisis Indicator Data'!B16</f>
        <v>Regional crisis</v>
      </c>
      <c r="C19" s="192" t="str">
        <f>'Crisis Indicator Data'!C16</f>
        <v>REG011</v>
      </c>
      <c r="D19" s="192" t="str">
        <f>'Crisis Indicator Data'!D16</f>
        <v>Bangladesh, Myanmar</v>
      </c>
      <c r="E19" s="193" t="str">
        <f>'Crisis Indicator Data'!E16</f>
        <v>BGD, MMR</v>
      </c>
      <c r="F19" s="190">
        <f>IF('Crisis Indicator Data'!F16="x","x",IF(LOG('Crisis Indicator Data'!F16)&lt;F$4,0,IF(LOG('Crisis Indicator Data'!F16)&gt;F$3,5,ROUND(5-(F$3-LOG('Crisis Indicator Data'!F16))/(F$3-F$4)*5,1))))</f>
        <v>2.8</v>
      </c>
      <c r="G19" s="185">
        <f>IF('Crisis Indicator Data'!F16="x","x",IF(B19="Regional crisis",('Crisis Indicator Data'!F16/VLOOKUP('Impact of the crisis'!$C19,'Regional Crises'!$B$1:$R$66,4,FALSE)),'Crisis Indicator Data'!F16/VLOOKUP('Impact of the crisis'!$E19,'Country Indicator Data'!$B$4:$P$194,15,FALSE)))</f>
        <v>5.8100223428024261E-2</v>
      </c>
      <c r="H19" s="167">
        <f t="shared" si="0"/>
        <v>0.2</v>
      </c>
      <c r="I19" s="167">
        <f t="shared" si="1"/>
        <v>1.5</v>
      </c>
      <c r="J19" s="167">
        <f>IF('Crisis Indicator Data'!G16="x","x",IF(LOG('Crisis Indicator Data'!G16)&lt;J$4,0,IF(LOG('Crisis Indicator Data'!G16)&gt;J$3,5,ROUND(5-(J$3-LOG('Crisis Indicator Data'!G16))/(J$3-J$4)*5,1))))</f>
        <v>2.4</v>
      </c>
      <c r="K19" s="185">
        <f>IF('Crisis Indicator Data'!G16="x","x",IF(B19="Regional crisis",('Crisis Indicator Data'!G16/VLOOKUP('Impact of the crisis'!$C19,'Regional Crises'!$B$1:$R$66,5,FALSE)),'Crisis Indicator Data'!G16/VLOOKUP('Impact of the crisis'!$E19,'Country Indicator Data'!$B$4:$P$194,14,FALSE)))</f>
        <v>2.6618550807488924E-2</v>
      </c>
      <c r="L19" s="167">
        <f t="shared" si="2"/>
        <v>0.1</v>
      </c>
      <c r="M19" s="167">
        <f t="shared" si="3"/>
        <v>1.25</v>
      </c>
      <c r="N19" s="167">
        <f t="shared" si="4"/>
        <v>1.4</v>
      </c>
      <c r="O19" s="167">
        <f>IF('Crisis Indicator Data'!H16="x","x",IF('Crisis Indicator Data'!H16=0,0,IF(LOG('Crisis Indicator Data'!H16)&lt;O$4,0,IF(LOG('Crisis Indicator Data'!H16)&gt;O$3,5,ROUND(5-(O$3-LOG('Crisis Indicator Data'!H16))/(O$3-O$4)*5,1)))))</f>
        <v>3.3</v>
      </c>
      <c r="P19" s="185">
        <f>IF('Crisis Indicator Data'!H16="x","x",'Crisis Indicator Data'!H16/'Crisis Indicator Data'!G16)</f>
        <v>0.55551294343240654</v>
      </c>
      <c r="Q19" s="167">
        <f t="shared" si="5"/>
        <v>2.8</v>
      </c>
      <c r="R19" s="167">
        <f t="shared" si="6"/>
        <v>3.05</v>
      </c>
      <c r="S19" s="167">
        <f>IF('Crisis Indicator Data'!I16="x","x",IF('Crisis Indicator Data'!I16=0,0,IF(LOG('Crisis Indicator Data'!I16)&lt;S$4,0,IF(LOG('Crisis Indicator Data'!I16)&gt;S$3,5,ROUND(5-(S$3-LOG('Crisis Indicator Data'!I16))/(S$3-S$4)*5,1)))))</f>
        <v>4.4000000000000004</v>
      </c>
      <c r="T19" s="185">
        <f>IF('Crisis Indicator Data'!H16="x","x",IF('Crisis Indicator Data'!I16="x","x",'Crisis Indicator Data'!I16/'Crisis Indicator Data'!H16))</f>
        <v>0.42733862616499829</v>
      </c>
      <c r="U19" s="167">
        <f t="shared" si="7"/>
        <v>5</v>
      </c>
      <c r="V19" s="167">
        <f t="shared" si="8"/>
        <v>4.7</v>
      </c>
      <c r="W19" s="167">
        <f>IF('Crisis Indicator Data'!L16="x","x",IF('Crisis Indicator Data'!L16=0,0,IF(LOG('Crisis Indicator Data'!L16)&lt;W$4,0,IF(LOG('Crisis Indicator Data'!L16)&gt;W$3,5,ROUND(5-(W$3-LOG('Crisis Indicator Data'!L16))/(W$3-W$4)*5,1)))))</f>
        <v>3.3</v>
      </c>
      <c r="X19" s="186">
        <f>IF(OR('Crisis Indicator Data'!L16="x",'Crisis Indicator Data'!H16="x"),"x",'Crisis Indicator Data'!L16/'Crisis Indicator Data'!H16)</f>
        <v>6.7311011391094238E-5</v>
      </c>
      <c r="Y19" s="167">
        <f t="shared" si="9"/>
        <v>3.4</v>
      </c>
      <c r="Z19" s="167">
        <f t="shared" si="10"/>
        <v>3.4</v>
      </c>
      <c r="AA19" s="167">
        <f t="shared" si="11"/>
        <v>4.0999999999999996</v>
      </c>
      <c r="AB19" s="187">
        <f t="shared" si="12"/>
        <v>3.6</v>
      </c>
    </row>
    <row r="20" spans="1:28" x14ac:dyDescent="0.3">
      <c r="A20" s="191" t="str">
        <f>'Crisis Indicator Data'!A17</f>
        <v>Venezuela displacement in Brazil</v>
      </c>
      <c r="B20" s="192" t="str">
        <f>'Crisis Indicator Data'!B17</f>
        <v>International displacement</v>
      </c>
      <c r="C20" s="192" t="str">
        <f>'Crisis Indicator Data'!C17</f>
        <v>BRA002</v>
      </c>
      <c r="D20" s="192" t="str">
        <f>'Crisis Indicator Data'!D17</f>
        <v>Brazil</v>
      </c>
      <c r="E20" s="193" t="str">
        <f>'Crisis Indicator Data'!E17</f>
        <v>BRA</v>
      </c>
      <c r="F20" s="190">
        <f>IF('Crisis Indicator Data'!F17="x","x",IF(LOG('Crisis Indicator Data'!F17)&lt;F$4,0,IF(LOG('Crisis Indicator Data'!F17)&gt;F$3,5,ROUND(5-(F$3-LOG('Crisis Indicator Data'!F17))/(F$3-F$4)*5,1))))</f>
        <v>3.9</v>
      </c>
      <c r="G20" s="185">
        <f>IF('Crisis Indicator Data'!F17="x","x",IF(B20="Regional crisis",('Crisis Indicator Data'!F17/VLOOKUP('Impact of the crisis'!$C20,'Regional Crises'!$B$1:$R$66,4,FALSE)),'Crisis Indicator Data'!F17/VLOOKUP('Impact of the crisis'!$E20,'Country Indicator Data'!$B$4:$P$194,15,FALSE)))</f>
        <v>2.6833003515136143E-2</v>
      </c>
      <c r="H20" s="167">
        <f t="shared" si="0"/>
        <v>0</v>
      </c>
      <c r="I20" s="167">
        <f t="shared" si="1"/>
        <v>1.95</v>
      </c>
      <c r="J20" s="167">
        <f>IF('Crisis Indicator Data'!G17="x","x",IF(LOG('Crisis Indicator Data'!G17)&lt;J$4,0,IF(LOG('Crisis Indicator Data'!G17)&gt;J$3,5,ROUND(5-(J$3-LOG('Crisis Indicator Data'!G17))/(J$3-J$4)*5,1))))</f>
        <v>0</v>
      </c>
      <c r="K20" s="185">
        <f>IF('Crisis Indicator Data'!G17="x","x",IF(B20="Regional crisis",('Crisis Indicator Data'!G17/VLOOKUP('Impact of the crisis'!$C20,'Regional Crises'!$B$1:$R$66,5,FALSE)),'Crisis Indicator Data'!G17/VLOOKUP('Impact of the crisis'!$E20,'Country Indicator Data'!$B$4:$P$194,14,FALSE)))</f>
        <v>4.1399591714371365E-3</v>
      </c>
      <c r="L20" s="167">
        <f t="shared" si="2"/>
        <v>0</v>
      </c>
      <c r="M20" s="167">
        <f t="shared" si="3"/>
        <v>0</v>
      </c>
      <c r="N20" s="167">
        <f t="shared" si="4"/>
        <v>1.1000000000000001</v>
      </c>
      <c r="O20" s="167">
        <f>IF('Crisis Indicator Data'!H17="x","x",IF('Crisis Indicator Data'!H17=0,0,IF(LOG('Crisis Indicator Data'!H17)&lt;O$4,0,IF(LOG('Crisis Indicator Data'!H17)&gt;O$3,5,ROUND(5-(O$3-LOG('Crisis Indicator Data'!H17))/(O$3-O$4)*5,1)))))</f>
        <v>2.2000000000000002</v>
      </c>
      <c r="P20" s="185">
        <f>IF('Crisis Indicator Data'!H17="x","x",'Crisis Indicator Data'!H17/'Crisis Indicator Data'!G17)</f>
        <v>0.76206896551724135</v>
      </c>
      <c r="Q20" s="167">
        <f t="shared" si="5"/>
        <v>3.8</v>
      </c>
      <c r="R20" s="167">
        <f t="shared" si="6"/>
        <v>3</v>
      </c>
      <c r="S20" s="167">
        <f>IF('Crisis Indicator Data'!I17="x","x",IF('Crisis Indicator Data'!I17=0,0,IF(LOG('Crisis Indicator Data'!I17)&lt;S$4,0,IF(LOG('Crisis Indicator Data'!I17)&gt;S$3,5,ROUND(5-(S$3-LOG('Crisis Indicator Data'!I17))/(S$3-S$4)*5,1)))))</f>
        <v>3.5</v>
      </c>
      <c r="T20" s="185">
        <f>IF('Crisis Indicator Data'!H17="x","x",IF('Crisis Indicator Data'!I17="x","x",'Crisis Indicator Data'!I17/'Crisis Indicator Data'!H17))</f>
        <v>0.39819004524886875</v>
      </c>
      <c r="U20" s="167">
        <f t="shared" si="7"/>
        <v>5</v>
      </c>
      <c r="V20" s="167">
        <f t="shared" si="8"/>
        <v>4.3</v>
      </c>
      <c r="W20" s="167">
        <f>IF('Crisis Indicator Data'!L17="x","x",IF('Crisis Indicator Data'!L17=0,0,IF(LOG('Crisis Indicator Data'!L17)&lt;W$4,0,IF(LOG('Crisis Indicator Data'!L17)&gt;W$3,5,ROUND(5-(W$3-LOG('Crisis Indicator Data'!L17))/(W$3-W$4)*5,1)))))</f>
        <v>0</v>
      </c>
      <c r="X20" s="186">
        <f>IF(OR('Crisis Indicator Data'!L17="x",'Crisis Indicator Data'!H17="x"),"x",'Crisis Indicator Data'!L17/'Crisis Indicator Data'!H17)</f>
        <v>0</v>
      </c>
      <c r="Y20" s="167">
        <f t="shared" si="9"/>
        <v>0</v>
      </c>
      <c r="Z20" s="167">
        <f t="shared" si="10"/>
        <v>0</v>
      </c>
      <c r="AA20" s="167">
        <f t="shared" si="11"/>
        <v>2.8</v>
      </c>
      <c r="AB20" s="187">
        <f t="shared" si="12"/>
        <v>2.9</v>
      </c>
    </row>
    <row r="21" spans="1:28" x14ac:dyDescent="0.3">
      <c r="A21" s="191" t="str">
        <f>'Crisis Indicator Data'!A18</f>
        <v>Conflict in Burkina Faso</v>
      </c>
      <c r="B21" s="192" t="str">
        <f>'Crisis Indicator Data'!B18</f>
        <v>Conflict</v>
      </c>
      <c r="C21" s="192" t="str">
        <f>'Crisis Indicator Data'!C18</f>
        <v>BFA002</v>
      </c>
      <c r="D21" s="192" t="str">
        <f>'Crisis Indicator Data'!D18</f>
        <v>Burkina Faso</v>
      </c>
      <c r="E21" s="193" t="str">
        <f>'Crisis Indicator Data'!E18</f>
        <v>BFA</v>
      </c>
      <c r="F21" s="190">
        <f>IF('Crisis Indicator Data'!F18="x","x",IF(LOG('Crisis Indicator Data'!F18)&lt;F$4,0,IF(LOG('Crisis Indicator Data'!F18)&gt;F$3,5,ROUND(5-(F$3-LOG('Crisis Indicator Data'!F18))/(F$3-F$4)*5,1))))</f>
        <v>3.6</v>
      </c>
      <c r="G21" s="185">
        <f>IF('Crisis Indicator Data'!F18="x","x",IF(B21="Regional crisis",('Crisis Indicator Data'!F18/VLOOKUP('Impact of the crisis'!$C21,'Regional Crises'!$B$1:$R$66,4,FALSE)),'Crisis Indicator Data'!F18/VLOOKUP('Impact of the crisis'!$E21,'Country Indicator Data'!$B$4:$P$194,15,FALSE)))</f>
        <v>0.55478435672514614</v>
      </c>
      <c r="H21" s="167">
        <f t="shared" si="0"/>
        <v>2.7</v>
      </c>
      <c r="I21" s="167">
        <f t="shared" si="1"/>
        <v>3.1500000000000004</v>
      </c>
      <c r="J21" s="167">
        <f>IF('Crisis Indicator Data'!G18="x","x",IF(LOG('Crisis Indicator Data'!G18)&lt;J$4,0,IF(LOG('Crisis Indicator Data'!G18)&gt;J$3,5,ROUND(5-(J$3-LOG('Crisis Indicator Data'!G18))/(J$3-J$4)*5,1))))</f>
        <v>3.1</v>
      </c>
      <c r="K21" s="185">
        <f>IF('Crisis Indicator Data'!G18="x","x",IF(B21="Regional crisis",('Crisis Indicator Data'!G18/VLOOKUP('Impact of the crisis'!$C21,'Regional Crises'!$B$1:$R$66,5,FALSE)),'Crisis Indicator Data'!G18/VLOOKUP('Impact of the crisis'!$E21,'Country Indicator Data'!$B$4:$P$194,14,FALSE)))</f>
        <v>0.41328413284132842</v>
      </c>
      <c r="L21" s="167">
        <f t="shared" si="2"/>
        <v>2</v>
      </c>
      <c r="M21" s="167">
        <f t="shared" si="3"/>
        <v>2.5499999999999998</v>
      </c>
      <c r="N21" s="167">
        <f t="shared" si="4"/>
        <v>2.9</v>
      </c>
      <c r="O21" s="167">
        <f>IF('Crisis Indicator Data'!H18="x","x",IF('Crisis Indicator Data'!H18=0,0,IF(LOG('Crisis Indicator Data'!H18)&lt;O$4,0,IF(LOG('Crisis Indicator Data'!H18)&gt;O$3,5,ROUND(5-(O$3-LOG('Crisis Indicator Data'!H18))/(O$3-O$4)*5,1)))))</f>
        <v>3.7</v>
      </c>
      <c r="P21" s="185">
        <f>IF('Crisis Indicator Data'!H18="x","x",'Crisis Indicator Data'!H18/'Crisis Indicator Data'!G18)</f>
        <v>0.60405219780219777</v>
      </c>
      <c r="Q21" s="167">
        <f t="shared" si="5"/>
        <v>3</v>
      </c>
      <c r="R21" s="167">
        <f t="shared" si="6"/>
        <v>3.35</v>
      </c>
      <c r="S21" s="167">
        <f>IF('Crisis Indicator Data'!I18="x","x",IF('Crisis Indicator Data'!I18=0,0,IF(LOG('Crisis Indicator Data'!I18)&lt;S$4,0,IF(LOG('Crisis Indicator Data'!I18)&gt;S$3,5,ROUND(5-(S$3-LOG('Crisis Indicator Data'!I18))/(S$3-S$4)*5,1)))))</f>
        <v>4.3</v>
      </c>
      <c r="T21" s="185">
        <f>IF('Crisis Indicator Data'!H18="x","x",IF('Crisis Indicator Data'!I18="x","x",'Crisis Indicator Data'!I18/'Crisis Indicator Data'!H18))</f>
        <v>0.19916619291263976</v>
      </c>
      <c r="U21" s="167">
        <f t="shared" si="7"/>
        <v>5</v>
      </c>
      <c r="V21" s="167">
        <f t="shared" si="8"/>
        <v>4.7</v>
      </c>
      <c r="W21" s="167">
        <f>IF('Crisis Indicator Data'!L18="x","x",IF('Crisis Indicator Data'!L18=0,0,IF(LOG('Crisis Indicator Data'!L18)&lt;W$4,0,IF(LOG('Crisis Indicator Data'!L18)&gt;W$3,5,ROUND(5-(W$3-LOG('Crisis Indicator Data'!L18))/(W$3-W$4)*5,1)))))</f>
        <v>4.4000000000000004</v>
      </c>
      <c r="X21" s="186">
        <f>IF(OR('Crisis Indicator Data'!L18="x",'Crisis Indicator Data'!H18="x"),"x",'Crisis Indicator Data'!L18/'Crisis Indicator Data'!H18)</f>
        <v>2.1148379761227971E-4</v>
      </c>
      <c r="Y21" s="167">
        <f t="shared" si="9"/>
        <v>5</v>
      </c>
      <c r="Z21" s="167">
        <f t="shared" si="10"/>
        <v>4.7</v>
      </c>
      <c r="AA21" s="167">
        <f t="shared" si="11"/>
        <v>4.7</v>
      </c>
      <c r="AB21" s="187">
        <f t="shared" si="12"/>
        <v>4.0999999999999996</v>
      </c>
    </row>
    <row r="22" spans="1:28" x14ac:dyDescent="0.3">
      <c r="A22" s="191" t="str">
        <f>'Crisis Indicator Data'!A19</f>
        <v>Floods in Burkina Faso</v>
      </c>
      <c r="B22" s="192" t="str">
        <f>'Crisis Indicator Data'!B19</f>
        <v>Flood</v>
      </c>
      <c r="C22" s="192" t="str">
        <f>'Crisis Indicator Data'!C19</f>
        <v>BFA003</v>
      </c>
      <c r="D22" s="192" t="str">
        <f>'Crisis Indicator Data'!D19</f>
        <v>Burkina Faso</v>
      </c>
      <c r="E22" s="193" t="str">
        <f>'Crisis Indicator Data'!E19</f>
        <v>BFA</v>
      </c>
      <c r="F22" s="190">
        <f>IF('Crisis Indicator Data'!F19="x","x",IF(LOG('Crisis Indicator Data'!F19)&lt;F$4,0,IF(LOG('Crisis Indicator Data'!F19)&gt;F$3,5,ROUND(5-(F$3-LOG('Crisis Indicator Data'!F19))/(F$3-F$4)*5,1))))</f>
        <v>4.0999999999999996</v>
      </c>
      <c r="G22" s="185">
        <f>IF('Crisis Indicator Data'!F19="x","x",IF(B22="Regional crisis",('Crisis Indicator Data'!F19/VLOOKUP('Impact of the crisis'!$C22,'Regional Crises'!$B$1:$R$66,4,FALSE)),'Crisis Indicator Data'!F19/VLOOKUP('Impact of the crisis'!$E22,'Country Indicator Data'!$B$4:$P$194,15,FALSE)))</f>
        <v>0.98963450292397659</v>
      </c>
      <c r="H22" s="167">
        <f t="shared" si="0"/>
        <v>4.9000000000000004</v>
      </c>
      <c r="I22" s="167">
        <f t="shared" si="1"/>
        <v>4.5</v>
      </c>
      <c r="J22" s="167">
        <f>IF('Crisis Indicator Data'!G19="x","x",IF(LOG('Crisis Indicator Data'!G19)&lt;J$4,0,IF(LOG('Crisis Indicator Data'!G19)&gt;J$3,5,ROUND(5-(J$3-LOG('Crisis Indicator Data'!G19))/(J$3-J$4)*5,1))))</f>
        <v>4.4000000000000004</v>
      </c>
      <c r="K22" s="185">
        <f>IF('Crisis Indicator Data'!G19="x","x",IF(B22="Regional crisis",('Crisis Indicator Data'!G19/VLOOKUP('Impact of the crisis'!$C22,'Regional Crises'!$B$1:$R$66,5,FALSE)),'Crisis Indicator Data'!G19/VLOOKUP('Impact of the crisis'!$E22,'Country Indicator Data'!$B$4:$P$194,14,FALSE)))</f>
        <v>1</v>
      </c>
      <c r="L22" s="167">
        <f t="shared" si="2"/>
        <v>5</v>
      </c>
      <c r="M22" s="167">
        <f t="shared" si="3"/>
        <v>4.7</v>
      </c>
      <c r="N22" s="167">
        <f t="shared" si="4"/>
        <v>4.5999999999999996</v>
      </c>
      <c r="O22" s="167">
        <f>IF('Crisis Indicator Data'!H19="x","x",IF('Crisis Indicator Data'!H19=0,0,IF(LOG('Crisis Indicator Data'!H19)&lt;O$4,0,IF(LOG('Crisis Indicator Data'!H19)&gt;O$3,5,ROUND(5-(O$3-LOG('Crisis Indicator Data'!H19))/(O$3-O$4)*5,1)))))</f>
        <v>0.9</v>
      </c>
      <c r="P22" s="185">
        <f>IF('Crisis Indicator Data'!H19="x","x",'Crisis Indicator Data'!H19/'Crisis Indicator Data'!G19)</f>
        <v>5.0146655312706973E-3</v>
      </c>
      <c r="Q22" s="167">
        <f t="shared" si="5"/>
        <v>0</v>
      </c>
      <c r="R22" s="167">
        <f t="shared" si="6"/>
        <v>0.45</v>
      </c>
      <c r="S22" s="167" t="str">
        <f>IF('Crisis Indicator Data'!I19="x","x",IF('Crisis Indicator Data'!I19=0,0,IF(LOG('Crisis Indicator Data'!I19)&lt;S$4,0,IF(LOG('Crisis Indicator Data'!I19)&gt;S$3,5,ROUND(5-(S$3-LOG('Crisis Indicator Data'!I19))/(S$3-S$4)*5,1)))))</f>
        <v>x</v>
      </c>
      <c r="T22" s="185" t="str">
        <f>IF('Crisis Indicator Data'!H19="x","x",IF('Crisis Indicator Data'!I19="x","x",'Crisis Indicator Data'!I19/'Crisis Indicator Data'!H19))</f>
        <v>x</v>
      </c>
      <c r="U22" s="167" t="str">
        <f t="shared" si="7"/>
        <v>x</v>
      </c>
      <c r="V22" s="167" t="str">
        <f t="shared" si="8"/>
        <v>x</v>
      </c>
      <c r="W22" s="167">
        <f>IF('Crisis Indicator Data'!L19="x","x",IF('Crisis Indicator Data'!L19=0,0,IF(LOG('Crisis Indicator Data'!L19)&lt;W$4,0,IF(LOG('Crisis Indicator Data'!L19)&gt;W$3,5,ROUND(5-(W$3-LOG('Crisis Indicator Data'!L19))/(W$3-W$4)*5,1)))))</f>
        <v>2.2999999999999998</v>
      </c>
      <c r="X22" s="186">
        <f>IF(OR('Crisis Indicator Data'!L19="x",'Crisis Indicator Data'!H19="x"),"x",'Crisis Indicator Data'!L19/'Crisis Indicator Data'!H19)</f>
        <v>3.8679245283018866E-4</v>
      </c>
      <c r="Y22" s="167">
        <f t="shared" si="9"/>
        <v>5</v>
      </c>
      <c r="Z22" s="167">
        <f t="shared" si="10"/>
        <v>3.7</v>
      </c>
      <c r="AA22" s="167">
        <f t="shared" si="11"/>
        <v>3.7</v>
      </c>
      <c r="AB22" s="187">
        <f t="shared" si="12"/>
        <v>2.4</v>
      </c>
    </row>
    <row r="23" spans="1:28" x14ac:dyDescent="0.3">
      <c r="A23" s="191" t="str">
        <f>'Crisis Indicator Data'!A20</f>
        <v>Multiple crises in Burkina Faso</v>
      </c>
      <c r="B23" s="192" t="str">
        <f>'Crisis Indicator Data'!B20</f>
        <v>Multiple crises country</v>
      </c>
      <c r="C23" s="192" t="str">
        <f>'Crisis Indicator Data'!C20</f>
        <v>BFA004</v>
      </c>
      <c r="D23" s="192" t="str">
        <f>'Crisis Indicator Data'!D20</f>
        <v>Burkina Faso</v>
      </c>
      <c r="E23" s="193" t="str">
        <f>'Crisis Indicator Data'!E20</f>
        <v>BFA</v>
      </c>
      <c r="F23" s="190">
        <f>IF('Crisis Indicator Data'!F20="x","x",IF(LOG('Crisis Indicator Data'!F20)&lt;F$4,0,IF(LOG('Crisis Indicator Data'!F20)&gt;F$3,5,ROUND(5-(F$3-LOG('Crisis Indicator Data'!F20))/(F$3-F$4)*5,1))))</f>
        <v>4.0999999999999996</v>
      </c>
      <c r="G23" s="185">
        <f>IF('Crisis Indicator Data'!F20="x","x",IF(B23="Regional crisis",('Crisis Indicator Data'!F20/VLOOKUP('Impact of the crisis'!$C23,'Regional Crises'!$B$1:$R$66,4,FALSE)),'Crisis Indicator Data'!F20/VLOOKUP('Impact of the crisis'!$E23,'Country Indicator Data'!$B$4:$P$194,15,FALSE)))</f>
        <v>0.98963450292397659</v>
      </c>
      <c r="H23" s="167">
        <f t="shared" si="0"/>
        <v>4.9000000000000004</v>
      </c>
      <c r="I23" s="167">
        <f t="shared" si="1"/>
        <v>4.5</v>
      </c>
      <c r="J23" s="167">
        <f>IF('Crisis Indicator Data'!G20="x","x",IF(LOG('Crisis Indicator Data'!G20)&lt;J$4,0,IF(LOG('Crisis Indicator Data'!G20)&gt;J$3,5,ROUND(5-(J$3-LOG('Crisis Indicator Data'!G20))/(J$3-J$4)*5,1))))</f>
        <v>4.4000000000000004</v>
      </c>
      <c r="K23" s="185">
        <f>IF('Crisis Indicator Data'!G20="x","x",IF(B23="Regional crisis",('Crisis Indicator Data'!G20/VLOOKUP('Impact of the crisis'!$C23,'Regional Crises'!$B$1:$R$66,5,FALSE)),'Crisis Indicator Data'!G20/VLOOKUP('Impact of the crisis'!$E23,'Country Indicator Data'!$B$4:$P$194,14,FALSE)))</f>
        <v>1</v>
      </c>
      <c r="L23" s="167">
        <f t="shared" si="2"/>
        <v>5</v>
      </c>
      <c r="M23" s="167">
        <f t="shared" si="3"/>
        <v>4.7</v>
      </c>
      <c r="N23" s="167">
        <f t="shared" si="4"/>
        <v>4.5999999999999996</v>
      </c>
      <c r="O23" s="167">
        <f>IF('Crisis Indicator Data'!H20="x","x",IF('Crisis Indicator Data'!H20=0,0,IF(LOG('Crisis Indicator Data'!H20)&lt;O$4,0,IF(LOG('Crisis Indicator Data'!H20)&gt;O$3,5,ROUND(5-(O$3-LOG('Crisis Indicator Data'!H20))/(O$3-O$4)*5,1)))))</f>
        <v>3.7</v>
      </c>
      <c r="P23" s="185">
        <f>IF('Crisis Indicator Data'!H20="x","x",'Crisis Indicator Data'!H20/'Crisis Indicator Data'!G20)</f>
        <v>0.25465985429085058</v>
      </c>
      <c r="Q23" s="167">
        <f t="shared" si="5"/>
        <v>1.2</v>
      </c>
      <c r="R23" s="167">
        <f t="shared" si="6"/>
        <v>2.4500000000000002</v>
      </c>
      <c r="S23" s="167">
        <f>IF('Crisis Indicator Data'!I20="x","x",IF('Crisis Indicator Data'!I20=0,0,IF(LOG('Crisis Indicator Data'!I20)&lt;S$4,0,IF(LOG('Crisis Indicator Data'!I20)&gt;S$3,5,ROUND(5-(S$3-LOG('Crisis Indicator Data'!I20))/(S$3-S$4)*5,1)))))</f>
        <v>4.3</v>
      </c>
      <c r="T23" s="185">
        <f>IF('Crisis Indicator Data'!H20="x","x",IF('Crisis Indicator Data'!I20="x","x",'Crisis Indicator Data'!I20/'Crisis Indicator Data'!H20))</f>
        <v>0.19524428757198589</v>
      </c>
      <c r="U23" s="167">
        <f t="shared" si="7"/>
        <v>5</v>
      </c>
      <c r="V23" s="167">
        <f t="shared" si="8"/>
        <v>4.7</v>
      </c>
      <c r="W23" s="167">
        <f>IF('Crisis Indicator Data'!L20="x","x",IF('Crisis Indicator Data'!L20=0,0,IF(LOG('Crisis Indicator Data'!L20)&lt;W$4,0,IF(LOG('Crisis Indicator Data'!L20)&gt;W$3,5,ROUND(5-(W$3-LOG('Crisis Indicator Data'!L20))/(W$3-W$4)*5,1)))))</f>
        <v>4.4000000000000004</v>
      </c>
      <c r="X23" s="186">
        <f>IF(OR('Crisis Indicator Data'!L20="x",'Crisis Indicator Data'!H20="x"),"x",'Crisis Indicator Data'!L20/'Crisis Indicator Data'!H20)</f>
        <v>2.1493590934423183E-4</v>
      </c>
      <c r="Y23" s="167">
        <f t="shared" si="9"/>
        <v>5</v>
      </c>
      <c r="Z23" s="167">
        <f t="shared" si="10"/>
        <v>4.7</v>
      </c>
      <c r="AA23" s="167">
        <f t="shared" si="11"/>
        <v>4.7</v>
      </c>
      <c r="AB23" s="187">
        <f t="shared" si="12"/>
        <v>3.8</v>
      </c>
    </row>
    <row r="24" spans="1:28" x14ac:dyDescent="0.3">
      <c r="A24" s="191" t="str">
        <f>'Crisis Indicator Data'!A21</f>
        <v>Complex in Burundi</v>
      </c>
      <c r="B24" s="192" t="str">
        <f>'Crisis Indicator Data'!B21</f>
        <v>Complex crisis</v>
      </c>
      <c r="C24" s="192" t="str">
        <f>'Crisis Indicator Data'!C21</f>
        <v>BDI001</v>
      </c>
      <c r="D24" s="192" t="str">
        <f>'Crisis Indicator Data'!D21</f>
        <v>Burundi</v>
      </c>
      <c r="E24" s="193" t="str">
        <f>'Crisis Indicator Data'!E21</f>
        <v>BDI</v>
      </c>
      <c r="F24" s="190">
        <f>IF('Crisis Indicator Data'!F21="x","x",IF(LOG('Crisis Indicator Data'!F21)&lt;F$4,0,IF(LOG('Crisis Indicator Data'!F21)&gt;F$3,5,ROUND(5-(F$3-LOG('Crisis Indicator Data'!F21))/(F$3-F$4)*5,1))))</f>
        <v>2.2999999999999998</v>
      </c>
      <c r="G24" s="185">
        <f>IF('Crisis Indicator Data'!F21="x","x",IF(B24="Regional crisis",('Crisis Indicator Data'!F21/VLOOKUP('Impact of the crisis'!$C24,'Regional Crises'!$B$1:$R$66,4,FALSE)),'Crisis Indicator Data'!F21/VLOOKUP('Impact of the crisis'!$E24,'Country Indicator Data'!$B$4:$P$194,15,FALSE)))</f>
        <v>1</v>
      </c>
      <c r="H24" s="167">
        <f t="shared" si="0"/>
        <v>5</v>
      </c>
      <c r="I24" s="167">
        <f t="shared" si="1"/>
        <v>3.65</v>
      </c>
      <c r="J24" s="167">
        <f>IF('Crisis Indicator Data'!G21="x","x",IF(LOG('Crisis Indicator Data'!G21)&lt;J$4,0,IF(LOG('Crisis Indicator Data'!G21)&gt;J$3,5,ROUND(5-(J$3-LOG('Crisis Indicator Data'!G21))/(J$3-J$4)*5,1))))</f>
        <v>3.6</v>
      </c>
      <c r="K24" s="185">
        <f>IF('Crisis Indicator Data'!G21="x","x",IF(B24="Regional crisis",('Crisis Indicator Data'!G21/VLOOKUP('Impact of the crisis'!$C24,'Regional Crises'!$B$1:$R$66,5,FALSE)),'Crisis Indicator Data'!G21/VLOOKUP('Impact of the crisis'!$E24,'Country Indicator Data'!$B$4:$P$194,14,FALSE)))</f>
        <v>0.98032125136657977</v>
      </c>
      <c r="L24" s="167">
        <f t="shared" si="2"/>
        <v>4.9000000000000004</v>
      </c>
      <c r="M24" s="167">
        <f t="shared" si="3"/>
        <v>4.25</v>
      </c>
      <c r="N24" s="167">
        <f t="shared" si="4"/>
        <v>4</v>
      </c>
      <c r="O24" s="167">
        <f>IF('Crisis Indicator Data'!H21="x","x",IF('Crisis Indicator Data'!H21=0,0,IF(LOG('Crisis Indicator Data'!H21)&lt;O$4,0,IF(LOG('Crisis Indicator Data'!H21)&gt;O$3,5,ROUND(5-(O$3-LOG('Crisis Indicator Data'!H21))/(O$3-O$4)*5,1)))))</f>
        <v>3.7</v>
      </c>
      <c r="P24" s="185">
        <f>IF('Crisis Indicator Data'!H21="x","x",'Crisis Indicator Data'!H21/'Crisis Indicator Data'!G21)</f>
        <v>0.45371879557347516</v>
      </c>
      <c r="Q24" s="167">
        <f t="shared" si="5"/>
        <v>2.2000000000000002</v>
      </c>
      <c r="R24" s="167">
        <f t="shared" si="6"/>
        <v>2.95</v>
      </c>
      <c r="S24" s="167">
        <f>IF('Crisis Indicator Data'!I21="x","x",IF('Crisis Indicator Data'!I21=0,0,IF(LOG('Crisis Indicator Data'!I21)&lt;S$4,0,IF(LOG('Crisis Indicator Data'!I21)&gt;S$3,5,ROUND(5-(S$3-LOG('Crisis Indicator Data'!I21))/(S$3-S$4)*5,1)))))</f>
        <v>3.9</v>
      </c>
      <c r="T24" s="185">
        <f>IF('Crisis Indicator Data'!H21="x","x",IF('Crisis Indicator Data'!I21="x","x",'Crisis Indicator Data'!I21/'Crisis Indicator Data'!H21))</f>
        <v>9.4913972395537907E-2</v>
      </c>
      <c r="U24" s="167">
        <f t="shared" si="7"/>
        <v>3.2</v>
      </c>
      <c r="V24" s="167">
        <f t="shared" si="8"/>
        <v>3.6</v>
      </c>
      <c r="W24" s="167">
        <f>IF('Crisis Indicator Data'!L21="x","x",IF('Crisis Indicator Data'!L21=0,0,IF(LOG('Crisis Indicator Data'!L21)&lt;W$4,0,IF(LOG('Crisis Indicator Data'!L21)&gt;W$3,5,ROUND(5-(W$3-LOG('Crisis Indicator Data'!L21))/(W$3-W$4)*5,1)))))</f>
        <v>3.4</v>
      </c>
      <c r="X24" s="186">
        <f>IF(OR('Crisis Indicator Data'!L21="x",'Crisis Indicator Data'!H21="x"),"x",'Crisis Indicator Data'!L21/'Crisis Indicator Data'!H21)</f>
        <v>4.2162979769332574E-5</v>
      </c>
      <c r="Y24" s="167">
        <f t="shared" si="9"/>
        <v>2.1</v>
      </c>
      <c r="Z24" s="167">
        <f t="shared" si="10"/>
        <v>2.8</v>
      </c>
      <c r="AA24" s="167">
        <f t="shared" si="11"/>
        <v>3.2</v>
      </c>
      <c r="AB24" s="187">
        <f t="shared" si="12"/>
        <v>3.1</v>
      </c>
    </row>
    <row r="25" spans="1:28" x14ac:dyDescent="0.3">
      <c r="A25" s="191" t="str">
        <f>'Crisis Indicator Data'!A22</f>
        <v>Multiple crises in Cameroon</v>
      </c>
      <c r="B25" s="192" t="str">
        <f>'Crisis Indicator Data'!B22</f>
        <v>Multiple crises country</v>
      </c>
      <c r="C25" s="192" t="str">
        <f>'Crisis Indicator Data'!C22</f>
        <v>CMR001</v>
      </c>
      <c r="D25" s="192" t="str">
        <f>'Crisis Indicator Data'!D22</f>
        <v>Cameroon</v>
      </c>
      <c r="E25" s="193" t="str">
        <f>'Crisis Indicator Data'!E22</f>
        <v>CMR</v>
      </c>
      <c r="F25" s="190">
        <f>IF('Crisis Indicator Data'!F22="x","x",IF(LOG('Crisis Indicator Data'!F22)&lt;F$4,0,IF(LOG('Crisis Indicator Data'!F22)&gt;F$3,5,ROUND(5-(F$3-LOG('Crisis Indicator Data'!F22))/(F$3-F$4)*5,1))))</f>
        <v>4.0999999999999996</v>
      </c>
      <c r="G25" s="185">
        <f>IF('Crisis Indicator Data'!F22="x","x",IF(B25="Regional crisis",('Crisis Indicator Data'!F22/VLOOKUP('Impact of the crisis'!$C25,'Regional Crises'!$B$1:$R$66,4,FALSE)),'Crisis Indicator Data'!F22/VLOOKUP('Impact of the crisis'!$E25,'Country Indicator Data'!$B$4:$P$194,15,FALSE)))</f>
        <v>0.60040193776311057</v>
      </c>
      <c r="H25" s="167">
        <f t="shared" si="0"/>
        <v>3</v>
      </c>
      <c r="I25" s="167">
        <f t="shared" si="1"/>
        <v>3.55</v>
      </c>
      <c r="J25" s="167">
        <f>IF('Crisis Indicator Data'!G22="x","x",IF(LOG('Crisis Indicator Data'!G22)&lt;J$4,0,IF(LOG('Crisis Indicator Data'!G22)&gt;J$3,5,ROUND(5-(J$3-LOG('Crisis Indicator Data'!G22))/(J$3-J$4)*5,1))))</f>
        <v>3.4</v>
      </c>
      <c r="K25" s="185">
        <f>IF('Crisis Indicator Data'!G22="x","x",IF(B25="Regional crisis",('Crisis Indicator Data'!G22/VLOOKUP('Impact of the crisis'!$C25,'Regional Crises'!$B$1:$R$66,5,FALSE)),'Crisis Indicator Data'!G22/VLOOKUP('Impact of the crisis'!$E25,'Country Indicator Data'!$B$4:$P$194,14,FALSE)))</f>
        <v>0.39757968165876595</v>
      </c>
      <c r="L25" s="167">
        <f t="shared" si="2"/>
        <v>2</v>
      </c>
      <c r="M25" s="167">
        <f t="shared" si="3"/>
        <v>2.7</v>
      </c>
      <c r="N25" s="167">
        <f t="shared" si="4"/>
        <v>3.2</v>
      </c>
      <c r="O25" s="167">
        <f>IF('Crisis Indicator Data'!H22="x","x",IF('Crisis Indicator Data'!H22=0,0,IF(LOG('Crisis Indicator Data'!H22)&lt;O$4,0,IF(LOG('Crisis Indicator Data'!H22)&gt;O$3,5,ROUND(5-(O$3-LOG('Crisis Indicator Data'!H22))/(O$3-O$4)*5,1)))))</f>
        <v>3.7</v>
      </c>
      <c r="P25" s="185">
        <f>IF('Crisis Indicator Data'!H22="x","x",'Crisis Indicator Data'!H22/'Crisis Indicator Data'!G22)</f>
        <v>0.53964715005816211</v>
      </c>
      <c r="Q25" s="167">
        <f t="shared" si="5"/>
        <v>2.7</v>
      </c>
      <c r="R25" s="167">
        <f t="shared" si="6"/>
        <v>3.2</v>
      </c>
      <c r="S25" s="167">
        <f>IF('Crisis Indicator Data'!I22="x","x",IF('Crisis Indicator Data'!I22=0,0,IF(LOG('Crisis Indicator Data'!I22)&lt;S$4,0,IF(LOG('Crisis Indicator Data'!I22)&gt;S$3,5,ROUND(5-(S$3-LOG('Crisis Indicator Data'!I22))/(S$3-S$4)*5,1)))))</f>
        <v>4.7</v>
      </c>
      <c r="T25" s="185">
        <f>IF('Crisis Indicator Data'!H22="x","x",IF('Crisis Indicator Data'!I22="x","x",'Crisis Indicator Data'!I22/'Crisis Indicator Data'!H22))</f>
        <v>0.35494880546075086</v>
      </c>
      <c r="U25" s="167">
        <f t="shared" si="7"/>
        <v>5</v>
      </c>
      <c r="V25" s="167">
        <f t="shared" si="8"/>
        <v>4.9000000000000004</v>
      </c>
      <c r="W25" s="167">
        <f>IF('Crisis Indicator Data'!L22="x","x",IF('Crisis Indicator Data'!L22=0,0,IF(LOG('Crisis Indicator Data'!L22)&lt;W$4,0,IF(LOG('Crisis Indicator Data'!L22)&gt;W$3,5,ROUND(5-(W$3-LOG('Crisis Indicator Data'!L22))/(W$3-W$4)*5,1)))))</f>
        <v>3.9</v>
      </c>
      <c r="X25" s="186">
        <f>IF(OR('Crisis Indicator Data'!L22="x",'Crisis Indicator Data'!H22="x"),"x",'Crisis Indicator Data'!L22/'Crisis Indicator Data'!H22)</f>
        <v>9.3227950422130408E-5</v>
      </c>
      <c r="Y25" s="167">
        <f t="shared" si="9"/>
        <v>4.7</v>
      </c>
      <c r="Z25" s="167">
        <f t="shared" si="10"/>
        <v>4.3</v>
      </c>
      <c r="AA25" s="167">
        <f t="shared" si="11"/>
        <v>4.5999999999999996</v>
      </c>
      <c r="AB25" s="187">
        <f t="shared" si="12"/>
        <v>4</v>
      </c>
    </row>
    <row r="26" spans="1:28" x14ac:dyDescent="0.3">
      <c r="A26" s="191" t="str">
        <f>'Crisis Indicator Data'!A23</f>
        <v>Boko Haram in Cameroon</v>
      </c>
      <c r="B26" s="192" t="str">
        <f>'Crisis Indicator Data'!B23</f>
        <v>Conflict</v>
      </c>
      <c r="C26" s="192" t="str">
        <f>'Crisis Indicator Data'!C23</f>
        <v>CMR002</v>
      </c>
      <c r="D26" s="192" t="str">
        <f>'Crisis Indicator Data'!D23</f>
        <v>Cameroon</v>
      </c>
      <c r="E26" s="193" t="str">
        <f>'Crisis Indicator Data'!E23</f>
        <v>CMR</v>
      </c>
      <c r="F26" s="190">
        <f>IF('Crisis Indicator Data'!F23="x","x",IF(LOG('Crisis Indicator Data'!F23)&lt;F$4,0,IF(LOG('Crisis Indicator Data'!F23)&gt;F$3,5,ROUND(5-(F$3-LOG('Crisis Indicator Data'!F23))/(F$3-F$4)*5,1))))</f>
        <v>2.6</v>
      </c>
      <c r="G26" s="185">
        <f>IF('Crisis Indicator Data'!F23="x","x",IF(B26="Regional crisis",('Crisis Indicator Data'!F23/VLOOKUP('Impact of the crisis'!$C26,'Regional Crises'!$B$1:$R$66,4,FALSE)),'Crisis Indicator Data'!F23/VLOOKUP('Impact of the crisis'!$E26,'Country Indicator Data'!$B$4:$P$194,15,FALSE)))</f>
        <v>7.248207146030336E-2</v>
      </c>
      <c r="H26" s="167">
        <f t="shared" si="0"/>
        <v>0.3</v>
      </c>
      <c r="I26" s="167">
        <f t="shared" si="1"/>
        <v>1.45</v>
      </c>
      <c r="J26" s="167">
        <f>IF('Crisis Indicator Data'!G23="x","x",IF(LOG('Crisis Indicator Data'!G23)&lt;J$4,0,IF(LOG('Crisis Indicator Data'!G23)&gt;J$3,5,ROUND(5-(J$3-LOG('Crisis Indicator Data'!G23))/(J$3-J$4)*5,1))))</f>
        <v>2.1</v>
      </c>
      <c r="K26" s="185">
        <f>IF('Crisis Indicator Data'!G23="x","x",IF(B26="Regional crisis",('Crisis Indicator Data'!G23/VLOOKUP('Impact of the crisis'!$C26,'Regional Crises'!$B$1:$R$66,5,FALSE)),'Crisis Indicator Data'!G23/VLOOKUP('Impact of the crisis'!$E26,'Country Indicator Data'!$B$4:$P$194,14,FALSE)))</f>
        <v>0.16872856206883263</v>
      </c>
      <c r="L26" s="167">
        <f t="shared" si="2"/>
        <v>0.8</v>
      </c>
      <c r="M26" s="167">
        <f t="shared" si="3"/>
        <v>1.4500000000000002</v>
      </c>
      <c r="N26" s="167">
        <f t="shared" si="4"/>
        <v>1.5</v>
      </c>
      <c r="O26" s="167">
        <f>IF('Crisis Indicator Data'!H23="x","x",IF('Crisis Indicator Data'!H23=0,0,IF(LOG('Crisis Indicator Data'!H23)&lt;O$4,0,IF(LOG('Crisis Indicator Data'!H23)&gt;O$3,5,ROUND(5-(O$3-LOG('Crisis Indicator Data'!H23))/(O$3-O$4)*5,1)))))</f>
        <v>3.2</v>
      </c>
      <c r="P26" s="185">
        <f>IF('Crisis Indicator Data'!H23="x","x",'Crisis Indicator Data'!H23/'Crisis Indicator Data'!G23)</f>
        <v>0.57583371402466876</v>
      </c>
      <c r="Q26" s="167">
        <f t="shared" si="5"/>
        <v>2.9</v>
      </c>
      <c r="R26" s="167">
        <f t="shared" si="6"/>
        <v>3.05</v>
      </c>
      <c r="S26" s="167">
        <f>IF('Crisis Indicator Data'!I23="x","x",IF('Crisis Indicator Data'!I23=0,0,IF(LOG('Crisis Indicator Data'!I23)&lt;S$4,0,IF(LOG('Crisis Indicator Data'!I23)&gt;S$3,5,ROUND(5-(S$3-LOG('Crisis Indicator Data'!I23))/(S$3-S$4)*5,1)))))</f>
        <v>3.9</v>
      </c>
      <c r="T26" s="185">
        <f>IF('Crisis Indicator Data'!H23="x","x",IF('Crisis Indicator Data'!I23="x","x",'Crisis Indicator Data'!I23/'Crisis Indicator Data'!H23))</f>
        <v>0.22213407378024594</v>
      </c>
      <c r="U26" s="167">
        <f t="shared" si="7"/>
        <v>5</v>
      </c>
      <c r="V26" s="167">
        <f t="shared" si="8"/>
        <v>4.5</v>
      </c>
      <c r="W26" s="167">
        <f>IF('Crisis Indicator Data'!L23="x","x",IF('Crisis Indicator Data'!L23=0,0,IF(LOG('Crisis Indicator Data'!L23)&lt;W$4,0,IF(LOG('Crisis Indicator Data'!L23)&gt;W$3,5,ROUND(5-(W$3-LOG('Crisis Indicator Data'!L23))/(W$3-W$4)*5,1)))))</f>
        <v>3.3</v>
      </c>
      <c r="X26" s="186">
        <f>IF(OR('Crisis Indicator Data'!L23="x",'Crisis Indicator Data'!H23="x"),"x",'Crisis Indicator Data'!L23/'Crisis Indicator Data'!H23)</f>
        <v>7.4970249900833E-5</v>
      </c>
      <c r="Y26" s="167">
        <f t="shared" si="9"/>
        <v>3.7</v>
      </c>
      <c r="Z26" s="167">
        <f t="shared" si="10"/>
        <v>3.5</v>
      </c>
      <c r="AA26" s="167">
        <f t="shared" si="11"/>
        <v>4.0999999999999996</v>
      </c>
      <c r="AB26" s="187">
        <f t="shared" si="12"/>
        <v>3.6</v>
      </c>
    </row>
    <row r="27" spans="1:28" x14ac:dyDescent="0.3">
      <c r="A27" s="191" t="str">
        <f>'Crisis Indicator Data'!A24</f>
        <v>Anglophone Crisis in Cameroon</v>
      </c>
      <c r="B27" s="192" t="str">
        <f>'Crisis Indicator Data'!B24</f>
        <v>Conflict</v>
      </c>
      <c r="C27" s="192" t="str">
        <f>'Crisis Indicator Data'!C24</f>
        <v>CMR003</v>
      </c>
      <c r="D27" s="192" t="str">
        <f>'Crisis Indicator Data'!D24</f>
        <v>Cameroon</v>
      </c>
      <c r="E27" s="193" t="str">
        <f>'Crisis Indicator Data'!E24</f>
        <v>CMR</v>
      </c>
      <c r="F27" s="190">
        <f>IF('Crisis Indicator Data'!F24="x","x",IF(LOG('Crisis Indicator Data'!F24)&lt;F$4,0,IF(LOG('Crisis Indicator Data'!F24)&gt;F$3,5,ROUND(5-(F$3-LOG('Crisis Indicator Data'!F24))/(F$3-F$4)*5,1))))</f>
        <v>3.1</v>
      </c>
      <c r="G27" s="185">
        <f>IF('Crisis Indicator Data'!F24="x","x",IF(B27="Regional crisis",('Crisis Indicator Data'!F24/VLOOKUP('Impact of the crisis'!$C27,'Regional Crises'!$B$1:$R$66,4,FALSE)),'Crisis Indicator Data'!F24/VLOOKUP('Impact of the crisis'!$E27,'Country Indicator Data'!$B$4:$P$194,15,FALSE)))</f>
        <v>0.16257324786867214</v>
      </c>
      <c r="H27" s="167">
        <f t="shared" si="0"/>
        <v>0.7</v>
      </c>
      <c r="I27" s="167">
        <f t="shared" si="1"/>
        <v>1.9</v>
      </c>
      <c r="J27" s="167">
        <f>IF('Crisis Indicator Data'!G24="x","x",IF(LOG('Crisis Indicator Data'!G24)&lt;J$4,0,IF(LOG('Crisis Indicator Data'!G24)&gt;J$3,5,ROUND(5-(J$3-LOG('Crisis Indicator Data'!G24))/(J$3-J$4)*5,1))))</f>
        <v>2.1</v>
      </c>
      <c r="K27" s="185">
        <f>IF('Crisis Indicator Data'!G24="x","x",IF(B27="Regional crisis",('Crisis Indicator Data'!G24/VLOOKUP('Impact of the crisis'!$C27,'Regional Crises'!$B$1:$R$66,5,FALSE)),'Crisis Indicator Data'!G24/VLOOKUP('Impact of the crisis'!$E27,'Country Indicator Data'!$B$4:$P$194,14,FALSE)))</f>
        <v>0.16857440166493237</v>
      </c>
      <c r="L27" s="167">
        <f t="shared" si="2"/>
        <v>0.8</v>
      </c>
      <c r="M27" s="167">
        <f t="shared" si="3"/>
        <v>1.4500000000000002</v>
      </c>
      <c r="N27" s="167">
        <f t="shared" si="4"/>
        <v>1.7</v>
      </c>
      <c r="O27" s="167">
        <f>IF('Crisis Indicator Data'!H24="x","x",IF('Crisis Indicator Data'!H24=0,0,IF(LOG('Crisis Indicator Data'!H24)&lt;O$4,0,IF(LOG('Crisis Indicator Data'!H24)&gt;O$3,5,ROUND(5-(O$3-LOG('Crisis Indicator Data'!H24))/(O$3-O$4)*5,1)))))</f>
        <v>3.2</v>
      </c>
      <c r="P27" s="185">
        <f>IF('Crisis Indicator Data'!H24="x","x",'Crisis Indicator Data'!H24/'Crisis Indicator Data'!G24)</f>
        <v>0.63168724279835387</v>
      </c>
      <c r="Q27" s="167">
        <f t="shared" si="5"/>
        <v>3.1</v>
      </c>
      <c r="R27" s="167">
        <f t="shared" si="6"/>
        <v>3.1500000000000004</v>
      </c>
      <c r="S27" s="167">
        <f>IF('Crisis Indicator Data'!I24="x","x",IF('Crisis Indicator Data'!I24=0,0,IF(LOG('Crisis Indicator Data'!I24)&lt;S$4,0,IF(LOG('Crisis Indicator Data'!I24)&gt;S$3,5,ROUND(5-(S$3-LOG('Crisis Indicator Data'!I24))/(S$3-S$4)*5,1)))))</f>
        <v>4.4000000000000004</v>
      </c>
      <c r="T27" s="185">
        <f>IF('Crisis Indicator Data'!H24="x","x",IF('Crisis Indicator Data'!I24="x","x",'Crisis Indicator Data'!I24/'Crisis Indicator Data'!H24))</f>
        <v>0.41006152732537099</v>
      </c>
      <c r="U27" s="167">
        <f t="shared" si="7"/>
        <v>5</v>
      </c>
      <c r="V27" s="167">
        <f t="shared" si="8"/>
        <v>4.7</v>
      </c>
      <c r="W27" s="167">
        <f>IF('Crisis Indicator Data'!L24="x","x",IF('Crisis Indicator Data'!L24=0,0,IF(LOG('Crisis Indicator Data'!L24)&lt;W$4,0,IF(LOG('Crisis Indicator Data'!L24)&gt;W$3,5,ROUND(5-(W$3-LOG('Crisis Indicator Data'!L24))/(W$3-W$4)*5,1)))))</f>
        <v>3.6</v>
      </c>
      <c r="X27" s="186">
        <f>IF(OR('Crisis Indicator Data'!L24="x",'Crisis Indicator Data'!H24="x"),"x",'Crisis Indicator Data'!L24/'Crisis Indicator Data'!H24)</f>
        <v>1.1943539630836047E-4</v>
      </c>
      <c r="Y27" s="167">
        <f t="shared" si="9"/>
        <v>5</v>
      </c>
      <c r="Z27" s="167">
        <f t="shared" si="10"/>
        <v>4.3</v>
      </c>
      <c r="AA27" s="167">
        <f t="shared" si="11"/>
        <v>4.5</v>
      </c>
      <c r="AB27" s="187">
        <f t="shared" si="12"/>
        <v>3.9</v>
      </c>
    </row>
    <row r="28" spans="1:28" x14ac:dyDescent="0.3">
      <c r="A28" s="191" t="str">
        <f>'Crisis Indicator Data'!A25</f>
        <v>CAR refugees in Cameroon</v>
      </c>
      <c r="B28" s="192" t="str">
        <f>'Crisis Indicator Data'!B25</f>
        <v>International displacement</v>
      </c>
      <c r="C28" s="192" t="str">
        <f>'Crisis Indicator Data'!C25</f>
        <v>CMR004</v>
      </c>
      <c r="D28" s="192" t="str">
        <f>'Crisis Indicator Data'!D25</f>
        <v>Cameroon</v>
      </c>
      <c r="E28" s="193" t="str">
        <f>'Crisis Indicator Data'!E25</f>
        <v>CMR</v>
      </c>
      <c r="F28" s="190">
        <f>IF('Crisis Indicator Data'!F25="x","x",IF(LOG('Crisis Indicator Data'!F25)&lt;F$4,0,IF(LOG('Crisis Indicator Data'!F25)&gt;F$3,5,ROUND(5-(F$3-LOG('Crisis Indicator Data'!F25))/(F$3-F$4)*5,1))))</f>
        <v>3.7</v>
      </c>
      <c r="G28" s="185">
        <f>IF('Crisis Indicator Data'!F25="x","x",IF(B28="Regional crisis",('Crisis Indicator Data'!F25/VLOOKUP('Impact of the crisis'!$C28,'Regional Crises'!$B$1:$R$66,4,FALSE)),'Crisis Indicator Data'!F25/VLOOKUP('Impact of the crisis'!$E28,'Country Indicator Data'!$B$4:$P$194,15,FALSE)))</f>
        <v>0.36534661843413507</v>
      </c>
      <c r="H28" s="167">
        <f t="shared" si="0"/>
        <v>1.8</v>
      </c>
      <c r="I28" s="167">
        <f t="shared" si="1"/>
        <v>2.75</v>
      </c>
      <c r="J28" s="167">
        <f>IF('Crisis Indicator Data'!G25="x","x",IF(LOG('Crisis Indicator Data'!G25)&lt;J$4,0,IF(LOG('Crisis Indicator Data'!G25)&gt;J$3,5,ROUND(5-(J$3-LOG('Crisis Indicator Data'!G25))/(J$3-J$4)*5,1))))</f>
        <v>0.6</v>
      </c>
      <c r="K28" s="185">
        <f>IF('Crisis Indicator Data'!G25="x","x",IF(B28="Regional crisis",('Crisis Indicator Data'!G25/VLOOKUP('Impact of the crisis'!$C28,'Regional Crises'!$B$1:$R$66,5,FALSE)),'Crisis Indicator Data'!G25/VLOOKUP('Impact of the crisis'!$E28,'Country Indicator Data'!$B$4:$P$194,14,FALSE)))</f>
        <v>6.031525802597603E-2</v>
      </c>
      <c r="L28" s="167">
        <f t="shared" si="2"/>
        <v>0.3</v>
      </c>
      <c r="M28" s="167">
        <f t="shared" si="3"/>
        <v>0.44999999999999996</v>
      </c>
      <c r="N28" s="167">
        <f t="shared" si="4"/>
        <v>1.7</v>
      </c>
      <c r="O28" s="167">
        <f>IF('Crisis Indicator Data'!H25="x","x",IF('Crisis Indicator Data'!H25=0,0,IF(LOG('Crisis Indicator Data'!H25)&lt;O$4,0,IF(LOG('Crisis Indicator Data'!H25)&gt;O$3,5,ROUND(5-(O$3-LOG('Crisis Indicator Data'!H25))/(O$3-O$4)*5,1)))))</f>
        <v>1.6</v>
      </c>
      <c r="P28" s="185">
        <f>IF('Crisis Indicator Data'!H25="x","x",'Crisis Indicator Data'!H25/'Crisis Indicator Data'!G25)</f>
        <v>0.18146964856230033</v>
      </c>
      <c r="Q28" s="167">
        <f t="shared" si="5"/>
        <v>0.9</v>
      </c>
      <c r="R28" s="167">
        <f t="shared" si="6"/>
        <v>1.25</v>
      </c>
      <c r="S28" s="167">
        <f>IF('Crisis Indicator Data'!I25="x","x",IF('Crisis Indicator Data'!I25=0,0,IF(LOG('Crisis Indicator Data'!I25)&lt;S$4,0,IF(LOG('Crisis Indicator Data'!I25)&gt;S$3,5,ROUND(5-(S$3-LOG('Crisis Indicator Data'!I25))/(S$3-S$4)*5,1)))))</f>
        <v>3.5</v>
      </c>
      <c r="T28" s="185">
        <f>IF('Crisis Indicator Data'!H25="x","x",IF('Crisis Indicator Data'!I25="x","x",'Crisis Indicator Data'!I25/'Crisis Indicator Data'!H25))</f>
        <v>1</v>
      </c>
      <c r="U28" s="167">
        <f t="shared" si="7"/>
        <v>5</v>
      </c>
      <c r="V28" s="167">
        <f t="shared" si="8"/>
        <v>4.3</v>
      </c>
      <c r="W28" s="167">
        <f>IF('Crisis Indicator Data'!L25="x","x",IF('Crisis Indicator Data'!L25=0,0,IF(LOG('Crisis Indicator Data'!L25)&lt;W$4,0,IF(LOG('Crisis Indicator Data'!L25)&gt;W$3,5,ROUND(5-(W$3-LOG('Crisis Indicator Data'!L25))/(W$3-W$4)*5,1)))))</f>
        <v>0</v>
      </c>
      <c r="X28" s="186">
        <f>IF(OR('Crisis Indicator Data'!L25="x",'Crisis Indicator Data'!H25="x"),"x",'Crisis Indicator Data'!L25/'Crisis Indicator Data'!H25)</f>
        <v>0</v>
      </c>
      <c r="Y28" s="167">
        <f t="shared" si="9"/>
        <v>0</v>
      </c>
      <c r="Z28" s="167">
        <f t="shared" si="10"/>
        <v>0</v>
      </c>
      <c r="AA28" s="167">
        <f t="shared" si="11"/>
        <v>2.8</v>
      </c>
      <c r="AB28" s="187">
        <f t="shared" si="12"/>
        <v>2.1</v>
      </c>
    </row>
    <row r="29" spans="1:28" x14ac:dyDescent="0.3">
      <c r="A29" s="191" t="str">
        <f>'Crisis Indicator Data'!A26</f>
        <v>Complex crisis in CAR</v>
      </c>
      <c r="B29" s="192" t="str">
        <f>'Crisis Indicator Data'!B26</f>
        <v>Complex crisis</v>
      </c>
      <c r="C29" s="192" t="str">
        <f>'Crisis Indicator Data'!C26</f>
        <v>CAF001</v>
      </c>
      <c r="D29" s="192" t="str">
        <f>'Crisis Indicator Data'!D26</f>
        <v>CAR</v>
      </c>
      <c r="E29" s="193" t="str">
        <f>'Crisis Indicator Data'!E26</f>
        <v>CAF</v>
      </c>
      <c r="F29" s="190">
        <f>IF('Crisis Indicator Data'!F26="x","x",IF(LOG('Crisis Indicator Data'!F26)&lt;F$4,0,IF(LOG('Crisis Indicator Data'!F26)&gt;F$3,5,ROUND(5-(F$3-LOG('Crisis Indicator Data'!F26))/(F$3-F$4)*5,1))))</f>
        <v>4.7</v>
      </c>
      <c r="G29" s="185">
        <f>IF('Crisis Indicator Data'!F26="x","x",IF(B29="Regional crisis",('Crisis Indicator Data'!F26/VLOOKUP('Impact of the crisis'!$C29,'Regional Crises'!$B$1:$R$66,4,FALSE)),'Crisis Indicator Data'!F26/VLOOKUP('Impact of the crisis'!$E29,'Country Indicator Data'!$B$4:$P$194,15,FALSE)))</f>
        <v>1.0000321037593503</v>
      </c>
      <c r="H29" s="167">
        <f t="shared" si="0"/>
        <v>5</v>
      </c>
      <c r="I29" s="167">
        <f t="shared" si="1"/>
        <v>4.8499999999999996</v>
      </c>
      <c r="J29" s="167">
        <f>IF('Crisis Indicator Data'!G26="x","x",IF(LOG('Crisis Indicator Data'!G26)&lt;J$4,0,IF(LOG('Crisis Indicator Data'!G26)&gt;J$3,5,ROUND(5-(J$3-LOG('Crisis Indicator Data'!G26))/(J$3-J$4)*5,1))))</f>
        <v>2.2999999999999998</v>
      </c>
      <c r="K29" s="185">
        <f>IF('Crisis Indicator Data'!G26="x","x",IF(B29="Regional crisis",('Crisis Indicator Data'!G26/VLOOKUP('Impact of the crisis'!$C29,'Regional Crises'!$B$1:$R$66,5,FALSE)),'Crisis Indicator Data'!G26/VLOOKUP('Impact of the crisis'!$E29,'Country Indicator Data'!$B$4:$P$194,14,FALSE)))</f>
        <v>1</v>
      </c>
      <c r="L29" s="167">
        <f t="shared" si="2"/>
        <v>5</v>
      </c>
      <c r="M29" s="167">
        <f t="shared" si="3"/>
        <v>3.65</v>
      </c>
      <c r="N29" s="167">
        <f t="shared" si="4"/>
        <v>4.3</v>
      </c>
      <c r="O29" s="167">
        <f>IF('Crisis Indicator Data'!H26="x","x",IF('Crisis Indicator Data'!H26=0,0,IF(LOG('Crisis Indicator Data'!H26)&lt;O$4,0,IF(LOG('Crisis Indicator Data'!H26)&gt;O$3,5,ROUND(5-(O$3-LOG('Crisis Indicator Data'!H26))/(O$3-O$4)*5,1)))))</f>
        <v>3.7</v>
      </c>
      <c r="P29" s="185">
        <f>IF('Crisis Indicator Data'!H26="x","x",'Crisis Indicator Data'!H26/'Crisis Indicator Data'!G26)</f>
        <v>1</v>
      </c>
      <c r="Q29" s="167">
        <f t="shared" si="5"/>
        <v>5</v>
      </c>
      <c r="R29" s="167">
        <f t="shared" si="6"/>
        <v>4.3499999999999996</v>
      </c>
      <c r="S29" s="167">
        <f>IF('Crisis Indicator Data'!I26="x","x",IF('Crisis Indicator Data'!I26=0,0,IF(LOG('Crisis Indicator Data'!I26)&lt;S$4,0,IF(LOG('Crisis Indicator Data'!I26)&gt;S$3,5,ROUND(5-(S$3-LOG('Crisis Indicator Data'!I26))/(S$3-S$4)*5,1)))))</f>
        <v>4.5999999999999996</v>
      </c>
      <c r="T29" s="185">
        <f>IF('Crisis Indicator Data'!H26="x","x",IF('Crisis Indicator Data'!I26="x","x",'Crisis Indicator Data'!I26/'Crisis Indicator Data'!H26))</f>
        <v>0.35142857142857142</v>
      </c>
      <c r="U29" s="167">
        <f t="shared" si="7"/>
        <v>5</v>
      </c>
      <c r="V29" s="167">
        <f t="shared" si="8"/>
        <v>4.8</v>
      </c>
      <c r="W29" s="167">
        <f>IF('Crisis Indicator Data'!L26="x","x",IF('Crisis Indicator Data'!L26=0,0,IF(LOG('Crisis Indicator Data'!L26)&lt;W$4,0,IF(LOG('Crisis Indicator Data'!L26)&gt;W$3,5,ROUND(5-(W$3-LOG('Crisis Indicator Data'!L26))/(W$3-W$4)*5,1)))))</f>
        <v>3</v>
      </c>
      <c r="X29" s="186">
        <f>IF(OR('Crisis Indicator Data'!L26="x",'Crisis Indicator Data'!H26="x"),"x",'Crisis Indicator Data'!L26/'Crisis Indicator Data'!H26)</f>
        <v>2.3877551020408164E-5</v>
      </c>
      <c r="Y29" s="167">
        <f t="shared" si="9"/>
        <v>1.2</v>
      </c>
      <c r="Z29" s="167">
        <f t="shared" si="10"/>
        <v>2.1</v>
      </c>
      <c r="AA29" s="167">
        <f t="shared" si="11"/>
        <v>3.8</v>
      </c>
      <c r="AB29" s="187">
        <f t="shared" si="12"/>
        <v>4.0999999999999996</v>
      </c>
    </row>
    <row r="30" spans="1:28" x14ac:dyDescent="0.3">
      <c r="A30" s="191" t="str">
        <f>'Crisis Indicator Data'!A27</f>
        <v>Complex crisis in Chad</v>
      </c>
      <c r="B30" s="192" t="str">
        <f>'Crisis Indicator Data'!B27</f>
        <v>Multiple crises country</v>
      </c>
      <c r="C30" s="192" t="str">
        <f>'Crisis Indicator Data'!C27</f>
        <v>TCD001</v>
      </c>
      <c r="D30" s="192" t="str">
        <f>'Crisis Indicator Data'!D27</f>
        <v>Chad</v>
      </c>
      <c r="E30" s="193" t="str">
        <f>'Crisis Indicator Data'!E27</f>
        <v>TCD</v>
      </c>
      <c r="F30" s="190">
        <f>IF('Crisis Indicator Data'!F27="x","x",IF(LOG('Crisis Indicator Data'!F27)&lt;F$4,0,IF(LOG('Crisis Indicator Data'!F27)&gt;F$3,5,ROUND(5-(F$3-LOG('Crisis Indicator Data'!F27))/(F$3-F$4)*5,1))))</f>
        <v>5</v>
      </c>
      <c r="G30" s="185">
        <f>IF('Crisis Indicator Data'!F27="x","x",IF(B30="Regional crisis",('Crisis Indicator Data'!F27/VLOOKUP('Impact of the crisis'!$C30,'Regional Crises'!$B$1:$R$66,4,FALSE)),'Crisis Indicator Data'!F27/VLOOKUP('Impact of the crisis'!$E30,'Country Indicator Data'!$B$4:$P$194,15,FALSE)))</f>
        <v>1</v>
      </c>
      <c r="H30" s="167">
        <f t="shared" si="0"/>
        <v>5</v>
      </c>
      <c r="I30" s="167">
        <f t="shared" si="1"/>
        <v>5</v>
      </c>
      <c r="J30" s="167">
        <f>IF('Crisis Indicator Data'!G27="x","x",IF(LOG('Crisis Indicator Data'!G27)&lt;J$4,0,IF(LOG('Crisis Indicator Data'!G27)&gt;J$3,5,ROUND(5-(J$3-LOG('Crisis Indicator Data'!G27))/(J$3-J$4)*5,1))))</f>
        <v>4.0999999999999996</v>
      </c>
      <c r="K30" s="185">
        <f>IF('Crisis Indicator Data'!G27="x","x",IF(B30="Regional crisis",('Crisis Indicator Data'!G27/VLOOKUP('Impact of the crisis'!$C30,'Regional Crises'!$B$1:$R$66,5,FALSE)),'Crisis Indicator Data'!G27/VLOOKUP('Impact of the crisis'!$E30,'Country Indicator Data'!$B$4:$P$194,14,FALSE)))</f>
        <v>0.99976172037886457</v>
      </c>
      <c r="L30" s="167">
        <f t="shared" si="2"/>
        <v>5</v>
      </c>
      <c r="M30" s="167">
        <f t="shared" si="3"/>
        <v>4.55</v>
      </c>
      <c r="N30" s="167">
        <f t="shared" si="4"/>
        <v>4.8</v>
      </c>
      <c r="O30" s="167">
        <f>IF('Crisis Indicator Data'!H27="x","x",IF('Crisis Indicator Data'!H27=0,0,IF(LOG('Crisis Indicator Data'!H27)&lt;O$4,0,IF(LOG('Crisis Indicator Data'!H27)&gt;O$3,5,ROUND(5-(O$3-LOG('Crisis Indicator Data'!H27))/(O$3-O$4)*5,1)))))</f>
        <v>4.5</v>
      </c>
      <c r="P30" s="185">
        <f>IF('Crisis Indicator Data'!H27="x","x",'Crisis Indicator Data'!H27/'Crisis Indicator Data'!G27)</f>
        <v>1.0002383364118452</v>
      </c>
      <c r="Q30" s="167">
        <f t="shared" si="5"/>
        <v>5</v>
      </c>
      <c r="R30" s="167">
        <f t="shared" si="6"/>
        <v>4.75</v>
      </c>
      <c r="S30" s="167">
        <f>IF('Crisis Indicator Data'!I27="x","x",IF('Crisis Indicator Data'!I27=0,0,IF(LOG('Crisis Indicator Data'!I27)&lt;S$4,0,IF(LOG('Crisis Indicator Data'!I27)&gt;S$3,5,ROUND(5-(S$3-LOG('Crisis Indicator Data'!I27))/(S$3-S$4)*5,1)))))</f>
        <v>4.2</v>
      </c>
      <c r="T30" s="185">
        <f>IF('Crisis Indicator Data'!H27="x","x",IF('Crisis Indicator Data'!I27="x","x",'Crisis Indicator Data'!I27/'Crisis Indicator Data'!H27))</f>
        <v>5.2659796270923931E-2</v>
      </c>
      <c r="U30" s="167">
        <f t="shared" si="7"/>
        <v>1.8</v>
      </c>
      <c r="V30" s="167">
        <f t="shared" si="8"/>
        <v>3</v>
      </c>
      <c r="W30" s="167">
        <f>IF('Crisis Indicator Data'!L27="x","x",IF('Crisis Indicator Data'!L27=0,0,IF(LOG('Crisis Indicator Data'!L27)&lt;W$4,0,IF(LOG('Crisis Indicator Data'!L27)&gt;W$3,5,ROUND(5-(W$3-LOG('Crisis Indicator Data'!L27))/(W$3-W$4)*5,1)))))</f>
        <v>3.7</v>
      </c>
      <c r="X30" s="186">
        <f>IF(OR('Crisis Indicator Data'!L27="x",'Crisis Indicator Data'!H27="x"),"x",'Crisis Indicator Data'!L27/'Crisis Indicator Data'!H27)</f>
        <v>2.2040864955024721E-5</v>
      </c>
      <c r="Y30" s="167">
        <f t="shared" si="9"/>
        <v>1.1000000000000001</v>
      </c>
      <c r="Z30" s="167">
        <f t="shared" si="10"/>
        <v>2.4</v>
      </c>
      <c r="AA30" s="167">
        <f t="shared" si="11"/>
        <v>2.7</v>
      </c>
      <c r="AB30" s="187">
        <f t="shared" si="12"/>
        <v>3.9</v>
      </c>
    </row>
    <row r="31" spans="1:28" x14ac:dyDescent="0.3">
      <c r="A31" s="191" t="str">
        <f>'Crisis Indicator Data'!A28</f>
        <v>Boko Haram in Chad</v>
      </c>
      <c r="B31" s="192" t="str">
        <f>'Crisis Indicator Data'!B28</f>
        <v>Conflict</v>
      </c>
      <c r="C31" s="192" t="str">
        <f>'Crisis Indicator Data'!C28</f>
        <v>TCD003</v>
      </c>
      <c r="D31" s="192" t="str">
        <f>'Crisis Indicator Data'!D28</f>
        <v>Chad</v>
      </c>
      <c r="E31" s="193" t="str">
        <f>'Crisis Indicator Data'!E28</f>
        <v>TCD</v>
      </c>
      <c r="F31" s="190">
        <f>IF('Crisis Indicator Data'!F28="x","x",IF(LOG('Crisis Indicator Data'!F28)&lt;F$4,0,IF(LOG('Crisis Indicator Data'!F28)&gt;F$3,5,ROUND(5-(F$3-LOG('Crisis Indicator Data'!F28))/(F$3-F$4)*5,1))))</f>
        <v>2.2000000000000002</v>
      </c>
      <c r="G31" s="185">
        <f>IF('Crisis Indicator Data'!F28="x","x",IF(B31="Regional crisis",('Crisis Indicator Data'!F28/VLOOKUP('Impact of the crisis'!$C31,'Regional Crises'!$B$1:$R$66,4,FALSE)),'Crisis Indicator Data'!F28/VLOOKUP('Impact of the crisis'!$E31,'Country Indicator Data'!$B$4:$P$194,15,FALSE)))</f>
        <v>1.5815597204574334E-2</v>
      </c>
      <c r="H31" s="167">
        <f t="shared" si="0"/>
        <v>0</v>
      </c>
      <c r="I31" s="167">
        <f t="shared" si="1"/>
        <v>1.1000000000000001</v>
      </c>
      <c r="J31" s="167">
        <f>IF('Crisis Indicator Data'!G28="x","x",IF(LOG('Crisis Indicator Data'!G28)&lt;J$4,0,IF(LOG('Crisis Indicator Data'!G28)&gt;J$3,5,ROUND(5-(J$3-LOG('Crisis Indicator Data'!G28))/(J$3-J$4)*5,1))))</f>
        <v>0</v>
      </c>
      <c r="K31" s="185">
        <f>IF('Crisis Indicator Data'!G28="x","x",IF(B31="Regional crisis",('Crisis Indicator Data'!G28/VLOOKUP('Impact of the crisis'!$C31,'Regional Crises'!$B$1:$R$66,5,FALSE)),'Crisis Indicator Data'!G28/VLOOKUP('Impact of the crisis'!$E31,'Country Indicator Data'!$B$4:$P$194,14,FALSE)))</f>
        <v>4.0805385119437661E-2</v>
      </c>
      <c r="L31" s="167">
        <f t="shared" si="2"/>
        <v>0.2</v>
      </c>
      <c r="M31" s="167">
        <f t="shared" si="3"/>
        <v>0.1</v>
      </c>
      <c r="N31" s="167">
        <f t="shared" si="4"/>
        <v>0.6</v>
      </c>
      <c r="O31" s="167">
        <f>IF('Crisis Indicator Data'!H28="x","x",IF('Crisis Indicator Data'!H28=0,0,IF(LOG('Crisis Indicator Data'!H28)&lt;O$4,0,IF(LOG('Crisis Indicator Data'!H28)&gt;O$3,5,ROUND(5-(O$3-LOG('Crisis Indicator Data'!H28))/(O$3-O$4)*5,1)))))</f>
        <v>2.2000000000000002</v>
      </c>
      <c r="P31" s="185">
        <f>IF('Crisis Indicator Data'!H28="x","x",'Crisis Indicator Data'!H28/'Crisis Indicator Data'!G28)</f>
        <v>1</v>
      </c>
      <c r="Q31" s="167">
        <f t="shared" si="5"/>
        <v>5</v>
      </c>
      <c r="R31" s="167">
        <f t="shared" si="6"/>
        <v>3.6</v>
      </c>
      <c r="S31" s="167">
        <f>IF('Crisis Indicator Data'!I28="x","x",IF('Crisis Indicator Data'!I28=0,0,IF(LOG('Crisis Indicator Data'!I28)&lt;S$4,0,IF(LOG('Crisis Indicator Data'!I28)&gt;S$3,5,ROUND(5-(S$3-LOG('Crisis Indicator Data'!I28))/(S$3-S$4)*5,1)))))</f>
        <v>3.6</v>
      </c>
      <c r="T31" s="185">
        <f>IF('Crisis Indicator Data'!H28="x","x",IF('Crisis Indicator Data'!I28="x","x",'Crisis Indicator Data'!I28/'Crisis Indicator Data'!H28))</f>
        <v>0.50072992700729924</v>
      </c>
      <c r="U31" s="167">
        <f t="shared" si="7"/>
        <v>5</v>
      </c>
      <c r="V31" s="167">
        <f t="shared" si="8"/>
        <v>4.3</v>
      </c>
      <c r="W31" s="167">
        <f>IF('Crisis Indicator Data'!L28="x","x",IF('Crisis Indicator Data'!L28=0,0,IF(LOG('Crisis Indicator Data'!L28)&lt;W$4,0,IF(LOG('Crisis Indicator Data'!L28)&gt;W$3,5,ROUND(5-(W$3-LOG('Crisis Indicator Data'!L28))/(W$3-W$4)*5,1)))))</f>
        <v>3.5</v>
      </c>
      <c r="X31" s="186">
        <f>IF(OR('Crisis Indicator Data'!L28="x",'Crisis Indicator Data'!H28="x"),"x",'Crisis Indicator Data'!L28/'Crisis Indicator Data'!H28)</f>
        <v>3.8102189781021896E-4</v>
      </c>
      <c r="Y31" s="167">
        <f t="shared" si="9"/>
        <v>5</v>
      </c>
      <c r="Z31" s="167">
        <f t="shared" si="10"/>
        <v>4.3</v>
      </c>
      <c r="AA31" s="167">
        <f t="shared" si="11"/>
        <v>4.3</v>
      </c>
      <c r="AB31" s="187">
        <f t="shared" si="12"/>
        <v>4</v>
      </c>
    </row>
    <row r="32" spans="1:28" x14ac:dyDescent="0.3">
      <c r="A32" s="191" t="str">
        <f>'Crisis Indicator Data'!A29</f>
        <v>CAR refugees in Chad</v>
      </c>
      <c r="B32" s="192" t="str">
        <f>'Crisis Indicator Data'!B29</f>
        <v>International displacement</v>
      </c>
      <c r="C32" s="192" t="str">
        <f>'Crisis Indicator Data'!C29</f>
        <v>TCD004</v>
      </c>
      <c r="D32" s="192" t="str">
        <f>'Crisis Indicator Data'!D29</f>
        <v>Chad</v>
      </c>
      <c r="E32" s="193" t="str">
        <f>'Crisis Indicator Data'!E29</f>
        <v>TCD</v>
      </c>
      <c r="F32" s="190">
        <f>IF('Crisis Indicator Data'!F29="x","x",IF(LOG('Crisis Indicator Data'!F29)&lt;F$4,0,IF(LOG('Crisis Indicator Data'!F29)&gt;F$3,5,ROUND(5-(F$3-LOG('Crisis Indicator Data'!F29))/(F$3-F$4)*5,1))))</f>
        <v>3.6</v>
      </c>
      <c r="G32" s="185">
        <f>IF('Crisis Indicator Data'!F29="x","x",IF(B32="Regional crisis",('Crisis Indicator Data'!F29/VLOOKUP('Impact of the crisis'!$C32,'Regional Crises'!$B$1:$R$66,4,FALSE)),'Crisis Indicator Data'!F29/VLOOKUP('Impact of the crisis'!$E32,'Country Indicator Data'!$B$4:$P$194,15,FALSE)))</f>
        <v>0.12279463151207115</v>
      </c>
      <c r="H32" s="167">
        <f t="shared" si="0"/>
        <v>0.5</v>
      </c>
      <c r="I32" s="167">
        <f t="shared" si="1"/>
        <v>2.0499999999999998</v>
      </c>
      <c r="J32" s="167">
        <f>IF('Crisis Indicator Data'!G29="x","x",IF(LOG('Crisis Indicator Data'!G29)&lt;J$4,0,IF(LOG('Crisis Indicator Data'!G29)&gt;J$3,5,ROUND(5-(J$3-LOG('Crisis Indicator Data'!G29))/(J$3-J$4)*5,1))))</f>
        <v>2.2000000000000002</v>
      </c>
      <c r="K32" s="185">
        <f>IF('Crisis Indicator Data'!G29="x","x",IF(B32="Regional crisis",('Crisis Indicator Data'!G29/VLOOKUP('Impact of the crisis'!$C32,'Regional Crises'!$B$1:$R$66,5,FALSE)),'Crisis Indicator Data'!G29/VLOOKUP('Impact of the crisis'!$E32,'Country Indicator Data'!$B$4:$P$194,14,FALSE)))</f>
        <v>0.26544349794483829</v>
      </c>
      <c r="L32" s="167">
        <f t="shared" si="2"/>
        <v>1.3</v>
      </c>
      <c r="M32" s="167">
        <f t="shared" si="3"/>
        <v>1.75</v>
      </c>
      <c r="N32" s="167">
        <f t="shared" si="4"/>
        <v>1.9</v>
      </c>
      <c r="O32" s="167">
        <f>IF('Crisis Indicator Data'!H29="x","x",IF('Crisis Indicator Data'!H29=0,0,IF(LOG('Crisis Indicator Data'!H29)&lt;O$4,0,IF(LOG('Crisis Indicator Data'!H29)&gt;O$3,5,ROUND(5-(O$3-LOG('Crisis Indicator Data'!H29))/(O$3-O$4)*5,1)))))</f>
        <v>2.5</v>
      </c>
      <c r="P32" s="185">
        <f>IF('Crisis Indicator Data'!H29="x","x",'Crisis Indicator Data'!H29/'Crisis Indicator Data'!G29)</f>
        <v>0.22531418312387791</v>
      </c>
      <c r="Q32" s="167">
        <f t="shared" si="5"/>
        <v>1.1000000000000001</v>
      </c>
      <c r="R32" s="167">
        <f t="shared" si="6"/>
        <v>1.8</v>
      </c>
      <c r="S32" s="167">
        <f>IF('Crisis Indicator Data'!I29="x","x",IF('Crisis Indicator Data'!I29=0,0,IF(LOG('Crisis Indicator Data'!I29)&lt;S$4,0,IF(LOG('Crisis Indicator Data'!I29)&gt;S$3,5,ROUND(5-(S$3-LOG('Crisis Indicator Data'!I29))/(S$3-S$4)*5,1)))))</f>
        <v>3.2</v>
      </c>
      <c r="T32" s="185">
        <f>IF('Crisis Indicator Data'!H29="x","x",IF('Crisis Indicator Data'!I29="x","x",'Crisis Indicator Data'!I29/'Crisis Indicator Data'!H29))</f>
        <v>0.16334661354581673</v>
      </c>
      <c r="U32" s="167">
        <f t="shared" si="7"/>
        <v>5</v>
      </c>
      <c r="V32" s="167">
        <f t="shared" si="8"/>
        <v>4.0999999999999996</v>
      </c>
      <c r="W32" s="167" t="str">
        <f>IF('Crisis Indicator Data'!L29="x","x",IF('Crisis Indicator Data'!L29=0,0,IF(LOG('Crisis Indicator Data'!L29)&lt;W$4,0,IF(LOG('Crisis Indicator Data'!L29)&gt;W$3,5,ROUND(5-(W$3-LOG('Crisis Indicator Data'!L29))/(W$3-W$4)*5,1)))))</f>
        <v>x</v>
      </c>
      <c r="X32" s="186" t="str">
        <f>IF(OR('Crisis Indicator Data'!L29="x",'Crisis Indicator Data'!H29="x"),"x",'Crisis Indicator Data'!L29/'Crisis Indicator Data'!H29)</f>
        <v>x</v>
      </c>
      <c r="Y32" s="167" t="str">
        <f t="shared" si="9"/>
        <v>x</v>
      </c>
      <c r="Z32" s="167" t="str">
        <f t="shared" si="10"/>
        <v>x</v>
      </c>
      <c r="AA32" s="167">
        <f t="shared" si="11"/>
        <v>4.0999999999999996</v>
      </c>
      <c r="AB32" s="187">
        <f t="shared" si="12"/>
        <v>3.2</v>
      </c>
    </row>
    <row r="33" spans="1:28" x14ac:dyDescent="0.3">
      <c r="A33" s="191" t="str">
        <f>'Crisis Indicator Data'!A30</f>
        <v>Darfur refugees in Chad</v>
      </c>
      <c r="B33" s="192" t="str">
        <f>'Crisis Indicator Data'!B30</f>
        <v>International displacement</v>
      </c>
      <c r="C33" s="192" t="str">
        <f>'Crisis Indicator Data'!C30</f>
        <v>TCD005</v>
      </c>
      <c r="D33" s="192" t="str">
        <f>'Crisis Indicator Data'!D30</f>
        <v>Chad</v>
      </c>
      <c r="E33" s="193" t="str">
        <f>'Crisis Indicator Data'!E30</f>
        <v>TCD</v>
      </c>
      <c r="F33" s="190">
        <f>IF('Crisis Indicator Data'!F30="x","x",IF(LOG('Crisis Indicator Data'!F30)&lt;F$4,0,IF(LOG('Crisis Indicator Data'!F30)&gt;F$3,5,ROUND(5-(F$3-LOG('Crisis Indicator Data'!F30))/(F$3-F$4)*5,1))))</f>
        <v>3.9</v>
      </c>
      <c r="G33" s="185">
        <f>IF('Crisis Indicator Data'!F30="x","x",IF(B33="Regional crisis",('Crisis Indicator Data'!F30/VLOOKUP('Impact of the crisis'!$C33,'Regional Crises'!$B$1:$R$66,4,FALSE)),'Crisis Indicator Data'!F30/VLOOKUP('Impact of the crisis'!$E33,'Country Indicator Data'!$B$4:$P$194,15,FALSE)))</f>
        <v>0.16333465692503177</v>
      </c>
      <c r="H33" s="167">
        <f t="shared" si="0"/>
        <v>0.7</v>
      </c>
      <c r="I33" s="167">
        <f t="shared" si="1"/>
        <v>2.2999999999999998</v>
      </c>
      <c r="J33" s="167">
        <f>IF('Crisis Indicator Data'!G30="x","x",IF(LOG('Crisis Indicator Data'!G30)&lt;J$4,0,IF(LOG('Crisis Indicator Data'!G30)&gt;J$3,5,ROUND(5-(J$3-LOG('Crisis Indicator Data'!G30))/(J$3-J$4)*5,1))))</f>
        <v>1.4</v>
      </c>
      <c r="K33" s="185">
        <f>IF('Crisis Indicator Data'!G30="x","x",IF(B33="Regional crisis",('Crisis Indicator Data'!G30/VLOOKUP('Impact of the crisis'!$C33,'Regional Crises'!$B$1:$R$66,5,FALSE)),'Crisis Indicator Data'!G30/VLOOKUP('Impact of the crisis'!$E33,'Country Indicator Data'!$B$4:$P$194,14,FALSE)))</f>
        <v>0.153511645916483</v>
      </c>
      <c r="L33" s="167">
        <f t="shared" si="2"/>
        <v>0.7</v>
      </c>
      <c r="M33" s="167">
        <f t="shared" si="3"/>
        <v>1.0499999999999998</v>
      </c>
      <c r="N33" s="167">
        <f t="shared" si="4"/>
        <v>1.7</v>
      </c>
      <c r="O33" s="167">
        <f>IF('Crisis Indicator Data'!H30="x","x",IF('Crisis Indicator Data'!H30=0,0,IF(LOG('Crisis Indicator Data'!H30)&lt;O$4,0,IF(LOG('Crisis Indicator Data'!H30)&gt;O$3,5,ROUND(5-(O$3-LOG('Crisis Indicator Data'!H30))/(O$3-O$4)*5,1)))))</f>
        <v>2.6</v>
      </c>
      <c r="P33" s="185">
        <f>IF('Crisis Indicator Data'!H30="x","x",'Crisis Indicator Data'!H30/'Crisis Indicator Data'!G30)</f>
        <v>0.43577803647652308</v>
      </c>
      <c r="Q33" s="167">
        <f t="shared" si="5"/>
        <v>2.2000000000000002</v>
      </c>
      <c r="R33" s="167">
        <f t="shared" si="6"/>
        <v>2.4000000000000004</v>
      </c>
      <c r="S33" s="167">
        <f>IF('Crisis Indicator Data'!I30="x","x",IF('Crisis Indicator Data'!I30=0,0,IF(LOG('Crisis Indicator Data'!I30)&lt;S$4,0,IF(LOG('Crisis Indicator Data'!I30)&gt;S$3,5,ROUND(5-(S$3-LOG('Crisis Indicator Data'!I30))/(S$3-S$4)*5,1)))))</f>
        <v>3.7</v>
      </c>
      <c r="T33" s="185">
        <f>IF('Crisis Indicator Data'!H30="x","x",IF('Crisis Indicator Data'!I30="x","x",'Crisis Indicator Data'!I30/'Crisis Indicator Data'!H30))</f>
        <v>0.33036509349955478</v>
      </c>
      <c r="U33" s="167">
        <f t="shared" si="7"/>
        <v>5</v>
      </c>
      <c r="V33" s="167">
        <f t="shared" si="8"/>
        <v>4.4000000000000004</v>
      </c>
      <c r="W33" s="167">
        <f>IF('Crisis Indicator Data'!L30="x","x",IF('Crisis Indicator Data'!L30=0,0,IF(LOG('Crisis Indicator Data'!L30)&lt;W$4,0,IF(LOG('Crisis Indicator Data'!L30)&gt;W$3,5,ROUND(5-(W$3-LOG('Crisis Indicator Data'!L30))/(W$3-W$4)*5,1)))))</f>
        <v>1</v>
      </c>
      <c r="X33" s="186">
        <f>IF(OR('Crisis Indicator Data'!L30="x",'Crisis Indicator Data'!H30="x"),"x",'Crisis Indicator Data'!L30/'Crisis Indicator Data'!H30)</f>
        <v>4.452359750667854E-6</v>
      </c>
      <c r="Y33" s="167">
        <f t="shared" si="9"/>
        <v>0.2</v>
      </c>
      <c r="Z33" s="167">
        <f t="shared" si="10"/>
        <v>0.6</v>
      </c>
      <c r="AA33" s="167">
        <f t="shared" si="11"/>
        <v>3</v>
      </c>
      <c r="AB33" s="187">
        <f t="shared" si="12"/>
        <v>2.7</v>
      </c>
    </row>
    <row r="34" spans="1:28" x14ac:dyDescent="0.3">
      <c r="A34" s="191" t="str">
        <f>'Crisis Indicator Data'!A31</f>
        <v>Tibesti Conflict in Chad</v>
      </c>
      <c r="B34" s="192" t="str">
        <f>'Crisis Indicator Data'!B31</f>
        <v>Conflict</v>
      </c>
      <c r="C34" s="192" t="str">
        <f>'Crisis Indicator Data'!C31</f>
        <v>TCD006</v>
      </c>
      <c r="D34" s="192" t="str">
        <f>'Crisis Indicator Data'!D31</f>
        <v>Chad</v>
      </c>
      <c r="E34" s="193" t="str">
        <f>'Crisis Indicator Data'!E31</f>
        <v>TCD</v>
      </c>
      <c r="F34" s="190">
        <f>IF('Crisis Indicator Data'!F31="x","x",IF(LOG('Crisis Indicator Data'!F31)&lt;F$4,0,IF(LOG('Crisis Indicator Data'!F31)&gt;F$3,5,ROUND(5-(F$3-LOG('Crisis Indicator Data'!F31))/(F$3-F$4)*5,1))))</f>
        <v>3.9</v>
      </c>
      <c r="G34" s="185">
        <f>IF('Crisis Indicator Data'!F31="x","x",IF(B34="Regional crisis",('Crisis Indicator Data'!F31/VLOOKUP('Impact of the crisis'!$C34,'Regional Crises'!$B$1:$R$66,4,FALSE)),'Crisis Indicator Data'!F31/VLOOKUP('Impact of the crisis'!$E34,'Country Indicator Data'!$B$4:$P$194,15,FALSE)))</f>
        <v>0.17471410419313851</v>
      </c>
      <c r="H34" s="167">
        <f t="shared" si="0"/>
        <v>0.8</v>
      </c>
      <c r="I34" s="167">
        <f t="shared" si="1"/>
        <v>2.35</v>
      </c>
      <c r="J34" s="167">
        <f>IF('Crisis Indicator Data'!G31="x","x",IF(LOG('Crisis Indicator Data'!G31)&lt;J$4,0,IF(LOG('Crisis Indicator Data'!G31)&gt;J$3,5,ROUND(5-(J$3-LOG('Crisis Indicator Data'!G31))/(J$3-J$4)*5,1))))</f>
        <v>0</v>
      </c>
      <c r="K34" s="185">
        <f>IF('Crisis Indicator Data'!G31="x","x",IF(B34="Regional crisis",('Crisis Indicator Data'!G31/VLOOKUP('Impact of the crisis'!$C34,'Regional Crises'!$B$1:$R$66,5,FALSE)),'Crisis Indicator Data'!G31/VLOOKUP('Impact of the crisis'!$E34,'Country Indicator Data'!$B$4:$P$194,14,FALSE)))</f>
        <v>2.2636564007863227E-3</v>
      </c>
      <c r="L34" s="167">
        <f t="shared" si="2"/>
        <v>0</v>
      </c>
      <c r="M34" s="167">
        <f t="shared" si="3"/>
        <v>0</v>
      </c>
      <c r="N34" s="167">
        <f t="shared" si="4"/>
        <v>1.3</v>
      </c>
      <c r="O34" s="167">
        <f>IF('Crisis Indicator Data'!H31="x","x",IF('Crisis Indicator Data'!H31=0,0,IF(LOG('Crisis Indicator Data'!H31)&lt;O$4,0,IF(LOG('Crisis Indicator Data'!H31)&gt;O$3,5,ROUND(5-(O$3-LOG('Crisis Indicator Data'!H31))/(O$3-O$4)*5,1)))))</f>
        <v>0.1</v>
      </c>
      <c r="P34" s="185">
        <f>IF('Crisis Indicator Data'!H31="x","x",'Crisis Indicator Data'!H31/'Crisis Indicator Data'!G31)</f>
        <v>1</v>
      </c>
      <c r="Q34" s="167">
        <f t="shared" si="5"/>
        <v>5</v>
      </c>
      <c r="R34" s="167">
        <f t="shared" si="6"/>
        <v>2.5499999999999998</v>
      </c>
      <c r="S34" s="167" t="str">
        <f>IF('Crisis Indicator Data'!I31="x","x",IF('Crisis Indicator Data'!I31=0,0,IF(LOG('Crisis Indicator Data'!I31)&lt;S$4,0,IF(LOG('Crisis Indicator Data'!I31)&gt;S$3,5,ROUND(5-(S$3-LOG('Crisis Indicator Data'!I31))/(S$3-S$4)*5,1)))))</f>
        <v>x</v>
      </c>
      <c r="T34" s="185" t="str">
        <f>IF('Crisis Indicator Data'!H31="x","x",IF('Crisis Indicator Data'!I31="x","x",'Crisis Indicator Data'!I31/'Crisis Indicator Data'!H31))</f>
        <v>x</v>
      </c>
      <c r="U34" s="167" t="str">
        <f t="shared" si="7"/>
        <v>x</v>
      </c>
      <c r="V34" s="167" t="str">
        <f t="shared" si="8"/>
        <v>x</v>
      </c>
      <c r="W34" s="167">
        <f>IF('Crisis Indicator Data'!L31="x","x",IF('Crisis Indicator Data'!L31=0,0,IF(LOG('Crisis Indicator Data'!L31)&lt;W$4,0,IF(LOG('Crisis Indicator Data'!L31)&gt;W$3,5,ROUND(5-(W$3-LOG('Crisis Indicator Data'!L31))/(W$3-W$4)*5,1)))))</f>
        <v>2.2000000000000002</v>
      </c>
      <c r="X34" s="186">
        <f>IF(OR('Crisis Indicator Data'!L31="x",'Crisis Indicator Data'!H31="x"),"x",'Crisis Indicator Data'!L31/'Crisis Indicator Data'!H31)</f>
        <v>9.7368421052631583E-4</v>
      </c>
      <c r="Y34" s="167">
        <f t="shared" si="9"/>
        <v>5</v>
      </c>
      <c r="Z34" s="167">
        <f t="shared" si="10"/>
        <v>3.6</v>
      </c>
      <c r="AA34" s="167">
        <f t="shared" si="11"/>
        <v>3.6</v>
      </c>
      <c r="AB34" s="187">
        <f t="shared" si="12"/>
        <v>3.1</v>
      </c>
    </row>
    <row r="35" spans="1:28" x14ac:dyDescent="0.3">
      <c r="A35" s="191" t="str">
        <f>'Crisis Indicator Data'!A32</f>
        <v>Floods in Chad</v>
      </c>
      <c r="B35" s="192" t="str">
        <f>'Crisis Indicator Data'!B32</f>
        <v>Flood</v>
      </c>
      <c r="C35" s="192" t="str">
        <f>'Crisis Indicator Data'!C32</f>
        <v>TCD008</v>
      </c>
      <c r="D35" s="192" t="str">
        <f>'Crisis Indicator Data'!D32</f>
        <v>Chad</v>
      </c>
      <c r="E35" s="193" t="str">
        <f>'Crisis Indicator Data'!E32</f>
        <v>TCD</v>
      </c>
      <c r="F35" s="190">
        <f>IF('Crisis Indicator Data'!F32="x","x",IF(LOG('Crisis Indicator Data'!F32)&lt;F$4,0,IF(LOG('Crisis Indicator Data'!F32)&gt;F$3,5,ROUND(5-(F$3-LOG('Crisis Indicator Data'!F32))/(F$3-F$4)*5,1))))</f>
        <v>4.7</v>
      </c>
      <c r="G35" s="185">
        <f>IF('Crisis Indicator Data'!F32="x","x",IF(B35="Regional crisis",('Crisis Indicator Data'!F32/VLOOKUP('Impact of the crisis'!$C35,'Regional Crises'!$B$1:$R$66,4,FALSE)),'Crisis Indicator Data'!F32/VLOOKUP('Impact of the crisis'!$E35,'Country Indicator Data'!$B$4:$P$194,15,FALSE)))</f>
        <v>0.54177255400254132</v>
      </c>
      <c r="H35" s="167">
        <f t="shared" si="0"/>
        <v>2.7</v>
      </c>
      <c r="I35" s="167">
        <f t="shared" si="1"/>
        <v>3.7</v>
      </c>
      <c r="J35" s="167">
        <f>IF('Crisis Indicator Data'!G32="x","x",IF(LOG('Crisis Indicator Data'!G32)&lt;J$4,0,IF(LOG('Crisis Indicator Data'!G32)&gt;J$3,5,ROUND(5-(J$3-LOG('Crisis Indicator Data'!G32))/(J$3-J$4)*5,1))))</f>
        <v>4</v>
      </c>
      <c r="K35" s="185">
        <f>IF('Crisis Indicator Data'!G32="x","x",IF(B35="Regional crisis",('Crisis Indicator Data'!G32/VLOOKUP('Impact of the crisis'!$C35,'Regional Crises'!$B$1:$R$66,5,FALSE)),'Crisis Indicator Data'!G32/VLOOKUP('Impact of the crisis'!$E35,'Country Indicator Data'!$B$4:$P$194,14,FALSE)))</f>
        <v>0.97480193006493121</v>
      </c>
      <c r="L35" s="167">
        <f t="shared" si="2"/>
        <v>4.9000000000000004</v>
      </c>
      <c r="M35" s="167">
        <f t="shared" si="3"/>
        <v>4.45</v>
      </c>
      <c r="N35" s="167">
        <f t="shared" si="4"/>
        <v>4.0999999999999996</v>
      </c>
      <c r="O35" s="167">
        <f>IF('Crisis Indicator Data'!H32="x","x",IF('Crisis Indicator Data'!H32=0,0,IF(LOG('Crisis Indicator Data'!H32)&lt;O$4,0,IF(LOG('Crisis Indicator Data'!H32)&gt;O$3,5,ROUND(5-(O$3-LOG('Crisis Indicator Data'!H32))/(O$3-O$4)*5,1)))))</f>
        <v>1.8</v>
      </c>
      <c r="P35" s="185">
        <f>IF('Crisis Indicator Data'!H32="x","x",'Crisis Indicator Data'!H32/'Crisis Indicator Data'!G32)</f>
        <v>2.3710584209239795E-2</v>
      </c>
      <c r="Q35" s="167">
        <f t="shared" si="5"/>
        <v>0.1</v>
      </c>
      <c r="R35" s="167">
        <f t="shared" si="6"/>
        <v>0.95000000000000007</v>
      </c>
      <c r="S35" s="167">
        <f>IF('Crisis Indicator Data'!I32="x","x",IF('Crisis Indicator Data'!I32=0,0,IF(LOG('Crisis Indicator Data'!I32)&lt;S$4,0,IF(LOG('Crisis Indicator Data'!I32)&gt;S$3,5,ROUND(5-(S$3-LOG('Crisis Indicator Data'!I32))/(S$3-S$4)*5,1)))))</f>
        <v>3</v>
      </c>
      <c r="T35" s="185">
        <f>IF('Crisis Indicator Data'!H32="x","x",IF('Crisis Indicator Data'!I32="x","x",'Crisis Indicator Data'!I32/'Crisis Indicator Data'!H32))</f>
        <v>0.30927835051546393</v>
      </c>
      <c r="U35" s="167">
        <f t="shared" si="7"/>
        <v>5</v>
      </c>
      <c r="V35" s="167">
        <f t="shared" si="8"/>
        <v>4</v>
      </c>
      <c r="W35" s="167">
        <f>IF('Crisis Indicator Data'!L32="x","x",IF('Crisis Indicator Data'!L32=0,0,IF(LOG('Crisis Indicator Data'!L32)&lt;W$4,0,IF(LOG('Crisis Indicator Data'!L32)&gt;W$3,5,ROUND(5-(W$3-LOG('Crisis Indicator Data'!L32))/(W$3-W$4)*5,1)))))</f>
        <v>1.4</v>
      </c>
      <c r="X35" s="186">
        <f>IF(OR('Crisis Indicator Data'!L32="x",'Crisis Indicator Data'!H32="x"),"x",'Crisis Indicator Data'!L32/'Crisis Indicator Data'!H32)</f>
        <v>2.5773195876288661E-5</v>
      </c>
      <c r="Y35" s="167">
        <f t="shared" si="9"/>
        <v>1.3</v>
      </c>
      <c r="Z35" s="167">
        <f t="shared" si="10"/>
        <v>1.4</v>
      </c>
      <c r="AA35" s="167">
        <f t="shared" si="11"/>
        <v>2.9</v>
      </c>
      <c r="AB35" s="187">
        <f t="shared" si="12"/>
        <v>2</v>
      </c>
    </row>
    <row r="36" spans="1:28" x14ac:dyDescent="0.3">
      <c r="A36" s="191" t="str">
        <f>'Crisis Indicator Data'!A33</f>
        <v>Complex crisis in Colombia</v>
      </c>
      <c r="B36" s="192" t="str">
        <f>'Crisis Indicator Data'!B33</f>
        <v>Complex crisis</v>
      </c>
      <c r="C36" s="192" t="str">
        <f>'Crisis Indicator Data'!C33</f>
        <v>COL001</v>
      </c>
      <c r="D36" s="192" t="str">
        <f>'Crisis Indicator Data'!D33</f>
        <v>Colombia</v>
      </c>
      <c r="E36" s="193" t="str">
        <f>'Crisis Indicator Data'!E33</f>
        <v>COL</v>
      </c>
      <c r="F36" s="190">
        <f>IF('Crisis Indicator Data'!F33="x","x",IF(LOG('Crisis Indicator Data'!F33)&lt;F$4,0,IF(LOG('Crisis Indicator Data'!F33)&gt;F$3,5,ROUND(5-(F$3-LOG('Crisis Indicator Data'!F33))/(F$3-F$4)*5,1))))</f>
        <v>5</v>
      </c>
      <c r="G36" s="185">
        <f>IF('Crisis Indicator Data'!F33="x","x",IF(B36="Regional crisis",('Crisis Indicator Data'!F33/VLOOKUP('Impact of the crisis'!$C36,'Regional Crises'!$B$1:$R$66,4,FALSE)),'Crisis Indicator Data'!F33/VLOOKUP('Impact of the crisis'!$E36,'Country Indicator Data'!$B$4:$P$194,15,FALSE)))</f>
        <v>1</v>
      </c>
      <c r="H36" s="167">
        <f t="shared" si="0"/>
        <v>5</v>
      </c>
      <c r="I36" s="167">
        <f t="shared" si="1"/>
        <v>5</v>
      </c>
      <c r="J36" s="167">
        <f>IF('Crisis Indicator Data'!G33="x","x",IF(LOG('Crisis Indicator Data'!G33)&lt;J$4,0,IF(LOG('Crisis Indicator Data'!G33)&gt;J$3,5,ROUND(5-(J$3-LOG('Crisis Indicator Data'!G33))/(J$3-J$4)*5,1))))</f>
        <v>5</v>
      </c>
      <c r="K36" s="185">
        <f>IF('Crisis Indicator Data'!G33="x","x",IF(B36="Regional crisis",('Crisis Indicator Data'!G33/VLOOKUP('Impact of the crisis'!$C36,'Regional Crises'!$B$1:$R$66,5,FALSE)),'Crisis Indicator Data'!G33/VLOOKUP('Impact of the crisis'!$E36,'Country Indicator Data'!$B$4:$P$194,14,FALSE)))</f>
        <v>1</v>
      </c>
      <c r="L36" s="167">
        <f t="shared" si="2"/>
        <v>5</v>
      </c>
      <c r="M36" s="167">
        <f t="shared" si="3"/>
        <v>5</v>
      </c>
      <c r="N36" s="167">
        <f t="shared" si="4"/>
        <v>5</v>
      </c>
      <c r="O36" s="167">
        <f>IF('Crisis Indicator Data'!H33="x","x",IF('Crisis Indicator Data'!H33=0,0,IF(LOG('Crisis Indicator Data'!H33)&lt;O$4,0,IF(LOG('Crisis Indicator Data'!H33)&gt;O$3,5,ROUND(5-(O$3-LOG('Crisis Indicator Data'!H33))/(O$3-O$4)*5,1)))))</f>
        <v>4.4000000000000004</v>
      </c>
      <c r="P36" s="185">
        <f>IF('Crisis Indicator Data'!H33="x","x",'Crisis Indicator Data'!H33/'Crisis Indicator Data'!G33)</f>
        <v>0.2774327122153209</v>
      </c>
      <c r="Q36" s="167">
        <f t="shared" si="5"/>
        <v>1.4</v>
      </c>
      <c r="R36" s="167">
        <f t="shared" si="6"/>
        <v>2.9000000000000004</v>
      </c>
      <c r="S36" s="167">
        <f>IF('Crisis Indicator Data'!I33="x","x",IF('Crisis Indicator Data'!I33=0,0,IF(LOG('Crisis Indicator Data'!I33)&lt;S$4,0,IF(LOG('Crisis Indicator Data'!I33)&gt;S$3,5,ROUND(5-(S$3-LOG('Crisis Indicator Data'!I33))/(S$3-S$4)*5,1)))))</f>
        <v>5</v>
      </c>
      <c r="T36" s="185">
        <f>IF('Crisis Indicator Data'!H33="x","x",IF('Crisis Indicator Data'!I33="x","x",'Crisis Indicator Data'!I33/'Crisis Indicator Data'!H33))</f>
        <v>0.23328358208955224</v>
      </c>
      <c r="U36" s="167">
        <f t="shared" si="7"/>
        <v>5</v>
      </c>
      <c r="V36" s="167">
        <f t="shared" si="8"/>
        <v>5</v>
      </c>
      <c r="W36" s="167" t="str">
        <f>IF('Crisis Indicator Data'!L33="x","x",IF('Crisis Indicator Data'!L33=0,0,IF(LOG('Crisis Indicator Data'!L33)&lt;W$4,0,IF(LOG('Crisis Indicator Data'!L33)&gt;W$3,5,ROUND(5-(W$3-LOG('Crisis Indicator Data'!L33))/(W$3-W$4)*5,1)))))</f>
        <v>x</v>
      </c>
      <c r="X36" s="186" t="str">
        <f>IF(OR('Crisis Indicator Data'!L33="x",'Crisis Indicator Data'!H33="x"),"x",'Crisis Indicator Data'!L33/'Crisis Indicator Data'!H33)</f>
        <v>x</v>
      </c>
      <c r="Y36" s="167" t="str">
        <f t="shared" si="9"/>
        <v>x</v>
      </c>
      <c r="Z36" s="167" t="str">
        <f t="shared" si="10"/>
        <v>x</v>
      </c>
      <c r="AA36" s="167">
        <f t="shared" si="11"/>
        <v>5</v>
      </c>
      <c r="AB36" s="187">
        <f t="shared" si="12"/>
        <v>4.2</v>
      </c>
    </row>
    <row r="37" spans="1:28" x14ac:dyDescent="0.3">
      <c r="A37" s="191" t="str">
        <f>'Crisis Indicator Data'!A34</f>
        <v>Venezuela displacement in Colombia</v>
      </c>
      <c r="B37" s="192" t="str">
        <f>'Crisis Indicator Data'!B34</f>
        <v>International displacement</v>
      </c>
      <c r="C37" s="192" t="str">
        <f>'Crisis Indicator Data'!C34</f>
        <v>COL002</v>
      </c>
      <c r="D37" s="192" t="str">
        <f>'Crisis Indicator Data'!D34</f>
        <v>Colombia</v>
      </c>
      <c r="E37" s="193" t="str">
        <f>'Crisis Indicator Data'!E34</f>
        <v>COL</v>
      </c>
      <c r="F37" s="190">
        <f>IF('Crisis Indicator Data'!F34="x","x",IF(LOG('Crisis Indicator Data'!F34)&lt;F$4,0,IF(LOG('Crisis Indicator Data'!F34)&gt;F$3,5,ROUND(5-(F$3-LOG('Crisis Indicator Data'!F34))/(F$3-F$4)*5,1))))</f>
        <v>3.6</v>
      </c>
      <c r="G37" s="185">
        <f>IF('Crisis Indicator Data'!F34="x","x",IF(B37="Regional crisis",('Crisis Indicator Data'!F34/VLOOKUP('Impact of the crisis'!$C37,'Regional Crises'!$B$1:$R$66,4,FALSE)),'Crisis Indicator Data'!F34/VLOOKUP('Impact of the crisis'!$E37,'Country Indicator Data'!$B$4:$P$194,15,FALSE)))</f>
        <v>0.12167643082469581</v>
      </c>
      <c r="H37" s="167">
        <f t="shared" si="0"/>
        <v>0.5</v>
      </c>
      <c r="I37" s="167">
        <f t="shared" si="1"/>
        <v>2.0499999999999998</v>
      </c>
      <c r="J37" s="167">
        <f>IF('Crisis Indicator Data'!G34="x","x",IF(LOG('Crisis Indicator Data'!G34)&lt;J$4,0,IF(LOG('Crisis Indicator Data'!G34)&gt;J$3,5,ROUND(5-(J$3-LOG('Crisis Indicator Data'!G34))/(J$3-J$4)*5,1))))</f>
        <v>4.8</v>
      </c>
      <c r="K37" s="185">
        <f>IF('Crisis Indicator Data'!G34="x","x",IF(B37="Regional crisis",('Crisis Indicator Data'!G34/VLOOKUP('Impact of the crisis'!$C37,'Regional Crises'!$B$1:$R$66,5,FALSE)),'Crisis Indicator Data'!G34/VLOOKUP('Impact of the crisis'!$E37,'Country Indicator Data'!$B$4:$P$194,14,FALSE)))</f>
        <v>0.55714285714285716</v>
      </c>
      <c r="L37" s="167">
        <f t="shared" si="2"/>
        <v>2.8</v>
      </c>
      <c r="M37" s="167">
        <f t="shared" si="3"/>
        <v>3.8</v>
      </c>
      <c r="N37" s="167">
        <f t="shared" si="4"/>
        <v>3</v>
      </c>
      <c r="O37" s="167">
        <f>IF('Crisis Indicator Data'!H34="x","x",IF('Crisis Indicator Data'!H34=0,0,IF(LOG('Crisis Indicator Data'!H34)&lt;O$4,0,IF(LOG('Crisis Indicator Data'!H34)&gt;O$3,5,ROUND(5-(O$3-LOG('Crisis Indicator Data'!H34))/(O$3-O$4)*5,1)))))</f>
        <v>3.3</v>
      </c>
      <c r="P37" s="185">
        <f>IF('Crisis Indicator Data'!H34="x","x",'Crisis Indicator Data'!H34/'Crisis Indicator Data'!G34)</f>
        <v>0.10497956150130063</v>
      </c>
      <c r="Q37" s="167">
        <f t="shared" si="5"/>
        <v>0.5</v>
      </c>
      <c r="R37" s="167">
        <f t="shared" si="6"/>
        <v>1.9</v>
      </c>
      <c r="S37" s="167">
        <f>IF('Crisis Indicator Data'!I34="x","x",IF('Crisis Indicator Data'!I34=0,0,IF(LOG('Crisis Indicator Data'!I34)&lt;S$4,0,IF(LOG('Crisis Indicator Data'!I34)&gt;S$3,5,ROUND(5-(S$3-LOG('Crisis Indicator Data'!I34))/(S$3-S$4)*5,1)))))</f>
        <v>4.9000000000000004</v>
      </c>
      <c r="T37" s="185">
        <f>IF('Crisis Indicator Data'!H34="x","x",IF('Crisis Indicator Data'!I34="x","x",'Crisis Indicator Data'!I34/'Crisis Indicator Data'!H34))</f>
        <v>0.9787610619469026</v>
      </c>
      <c r="U37" s="167">
        <f t="shared" si="7"/>
        <v>5</v>
      </c>
      <c r="V37" s="167">
        <f t="shared" si="8"/>
        <v>5</v>
      </c>
      <c r="W37" s="167" t="str">
        <f>IF('Crisis Indicator Data'!L34="x","x",IF('Crisis Indicator Data'!L34=0,0,IF(LOG('Crisis Indicator Data'!L34)&lt;W$4,0,IF(LOG('Crisis Indicator Data'!L34)&gt;W$3,5,ROUND(5-(W$3-LOG('Crisis Indicator Data'!L34))/(W$3-W$4)*5,1)))))</f>
        <v>x</v>
      </c>
      <c r="X37" s="186" t="str">
        <f>IF(OR('Crisis Indicator Data'!L34="x",'Crisis Indicator Data'!H34="x"),"x",'Crisis Indicator Data'!L34/'Crisis Indicator Data'!H34)</f>
        <v>x</v>
      </c>
      <c r="Y37" s="167" t="str">
        <f t="shared" si="9"/>
        <v>x</v>
      </c>
      <c r="Z37" s="167" t="str">
        <f t="shared" si="10"/>
        <v>x</v>
      </c>
      <c r="AA37" s="167">
        <f t="shared" si="11"/>
        <v>5</v>
      </c>
      <c r="AB37" s="187">
        <f t="shared" si="12"/>
        <v>3.9</v>
      </c>
    </row>
    <row r="38" spans="1:28" x14ac:dyDescent="0.3">
      <c r="A38" s="191" t="str">
        <f>'Crisis Indicator Data'!A35</f>
        <v>Floods in Congo</v>
      </c>
      <c r="B38" s="192" t="str">
        <f>'Crisis Indicator Data'!B35</f>
        <v>Flood</v>
      </c>
      <c r="C38" s="192" t="str">
        <f>'Crisis Indicator Data'!C35</f>
        <v>COG004</v>
      </c>
      <c r="D38" s="192" t="str">
        <f>'Crisis Indicator Data'!D35</f>
        <v>Congo</v>
      </c>
      <c r="E38" s="193" t="str">
        <f>'Crisis Indicator Data'!E35</f>
        <v>COG</v>
      </c>
      <c r="F38" s="190">
        <f>IF('Crisis Indicator Data'!F35="x","x",IF(LOG('Crisis Indicator Data'!F35)&lt;F$4,0,IF(LOG('Crisis Indicator Data'!F35)&gt;F$3,5,ROUND(5-(F$3-LOG('Crisis Indicator Data'!F35))/(F$3-F$4)*5,1))))</f>
        <v>3</v>
      </c>
      <c r="G38" s="185">
        <f>IF('Crisis Indicator Data'!F35="x","x",IF(B38="Regional crisis",('Crisis Indicator Data'!F35/VLOOKUP('Impact of the crisis'!$C38,'Regional Crises'!$B$1:$R$66,4,FALSE)),'Crisis Indicator Data'!F35/VLOOKUP('Impact of the crisis'!$E38,'Country Indicator Data'!$B$4:$P$194,15,FALSE)))</f>
        <v>0.19339385065885797</v>
      </c>
      <c r="H38" s="167">
        <f t="shared" si="0"/>
        <v>0.9</v>
      </c>
      <c r="I38" s="167">
        <f t="shared" si="1"/>
        <v>1.95</v>
      </c>
      <c r="J38" s="167">
        <f>IF('Crisis Indicator Data'!G35="x","x",IF(LOG('Crisis Indicator Data'!G35)&lt;J$4,0,IF(LOG('Crisis Indicator Data'!G35)&gt;J$3,5,ROUND(5-(J$3-LOG('Crisis Indicator Data'!G35))/(J$3-J$4)*5,1))))</f>
        <v>0</v>
      </c>
      <c r="K38" s="185">
        <f>IF('Crisis Indicator Data'!G35="x","x",IF(B38="Regional crisis",('Crisis Indicator Data'!G35/VLOOKUP('Impact of the crisis'!$C38,'Regional Crises'!$B$1:$R$66,5,FALSE)),'Crisis Indicator Data'!G35/VLOOKUP('Impact of the crisis'!$E38,'Country Indicator Data'!$B$4:$P$194,14,FALSE)))</f>
        <v>2.8397565922920892E-2</v>
      </c>
      <c r="L38" s="167">
        <f t="shared" si="2"/>
        <v>0.1</v>
      </c>
      <c r="M38" s="167">
        <f t="shared" si="3"/>
        <v>0.05</v>
      </c>
      <c r="N38" s="167">
        <f t="shared" si="4"/>
        <v>1.1000000000000001</v>
      </c>
      <c r="O38" s="167">
        <f>IF('Crisis Indicator Data'!H35="x","x",IF('Crisis Indicator Data'!H35=0,0,IF(LOG('Crisis Indicator Data'!H35)&lt;O$4,0,IF(LOG('Crisis Indicator Data'!H35)&gt;O$3,5,ROUND(5-(O$3-LOG('Crisis Indicator Data'!H35))/(O$3-O$4)*5,1)))))</f>
        <v>0.5</v>
      </c>
      <c r="P38" s="185">
        <f>IF('Crisis Indicator Data'!H35="x","x",'Crisis Indicator Data'!H35/'Crisis Indicator Data'!G35)</f>
        <v>0.42857142857142855</v>
      </c>
      <c r="Q38" s="167">
        <f t="shared" si="5"/>
        <v>2.1</v>
      </c>
      <c r="R38" s="167">
        <f t="shared" si="6"/>
        <v>1.3</v>
      </c>
      <c r="S38" s="167" t="str">
        <f>IF('Crisis Indicator Data'!I35="x","x",IF('Crisis Indicator Data'!I35=0,0,IF(LOG('Crisis Indicator Data'!I35)&lt;S$4,0,IF(LOG('Crisis Indicator Data'!I35)&gt;S$3,5,ROUND(5-(S$3-LOG('Crisis Indicator Data'!I35))/(S$3-S$4)*5,1)))))</f>
        <v>x</v>
      </c>
      <c r="T38" s="185" t="str">
        <f>IF('Crisis Indicator Data'!H35="x","x",IF('Crisis Indicator Data'!I35="x","x",'Crisis Indicator Data'!I35/'Crisis Indicator Data'!H35))</f>
        <v>x</v>
      </c>
      <c r="U38" s="167" t="str">
        <f t="shared" si="7"/>
        <v>x</v>
      </c>
      <c r="V38" s="167" t="str">
        <f t="shared" si="8"/>
        <v>x</v>
      </c>
      <c r="W38" s="167" t="str">
        <f>IF('Crisis Indicator Data'!L35="x","x",IF('Crisis Indicator Data'!L35=0,0,IF(LOG('Crisis Indicator Data'!L35)&lt;W$4,0,IF(LOG('Crisis Indicator Data'!L35)&gt;W$3,5,ROUND(5-(W$3-LOG('Crisis Indicator Data'!L35))/(W$3-W$4)*5,1)))))</f>
        <v>x</v>
      </c>
      <c r="X38" s="186" t="str">
        <f>IF(OR('Crisis Indicator Data'!L35="x",'Crisis Indicator Data'!H35="x"),"x",'Crisis Indicator Data'!L35/'Crisis Indicator Data'!H35)</f>
        <v>x</v>
      </c>
      <c r="Y38" s="167" t="str">
        <f t="shared" si="9"/>
        <v>x</v>
      </c>
      <c r="Z38" s="167" t="str">
        <f t="shared" si="10"/>
        <v>x</v>
      </c>
      <c r="AA38" s="167" t="str">
        <f t="shared" si="11"/>
        <v>x</v>
      </c>
      <c r="AB38" s="187">
        <f t="shared" si="12"/>
        <v>1.3</v>
      </c>
    </row>
    <row r="39" spans="1:28" x14ac:dyDescent="0.3">
      <c r="A39" s="191" t="str">
        <f>'Crisis Indicator Data'!A36</f>
        <v>Nicaraguan refugees in Costa Rica</v>
      </c>
      <c r="B39" s="192" t="str">
        <f>'Crisis Indicator Data'!B36</f>
        <v>International displacement</v>
      </c>
      <c r="C39" s="192" t="str">
        <f>'Crisis Indicator Data'!C36</f>
        <v>CRI002</v>
      </c>
      <c r="D39" s="192" t="str">
        <f>'Crisis Indicator Data'!D36</f>
        <v>Costa Rica</v>
      </c>
      <c r="E39" s="193" t="str">
        <f>'Crisis Indicator Data'!E36</f>
        <v>CRI</v>
      </c>
      <c r="F39" s="190">
        <f>IF('Crisis Indicator Data'!F36="x","x",IF(LOG('Crisis Indicator Data'!F36)&lt;F$4,0,IF(LOG('Crisis Indicator Data'!F36)&gt;F$3,5,ROUND(5-(F$3-LOG('Crisis Indicator Data'!F36))/(F$3-F$4)*5,1))))</f>
        <v>1.2</v>
      </c>
      <c r="G39" s="185">
        <f>IF('Crisis Indicator Data'!F36="x","x",IF(B39="Regional crisis",('Crisis Indicator Data'!F36/VLOOKUP('Impact of the crisis'!$C39,'Regional Crises'!$B$1:$R$66,4,FALSE)),'Crisis Indicator Data'!F36/VLOOKUP('Impact of the crisis'!$E39,'Country Indicator Data'!$B$4:$P$194,15,FALSE)))</f>
        <v>9.7258127692910298E-2</v>
      </c>
      <c r="H39" s="167">
        <f t="shared" si="0"/>
        <v>0.4</v>
      </c>
      <c r="I39" s="167">
        <f t="shared" si="1"/>
        <v>0.8</v>
      </c>
      <c r="J39" s="167">
        <f>IF('Crisis Indicator Data'!G36="x","x",IF(LOG('Crisis Indicator Data'!G36)&lt;J$4,0,IF(LOG('Crisis Indicator Data'!G36)&gt;J$3,5,ROUND(5-(J$3-LOG('Crisis Indicator Data'!G36))/(J$3-J$4)*5,1))))</f>
        <v>0.8</v>
      </c>
      <c r="K39" s="185">
        <f>IF('Crisis Indicator Data'!G36="x","x",IF(B39="Regional crisis",('Crisis Indicator Data'!G36/VLOOKUP('Impact of the crisis'!$C39,'Regional Crises'!$B$1:$R$66,5,FALSE)),'Crisis Indicator Data'!G36/VLOOKUP('Impact of the crisis'!$E39,'Country Indicator Data'!$B$4:$P$194,14,FALSE)))</f>
        <v>0.33690360272638753</v>
      </c>
      <c r="L39" s="167">
        <f t="shared" si="2"/>
        <v>1.7</v>
      </c>
      <c r="M39" s="167">
        <f t="shared" si="3"/>
        <v>1.25</v>
      </c>
      <c r="N39" s="167">
        <f t="shared" si="4"/>
        <v>1</v>
      </c>
      <c r="O39" s="167">
        <f>IF('Crisis Indicator Data'!H36="x","x",IF('Crisis Indicator Data'!H36=0,0,IF(LOG('Crisis Indicator Data'!H36)&lt;O$4,0,IF(LOG('Crisis Indicator Data'!H36)&gt;O$3,5,ROUND(5-(O$3-LOG('Crisis Indicator Data'!H36))/(O$3-O$4)*5,1)))))</f>
        <v>0.7</v>
      </c>
      <c r="P39" s="185">
        <f>IF('Crisis Indicator Data'!H36="x","x",'Crisis Indicator Data'!H36/'Crisis Indicator Data'!G36)</f>
        <v>4.6820809248554911E-2</v>
      </c>
      <c r="Q39" s="167">
        <f t="shared" si="5"/>
        <v>0.2</v>
      </c>
      <c r="R39" s="167">
        <f t="shared" si="6"/>
        <v>0.44999999999999996</v>
      </c>
      <c r="S39" s="167">
        <f>IF('Crisis Indicator Data'!I36="x","x",IF('Crisis Indicator Data'!I36=0,0,IF(LOG('Crisis Indicator Data'!I36)&lt;S$4,0,IF(LOG('Crisis Indicator Data'!I36)&gt;S$3,5,ROUND(5-(S$3-LOG('Crisis Indicator Data'!I36))/(S$3-S$4)*5,1)))))</f>
        <v>2.7</v>
      </c>
      <c r="T39" s="185">
        <f>IF('Crisis Indicator Data'!H36="x","x",IF('Crisis Indicator Data'!I36="x","x",'Crisis Indicator Data'!I36/'Crisis Indicator Data'!H36))</f>
        <v>1</v>
      </c>
      <c r="U39" s="167">
        <f t="shared" si="7"/>
        <v>5</v>
      </c>
      <c r="V39" s="167">
        <f t="shared" si="8"/>
        <v>3.9</v>
      </c>
      <c r="W39" s="167">
        <f>IF('Crisis Indicator Data'!L36="x","x",IF('Crisis Indicator Data'!L36=0,0,IF(LOG('Crisis Indicator Data'!L36)&lt;W$4,0,IF(LOG('Crisis Indicator Data'!L36)&gt;W$3,5,ROUND(5-(W$3-LOG('Crisis Indicator Data'!L36))/(W$3-W$4)*5,1)))))</f>
        <v>0</v>
      </c>
      <c r="X39" s="186">
        <f>IF(OR('Crisis Indicator Data'!L36="x",'Crisis Indicator Data'!H36="x"),"x",'Crisis Indicator Data'!L36/'Crisis Indicator Data'!H36)</f>
        <v>0</v>
      </c>
      <c r="Y39" s="167">
        <f t="shared" si="9"/>
        <v>0</v>
      </c>
      <c r="Z39" s="167">
        <f t="shared" si="10"/>
        <v>0</v>
      </c>
      <c r="AA39" s="167">
        <f t="shared" si="11"/>
        <v>2.4</v>
      </c>
      <c r="AB39" s="187">
        <f t="shared" si="12"/>
        <v>1.5</v>
      </c>
    </row>
    <row r="40" spans="1:28" x14ac:dyDescent="0.3">
      <c r="A40" s="191" t="str">
        <f>'Crisis Indicator Data'!A37</f>
        <v>Multiple crises in Djibouti</v>
      </c>
      <c r="B40" s="192" t="str">
        <f>'Crisis Indicator Data'!B37</f>
        <v>Multiple crises country</v>
      </c>
      <c r="C40" s="192" t="str">
        <f>'Crisis Indicator Data'!C37</f>
        <v>DJI001</v>
      </c>
      <c r="D40" s="192" t="str">
        <f>'Crisis Indicator Data'!D37</f>
        <v>Djibouti</v>
      </c>
      <c r="E40" s="193" t="str">
        <f>'Crisis Indicator Data'!E37</f>
        <v>DJI</v>
      </c>
      <c r="F40" s="190">
        <f>IF('Crisis Indicator Data'!F37="x","x",IF(LOG('Crisis Indicator Data'!F37)&lt;F$4,0,IF(LOG('Crisis Indicator Data'!F37)&gt;F$3,5,ROUND(5-(F$3-LOG('Crisis Indicator Data'!F37))/(F$3-F$4)*5,1))))</f>
        <v>2.2999999999999998</v>
      </c>
      <c r="G40" s="185">
        <f>IF('Crisis Indicator Data'!F37="x","x",IF(B40="Regional crisis",('Crisis Indicator Data'!F37/VLOOKUP('Impact of the crisis'!$C40,'Regional Crises'!$B$1:$R$66,4,FALSE)),'Crisis Indicator Data'!F37/VLOOKUP('Impact of the crisis'!$E40,'Country Indicator Data'!$B$4:$P$194,15,FALSE)))</f>
        <v>1</v>
      </c>
      <c r="H40" s="167">
        <f t="shared" si="0"/>
        <v>5</v>
      </c>
      <c r="I40" s="167">
        <f t="shared" si="1"/>
        <v>3.65</v>
      </c>
      <c r="J40" s="167">
        <f>IF('Crisis Indicator Data'!G37="x","x",IF(LOG('Crisis Indicator Data'!G37)&lt;J$4,0,IF(LOG('Crisis Indicator Data'!G37)&gt;J$3,5,ROUND(5-(J$3-LOG('Crisis Indicator Data'!G37))/(J$3-J$4)*5,1))))</f>
        <v>0</v>
      </c>
      <c r="K40" s="185">
        <f>IF('Crisis Indicator Data'!G37="x","x",IF(B40="Regional crisis",('Crisis Indicator Data'!G37/VLOOKUP('Impact of the crisis'!$C40,'Regional Crises'!$B$1:$R$66,5,FALSE)),'Crisis Indicator Data'!G37/VLOOKUP('Impact of the crisis'!$E40,'Country Indicator Data'!$B$4:$P$194,14,FALSE)))</f>
        <v>1</v>
      </c>
      <c r="L40" s="167">
        <f t="shared" si="2"/>
        <v>5</v>
      </c>
      <c r="M40" s="167">
        <f t="shared" si="3"/>
        <v>2.5</v>
      </c>
      <c r="N40" s="167">
        <f t="shared" si="4"/>
        <v>3.1</v>
      </c>
      <c r="O40" s="167">
        <f>IF('Crisis Indicator Data'!H37="x","x",IF('Crisis Indicator Data'!H37=0,0,IF(LOG('Crisis Indicator Data'!H37)&lt;O$4,0,IF(LOG('Crisis Indicator Data'!H37)&gt;O$3,5,ROUND(5-(O$3-LOG('Crisis Indicator Data'!H37))/(O$3-O$4)*5,1)))))</f>
        <v>2.2000000000000002</v>
      </c>
      <c r="P40" s="185">
        <f>IF('Crisis Indicator Data'!H37="x","x",'Crisis Indicator Data'!H37/'Crisis Indicator Data'!G37)</f>
        <v>0.63303659742828877</v>
      </c>
      <c r="Q40" s="167">
        <f t="shared" si="5"/>
        <v>3.1</v>
      </c>
      <c r="R40" s="167">
        <f t="shared" si="6"/>
        <v>2.6500000000000004</v>
      </c>
      <c r="S40" s="167" t="str">
        <f>IF('Crisis Indicator Data'!I37="x","x",IF('Crisis Indicator Data'!I37=0,0,IF(LOG('Crisis Indicator Data'!I37)&lt;S$4,0,IF(LOG('Crisis Indicator Data'!I37)&gt;S$3,5,ROUND(5-(S$3-LOG('Crisis Indicator Data'!I37))/(S$3-S$4)*5,1)))))</f>
        <v>x</v>
      </c>
      <c r="T40" s="185" t="str">
        <f>IF('Crisis Indicator Data'!H37="x","x",IF('Crisis Indicator Data'!I37="x","x",'Crisis Indicator Data'!I37/'Crisis Indicator Data'!H37))</f>
        <v>x</v>
      </c>
      <c r="U40" s="167" t="str">
        <f t="shared" si="7"/>
        <v>x</v>
      </c>
      <c r="V40" s="167" t="str">
        <f t="shared" si="8"/>
        <v>x</v>
      </c>
      <c r="W40" s="167">
        <f>IF('Crisis Indicator Data'!L37="x","x",IF('Crisis Indicator Data'!L37=0,0,IF(LOG('Crisis Indicator Data'!L37)&lt;W$4,0,IF(LOG('Crisis Indicator Data'!L37)&gt;W$3,5,ROUND(5-(W$3-LOG('Crisis Indicator Data'!L37))/(W$3-W$4)*5,1)))))</f>
        <v>0</v>
      </c>
      <c r="X40" s="186">
        <f>IF(OR('Crisis Indicator Data'!L37="x",'Crisis Indicator Data'!H37="x"),"x",'Crisis Indicator Data'!L37/'Crisis Indicator Data'!H37)</f>
        <v>0</v>
      </c>
      <c r="Y40" s="167">
        <f t="shared" si="9"/>
        <v>0</v>
      </c>
      <c r="Z40" s="167">
        <f t="shared" si="10"/>
        <v>0</v>
      </c>
      <c r="AA40" s="167">
        <f t="shared" si="11"/>
        <v>0</v>
      </c>
      <c r="AB40" s="187">
        <f t="shared" si="12"/>
        <v>1.5</v>
      </c>
    </row>
    <row r="41" spans="1:28" x14ac:dyDescent="0.3">
      <c r="A41" s="191" t="str">
        <f>'Crisis Indicator Data'!A38</f>
        <v>Mixed migration in Djibouti</v>
      </c>
      <c r="B41" s="192" t="str">
        <f>'Crisis Indicator Data'!B38</f>
        <v>International displacement</v>
      </c>
      <c r="C41" s="192" t="str">
        <f>'Crisis Indicator Data'!C38</f>
        <v>DJI002</v>
      </c>
      <c r="D41" s="192" t="str">
        <f>'Crisis Indicator Data'!D38</f>
        <v>Djibouti</v>
      </c>
      <c r="E41" s="193" t="str">
        <f>'Crisis Indicator Data'!E38</f>
        <v>DJI</v>
      </c>
      <c r="F41" s="190">
        <f>IF('Crisis Indicator Data'!F38="x","x",IF(LOG('Crisis Indicator Data'!F38)&lt;F$4,0,IF(LOG('Crisis Indicator Data'!F38)&gt;F$3,5,ROUND(5-(F$3-LOG('Crisis Indicator Data'!F38))/(F$3-F$4)*5,1))))</f>
        <v>2.2999999999999998</v>
      </c>
      <c r="G41" s="185">
        <f>IF('Crisis Indicator Data'!F38="x","x",IF(B41="Regional crisis",('Crisis Indicator Data'!F38/VLOOKUP('Impact of the crisis'!$C41,'Regional Crises'!$B$1:$R$66,4,FALSE)),'Crisis Indicator Data'!F38/VLOOKUP('Impact of the crisis'!$E41,'Country Indicator Data'!$B$4:$P$194,15,FALSE)))</f>
        <v>1</v>
      </c>
      <c r="H41" s="167">
        <f t="shared" si="0"/>
        <v>5</v>
      </c>
      <c r="I41" s="167">
        <f t="shared" si="1"/>
        <v>3.65</v>
      </c>
      <c r="J41" s="167">
        <f>IF('Crisis Indicator Data'!G38="x","x",IF(LOG('Crisis Indicator Data'!G38)&lt;J$4,0,IF(LOG('Crisis Indicator Data'!G38)&gt;J$3,5,ROUND(5-(J$3-LOG('Crisis Indicator Data'!G38))/(J$3-J$4)*5,1))))</f>
        <v>0</v>
      </c>
      <c r="K41" s="185">
        <f>IF('Crisis Indicator Data'!G38="x","x",IF(B41="Regional crisis",('Crisis Indicator Data'!G38/VLOOKUP('Impact of the crisis'!$C41,'Regional Crises'!$B$1:$R$66,5,FALSE)),'Crisis Indicator Data'!G38/VLOOKUP('Impact of the crisis'!$E41,'Country Indicator Data'!$B$4:$P$194,14,FALSE)))</f>
        <v>1</v>
      </c>
      <c r="L41" s="167">
        <f t="shared" si="2"/>
        <v>5</v>
      </c>
      <c r="M41" s="167">
        <f t="shared" si="3"/>
        <v>2.5</v>
      </c>
      <c r="N41" s="167">
        <f t="shared" si="4"/>
        <v>3.1</v>
      </c>
      <c r="O41" s="167">
        <f>IF('Crisis Indicator Data'!H38="x","x",IF('Crisis Indicator Data'!H38=0,0,IF(LOG('Crisis Indicator Data'!H38)&lt;O$4,0,IF(LOG('Crisis Indicator Data'!H38)&gt;O$3,5,ROUND(5-(O$3-LOG('Crisis Indicator Data'!H38))/(O$3-O$4)*5,1)))))</f>
        <v>0</v>
      </c>
      <c r="P41" s="185">
        <f>IF('Crisis Indicator Data'!H38="x","x",'Crisis Indicator Data'!H38/'Crisis Indicator Data'!G38)</f>
        <v>2.967359050445104E-2</v>
      </c>
      <c r="Q41" s="167">
        <f t="shared" si="5"/>
        <v>0.1</v>
      </c>
      <c r="R41" s="167">
        <f t="shared" si="6"/>
        <v>0.05</v>
      </c>
      <c r="S41" s="167">
        <f>IF('Crisis Indicator Data'!I38="x","x",IF('Crisis Indicator Data'!I38=0,0,IF(LOG('Crisis Indicator Data'!I38)&lt;S$4,0,IF(LOG('Crisis Indicator Data'!I38)&gt;S$3,5,ROUND(5-(S$3-LOG('Crisis Indicator Data'!I38))/(S$3-S$4)*5,1)))))</f>
        <v>2.1</v>
      </c>
      <c r="T41" s="185">
        <f>IF('Crisis Indicator Data'!H38="x","x",IF('Crisis Indicator Data'!I38="x","x",'Crisis Indicator Data'!I38/'Crisis Indicator Data'!H38))</f>
        <v>1</v>
      </c>
      <c r="U41" s="167">
        <f t="shared" si="7"/>
        <v>5</v>
      </c>
      <c r="V41" s="167">
        <f t="shared" si="8"/>
        <v>3.6</v>
      </c>
      <c r="W41" s="167">
        <f>IF('Crisis Indicator Data'!L38="x","x",IF('Crisis Indicator Data'!L38=0,0,IF(LOG('Crisis Indicator Data'!L38)&lt;W$4,0,IF(LOG('Crisis Indicator Data'!L38)&gt;W$3,5,ROUND(5-(W$3-LOG('Crisis Indicator Data'!L38))/(W$3-W$4)*5,1)))))</f>
        <v>0</v>
      </c>
      <c r="X41" s="186">
        <f>IF(OR('Crisis Indicator Data'!L38="x",'Crisis Indicator Data'!H38="x"),"x",'Crisis Indicator Data'!L38/'Crisis Indicator Data'!H38)</f>
        <v>0</v>
      </c>
      <c r="Y41" s="167">
        <f t="shared" si="9"/>
        <v>0</v>
      </c>
      <c r="Z41" s="167">
        <f t="shared" si="10"/>
        <v>0</v>
      </c>
      <c r="AA41" s="167">
        <f t="shared" si="11"/>
        <v>2.2000000000000002</v>
      </c>
      <c r="AB41" s="187">
        <f t="shared" si="12"/>
        <v>1.2</v>
      </c>
    </row>
    <row r="42" spans="1:28" x14ac:dyDescent="0.3">
      <c r="A42" s="191" t="str">
        <f>'Crisis Indicator Data'!A39</f>
        <v>Drought in Djibouti</v>
      </c>
      <c r="B42" s="192" t="str">
        <f>'Crisis Indicator Data'!B39</f>
        <v>Drought</v>
      </c>
      <c r="C42" s="192" t="str">
        <f>'Crisis Indicator Data'!C39</f>
        <v>DJI003</v>
      </c>
      <c r="D42" s="192" t="str">
        <f>'Crisis Indicator Data'!D39</f>
        <v>Djibouti</v>
      </c>
      <c r="E42" s="193" t="str">
        <f>'Crisis Indicator Data'!E39</f>
        <v>DJI</v>
      </c>
      <c r="F42" s="190">
        <f>IF('Crisis Indicator Data'!F39="x","x",IF(LOG('Crisis Indicator Data'!F39)&lt;F$4,0,IF(LOG('Crisis Indicator Data'!F39)&gt;F$3,5,ROUND(5-(F$3-LOG('Crisis Indicator Data'!F39))/(F$3-F$4)*5,1))))</f>
        <v>2.2999999999999998</v>
      </c>
      <c r="G42" s="185">
        <f>IF('Crisis Indicator Data'!F39="x","x",IF(B42="Regional crisis",('Crisis Indicator Data'!F39/VLOOKUP('Impact of the crisis'!$C42,'Regional Crises'!$B$1:$R$66,4,FALSE)),'Crisis Indicator Data'!F39/VLOOKUP('Impact of the crisis'!$E42,'Country Indicator Data'!$B$4:$P$194,15,FALSE)))</f>
        <v>1</v>
      </c>
      <c r="H42" s="167">
        <f t="shared" si="0"/>
        <v>5</v>
      </c>
      <c r="I42" s="167">
        <f t="shared" si="1"/>
        <v>3.65</v>
      </c>
      <c r="J42" s="167">
        <f>IF('Crisis Indicator Data'!G39="x","x",IF(LOG('Crisis Indicator Data'!G39)&lt;J$4,0,IF(LOG('Crisis Indicator Data'!G39)&gt;J$3,5,ROUND(5-(J$3-LOG('Crisis Indicator Data'!G39))/(J$3-J$4)*5,1))))</f>
        <v>0</v>
      </c>
      <c r="K42" s="185">
        <f>IF('Crisis Indicator Data'!G39="x","x",IF(B42="Regional crisis",('Crisis Indicator Data'!G39/VLOOKUP('Impact of the crisis'!$C42,'Regional Crises'!$B$1:$R$66,5,FALSE)),'Crisis Indicator Data'!G39/VLOOKUP('Impact of the crisis'!$E42,'Country Indicator Data'!$B$4:$P$194,14,FALSE)))</f>
        <v>1</v>
      </c>
      <c r="L42" s="167">
        <f t="shared" si="2"/>
        <v>5</v>
      </c>
      <c r="M42" s="167">
        <f t="shared" si="3"/>
        <v>2.5</v>
      </c>
      <c r="N42" s="167">
        <f t="shared" si="4"/>
        <v>3.1</v>
      </c>
      <c r="O42" s="167">
        <f>IF('Crisis Indicator Data'!H39="x","x",IF('Crisis Indicator Data'!H39=0,0,IF(LOG('Crisis Indicator Data'!H39)&lt;O$4,0,IF(LOG('Crisis Indicator Data'!H39)&gt;O$3,5,ROUND(5-(O$3-LOG('Crisis Indicator Data'!H39))/(O$3-O$4)*5,1)))))</f>
        <v>2.2000000000000002</v>
      </c>
      <c r="P42" s="185">
        <f>IF('Crisis Indicator Data'!H39="x","x",'Crisis Indicator Data'!H39/'Crisis Indicator Data'!G39)</f>
        <v>0.63204747774480707</v>
      </c>
      <c r="Q42" s="167">
        <f t="shared" si="5"/>
        <v>3.1</v>
      </c>
      <c r="R42" s="167">
        <f t="shared" si="6"/>
        <v>2.6500000000000004</v>
      </c>
      <c r="S42" s="167" t="str">
        <f>IF('Crisis Indicator Data'!I39="x","x",IF('Crisis Indicator Data'!I39=0,0,IF(LOG('Crisis Indicator Data'!I39)&lt;S$4,0,IF(LOG('Crisis Indicator Data'!I39)&gt;S$3,5,ROUND(5-(S$3-LOG('Crisis Indicator Data'!I39))/(S$3-S$4)*5,1)))))</f>
        <v>x</v>
      </c>
      <c r="T42" s="185" t="str">
        <f>IF('Crisis Indicator Data'!H39="x","x",IF('Crisis Indicator Data'!I39="x","x",'Crisis Indicator Data'!I39/'Crisis Indicator Data'!H39))</f>
        <v>x</v>
      </c>
      <c r="U42" s="167" t="str">
        <f t="shared" si="7"/>
        <v>x</v>
      </c>
      <c r="V42" s="167" t="str">
        <f t="shared" si="8"/>
        <v>x</v>
      </c>
      <c r="W42" s="167">
        <f>IF('Crisis Indicator Data'!L39="x","x",IF('Crisis Indicator Data'!L39=0,0,IF(LOG('Crisis Indicator Data'!L39)&lt;W$4,0,IF(LOG('Crisis Indicator Data'!L39)&gt;W$3,5,ROUND(5-(W$3-LOG('Crisis Indicator Data'!L39))/(W$3-W$4)*5,1)))))</f>
        <v>0</v>
      </c>
      <c r="X42" s="186">
        <f>IF(OR('Crisis Indicator Data'!L39="x",'Crisis Indicator Data'!H39="x"),"x",'Crisis Indicator Data'!L39/'Crisis Indicator Data'!H39)</f>
        <v>0</v>
      </c>
      <c r="Y42" s="167">
        <f t="shared" si="9"/>
        <v>0</v>
      </c>
      <c r="Z42" s="167">
        <f t="shared" si="10"/>
        <v>0</v>
      </c>
      <c r="AA42" s="167">
        <f t="shared" si="11"/>
        <v>0</v>
      </c>
      <c r="AB42" s="187">
        <f t="shared" si="12"/>
        <v>1.5</v>
      </c>
    </row>
    <row r="43" spans="1:28" x14ac:dyDescent="0.3">
      <c r="A43" s="191" t="str">
        <f>'Crisis Indicator Data'!A40</f>
        <v>Complex crisis in DPRK</v>
      </c>
      <c r="B43" s="192" t="str">
        <f>'Crisis Indicator Data'!B40</f>
        <v>Complex crisis</v>
      </c>
      <c r="C43" s="192" t="str">
        <f>'Crisis Indicator Data'!C40</f>
        <v>PRK001</v>
      </c>
      <c r="D43" s="192" t="str">
        <f>'Crisis Indicator Data'!D40</f>
        <v>DPRK</v>
      </c>
      <c r="E43" s="193" t="str">
        <f>'Crisis Indicator Data'!E40</f>
        <v>PRK</v>
      </c>
      <c r="F43" s="190">
        <f>IF('Crisis Indicator Data'!F40="x","x",IF(LOG('Crisis Indicator Data'!F40)&lt;F$4,0,IF(LOG('Crisis Indicator Data'!F40)&gt;F$3,5,ROUND(5-(F$3-LOG('Crisis Indicator Data'!F40))/(F$3-F$4)*5,1))))</f>
        <v>3.5</v>
      </c>
      <c r="G43" s="185">
        <f>IF('Crisis Indicator Data'!F40="x","x",IF(B43="Regional crisis",('Crisis Indicator Data'!F40/VLOOKUP('Impact of the crisis'!$C43,'Regional Crises'!$B$1:$R$66,4,FALSE)),'Crisis Indicator Data'!F40/VLOOKUP('Impact of the crisis'!$E43,'Country Indicator Data'!$B$4:$P$194,15,FALSE)))</f>
        <v>1</v>
      </c>
      <c r="H43" s="167">
        <f t="shared" si="0"/>
        <v>5</v>
      </c>
      <c r="I43" s="167">
        <f t="shared" si="1"/>
        <v>4.25</v>
      </c>
      <c r="J43" s="167">
        <f>IF('Crisis Indicator Data'!G40="x","x",IF(LOG('Crisis Indicator Data'!G40)&lt;J$4,0,IF(LOG('Crisis Indicator Data'!G40)&gt;J$3,5,ROUND(5-(J$3-LOG('Crisis Indicator Data'!G40))/(J$3-J$4)*5,1))))</f>
        <v>4.7</v>
      </c>
      <c r="K43" s="185">
        <f>IF('Crisis Indicator Data'!G40="x","x",IF(B43="Regional crisis",('Crisis Indicator Data'!G40/VLOOKUP('Impact of the crisis'!$C43,'Regional Crises'!$B$1:$R$66,5,FALSE)),'Crisis Indicator Data'!G40/VLOOKUP('Impact of the crisis'!$E43,'Country Indicator Data'!$B$4:$P$194,14,FALSE)))</f>
        <v>1</v>
      </c>
      <c r="L43" s="167">
        <f t="shared" si="2"/>
        <v>5</v>
      </c>
      <c r="M43" s="167">
        <f t="shared" si="3"/>
        <v>4.8499999999999996</v>
      </c>
      <c r="N43" s="167">
        <f t="shared" si="4"/>
        <v>4.5999999999999996</v>
      </c>
      <c r="O43" s="167">
        <f>IF('Crisis Indicator Data'!H40="x","x",IF('Crisis Indicator Data'!H40=0,0,IF(LOG('Crisis Indicator Data'!H40)&lt;O$4,0,IF(LOG('Crisis Indicator Data'!H40)&gt;O$3,5,ROUND(5-(O$3-LOG('Crisis Indicator Data'!H40))/(O$3-O$4)*5,1)))))</f>
        <v>4.8</v>
      </c>
      <c r="P43" s="185">
        <f>IF('Crisis Indicator Data'!H40="x","x",'Crisis Indicator Data'!H40/'Crisis Indicator Data'!G40)</f>
        <v>1</v>
      </c>
      <c r="Q43" s="167">
        <f t="shared" si="5"/>
        <v>5</v>
      </c>
      <c r="R43" s="167">
        <f t="shared" si="6"/>
        <v>4.9000000000000004</v>
      </c>
      <c r="S43" s="167" t="str">
        <f>IF('Crisis Indicator Data'!I40="x","x",IF('Crisis Indicator Data'!I40=0,0,IF(LOG('Crisis Indicator Data'!I40)&lt;S$4,0,IF(LOG('Crisis Indicator Data'!I40)&gt;S$3,5,ROUND(5-(S$3-LOG('Crisis Indicator Data'!I40))/(S$3-S$4)*5,1)))))</f>
        <v>x</v>
      </c>
      <c r="T43" s="185" t="str">
        <f>IF('Crisis Indicator Data'!H40="x","x",IF('Crisis Indicator Data'!I40="x","x",'Crisis Indicator Data'!I40/'Crisis Indicator Data'!H40))</f>
        <v>x</v>
      </c>
      <c r="U43" s="167" t="str">
        <f t="shared" si="7"/>
        <v>x</v>
      </c>
      <c r="V43" s="167" t="str">
        <f t="shared" si="8"/>
        <v>x</v>
      </c>
      <c r="W43" s="167" t="str">
        <f>IF('Crisis Indicator Data'!L40="x","x",IF('Crisis Indicator Data'!L40=0,0,IF(LOG('Crisis Indicator Data'!L40)&lt;W$4,0,IF(LOG('Crisis Indicator Data'!L40)&gt;W$3,5,ROUND(5-(W$3-LOG('Crisis Indicator Data'!L40))/(W$3-W$4)*5,1)))))</f>
        <v>x</v>
      </c>
      <c r="X43" s="186" t="str">
        <f>IF(OR('Crisis Indicator Data'!L40="x",'Crisis Indicator Data'!H40="x"),"x",'Crisis Indicator Data'!L40/'Crisis Indicator Data'!H40)</f>
        <v>x</v>
      </c>
      <c r="Y43" s="167" t="str">
        <f t="shared" si="9"/>
        <v>x</v>
      </c>
      <c r="Z43" s="167" t="str">
        <f t="shared" si="10"/>
        <v>x</v>
      </c>
      <c r="AA43" s="167" t="str">
        <f t="shared" si="11"/>
        <v>x</v>
      </c>
      <c r="AB43" s="187">
        <f t="shared" si="12"/>
        <v>4.9000000000000004</v>
      </c>
    </row>
    <row r="44" spans="1:28" x14ac:dyDescent="0.3">
      <c r="A44" s="191" t="str">
        <f>'Crisis Indicator Data'!A41</f>
        <v>Complex crisis in DRC</v>
      </c>
      <c r="B44" s="192" t="str">
        <f>'Crisis Indicator Data'!B41</f>
        <v>Complex crisis</v>
      </c>
      <c r="C44" s="192" t="str">
        <f>'Crisis Indicator Data'!C41</f>
        <v>COD001</v>
      </c>
      <c r="D44" s="192" t="str">
        <f>'Crisis Indicator Data'!D41</f>
        <v>DRC</v>
      </c>
      <c r="E44" s="193" t="str">
        <f>'Crisis Indicator Data'!E41</f>
        <v>COD</v>
      </c>
      <c r="F44" s="190">
        <f>IF('Crisis Indicator Data'!F41="x","x",IF(LOG('Crisis Indicator Data'!F41)&lt;F$4,0,IF(LOG('Crisis Indicator Data'!F41)&gt;F$3,5,ROUND(5-(F$3-LOG('Crisis Indicator Data'!F41))/(F$3-F$4)*5,1))))</f>
        <v>5</v>
      </c>
      <c r="G44" s="185">
        <f>IF('Crisis Indicator Data'!F41="x","x",IF(B44="Regional crisis",('Crisis Indicator Data'!F41/VLOOKUP('Impact of the crisis'!$C44,'Regional Crises'!$B$1:$R$66,4,FALSE)),'Crisis Indicator Data'!F41/VLOOKUP('Impact of the crisis'!$E44,'Country Indicator Data'!$B$4:$P$194,15,FALSE)))</f>
        <v>0.99999911779625505</v>
      </c>
      <c r="H44" s="167">
        <f t="shared" si="0"/>
        <v>5</v>
      </c>
      <c r="I44" s="167">
        <f t="shared" si="1"/>
        <v>5</v>
      </c>
      <c r="J44" s="167">
        <f>IF('Crisis Indicator Data'!G41="x","x",IF(LOG('Crisis Indicator Data'!G41)&lt;J$4,0,IF(LOG('Crisis Indicator Data'!G41)&gt;J$3,5,ROUND(5-(J$3-LOG('Crisis Indicator Data'!G41))/(J$3-J$4)*5,1))))</f>
        <v>5</v>
      </c>
      <c r="K44" s="185">
        <f>IF('Crisis Indicator Data'!G41="x","x",IF(B44="Regional crisis",('Crisis Indicator Data'!G41/VLOOKUP('Impact of the crisis'!$C44,'Regional Crises'!$B$1:$R$66,5,FALSE)),'Crisis Indicator Data'!G41/VLOOKUP('Impact of the crisis'!$E44,'Country Indicator Data'!$B$4:$P$194,14,FALSE)))</f>
        <v>1</v>
      </c>
      <c r="L44" s="167">
        <f t="shared" si="2"/>
        <v>5</v>
      </c>
      <c r="M44" s="167">
        <f t="shared" si="3"/>
        <v>5</v>
      </c>
      <c r="N44" s="167">
        <f t="shared" si="4"/>
        <v>5</v>
      </c>
      <c r="O44" s="167">
        <f>IF('Crisis Indicator Data'!H41="x","x",IF('Crisis Indicator Data'!H41=0,0,IF(LOG('Crisis Indicator Data'!H41)&lt;O$4,0,IF(LOG('Crisis Indicator Data'!H41)&gt;O$3,5,ROUND(5-(O$3-LOG('Crisis Indicator Data'!H41))/(O$3-O$4)*5,1)))))</f>
        <v>5</v>
      </c>
      <c r="P44" s="185">
        <f>IF('Crisis Indicator Data'!H41="x","x",'Crisis Indicator Data'!H41/'Crisis Indicator Data'!G41)</f>
        <v>0.43457943925233644</v>
      </c>
      <c r="Q44" s="167">
        <f t="shared" si="5"/>
        <v>2.1</v>
      </c>
      <c r="R44" s="167">
        <f t="shared" si="6"/>
        <v>3.55</v>
      </c>
      <c r="S44" s="167">
        <f>IF('Crisis Indicator Data'!I41="x","x",IF('Crisis Indicator Data'!I41=0,0,IF(LOG('Crisis Indicator Data'!I41)&lt;S$4,0,IF(LOG('Crisis Indicator Data'!I41)&gt;S$3,5,ROUND(5-(S$3-LOG('Crisis Indicator Data'!I41))/(S$3-S$4)*5,1)))))</f>
        <v>5</v>
      </c>
      <c r="T44" s="185">
        <f>IF('Crisis Indicator Data'!H41="x","x",IF('Crisis Indicator Data'!I41="x","x",'Crisis Indicator Data'!I41/'Crisis Indicator Data'!H41))</f>
        <v>0.1957682969129379</v>
      </c>
      <c r="U44" s="167">
        <f t="shared" si="7"/>
        <v>5</v>
      </c>
      <c r="V44" s="167">
        <f t="shared" si="8"/>
        <v>5</v>
      </c>
      <c r="W44" s="167">
        <f>IF('Crisis Indicator Data'!L41="x","x",IF('Crisis Indicator Data'!L41=0,0,IF(LOG('Crisis Indicator Data'!L41)&lt;W$4,0,IF(LOG('Crisis Indicator Data'!L41)&gt;W$3,5,ROUND(5-(W$3-LOG('Crisis Indicator Data'!L41))/(W$3-W$4)*5,1)))))</f>
        <v>5</v>
      </c>
      <c r="X44" s="186">
        <f>IF(OR('Crisis Indicator Data'!L41="x",'Crisis Indicator Data'!H41="x"),"x",'Crisis Indicator Data'!L41/'Crisis Indicator Data'!H41)</f>
        <v>8.3570354954329981E-5</v>
      </c>
      <c r="Y44" s="167">
        <f t="shared" si="9"/>
        <v>4.2</v>
      </c>
      <c r="Z44" s="167">
        <f t="shared" si="10"/>
        <v>4.5999999999999996</v>
      </c>
      <c r="AA44" s="167">
        <f t="shared" si="11"/>
        <v>4.8</v>
      </c>
      <c r="AB44" s="187">
        <f t="shared" si="12"/>
        <v>4.3</v>
      </c>
    </row>
    <row r="45" spans="1:28" x14ac:dyDescent="0.3">
      <c r="A45" s="191" t="str">
        <f>'Crisis Indicator Data'!A42</f>
        <v>Floods in south-eastern DRC</v>
      </c>
      <c r="B45" s="192" t="str">
        <f>'Crisis Indicator Data'!B42</f>
        <v>Flood</v>
      </c>
      <c r="C45" s="192" t="str">
        <f>'Crisis Indicator Data'!C42</f>
        <v>COD003</v>
      </c>
      <c r="D45" s="192" t="str">
        <f>'Crisis Indicator Data'!D42</f>
        <v>DRC</v>
      </c>
      <c r="E45" s="193" t="str">
        <f>'Crisis Indicator Data'!E42</f>
        <v>COD</v>
      </c>
      <c r="F45" s="190">
        <f>IF('Crisis Indicator Data'!F42="x","x",IF(LOG('Crisis Indicator Data'!F42)&lt;F$4,0,IF(LOG('Crisis Indicator Data'!F42)&gt;F$3,5,ROUND(5-(F$3-LOG('Crisis Indicator Data'!F42))/(F$3-F$4)*5,1))))</f>
        <v>4.5999999999999996</v>
      </c>
      <c r="G45" s="185">
        <f>IF('Crisis Indicator Data'!F42="x","x",IF(B45="Regional crisis",('Crisis Indicator Data'!F42/VLOOKUP('Impact of the crisis'!$C45,'Regional Crises'!$B$1:$R$66,4,FALSE)),'Crisis Indicator Data'!F42/VLOOKUP('Impact of the crisis'!$E45,'Country Indicator Data'!$B$4:$P$194,15,FALSE)))</f>
        <v>0.25405218235151406</v>
      </c>
      <c r="H45" s="167">
        <f t="shared" si="0"/>
        <v>1.2</v>
      </c>
      <c r="I45" s="167">
        <f t="shared" si="1"/>
        <v>2.9</v>
      </c>
      <c r="J45" s="167">
        <f>IF('Crisis Indicator Data'!G42="x","x",IF(LOG('Crisis Indicator Data'!G42)&lt;J$4,0,IF(LOG('Crisis Indicator Data'!G42)&gt;J$3,5,ROUND(5-(J$3-LOG('Crisis Indicator Data'!G42))/(J$3-J$4)*5,1))))</f>
        <v>4.5</v>
      </c>
      <c r="K45" s="185">
        <f>IF('Crisis Indicator Data'!G42="x","x",IF(B45="Regional crisis",('Crisis Indicator Data'!G42/VLOOKUP('Impact of the crisis'!$C45,'Regional Crises'!$B$1:$R$66,5,FALSE)),'Crisis Indicator Data'!G42/VLOOKUP('Impact of the crisis'!$E45,'Country Indicator Data'!$B$4:$P$194,14,FALSE)))</f>
        <v>0.23190634107124913</v>
      </c>
      <c r="L45" s="167">
        <f t="shared" si="2"/>
        <v>1.1000000000000001</v>
      </c>
      <c r="M45" s="167">
        <f t="shared" si="3"/>
        <v>2.8</v>
      </c>
      <c r="N45" s="167">
        <f t="shared" si="4"/>
        <v>2.9</v>
      </c>
      <c r="O45" s="167">
        <f>IF('Crisis Indicator Data'!H42="x","x",IF('Crisis Indicator Data'!H42=0,0,IF(LOG('Crisis Indicator Data'!H42)&lt;O$4,0,IF(LOG('Crisis Indicator Data'!H42)&gt;O$3,5,ROUND(5-(O$3-LOG('Crisis Indicator Data'!H42))/(O$3-O$4)*5,1)))))</f>
        <v>2.1</v>
      </c>
      <c r="P45" s="185">
        <f>IF('Crisis Indicator Data'!H42="x","x",'Crisis Indicator Data'!H42/'Crisis Indicator Data'!G42)</f>
        <v>2.5436581878060405E-2</v>
      </c>
      <c r="Q45" s="167">
        <f t="shared" si="5"/>
        <v>0.1</v>
      </c>
      <c r="R45" s="167">
        <f t="shared" si="6"/>
        <v>1.1000000000000001</v>
      </c>
      <c r="S45" s="167" t="str">
        <f>IF('Crisis Indicator Data'!I42="x","x",IF('Crisis Indicator Data'!I42=0,0,IF(LOG('Crisis Indicator Data'!I42)&lt;S$4,0,IF(LOG('Crisis Indicator Data'!I42)&gt;S$3,5,ROUND(5-(S$3-LOG('Crisis Indicator Data'!I42))/(S$3-S$4)*5,1)))))</f>
        <v>x</v>
      </c>
      <c r="T45" s="185" t="str">
        <f>IF('Crisis Indicator Data'!H42="x","x",IF('Crisis Indicator Data'!I42="x","x",'Crisis Indicator Data'!I42/'Crisis Indicator Data'!H42))</f>
        <v>x</v>
      </c>
      <c r="U45" s="167" t="str">
        <f t="shared" si="7"/>
        <v>x</v>
      </c>
      <c r="V45" s="167" t="str">
        <f t="shared" si="8"/>
        <v>x</v>
      </c>
      <c r="W45" s="167" t="str">
        <f>IF('Crisis Indicator Data'!L42="x","x",IF('Crisis Indicator Data'!L42=0,0,IF(LOG('Crisis Indicator Data'!L42)&lt;W$4,0,IF(LOG('Crisis Indicator Data'!L42)&gt;W$3,5,ROUND(5-(W$3-LOG('Crisis Indicator Data'!L42))/(W$3-W$4)*5,1)))))</f>
        <v>x</v>
      </c>
      <c r="X45" s="186" t="str">
        <f>IF(OR('Crisis Indicator Data'!L42="x",'Crisis Indicator Data'!H42="x"),"x",'Crisis Indicator Data'!L42/'Crisis Indicator Data'!H42)</f>
        <v>x</v>
      </c>
      <c r="Y45" s="167" t="str">
        <f t="shared" si="9"/>
        <v>x</v>
      </c>
      <c r="Z45" s="167" t="str">
        <f t="shared" si="10"/>
        <v>x</v>
      </c>
      <c r="AA45" s="167" t="str">
        <f t="shared" si="11"/>
        <v>x</v>
      </c>
      <c r="AB45" s="187">
        <f t="shared" si="12"/>
        <v>1.1000000000000001</v>
      </c>
    </row>
    <row r="46" spans="1:28" x14ac:dyDescent="0.3">
      <c r="A46" s="191" t="str">
        <f>'Crisis Indicator Data'!A43</f>
        <v>Venezuela displacement in Ecuador</v>
      </c>
      <c r="B46" s="192" t="str">
        <f>'Crisis Indicator Data'!B43</f>
        <v>International displacement</v>
      </c>
      <c r="C46" s="192" t="str">
        <f>'Crisis Indicator Data'!C43</f>
        <v>ECU002</v>
      </c>
      <c r="D46" s="192" t="str">
        <f>'Crisis Indicator Data'!D43</f>
        <v>Ecuador</v>
      </c>
      <c r="E46" s="193" t="str">
        <f>'Crisis Indicator Data'!E43</f>
        <v>ECU</v>
      </c>
      <c r="F46" s="190">
        <f>IF('Crisis Indicator Data'!F43="x","x",IF(LOG('Crisis Indicator Data'!F43)&lt;F$4,0,IF(LOG('Crisis Indicator Data'!F43)&gt;F$3,5,ROUND(5-(F$3-LOG('Crisis Indicator Data'!F43))/(F$3-F$4)*5,1))))</f>
        <v>0.9</v>
      </c>
      <c r="G46" s="185">
        <f>IF('Crisis Indicator Data'!F43="x","x",IF(B46="Regional crisis",('Crisis Indicator Data'!F43/VLOOKUP('Impact of the crisis'!$C46,'Regional Crises'!$B$1:$R$66,4,FALSE)),'Crisis Indicator Data'!F43/VLOOKUP('Impact of the crisis'!$E46,'Country Indicator Data'!$B$4:$P$194,15,FALSE)))</f>
        <v>1.3887099371879529E-2</v>
      </c>
      <c r="H46" s="167">
        <f t="shared" si="0"/>
        <v>0</v>
      </c>
      <c r="I46" s="167">
        <f t="shared" si="1"/>
        <v>0.45</v>
      </c>
      <c r="J46" s="167">
        <f>IF('Crisis Indicator Data'!G43="x","x",IF(LOG('Crisis Indicator Data'!G43)&lt;J$4,0,IF(LOG('Crisis Indicator Data'!G43)&gt;J$3,5,ROUND(5-(J$3-LOG('Crisis Indicator Data'!G43))/(J$3-J$4)*5,1))))</f>
        <v>2.2999999999999998</v>
      </c>
      <c r="K46" s="185">
        <f>IF('Crisis Indicator Data'!G43="x","x",IF(B46="Regional crisis",('Crisis Indicator Data'!G43/VLOOKUP('Impact of the crisis'!$C46,'Regional Crises'!$B$1:$R$66,5,FALSE)),'Crisis Indicator Data'!G43/VLOOKUP('Impact of the crisis'!$E46,'Country Indicator Data'!$B$4:$P$194,14,FALSE)))</f>
        <v>0.32446450222282097</v>
      </c>
      <c r="L46" s="167">
        <f t="shared" si="2"/>
        <v>1.6</v>
      </c>
      <c r="M46" s="167">
        <f t="shared" si="3"/>
        <v>1.95</v>
      </c>
      <c r="N46" s="167">
        <f t="shared" si="4"/>
        <v>1.3</v>
      </c>
      <c r="O46" s="167">
        <f>IF('Crisis Indicator Data'!H43="x","x",IF('Crisis Indicator Data'!H43=0,0,IF(LOG('Crisis Indicator Data'!H43)&lt;O$4,0,IF(LOG('Crisis Indicator Data'!H43)&gt;O$3,5,ROUND(5-(O$3-LOG('Crisis Indicator Data'!H43))/(O$3-O$4)*5,1)))))</f>
        <v>2.1</v>
      </c>
      <c r="P46" s="185">
        <f>IF('Crisis Indicator Data'!H43="x","x",'Crisis Indicator Data'!H43/'Crisis Indicator Data'!G43)</f>
        <v>0.11874610753581068</v>
      </c>
      <c r="Q46" s="167">
        <f t="shared" si="5"/>
        <v>0.5</v>
      </c>
      <c r="R46" s="167">
        <f t="shared" si="6"/>
        <v>1.3</v>
      </c>
      <c r="S46" s="167">
        <f>IF('Crisis Indicator Data'!I43="x","x",IF('Crisis Indicator Data'!I43=0,0,IF(LOG('Crisis Indicator Data'!I43)&lt;S$4,0,IF(LOG('Crisis Indicator Data'!I43)&gt;S$3,5,ROUND(5-(S$3-LOG('Crisis Indicator Data'!I43))/(S$3-S$4)*5,1)))))</f>
        <v>3.7</v>
      </c>
      <c r="T46" s="185">
        <f>IF('Crisis Indicator Data'!H43="x","x",IF('Crisis Indicator Data'!I43="x","x",'Crisis Indicator Data'!I43/'Crisis Indicator Data'!H43))</f>
        <v>0.63461538461538458</v>
      </c>
      <c r="U46" s="167">
        <f t="shared" si="7"/>
        <v>5</v>
      </c>
      <c r="V46" s="167">
        <f t="shared" si="8"/>
        <v>4.4000000000000004</v>
      </c>
      <c r="W46" s="167">
        <f>IF('Crisis Indicator Data'!L43="x","x",IF('Crisis Indicator Data'!L43=0,0,IF(LOG('Crisis Indicator Data'!L43)&lt;W$4,0,IF(LOG('Crisis Indicator Data'!L43)&gt;W$3,5,ROUND(5-(W$3-LOG('Crisis Indicator Data'!L43))/(W$3-W$4)*5,1)))))</f>
        <v>0</v>
      </c>
      <c r="X46" s="186">
        <f>IF(OR('Crisis Indicator Data'!L43="x",'Crisis Indicator Data'!H43="x"),"x",'Crisis Indicator Data'!L43/'Crisis Indicator Data'!H43)</f>
        <v>1.7482517482517483E-6</v>
      </c>
      <c r="Y46" s="167">
        <f t="shared" si="9"/>
        <v>0.1</v>
      </c>
      <c r="Z46" s="167">
        <f t="shared" si="10"/>
        <v>0.1</v>
      </c>
      <c r="AA46" s="167">
        <f t="shared" si="11"/>
        <v>2.9</v>
      </c>
      <c r="AB46" s="187">
        <f t="shared" si="12"/>
        <v>2.2000000000000002</v>
      </c>
    </row>
    <row r="47" spans="1:28" x14ac:dyDescent="0.3">
      <c r="A47" s="191" t="str">
        <f>'Crisis Indicator Data'!A44</f>
        <v>Syrian Refugee Crisis in Egypt</v>
      </c>
      <c r="B47" s="192" t="str">
        <f>'Crisis Indicator Data'!B44</f>
        <v>International displacement</v>
      </c>
      <c r="C47" s="192" t="str">
        <f>'Crisis Indicator Data'!C44</f>
        <v>EGY002</v>
      </c>
      <c r="D47" s="192" t="str">
        <f>'Crisis Indicator Data'!D44</f>
        <v>Egypt</v>
      </c>
      <c r="E47" s="193" t="str">
        <f>'Crisis Indicator Data'!E44</f>
        <v>EGY</v>
      </c>
      <c r="F47" s="190">
        <f>IF('Crisis Indicator Data'!F44="x","x",IF(LOG('Crisis Indicator Data'!F44)&lt;F$4,0,IF(LOG('Crisis Indicator Data'!F44)&gt;F$3,5,ROUND(5-(F$3-LOG('Crisis Indicator Data'!F44))/(F$3-F$4)*5,1))))</f>
        <v>3.3</v>
      </c>
      <c r="G47" s="185">
        <f>IF('Crisis Indicator Data'!F44="x","x",IF(B47="Regional crisis",('Crisis Indicator Data'!F44/VLOOKUP('Impact of the crisis'!$C47,'Regional Crises'!$B$1:$R$66,4,FALSE)),'Crisis Indicator Data'!F44/VLOOKUP('Impact of the crisis'!$E47,'Country Indicator Data'!$B$4:$P$194,15,FALSE)))</f>
        <v>9.1488040584660202E-2</v>
      </c>
      <c r="H47" s="167">
        <f t="shared" si="0"/>
        <v>0.4</v>
      </c>
      <c r="I47" s="167">
        <f t="shared" si="1"/>
        <v>1.8499999999999999</v>
      </c>
      <c r="J47" s="167">
        <f>IF('Crisis Indicator Data'!G44="x","x",IF(LOG('Crisis Indicator Data'!G44)&lt;J$4,0,IF(LOG('Crisis Indicator Data'!G44)&gt;J$3,5,ROUND(5-(J$3-LOG('Crisis Indicator Data'!G44))/(J$3-J$4)*5,1))))</f>
        <v>4.5</v>
      </c>
      <c r="K47" s="185">
        <f>IF('Crisis Indicator Data'!G44="x","x",IF(B47="Regional crisis",('Crisis Indicator Data'!G44/VLOOKUP('Impact of the crisis'!$C47,'Regional Crises'!$B$1:$R$66,5,FALSE)),'Crisis Indicator Data'!G44/VLOOKUP('Impact of the crisis'!$E47,'Country Indicator Data'!$B$4:$P$194,14,FALSE)))</f>
        <v>0.21799418257162212</v>
      </c>
      <c r="L47" s="167">
        <f t="shared" si="2"/>
        <v>1.1000000000000001</v>
      </c>
      <c r="M47" s="167">
        <f t="shared" si="3"/>
        <v>2.8</v>
      </c>
      <c r="N47" s="167">
        <f t="shared" si="4"/>
        <v>2.4</v>
      </c>
      <c r="O47" s="167">
        <f>IF('Crisis Indicator Data'!H44="x","x",IF('Crisis Indicator Data'!H44=0,0,IF(LOG('Crisis Indicator Data'!H44)&lt;O$4,0,IF(LOG('Crisis Indicator Data'!H44)&gt;O$3,5,ROUND(5-(O$3-LOG('Crisis Indicator Data'!H44))/(O$3-O$4)*5,1)))))</f>
        <v>3.3</v>
      </c>
      <c r="P47" s="185">
        <f>IF('Crisis Indicator Data'!H44="x","x",'Crisis Indicator Data'!H44/'Crisis Indicator Data'!G44)</f>
        <v>0.14426064704807165</v>
      </c>
      <c r="Q47" s="167">
        <f t="shared" si="5"/>
        <v>0.7</v>
      </c>
      <c r="R47" s="167">
        <f t="shared" si="6"/>
        <v>2</v>
      </c>
      <c r="S47" s="167">
        <f>IF('Crisis Indicator Data'!I44="x","x",IF('Crisis Indicator Data'!I44=0,0,IF(LOG('Crisis Indicator Data'!I44)&lt;S$4,0,IF(LOG('Crisis Indicator Data'!I44)&gt;S$3,5,ROUND(5-(S$3-LOG('Crisis Indicator Data'!I44))/(S$3-S$4)*5,1)))))</f>
        <v>3.9</v>
      </c>
      <c r="T47" s="185">
        <f>IF('Crisis Indicator Data'!H44="x","x",IF('Crisis Indicator Data'!I44="x","x",'Crisis Indicator Data'!I44/'Crisis Indicator Data'!H44))</f>
        <v>0.15932847640164713</v>
      </c>
      <c r="U47" s="167">
        <f t="shared" si="7"/>
        <v>5</v>
      </c>
      <c r="V47" s="167">
        <f t="shared" si="8"/>
        <v>4.5</v>
      </c>
      <c r="W47" s="167">
        <f>IF('Crisis Indicator Data'!L44="x","x",IF('Crisis Indicator Data'!L44=0,0,IF(LOG('Crisis Indicator Data'!L44)&lt;W$4,0,IF(LOG('Crisis Indicator Data'!L44)&gt;W$3,5,ROUND(5-(W$3-LOG('Crisis Indicator Data'!L44))/(W$3-W$4)*5,1)))))</f>
        <v>0</v>
      </c>
      <c r="X47" s="186">
        <f>IF(OR('Crisis Indicator Data'!L44="x",'Crisis Indicator Data'!H44="x"),"x",'Crisis Indicator Data'!L44/'Crisis Indicator Data'!H44)</f>
        <v>0</v>
      </c>
      <c r="Y47" s="167">
        <f t="shared" si="9"/>
        <v>0</v>
      </c>
      <c r="Z47" s="167">
        <f t="shared" si="10"/>
        <v>0</v>
      </c>
      <c r="AA47" s="167">
        <f t="shared" si="11"/>
        <v>2.9</v>
      </c>
      <c r="AB47" s="187">
        <f t="shared" si="12"/>
        <v>2.5</v>
      </c>
    </row>
    <row r="48" spans="1:28" x14ac:dyDescent="0.3">
      <c r="A48" s="191" t="str">
        <f>'Crisis Indicator Data'!A45</f>
        <v>Complex crisis in El Salvador</v>
      </c>
      <c r="B48" s="192" t="str">
        <f>'Crisis Indicator Data'!B45</f>
        <v>Complex crisis</v>
      </c>
      <c r="C48" s="192" t="str">
        <f>'Crisis Indicator Data'!C45</f>
        <v>SLV001</v>
      </c>
      <c r="D48" s="192" t="str">
        <f>'Crisis Indicator Data'!D45</f>
        <v>El Salvador</v>
      </c>
      <c r="E48" s="193" t="str">
        <f>'Crisis Indicator Data'!E45</f>
        <v>SLV</v>
      </c>
      <c r="F48" s="190">
        <f>IF('Crisis Indicator Data'!F45="x","x",IF(LOG('Crisis Indicator Data'!F45)&lt;F$4,0,IF(LOG('Crisis Indicator Data'!F45)&gt;F$3,5,ROUND(5-(F$3-LOG('Crisis Indicator Data'!F45))/(F$3-F$4)*5,1))))</f>
        <v>2.2000000000000002</v>
      </c>
      <c r="G48" s="185">
        <f>IF('Crisis Indicator Data'!F45="x","x",IF(B48="Regional crisis",('Crisis Indicator Data'!F45/VLOOKUP('Impact of the crisis'!$C48,'Regional Crises'!$B$1:$R$66,4,FALSE)),'Crisis Indicator Data'!F45/VLOOKUP('Impact of the crisis'!$E48,'Country Indicator Data'!$B$4:$P$194,15,FALSE)))</f>
        <v>1</v>
      </c>
      <c r="H48" s="167">
        <f t="shared" si="0"/>
        <v>5</v>
      </c>
      <c r="I48" s="167">
        <f t="shared" si="1"/>
        <v>3.6</v>
      </c>
      <c r="J48" s="167">
        <f>IF('Crisis Indicator Data'!G45="x","x",IF(LOG('Crisis Indicator Data'!G45)&lt;J$4,0,IF(LOG('Crisis Indicator Data'!G45)&gt;J$3,5,ROUND(5-(J$3-LOG('Crisis Indicator Data'!G45))/(J$3-J$4)*5,1))))</f>
        <v>2.8</v>
      </c>
      <c r="K48" s="185">
        <f>IF('Crisis Indicator Data'!G45="x","x",IF(B48="Regional crisis",('Crisis Indicator Data'!G45/VLOOKUP('Impact of the crisis'!$C48,'Regional Crises'!$B$1:$R$66,5,FALSE)),'Crisis Indicator Data'!G45/VLOOKUP('Impact of the crisis'!$E48,'Country Indicator Data'!$B$4:$P$194,14,FALSE)))</f>
        <v>1</v>
      </c>
      <c r="L48" s="167">
        <f t="shared" si="2"/>
        <v>5</v>
      </c>
      <c r="M48" s="167">
        <f t="shared" si="3"/>
        <v>3.9</v>
      </c>
      <c r="N48" s="167">
        <f t="shared" si="4"/>
        <v>3.8</v>
      </c>
      <c r="O48" s="167">
        <f>IF('Crisis Indicator Data'!H45="x","x",IF('Crisis Indicator Data'!H45=0,0,IF(LOG('Crisis Indicator Data'!H45)&lt;O$4,0,IF(LOG('Crisis Indicator Data'!H45)&gt;O$3,5,ROUND(5-(O$3-LOG('Crisis Indicator Data'!H45))/(O$3-O$4)*5,1)))))</f>
        <v>2.7</v>
      </c>
      <c r="P48" s="185">
        <f>IF('Crisis Indicator Data'!H45="x","x",'Crisis Indicator Data'!H45/'Crisis Indicator Data'!G45)</f>
        <v>0.20895522388059701</v>
      </c>
      <c r="Q48" s="167">
        <f t="shared" si="5"/>
        <v>1</v>
      </c>
      <c r="R48" s="167">
        <f t="shared" si="6"/>
        <v>1.85</v>
      </c>
      <c r="S48" s="167">
        <f>IF('Crisis Indicator Data'!I45="x","x",IF('Crisis Indicator Data'!I45=0,0,IF(LOG('Crisis Indicator Data'!I45)&lt;S$4,0,IF(LOG('Crisis Indicator Data'!I45)&gt;S$3,5,ROUND(5-(S$3-LOG('Crisis Indicator Data'!I45))/(S$3-S$4)*5,1)))))</f>
        <v>3.8</v>
      </c>
      <c r="T48" s="185">
        <f>IF('Crisis Indicator Data'!H45="x","x",IF('Crisis Indicator Data'!I45="x","x",'Crisis Indicator Data'!I45/'Crisis Indicator Data'!H45))</f>
        <v>0.32428571428571429</v>
      </c>
      <c r="U48" s="167">
        <f t="shared" si="7"/>
        <v>5</v>
      </c>
      <c r="V48" s="167">
        <f t="shared" si="8"/>
        <v>4.4000000000000004</v>
      </c>
      <c r="W48" s="167">
        <f>IF('Crisis Indicator Data'!L45="x","x",IF('Crisis Indicator Data'!L45=0,0,IF(LOG('Crisis Indicator Data'!L45)&lt;W$4,0,IF(LOG('Crisis Indicator Data'!L45)&gt;W$3,5,ROUND(5-(W$3-LOG('Crisis Indicator Data'!L45))/(W$3-W$4)*5,1)))))</f>
        <v>3.7</v>
      </c>
      <c r="X48" s="186">
        <f>IF(OR('Crisis Indicator Data'!L45="x",'Crisis Indicator Data'!H45="x"),"x",'Crisis Indicator Data'!L45/'Crisis Indicator Data'!H45)</f>
        <v>2.8499999999999999E-4</v>
      </c>
      <c r="Y48" s="167">
        <f t="shared" si="9"/>
        <v>5</v>
      </c>
      <c r="Z48" s="167">
        <f t="shared" si="10"/>
        <v>4.4000000000000004</v>
      </c>
      <c r="AA48" s="167">
        <f t="shared" si="11"/>
        <v>4.4000000000000004</v>
      </c>
      <c r="AB48" s="187">
        <f t="shared" si="12"/>
        <v>3.4</v>
      </c>
    </row>
    <row r="49" spans="1:28" x14ac:dyDescent="0.3">
      <c r="A49" s="191" t="str">
        <f>'Crisis Indicator Data'!A46</f>
        <v>Complex crisis in Eritrea</v>
      </c>
      <c r="B49" s="192" t="str">
        <f>'Crisis Indicator Data'!B46</f>
        <v>Complex crisis</v>
      </c>
      <c r="C49" s="192" t="str">
        <f>'Crisis Indicator Data'!C46</f>
        <v>ERI001</v>
      </c>
      <c r="D49" s="192" t="str">
        <f>'Crisis Indicator Data'!D46</f>
        <v>Eritrea</v>
      </c>
      <c r="E49" s="193" t="str">
        <f>'Crisis Indicator Data'!E46</f>
        <v>ERI</v>
      </c>
      <c r="F49" s="190">
        <f>IF('Crisis Indicator Data'!F46="x","x",IF(LOG('Crisis Indicator Data'!F46)&lt;F$4,0,IF(LOG('Crisis Indicator Data'!F46)&gt;F$3,5,ROUND(5-(F$3-LOG('Crisis Indicator Data'!F46))/(F$3-F$4)*5,1))))</f>
        <v>3.3</v>
      </c>
      <c r="G49" s="185">
        <f>IF('Crisis Indicator Data'!F46="x","x",IF(B49="Regional crisis",('Crisis Indicator Data'!F46/VLOOKUP('Impact of the crisis'!$C49,'Regional Crises'!$B$1:$R$66,4,FALSE)),'Crisis Indicator Data'!F46/VLOOKUP('Impact of the crisis'!$E49,'Country Indicator Data'!$B$4:$P$194,15,FALSE)))</f>
        <v>1</v>
      </c>
      <c r="H49" s="167">
        <f t="shared" si="0"/>
        <v>5</v>
      </c>
      <c r="I49" s="167">
        <f t="shared" si="1"/>
        <v>4.1500000000000004</v>
      </c>
      <c r="J49" s="167">
        <f>IF('Crisis Indicator Data'!G46="x","x",IF(LOG('Crisis Indicator Data'!G46)&lt;J$4,0,IF(LOG('Crisis Indicator Data'!G46)&gt;J$3,5,ROUND(5-(J$3-LOG('Crisis Indicator Data'!G46))/(J$3-J$4)*5,1))))</f>
        <v>1.7</v>
      </c>
      <c r="K49" s="185">
        <f>IF('Crisis Indicator Data'!G46="x","x",IF(B49="Regional crisis",('Crisis Indicator Data'!G46/VLOOKUP('Impact of the crisis'!$C49,'Regional Crises'!$B$1:$R$66,5,FALSE)),'Crisis Indicator Data'!G46/VLOOKUP('Impact of the crisis'!$E49,'Country Indicator Data'!$B$4:$P$194,14,FALSE)))</f>
        <v>1</v>
      </c>
      <c r="L49" s="167">
        <f t="shared" si="2"/>
        <v>5</v>
      </c>
      <c r="M49" s="167">
        <f t="shared" si="3"/>
        <v>3.35</v>
      </c>
      <c r="N49" s="167">
        <f t="shared" si="4"/>
        <v>3.8</v>
      </c>
      <c r="O49" s="167">
        <f>IF('Crisis Indicator Data'!H46="x","x",IF('Crisis Indicator Data'!H46=0,0,IF(LOG('Crisis Indicator Data'!H46)&lt;O$4,0,IF(LOG('Crisis Indicator Data'!H46)&gt;O$3,5,ROUND(5-(O$3-LOG('Crisis Indicator Data'!H46))/(O$3-O$4)*5,1)))))</f>
        <v>3.3</v>
      </c>
      <c r="P49" s="185">
        <f>IF('Crisis Indicator Data'!H46="x","x",'Crisis Indicator Data'!H46/'Crisis Indicator Data'!G46)</f>
        <v>1</v>
      </c>
      <c r="Q49" s="167">
        <f t="shared" si="5"/>
        <v>5</v>
      </c>
      <c r="R49" s="167">
        <f t="shared" si="6"/>
        <v>4.1500000000000004</v>
      </c>
      <c r="S49" s="167">
        <f>IF('Crisis Indicator Data'!I46="x","x",IF('Crisis Indicator Data'!I46=0,0,IF(LOG('Crisis Indicator Data'!I46)&lt;S$4,0,IF(LOG('Crisis Indicator Data'!I46)&gt;S$3,5,ROUND(5-(S$3-LOG('Crisis Indicator Data'!I46))/(S$3-S$4)*5,1)))))</f>
        <v>3.5</v>
      </c>
      <c r="T49" s="185">
        <f>IF('Crisis Indicator Data'!H46="x","x",IF('Crisis Indicator Data'!I46="x","x",'Crisis Indicator Data'!I46/'Crisis Indicator Data'!H46))</f>
        <v>9.2965602726991017E-2</v>
      </c>
      <c r="U49" s="167">
        <f t="shared" si="7"/>
        <v>3.1</v>
      </c>
      <c r="V49" s="167">
        <f t="shared" si="8"/>
        <v>3.3</v>
      </c>
      <c r="W49" s="167">
        <f>IF('Crisis Indicator Data'!L46="x","x",IF('Crisis Indicator Data'!L46=0,0,IF(LOG('Crisis Indicator Data'!L46)&lt;W$4,0,IF(LOG('Crisis Indicator Data'!L46)&gt;W$3,5,ROUND(5-(W$3-LOG('Crisis Indicator Data'!L46))/(W$3-W$4)*5,1)))))</f>
        <v>0</v>
      </c>
      <c r="X49" s="186">
        <f>IF(OR('Crisis Indicator Data'!L46="x",'Crisis Indicator Data'!H46="x"),"x",'Crisis Indicator Data'!L46/'Crisis Indicator Data'!H46)</f>
        <v>0</v>
      </c>
      <c r="Y49" s="167">
        <f t="shared" si="9"/>
        <v>0</v>
      </c>
      <c r="Z49" s="167">
        <f t="shared" si="10"/>
        <v>0</v>
      </c>
      <c r="AA49" s="167">
        <f t="shared" si="11"/>
        <v>2</v>
      </c>
      <c r="AB49" s="187">
        <f t="shared" si="12"/>
        <v>3.3</v>
      </c>
    </row>
    <row r="50" spans="1:28" x14ac:dyDescent="0.3">
      <c r="A50" s="191" t="str">
        <f>'Crisis Indicator Data'!A47</f>
        <v>Food Security Crisis in Eswatini</v>
      </c>
      <c r="B50" s="192" t="str">
        <f>'Crisis Indicator Data'!B47</f>
        <v>Food Security</v>
      </c>
      <c r="C50" s="192" t="str">
        <f>'Crisis Indicator Data'!C47</f>
        <v>SWZ001</v>
      </c>
      <c r="D50" s="192" t="str">
        <f>'Crisis Indicator Data'!D47</f>
        <v>Eswatini</v>
      </c>
      <c r="E50" s="193" t="str">
        <f>'Crisis Indicator Data'!E47</f>
        <v>SWZ</v>
      </c>
      <c r="F50" s="190">
        <f>IF('Crisis Indicator Data'!F47="x","x",IF(LOG('Crisis Indicator Data'!F47)&lt;F$4,0,IF(LOG('Crisis Indicator Data'!F47)&gt;F$3,5,ROUND(5-(F$3-LOG('Crisis Indicator Data'!F47))/(F$3-F$4)*5,1))))</f>
        <v>2.1</v>
      </c>
      <c r="G50" s="185">
        <f>IF('Crisis Indicator Data'!F47="x","x",IF(B50="Regional crisis",('Crisis Indicator Data'!F47/VLOOKUP('Impact of the crisis'!$C50,'Regional Crises'!$B$1:$R$66,4,FALSE)),'Crisis Indicator Data'!F47/VLOOKUP('Impact of the crisis'!$E50,'Country Indicator Data'!$B$4:$P$194,15,FALSE)))</f>
        <v>1.0002325581395348</v>
      </c>
      <c r="H50" s="167">
        <f t="shared" si="0"/>
        <v>5</v>
      </c>
      <c r="I50" s="167">
        <f t="shared" si="1"/>
        <v>3.55</v>
      </c>
      <c r="J50" s="167">
        <f>IF('Crisis Indicator Data'!G47="x","x",IF(LOG('Crisis Indicator Data'!G47)&lt;J$4,0,IF(LOG('Crisis Indicator Data'!G47)&gt;J$3,5,ROUND(5-(J$3-LOG('Crisis Indicator Data'!G47))/(J$3-J$4)*5,1))))</f>
        <v>0.2</v>
      </c>
      <c r="K50" s="185">
        <f>IF('Crisis Indicator Data'!G47="x","x",IF(B50="Regional crisis",('Crisis Indicator Data'!G47/VLOOKUP('Impact of the crisis'!$C50,'Regional Crises'!$B$1:$R$66,5,FALSE)),'Crisis Indicator Data'!G47/VLOOKUP('Impact of the crisis'!$E50,'Country Indicator Data'!$B$4:$P$194,14,FALSE)))</f>
        <v>0.99559859154929575</v>
      </c>
      <c r="L50" s="167">
        <f t="shared" si="2"/>
        <v>5</v>
      </c>
      <c r="M50" s="167">
        <f t="shared" si="3"/>
        <v>2.6</v>
      </c>
      <c r="N50" s="167">
        <f t="shared" si="4"/>
        <v>3.1</v>
      </c>
      <c r="O50" s="167">
        <f>IF('Crisis Indicator Data'!H47="x","x",IF('Crisis Indicator Data'!H47=0,0,IF(LOG('Crisis Indicator Data'!H47)&lt;O$4,0,IF(LOG('Crisis Indicator Data'!H47)&gt;O$3,5,ROUND(5-(O$3-LOG('Crisis Indicator Data'!H47))/(O$3-O$4)*5,1)))))</f>
        <v>2.2999999999999998</v>
      </c>
      <c r="P50" s="185">
        <f>IF('Crisis Indicator Data'!H47="x","x",'Crisis Indicator Data'!H47/'Crisis Indicator Data'!G47)</f>
        <v>0.66489832007073391</v>
      </c>
      <c r="Q50" s="167">
        <f t="shared" si="5"/>
        <v>3.3</v>
      </c>
      <c r="R50" s="167">
        <f t="shared" si="6"/>
        <v>2.8</v>
      </c>
      <c r="S50" s="167">
        <f>IF('Crisis Indicator Data'!I47="x","x",IF('Crisis Indicator Data'!I47=0,0,IF(LOG('Crisis Indicator Data'!I47)&lt;S$4,0,IF(LOG('Crisis Indicator Data'!I47)&gt;S$3,5,ROUND(5-(S$3-LOG('Crisis Indicator Data'!I47))/(S$3-S$4)*5,1)))))</f>
        <v>0</v>
      </c>
      <c r="T50" s="185">
        <f>IF('Crisis Indicator Data'!H47="x","x",IF('Crisis Indicator Data'!I47="x","x",'Crisis Indicator Data'!I47/'Crisis Indicator Data'!H47))</f>
        <v>0</v>
      </c>
      <c r="U50" s="167">
        <f t="shared" si="7"/>
        <v>0</v>
      </c>
      <c r="V50" s="167">
        <f t="shared" si="8"/>
        <v>0</v>
      </c>
      <c r="W50" s="167" t="str">
        <f>IF('Crisis Indicator Data'!L47="x","x",IF('Crisis Indicator Data'!L47=0,0,IF(LOG('Crisis Indicator Data'!L47)&lt;W$4,0,IF(LOG('Crisis Indicator Data'!L47)&gt;W$3,5,ROUND(5-(W$3-LOG('Crisis Indicator Data'!L47))/(W$3-W$4)*5,1)))))</f>
        <v>x</v>
      </c>
      <c r="X50" s="186" t="str">
        <f>IF(OR('Crisis Indicator Data'!L47="x",'Crisis Indicator Data'!H47="x"),"x",'Crisis Indicator Data'!L47/'Crisis Indicator Data'!H47)</f>
        <v>x</v>
      </c>
      <c r="Y50" s="167" t="str">
        <f t="shared" si="9"/>
        <v>x</v>
      </c>
      <c r="Z50" s="167" t="str">
        <f t="shared" si="10"/>
        <v>x</v>
      </c>
      <c r="AA50" s="167">
        <f t="shared" si="11"/>
        <v>0</v>
      </c>
      <c r="AB50" s="187">
        <f t="shared" si="12"/>
        <v>1.6</v>
      </c>
    </row>
    <row r="51" spans="1:28" x14ac:dyDescent="0.3">
      <c r="A51" s="191" t="str">
        <f>'Crisis Indicator Data'!A48</f>
        <v>Complex crisis in Ethiopia</v>
      </c>
      <c r="B51" s="192" t="str">
        <f>'Crisis Indicator Data'!B48</f>
        <v>Complex crisis</v>
      </c>
      <c r="C51" s="192" t="str">
        <f>'Crisis Indicator Data'!C48</f>
        <v>ETH001</v>
      </c>
      <c r="D51" s="192" t="str">
        <f>'Crisis Indicator Data'!D48</f>
        <v>Ethiopia</v>
      </c>
      <c r="E51" s="193" t="str">
        <f>'Crisis Indicator Data'!E48</f>
        <v>ETH</v>
      </c>
      <c r="F51" s="190">
        <f>IF('Crisis Indicator Data'!F48="x","x",IF(LOG('Crisis Indicator Data'!F48)&lt;F$4,0,IF(LOG('Crisis Indicator Data'!F48)&gt;F$3,5,ROUND(5-(F$3-LOG('Crisis Indicator Data'!F48))/(F$3-F$4)*5,1))))</f>
        <v>5</v>
      </c>
      <c r="G51" s="185">
        <f>IF('Crisis Indicator Data'!F48="x","x",IF(B51="Regional crisis",('Crisis Indicator Data'!F48/VLOOKUP('Impact of the crisis'!$C51,'Regional Crises'!$B$1:$R$66,4,FALSE)),'Crisis Indicator Data'!F48/VLOOKUP('Impact of the crisis'!$E51,'Country Indicator Data'!$B$4:$P$194,15,FALSE)))</f>
        <v>1</v>
      </c>
      <c r="H51" s="167">
        <f t="shared" si="0"/>
        <v>5</v>
      </c>
      <c r="I51" s="167">
        <f t="shared" si="1"/>
        <v>5</v>
      </c>
      <c r="J51" s="167">
        <f>IF('Crisis Indicator Data'!G48="x","x",IF(LOG('Crisis Indicator Data'!G48)&lt;J$4,0,IF(LOG('Crisis Indicator Data'!G48)&gt;J$3,5,ROUND(5-(J$3-LOG('Crisis Indicator Data'!G48))/(J$3-J$4)*5,1))))</f>
        <v>4.9000000000000004</v>
      </c>
      <c r="K51" s="185">
        <f>IF('Crisis Indicator Data'!G48="x","x",IF(B51="Regional crisis",('Crisis Indicator Data'!G48/VLOOKUP('Impact of the crisis'!$C51,'Regional Crises'!$B$1:$R$66,5,FALSE)),'Crisis Indicator Data'!G48/VLOOKUP('Impact of the crisis'!$E51,'Country Indicator Data'!$B$4:$P$194,14,FALSE)))</f>
        <v>0.26581472554459046</v>
      </c>
      <c r="L51" s="167">
        <f t="shared" si="2"/>
        <v>1.3</v>
      </c>
      <c r="M51" s="167">
        <f t="shared" si="3"/>
        <v>3.1</v>
      </c>
      <c r="N51" s="167">
        <f t="shared" si="4"/>
        <v>4.3</v>
      </c>
      <c r="O51" s="167">
        <f>IF('Crisis Indicator Data'!H48="x","x",IF('Crisis Indicator Data'!H48=0,0,IF(LOG('Crisis Indicator Data'!H48)&lt;O$4,0,IF(LOG('Crisis Indicator Data'!H48)&gt;O$3,5,ROUND(5-(O$3-LOG('Crisis Indicator Data'!H48))/(O$3-O$4)*5,1)))))</f>
        <v>4.5999999999999996</v>
      </c>
      <c r="P51" s="185">
        <f>IF('Crisis Indicator Data'!H48="x","x",'Crisis Indicator Data'!H48/'Crisis Indicator Data'!G48)</f>
        <v>0.64225834046193331</v>
      </c>
      <c r="Q51" s="167">
        <f t="shared" si="5"/>
        <v>3.2</v>
      </c>
      <c r="R51" s="167">
        <f t="shared" si="6"/>
        <v>3.9</v>
      </c>
      <c r="S51" s="167">
        <f>IF('Crisis Indicator Data'!I48="x","x",IF('Crisis Indicator Data'!I48=0,0,IF(LOG('Crisis Indicator Data'!I48)&lt;S$4,0,IF(LOG('Crisis Indicator Data'!I48)&gt;S$3,5,ROUND(5-(S$3-LOG('Crisis Indicator Data'!I48))/(S$3-S$4)*5,1)))))</f>
        <v>4.5999999999999996</v>
      </c>
      <c r="T51" s="185">
        <f>IF('Crisis Indicator Data'!H48="x","x",IF('Crisis Indicator Data'!I48="x","x",'Crisis Indicator Data'!I48/'Crisis Indicator Data'!H48))</f>
        <v>9.2434736281299945E-2</v>
      </c>
      <c r="U51" s="167">
        <f t="shared" si="7"/>
        <v>3.1</v>
      </c>
      <c r="V51" s="167">
        <f t="shared" si="8"/>
        <v>3.9</v>
      </c>
      <c r="W51" s="167">
        <f>IF('Crisis Indicator Data'!L48="x","x",IF('Crisis Indicator Data'!L48=0,0,IF(LOG('Crisis Indicator Data'!L48)&lt;W$4,0,IF(LOG('Crisis Indicator Data'!L48)&gt;W$3,5,ROUND(5-(W$3-LOG('Crisis Indicator Data'!L48))/(W$3-W$4)*5,1)))))</f>
        <v>3.9</v>
      </c>
      <c r="X51" s="186">
        <f>IF(OR('Crisis Indicator Data'!L48="x",'Crisis Indicator Data'!H48="x"),"x",'Crisis Indicator Data'!L48/'Crisis Indicator Data'!H48)</f>
        <v>3.0420884389984016E-5</v>
      </c>
      <c r="Y51" s="167">
        <f t="shared" si="9"/>
        <v>1.5</v>
      </c>
      <c r="Z51" s="167">
        <f t="shared" si="10"/>
        <v>2.7</v>
      </c>
      <c r="AA51" s="167">
        <f t="shared" si="11"/>
        <v>3.4</v>
      </c>
      <c r="AB51" s="187">
        <f t="shared" si="12"/>
        <v>3.7</v>
      </c>
    </row>
    <row r="52" spans="1:28" x14ac:dyDescent="0.3">
      <c r="A52" s="191" t="str">
        <f>'Crisis Indicator Data'!A49</f>
        <v>Flood Crisis in Ethiopia</v>
      </c>
      <c r="B52" s="192" t="str">
        <f>'Crisis Indicator Data'!B49</f>
        <v>Flood</v>
      </c>
      <c r="C52" s="192" t="str">
        <f>'Crisis Indicator Data'!C49</f>
        <v>ETH002</v>
      </c>
      <c r="D52" s="192" t="str">
        <f>'Crisis Indicator Data'!D49</f>
        <v>Ethiopia</v>
      </c>
      <c r="E52" s="193" t="str">
        <f>'Crisis Indicator Data'!E49</f>
        <v>ETH</v>
      </c>
      <c r="F52" s="190">
        <f>IF('Crisis Indicator Data'!F49="x","x",IF(LOG('Crisis Indicator Data'!F49)&lt;F$4,0,IF(LOG('Crisis Indicator Data'!F49)&gt;F$3,5,ROUND(5-(F$3-LOG('Crisis Indicator Data'!F49))/(F$3-F$4)*5,1))))</f>
        <v>4.8</v>
      </c>
      <c r="G52" s="185">
        <f>IF('Crisis Indicator Data'!F49="x","x",IF(B52="Regional crisis",('Crisis Indicator Data'!F49/VLOOKUP('Impact of the crisis'!$C52,'Regional Crises'!$B$1:$R$66,4,FALSE)),'Crisis Indicator Data'!F49/VLOOKUP('Impact of the crisis'!$E52,'Country Indicator Data'!$B$4:$P$194,15,FALSE)))</f>
        <v>0.74287800000000004</v>
      </c>
      <c r="H52" s="167">
        <f t="shared" si="0"/>
        <v>3.7</v>
      </c>
      <c r="I52" s="167">
        <f t="shared" si="1"/>
        <v>4.25</v>
      </c>
      <c r="J52" s="167">
        <f>IF('Crisis Indicator Data'!G49="x","x",IF(LOG('Crisis Indicator Data'!G49)&lt;J$4,0,IF(LOG('Crisis Indicator Data'!G49)&gt;J$3,5,ROUND(5-(J$3-LOG('Crisis Indicator Data'!G49))/(J$3-J$4)*5,1))))</f>
        <v>5</v>
      </c>
      <c r="K52" s="185">
        <f>IF('Crisis Indicator Data'!G49="x","x",IF(B52="Regional crisis",('Crisis Indicator Data'!G49/VLOOKUP('Impact of the crisis'!$C52,'Regional Crises'!$B$1:$R$66,5,FALSE)),'Crisis Indicator Data'!G49/VLOOKUP('Impact of the crisis'!$E52,'Country Indicator Data'!$B$4:$P$194,14,FALSE)))</f>
        <v>0.56348174087043523</v>
      </c>
      <c r="L52" s="167">
        <f t="shared" si="2"/>
        <v>2.8</v>
      </c>
      <c r="M52" s="167">
        <f t="shared" si="3"/>
        <v>3.9</v>
      </c>
      <c r="N52" s="167">
        <f t="shared" si="4"/>
        <v>4.0999999999999996</v>
      </c>
      <c r="O52" s="167">
        <f>IF('Crisis Indicator Data'!H49="x","x",IF('Crisis Indicator Data'!H49=0,0,IF(LOG('Crisis Indicator Data'!H49)&lt;O$4,0,IF(LOG('Crisis Indicator Data'!H49)&gt;O$3,5,ROUND(5-(O$3-LOG('Crisis Indicator Data'!H49))/(O$3-O$4)*5,1)))))</f>
        <v>2.5</v>
      </c>
      <c r="P52" s="185">
        <f>IF('Crisis Indicator Data'!H49="x","x",'Crisis Indicator Data'!H49/'Crisis Indicator Data'!G49)</f>
        <v>1.6432076446280992E-2</v>
      </c>
      <c r="Q52" s="167">
        <f t="shared" si="5"/>
        <v>0</v>
      </c>
      <c r="R52" s="167">
        <f t="shared" si="6"/>
        <v>1.25</v>
      </c>
      <c r="S52" s="167">
        <f>IF('Crisis Indicator Data'!I49="x","x",IF('Crisis Indicator Data'!I49=0,0,IF(LOG('Crisis Indicator Data'!I49)&lt;S$4,0,IF(LOG('Crisis Indicator Data'!I49)&gt;S$3,5,ROUND(5-(S$3-LOG('Crisis Indicator Data'!I49))/(S$3-S$4)*5,1)))))</f>
        <v>3.5</v>
      </c>
      <c r="T52" s="185">
        <f>IF('Crisis Indicator Data'!H49="x","x",IF('Crisis Indicator Data'!I49="x","x",'Crisis Indicator Data'!I49/'Crisis Indicator Data'!H49))</f>
        <v>0.28880157170923382</v>
      </c>
      <c r="U52" s="167">
        <f t="shared" si="7"/>
        <v>5</v>
      </c>
      <c r="V52" s="167">
        <f t="shared" si="8"/>
        <v>4.3</v>
      </c>
      <c r="W52" s="167">
        <f>IF('Crisis Indicator Data'!L49="x","x",IF('Crisis Indicator Data'!L49=0,0,IF(LOG('Crisis Indicator Data'!L49)&lt;W$4,0,IF(LOG('Crisis Indicator Data'!L49)&gt;W$3,5,ROUND(5-(W$3-LOG('Crisis Indicator Data'!L49))/(W$3-W$4)*5,1)))))</f>
        <v>1.5</v>
      </c>
      <c r="X52" s="186">
        <f>IF(OR('Crisis Indicator Data'!L49="x",'Crisis Indicator Data'!H49="x"),"x",'Crisis Indicator Data'!L49/'Crisis Indicator Data'!H49)</f>
        <v>1.1787819253438114E-5</v>
      </c>
      <c r="Y52" s="167">
        <f t="shared" si="9"/>
        <v>0.6</v>
      </c>
      <c r="Z52" s="167">
        <f t="shared" si="10"/>
        <v>1.1000000000000001</v>
      </c>
      <c r="AA52" s="167">
        <f t="shared" si="11"/>
        <v>3.1</v>
      </c>
      <c r="AB52" s="187">
        <f t="shared" si="12"/>
        <v>2.2999999999999998</v>
      </c>
    </row>
    <row r="53" spans="1:28" x14ac:dyDescent="0.3">
      <c r="A53" s="191" t="str">
        <f>'Crisis Indicator Data'!A50</f>
        <v>International Displacement</v>
      </c>
      <c r="B53" s="192" t="str">
        <f>'Crisis Indicator Data'!B50</f>
        <v>International displacement</v>
      </c>
      <c r="C53" s="192" t="str">
        <f>'Crisis Indicator Data'!C50</f>
        <v>ETH003</v>
      </c>
      <c r="D53" s="192" t="str">
        <f>'Crisis Indicator Data'!D50</f>
        <v>Ethiopia</v>
      </c>
      <c r="E53" s="193" t="str">
        <f>'Crisis Indicator Data'!E50</f>
        <v>ETH</v>
      </c>
      <c r="F53" s="190">
        <f>IF('Crisis Indicator Data'!F50="x","x",IF(LOG('Crisis Indicator Data'!F50)&lt;F$4,0,IF(LOG('Crisis Indicator Data'!F50)&gt;F$3,5,ROUND(5-(F$3-LOG('Crisis Indicator Data'!F50))/(F$3-F$4)*5,1))))</f>
        <v>4.9000000000000004</v>
      </c>
      <c r="G53" s="185">
        <f>IF('Crisis Indicator Data'!F50="x","x",IF(B53="Regional crisis",('Crisis Indicator Data'!F50/VLOOKUP('Impact of the crisis'!$C53,'Regional Crises'!$B$1:$R$66,4,FALSE)),'Crisis Indicator Data'!F50/VLOOKUP('Impact of the crisis'!$E53,'Country Indicator Data'!$B$4:$P$194,15,FALSE)))</f>
        <v>0.90705000000000002</v>
      </c>
      <c r="H53" s="167">
        <f t="shared" si="0"/>
        <v>4.5</v>
      </c>
      <c r="I53" s="167">
        <f t="shared" si="1"/>
        <v>4.7</v>
      </c>
      <c r="J53" s="167">
        <f>IF('Crisis Indicator Data'!G50="x","x",IF(LOG('Crisis Indicator Data'!G50)&lt;J$4,0,IF(LOG('Crisis Indicator Data'!G50)&gt;J$3,5,ROUND(5-(J$3-LOG('Crisis Indicator Data'!G50))/(J$3-J$4)*5,1))))</f>
        <v>5</v>
      </c>
      <c r="K53" s="185">
        <f>IF('Crisis Indicator Data'!G50="x","x",IF(B53="Regional crisis",('Crisis Indicator Data'!G50/VLOOKUP('Impact of the crisis'!$C53,'Regional Crises'!$B$1:$R$66,5,FALSE)),'Crisis Indicator Data'!G50/VLOOKUP('Impact of the crisis'!$E53,'Country Indicator Data'!$B$4:$P$194,14,FALSE)))</f>
        <v>0.65833826003911045</v>
      </c>
      <c r="L53" s="167">
        <f t="shared" si="2"/>
        <v>3.3</v>
      </c>
      <c r="M53" s="167">
        <f t="shared" si="3"/>
        <v>4.1500000000000004</v>
      </c>
      <c r="N53" s="167">
        <f t="shared" si="4"/>
        <v>4.4000000000000004</v>
      </c>
      <c r="O53" s="167">
        <f>IF('Crisis Indicator Data'!H50="x","x",IF('Crisis Indicator Data'!H50=0,0,IF(LOG('Crisis Indicator Data'!H50)&lt;O$4,0,IF(LOG('Crisis Indicator Data'!H50)&gt;O$3,5,ROUND(5-(O$3-LOG('Crisis Indicator Data'!H50))/(O$3-O$4)*5,1)))))</f>
        <v>2.2999999999999998</v>
      </c>
      <c r="P53" s="185">
        <f>IF('Crisis Indicator Data'!H50="x","x",'Crisis Indicator Data'!H50/'Crisis Indicator Data'!G50)</f>
        <v>1.0624335115569003E-2</v>
      </c>
      <c r="Q53" s="167">
        <f t="shared" si="5"/>
        <v>0</v>
      </c>
      <c r="R53" s="167">
        <f t="shared" si="6"/>
        <v>1.1499999999999999</v>
      </c>
      <c r="S53" s="167">
        <f>IF('Crisis Indicator Data'!I50="x","x",IF('Crisis Indicator Data'!I50=0,0,IF(LOG('Crisis Indicator Data'!I50)&lt;S$4,0,IF(LOG('Crisis Indicator Data'!I50)&gt;S$3,5,ROUND(5-(S$3-LOG('Crisis Indicator Data'!I50))/(S$3-S$4)*5,1)))))</f>
        <v>4.0999999999999996</v>
      </c>
      <c r="T53" s="185">
        <f>IF('Crisis Indicator Data'!H50="x","x",IF('Crisis Indicator Data'!I50="x","x",'Crisis Indicator Data'!I50/'Crisis Indicator Data'!H50))</f>
        <v>1</v>
      </c>
      <c r="U53" s="167">
        <f t="shared" si="7"/>
        <v>5</v>
      </c>
      <c r="V53" s="167">
        <f t="shared" si="8"/>
        <v>4.5999999999999996</v>
      </c>
      <c r="W53" s="167" t="str">
        <f>IF('Crisis Indicator Data'!L50="x","x",IF('Crisis Indicator Data'!L50=0,0,IF(LOG('Crisis Indicator Data'!L50)&lt;W$4,0,IF(LOG('Crisis Indicator Data'!L50)&gt;W$3,5,ROUND(5-(W$3-LOG('Crisis Indicator Data'!L50))/(W$3-W$4)*5,1)))))</f>
        <v>x</v>
      </c>
      <c r="X53" s="186" t="str">
        <f>IF(OR('Crisis Indicator Data'!L50="x",'Crisis Indicator Data'!H50="x"),"x",'Crisis Indicator Data'!L50/'Crisis Indicator Data'!H50)</f>
        <v>x</v>
      </c>
      <c r="Y53" s="167" t="str">
        <f t="shared" si="9"/>
        <v>x</v>
      </c>
      <c r="Z53" s="167" t="str">
        <f t="shared" si="10"/>
        <v>x</v>
      </c>
      <c r="AA53" s="167">
        <f t="shared" si="11"/>
        <v>4.5999999999999996</v>
      </c>
      <c r="AB53" s="187">
        <f t="shared" si="12"/>
        <v>3.3</v>
      </c>
    </row>
    <row r="54" spans="1:28" x14ac:dyDescent="0.3">
      <c r="A54" s="194" t="str">
        <f>'Crisis Indicator Data'!A51</f>
        <v>Mixed migration flows in Greece</v>
      </c>
      <c r="B54" s="195" t="str">
        <f>'Crisis Indicator Data'!B51</f>
        <v>International displacement</v>
      </c>
      <c r="C54" s="195" t="str">
        <f>'Crisis Indicator Data'!C51</f>
        <v>GRC002</v>
      </c>
      <c r="D54" s="195" t="str">
        <f>'Crisis Indicator Data'!D51</f>
        <v>Greece</v>
      </c>
      <c r="E54" s="196" t="str">
        <f>'Crisis Indicator Data'!E51</f>
        <v>GRC</v>
      </c>
      <c r="F54" s="190">
        <f>IF('Crisis Indicator Data'!F51="x","x",IF(LOG('Crisis Indicator Data'!F51)&lt;F$4,0,IF(LOG('Crisis Indicator Data'!F51)&gt;F$3,5,ROUND(5-(F$3-LOG('Crisis Indicator Data'!F51))/(F$3-F$4)*5,1))))</f>
        <v>0.9</v>
      </c>
      <c r="G54" s="188">
        <f>IF('Crisis Indicator Data'!F51="x","x",IF(B54="Regional crisis",('Crisis Indicator Data'!F51/VLOOKUP('Impact of the crisis'!$C54,'Regional Crises'!$B$1:$R$66,4,FALSE)),'Crisis Indicator Data'!F51/VLOOKUP('Impact of the crisis'!$E54,'Country Indicator Data'!$B$4:$P$194,15,FALSE)))</f>
        <v>2.6098293250581849E-2</v>
      </c>
      <c r="H54" s="167">
        <f t="shared" si="0"/>
        <v>0</v>
      </c>
      <c r="I54" s="167">
        <f t="shared" ref="I54:I85" si="13">IF(AND(H54="x",F54="x"),"x",AVERAGE(F54,H54))</f>
        <v>0.45</v>
      </c>
      <c r="J54" s="167">
        <f>IF('Crisis Indicator Data'!G51="x","x",IF(LOG('Crisis Indicator Data'!G51)&lt;J$4,0,IF(LOG('Crisis Indicator Data'!G51)&gt;J$3,5,ROUND(5-(J$3-LOG('Crisis Indicator Data'!G51))/(J$3-J$4)*5,1))))</f>
        <v>0</v>
      </c>
      <c r="K54" s="188">
        <f>IF('Crisis Indicator Data'!G51="x","x",IF(B54="Regional crisis",('Crisis Indicator Data'!G51/VLOOKUP('Impact of the crisis'!$C54,'Regional Crises'!$B$1:$R$66,5,FALSE)),'Crisis Indicator Data'!G51/VLOOKUP('Impact of the crisis'!$E54,'Country Indicator Data'!$B$4:$P$194,14,FALSE)))</f>
        <v>3.0787611432772723E-2</v>
      </c>
      <c r="L54" s="167">
        <f t="shared" si="2"/>
        <v>0.1</v>
      </c>
      <c r="M54" s="167">
        <f t="shared" ref="M54:M85" si="14">IF(AND(L54="x",J54="x"),"x",AVERAGE(J54,L54))</f>
        <v>0.05</v>
      </c>
      <c r="N54" s="167">
        <f t="shared" si="4"/>
        <v>0.3</v>
      </c>
      <c r="O54" s="167">
        <f>IF('Crisis Indicator Data'!H51="x","x",IF('Crisis Indicator Data'!H51=0,0,IF(LOG('Crisis Indicator Data'!H51)&lt;O$4,0,IF(LOG('Crisis Indicator Data'!H51)&gt;O$3,5,ROUND(5-(O$3-LOG('Crisis Indicator Data'!H51))/(O$3-O$4)*5,1)))))</f>
        <v>1</v>
      </c>
      <c r="P54" s="185">
        <f>IF('Crisis Indicator Data'!H51="x","x",'Crisis Indicator Data'!H51/'Crisis Indicator Data'!G51)</f>
        <v>0.36119402985074628</v>
      </c>
      <c r="Q54" s="167">
        <f t="shared" si="5"/>
        <v>1.8</v>
      </c>
      <c r="R54" s="167">
        <f t="shared" ref="R54:R85" si="15">IF(AND(Q54="x",O54="x"),"x",AVERAGE(O54,Q54))</f>
        <v>1.4</v>
      </c>
      <c r="S54" s="167">
        <f>IF('Crisis Indicator Data'!I51="x","x",IF('Crisis Indicator Data'!I51=0,0,IF(LOG('Crisis Indicator Data'!I51)&lt;S$4,0,IF(LOG('Crisis Indicator Data'!I51)&gt;S$3,5,ROUND(5-(S$3-LOG('Crisis Indicator Data'!I51))/(S$3-S$4)*5,1)))))</f>
        <v>3</v>
      </c>
      <c r="T54" s="185">
        <f>IF('Crisis Indicator Data'!H51="x","x",IF('Crisis Indicator Data'!I51="x","x",'Crisis Indicator Data'!I51/'Crisis Indicator Data'!H51))</f>
        <v>1</v>
      </c>
      <c r="U54" s="167">
        <f t="shared" si="7"/>
        <v>5</v>
      </c>
      <c r="V54" s="167">
        <f t="shared" si="8"/>
        <v>4</v>
      </c>
      <c r="W54" s="167">
        <f>IF('Crisis Indicator Data'!L51="x","x",IF('Crisis Indicator Data'!L51=0,0,IF(LOG('Crisis Indicator Data'!L51)&lt;W$4,0,IF(LOG('Crisis Indicator Data'!L51)&gt;W$3,5,ROUND(5-(W$3-LOG('Crisis Indicator Data'!L51))/(W$3-W$4)*5,1)))))</f>
        <v>1.8</v>
      </c>
      <c r="X54" s="186">
        <f>IF(OR('Crisis Indicator Data'!L51="x",'Crisis Indicator Data'!H51="x"),"x",'Crisis Indicator Data'!L51/'Crisis Indicator Data'!H51)</f>
        <v>1.5702479338842976E-4</v>
      </c>
      <c r="Y54" s="167">
        <f t="shared" si="9"/>
        <v>5</v>
      </c>
      <c r="Z54" s="167">
        <f t="shared" si="10"/>
        <v>3.4</v>
      </c>
      <c r="AA54" s="167">
        <f t="shared" si="11"/>
        <v>3.7</v>
      </c>
      <c r="AB54" s="187">
        <f t="shared" si="12"/>
        <v>2.7</v>
      </c>
    </row>
    <row r="55" spans="1:28" x14ac:dyDescent="0.3">
      <c r="A55" s="194" t="str">
        <f>'Crisis Indicator Data'!A52</f>
        <v>Complex crisis in Guatemala</v>
      </c>
      <c r="B55" s="195" t="str">
        <f>'Crisis Indicator Data'!B52</f>
        <v>Complex crisis</v>
      </c>
      <c r="C55" s="195" t="str">
        <f>'Crisis Indicator Data'!C52</f>
        <v>GTM001</v>
      </c>
      <c r="D55" s="195" t="str">
        <f>'Crisis Indicator Data'!D52</f>
        <v>Guatemala</v>
      </c>
      <c r="E55" s="196" t="str">
        <f>'Crisis Indicator Data'!E52</f>
        <v>GTM</v>
      </c>
      <c r="F55" s="190">
        <f>IF('Crisis Indicator Data'!F52="x","x",IF(LOG('Crisis Indicator Data'!F52)&lt;F$4,0,IF(LOG('Crisis Indicator Data'!F52)&gt;F$3,5,ROUND(5-(F$3-LOG('Crisis Indicator Data'!F52))/(F$3-F$4)*5,1))))</f>
        <v>3.4</v>
      </c>
      <c r="G55" s="188">
        <f>IF('Crisis Indicator Data'!F52="x","x",IF(B55="Regional crisis",('Crisis Indicator Data'!F52/VLOOKUP('Impact of the crisis'!$C55,'Regional Crises'!$B$1:$R$66,4,FALSE)),'Crisis Indicator Data'!F52/VLOOKUP('Impact of the crisis'!$E55,'Country Indicator Data'!$B$4:$P$194,15,FALSE)))</f>
        <v>1</v>
      </c>
      <c r="H55" s="167">
        <f t="shared" si="0"/>
        <v>5</v>
      </c>
      <c r="I55" s="167">
        <f t="shared" si="13"/>
        <v>4.2</v>
      </c>
      <c r="J55" s="167">
        <f>IF('Crisis Indicator Data'!G52="x","x",IF(LOG('Crisis Indicator Data'!G52)&lt;J$4,0,IF(LOG('Crisis Indicator Data'!G52)&gt;J$3,5,ROUND(5-(J$3-LOG('Crisis Indicator Data'!G52))/(J$3-J$4)*5,1))))</f>
        <v>3.9</v>
      </c>
      <c r="K55" s="188">
        <f>IF('Crisis Indicator Data'!G52="x","x",IF(B55="Regional crisis",('Crisis Indicator Data'!G52/VLOOKUP('Impact of the crisis'!$C55,'Regional Crises'!$B$1:$R$66,5,FALSE)),'Crisis Indicator Data'!G52/VLOOKUP('Impact of the crisis'!$E55,'Country Indicator Data'!$B$4:$P$194,14,FALSE)))</f>
        <v>1</v>
      </c>
      <c r="L55" s="167">
        <f t="shared" si="2"/>
        <v>5</v>
      </c>
      <c r="M55" s="167">
        <f t="shared" si="14"/>
        <v>4.45</v>
      </c>
      <c r="N55" s="167">
        <f t="shared" si="4"/>
        <v>4.3</v>
      </c>
      <c r="O55" s="167">
        <f>IF('Crisis Indicator Data'!H52="x","x",IF('Crisis Indicator Data'!H52=0,0,IF(LOG('Crisis Indicator Data'!H52)&lt;O$4,0,IF(LOG('Crisis Indicator Data'!H52)&gt;O$3,5,ROUND(5-(O$3-LOG('Crisis Indicator Data'!H52))/(O$3-O$4)*5,1)))))</f>
        <v>3.7</v>
      </c>
      <c r="P55" s="185">
        <f>IF('Crisis Indicator Data'!H52="x","x",'Crisis Indicator Data'!H52/'Crisis Indicator Data'!G52)</f>
        <v>0.36912751677852351</v>
      </c>
      <c r="Q55" s="167">
        <f t="shared" si="5"/>
        <v>1.8</v>
      </c>
      <c r="R55" s="167">
        <f t="shared" si="15"/>
        <v>2.75</v>
      </c>
      <c r="S55" s="167">
        <f>IF('Crisis Indicator Data'!I52="x","x",IF('Crisis Indicator Data'!I52=0,0,IF(LOG('Crisis Indicator Data'!I52)&lt;S$4,0,IF(LOG('Crisis Indicator Data'!I52)&gt;S$3,5,ROUND(5-(S$3-LOG('Crisis Indicator Data'!I52))/(S$3-S$4)*5,1)))))</f>
        <v>3.4</v>
      </c>
      <c r="T55" s="185">
        <f>IF('Crisis Indicator Data'!H52="x","x",IF('Crisis Indicator Data'!I52="x","x",'Crisis Indicator Data'!I52/'Crisis Indicator Data'!H52))</f>
        <v>4.3999999999999997E-2</v>
      </c>
      <c r="U55" s="167">
        <f t="shared" si="7"/>
        <v>1.5</v>
      </c>
      <c r="V55" s="167">
        <f t="shared" si="8"/>
        <v>2.5</v>
      </c>
      <c r="W55" s="167">
        <f>IF('Crisis Indicator Data'!L52="x","x",IF('Crisis Indicator Data'!L52=0,0,IF(LOG('Crisis Indicator Data'!L52)&lt;W$4,0,IF(LOG('Crisis Indicator Data'!L52)&gt;W$3,5,ROUND(5-(W$3-LOG('Crisis Indicator Data'!L52))/(W$3-W$4)*5,1)))))</f>
        <v>4.5999999999999996</v>
      </c>
      <c r="X55" s="186">
        <f>IF(OR('Crisis Indicator Data'!L52="x",'Crisis Indicator Data'!H52="x"),"x",'Crisis Indicator Data'!L52/'Crisis Indicator Data'!H52)</f>
        <v>3.0200000000000002E-4</v>
      </c>
      <c r="Y55" s="167">
        <f t="shared" si="9"/>
        <v>5</v>
      </c>
      <c r="Z55" s="167">
        <f t="shared" si="10"/>
        <v>4.8</v>
      </c>
      <c r="AA55" s="167">
        <f t="shared" si="11"/>
        <v>3.9</v>
      </c>
      <c r="AB55" s="187">
        <f t="shared" si="12"/>
        <v>3.4</v>
      </c>
    </row>
    <row r="56" spans="1:28" x14ac:dyDescent="0.3">
      <c r="A56" s="194" t="str">
        <f>'Crisis Indicator Data'!A53</f>
        <v>Complex crisis in Haiti</v>
      </c>
      <c r="B56" s="195" t="str">
        <f>'Crisis Indicator Data'!B53</f>
        <v>Complex crisis</v>
      </c>
      <c r="C56" s="195" t="str">
        <f>'Crisis Indicator Data'!C53</f>
        <v>HTI001</v>
      </c>
      <c r="D56" s="195" t="str">
        <f>'Crisis Indicator Data'!D53</f>
        <v>Haiti</v>
      </c>
      <c r="E56" s="196" t="str">
        <f>'Crisis Indicator Data'!E53</f>
        <v>HTI</v>
      </c>
      <c r="F56" s="190">
        <f>IF('Crisis Indicator Data'!F53="x","x",IF(LOG('Crisis Indicator Data'!F53)&lt;F$4,0,IF(LOG('Crisis Indicator Data'!F53)&gt;F$3,5,ROUND(5-(F$3-LOG('Crisis Indicator Data'!F53))/(F$3-F$4)*5,1))))</f>
        <v>2.4</v>
      </c>
      <c r="G56" s="188">
        <f>IF('Crisis Indicator Data'!F53="x","x",IF(B56="Regional crisis",('Crisis Indicator Data'!F53/VLOOKUP('Impact of the crisis'!$C56,'Regional Crises'!$B$1:$R$66,4,FALSE)),'Crisis Indicator Data'!F53/VLOOKUP('Impact of the crisis'!$E56,'Country Indicator Data'!$B$4:$P$194,15,FALSE)))</f>
        <v>0.98570391872278662</v>
      </c>
      <c r="H56" s="167">
        <f t="shared" si="0"/>
        <v>4.9000000000000004</v>
      </c>
      <c r="I56" s="167">
        <f t="shared" si="13"/>
        <v>3.6500000000000004</v>
      </c>
      <c r="J56" s="167">
        <f>IF('Crisis Indicator Data'!G53="x","x",IF(LOG('Crisis Indicator Data'!G53)&lt;J$4,0,IF(LOG('Crisis Indicator Data'!G53)&gt;J$3,5,ROUND(5-(J$3-LOG('Crisis Indicator Data'!G53))/(J$3-J$4)*5,1))))</f>
        <v>3.5</v>
      </c>
      <c r="K56" s="188">
        <f>IF('Crisis Indicator Data'!G53="x","x",IF(B56="Regional crisis",('Crisis Indicator Data'!G53/VLOOKUP('Impact of the crisis'!$C56,'Regional Crises'!$B$1:$R$66,5,FALSE)),'Crisis Indicator Data'!G53/VLOOKUP('Impact of the crisis'!$E56,'Country Indicator Data'!$B$4:$P$194,14,FALSE)))</f>
        <v>1</v>
      </c>
      <c r="L56" s="167">
        <f t="shared" si="2"/>
        <v>5</v>
      </c>
      <c r="M56" s="167">
        <f t="shared" si="14"/>
        <v>4.25</v>
      </c>
      <c r="N56" s="167">
        <f t="shared" si="4"/>
        <v>4</v>
      </c>
      <c r="O56" s="167">
        <f>IF('Crisis Indicator Data'!H53="x","x",IF('Crisis Indicator Data'!H53=0,0,IF(LOG('Crisis Indicator Data'!H53)&lt;O$4,0,IF(LOG('Crisis Indicator Data'!H53)&gt;O$3,5,ROUND(5-(O$3-LOG('Crisis Indicator Data'!H53))/(O$3-O$4)*5,1)))))</f>
        <v>3.8</v>
      </c>
      <c r="P56" s="185">
        <f>IF('Crisis Indicator Data'!H53="x","x",'Crisis Indicator Data'!H53/'Crisis Indicator Data'!G53)</f>
        <v>0.57798165137614677</v>
      </c>
      <c r="Q56" s="167">
        <f t="shared" si="5"/>
        <v>2.9</v>
      </c>
      <c r="R56" s="167">
        <f t="shared" si="15"/>
        <v>3.3499999999999996</v>
      </c>
      <c r="S56" s="167">
        <f>IF('Crisis Indicator Data'!I53="x","x",IF('Crisis Indicator Data'!I53=0,0,IF(LOG('Crisis Indicator Data'!I53)&lt;S$4,0,IF(LOG('Crisis Indicator Data'!I53)&gt;S$3,5,ROUND(5-(S$3-LOG('Crisis Indicator Data'!I53))/(S$3-S$4)*5,1)))))</f>
        <v>2.5</v>
      </c>
      <c r="T56" s="185">
        <f>IF('Crisis Indicator Data'!H53="x","x",IF('Crisis Indicator Data'!I53="x","x",'Crisis Indicator Data'!I53/'Crisis Indicator Data'!H53))</f>
        <v>8.4126984126984133E-3</v>
      </c>
      <c r="U56" s="167">
        <f t="shared" si="7"/>
        <v>0.3</v>
      </c>
      <c r="V56" s="167">
        <f t="shared" si="8"/>
        <v>1.4</v>
      </c>
      <c r="W56" s="167">
        <f>IF('Crisis Indicator Data'!L53="x","x",IF('Crisis Indicator Data'!L53=0,0,IF(LOG('Crisis Indicator Data'!L53)&lt;W$4,0,IF(LOG('Crisis Indicator Data'!L53)&gt;W$3,5,ROUND(5-(W$3-LOG('Crisis Indicator Data'!L53))/(W$3-W$4)*5,1)))))</f>
        <v>3.4</v>
      </c>
      <c r="X56" s="186">
        <f>IF(OR('Crisis Indicator Data'!L53="x",'Crisis Indicator Data'!H53="x"),"x",'Crisis Indicator Data'!L53/'Crisis Indicator Data'!H53)</f>
        <v>3.5238095238095239E-5</v>
      </c>
      <c r="Y56" s="167">
        <f t="shared" si="9"/>
        <v>1.8</v>
      </c>
      <c r="Z56" s="167">
        <f t="shared" si="10"/>
        <v>2.6</v>
      </c>
      <c r="AA56" s="167">
        <f t="shared" si="11"/>
        <v>2</v>
      </c>
      <c r="AB56" s="187">
        <f t="shared" si="12"/>
        <v>2.7</v>
      </c>
    </row>
    <row r="57" spans="1:28" x14ac:dyDescent="0.3">
      <c r="A57" s="194" t="str">
        <f>'Crisis Indicator Data'!A54</f>
        <v>Complex crisis in Honduras</v>
      </c>
      <c r="B57" s="195" t="str">
        <f>'Crisis Indicator Data'!B54</f>
        <v>Complex crisis</v>
      </c>
      <c r="C57" s="195" t="str">
        <f>'Crisis Indicator Data'!C54</f>
        <v>HND001</v>
      </c>
      <c r="D57" s="195" t="str">
        <f>'Crisis Indicator Data'!D54</f>
        <v>Honduras</v>
      </c>
      <c r="E57" s="196" t="str">
        <f>'Crisis Indicator Data'!E54</f>
        <v>HND</v>
      </c>
      <c r="F57" s="190">
        <f>IF('Crisis Indicator Data'!F54="x","x",IF(LOG('Crisis Indicator Data'!F54)&lt;F$4,0,IF(LOG('Crisis Indicator Data'!F54)&gt;F$3,5,ROUND(5-(F$3-LOG('Crisis Indicator Data'!F54))/(F$3-F$4)*5,1))))</f>
        <v>3.4</v>
      </c>
      <c r="G57" s="188">
        <f>IF('Crisis Indicator Data'!F54="x","x",IF(B57="Regional crisis",('Crisis Indicator Data'!F54/VLOOKUP('Impact of the crisis'!$C57,'Regional Crises'!$B$1:$R$66,4,FALSE)),'Crisis Indicator Data'!F54/VLOOKUP('Impact of the crisis'!$E57,'Country Indicator Data'!$B$4:$P$194,15,FALSE)))</f>
        <v>1</v>
      </c>
      <c r="H57" s="167">
        <f t="shared" si="0"/>
        <v>5</v>
      </c>
      <c r="I57" s="167">
        <f t="shared" si="13"/>
        <v>4.2</v>
      </c>
      <c r="J57" s="167">
        <f>IF('Crisis Indicator Data'!G54="x","x",IF(LOG('Crisis Indicator Data'!G54)&lt;J$4,0,IF(LOG('Crisis Indicator Data'!G54)&gt;J$3,5,ROUND(5-(J$3-LOG('Crisis Indicator Data'!G54))/(J$3-J$4)*5,1))))</f>
        <v>3.2</v>
      </c>
      <c r="K57" s="188">
        <f>IF('Crisis Indicator Data'!G54="x","x",IF(B57="Regional crisis",('Crisis Indicator Data'!G54/VLOOKUP('Impact of the crisis'!$C57,'Regional Crises'!$B$1:$R$66,5,FALSE)),'Crisis Indicator Data'!G54/VLOOKUP('Impact of the crisis'!$E57,'Country Indicator Data'!$B$4:$P$194,14,FALSE)))</f>
        <v>1</v>
      </c>
      <c r="L57" s="167">
        <f t="shared" si="2"/>
        <v>5</v>
      </c>
      <c r="M57" s="167">
        <f t="shared" si="14"/>
        <v>4.0999999999999996</v>
      </c>
      <c r="N57" s="167">
        <f t="shared" si="4"/>
        <v>4.2</v>
      </c>
      <c r="O57" s="167">
        <f>IF('Crisis Indicator Data'!H54="x","x",IF('Crisis Indicator Data'!H54=0,0,IF(LOG('Crisis Indicator Data'!H54)&lt;O$4,0,IF(LOG('Crisis Indicator Data'!H54)&gt;O$3,5,ROUND(5-(O$3-LOG('Crisis Indicator Data'!H54))/(O$3-O$4)*5,1)))))</f>
        <v>3.2</v>
      </c>
      <c r="P57" s="185">
        <f>IF('Crisis Indicator Data'!H54="x","x",'Crisis Indicator Data'!H54/'Crisis Indicator Data'!G54)</f>
        <v>0.29482419742301813</v>
      </c>
      <c r="Q57" s="167">
        <f t="shared" si="5"/>
        <v>1.4</v>
      </c>
      <c r="R57" s="167">
        <f t="shared" si="15"/>
        <v>2.2999999999999998</v>
      </c>
      <c r="S57" s="167">
        <f>IF('Crisis Indicator Data'!I54="x","x",IF('Crisis Indicator Data'!I54=0,0,IF(LOG('Crisis Indicator Data'!I54)&lt;S$4,0,IF(LOG('Crisis Indicator Data'!I54)&gt;S$3,5,ROUND(5-(S$3-LOG('Crisis Indicator Data'!I54))/(S$3-S$4)*5,1)))))</f>
        <v>3.4</v>
      </c>
      <c r="T57" s="185">
        <f>IF('Crisis Indicator Data'!H54="x","x",IF('Crisis Indicator Data'!I54="x","x",'Crisis Indicator Data'!I54/'Crisis Indicator Data'!H54))</f>
        <v>9.1481481481481483E-2</v>
      </c>
      <c r="U57" s="167">
        <f t="shared" si="7"/>
        <v>3</v>
      </c>
      <c r="V57" s="167">
        <f t="shared" si="8"/>
        <v>3.2</v>
      </c>
      <c r="W57" s="167">
        <f>IF('Crisis Indicator Data'!L54="x","x",IF('Crisis Indicator Data'!L54=0,0,IF(LOG('Crisis Indicator Data'!L54)&lt;W$4,0,IF(LOG('Crisis Indicator Data'!L54)&gt;W$3,5,ROUND(5-(W$3-LOG('Crisis Indicator Data'!L54))/(W$3-W$4)*5,1)))))</f>
        <v>4.7</v>
      </c>
      <c r="X57" s="186">
        <f>IF(OR('Crisis Indicator Data'!L54="x",'Crisis Indicator Data'!H54="x"),"x",'Crisis Indicator Data'!L54/'Crisis Indicator Data'!H54)</f>
        <v>7.6962962962962966E-4</v>
      </c>
      <c r="Y57" s="167">
        <f t="shared" si="9"/>
        <v>5</v>
      </c>
      <c r="Z57" s="167">
        <f t="shared" si="10"/>
        <v>4.9000000000000004</v>
      </c>
      <c r="AA57" s="167">
        <f t="shared" si="11"/>
        <v>4.2</v>
      </c>
      <c r="AB57" s="187">
        <f t="shared" si="12"/>
        <v>3.4</v>
      </c>
    </row>
    <row r="58" spans="1:28" x14ac:dyDescent="0.3">
      <c r="A58" s="194" t="str">
        <f>'Crisis Indicator Data'!A55</f>
        <v>Multiple Crises in India</v>
      </c>
      <c r="B58" s="195" t="str">
        <f>'Crisis Indicator Data'!B55</f>
        <v>Multiple crises country</v>
      </c>
      <c r="C58" s="195" t="str">
        <f>'Crisis Indicator Data'!C55</f>
        <v>IND001</v>
      </c>
      <c r="D58" s="195" t="str">
        <f>'Crisis Indicator Data'!D55</f>
        <v>India</v>
      </c>
      <c r="E58" s="196" t="str">
        <f>'Crisis Indicator Data'!E55</f>
        <v>IND</v>
      </c>
      <c r="F58" s="190">
        <f>IF('Crisis Indicator Data'!F55="x","x",IF(LOG('Crisis Indicator Data'!F55)&lt;F$4,0,IF(LOG('Crisis Indicator Data'!F55)&gt;F$3,5,ROUND(5-(F$3-LOG('Crisis Indicator Data'!F55))/(F$3-F$4)*5,1))))</f>
        <v>5</v>
      </c>
      <c r="G58" s="188">
        <f>IF('Crisis Indicator Data'!F55="x","x",IF(B58="Regional crisis",('Crisis Indicator Data'!F55/VLOOKUP('Impact of the crisis'!$C58,'Regional Crises'!$B$1:$R$66,4,FALSE)),'Crisis Indicator Data'!F55/VLOOKUP('Impact of the crisis'!$E58,'Country Indicator Data'!$B$4:$P$194,15,FALSE)))</f>
        <v>0.71281653712006299</v>
      </c>
      <c r="H58" s="167">
        <f t="shared" si="0"/>
        <v>3.5</v>
      </c>
      <c r="I58" s="167">
        <f t="shared" si="13"/>
        <v>4.25</v>
      </c>
      <c r="J58" s="167">
        <f>IF('Crisis Indicator Data'!G55="x","x",IF(LOG('Crisis Indicator Data'!G55)&lt;J$4,0,IF(LOG('Crisis Indicator Data'!G55)&gt;J$3,5,ROUND(5-(J$3-LOG('Crisis Indicator Data'!G55))/(J$3-J$4)*5,1))))</f>
        <v>5</v>
      </c>
      <c r="K58" s="188">
        <f>IF('Crisis Indicator Data'!G55="x","x",IF(B58="Regional crisis",('Crisis Indicator Data'!G55/VLOOKUP('Impact of the crisis'!$C58,'Regional Crises'!$B$1:$R$66,5,FALSE)),'Crisis Indicator Data'!G55/VLOOKUP('Impact of the crisis'!$E58,'Country Indicator Data'!$B$4:$P$194,14,FALSE)))</f>
        <v>0.63911357054199425</v>
      </c>
      <c r="L58" s="167">
        <f t="shared" si="2"/>
        <v>3.2</v>
      </c>
      <c r="M58" s="167">
        <f t="shared" si="14"/>
        <v>4.0999999999999996</v>
      </c>
      <c r="N58" s="167">
        <f t="shared" si="4"/>
        <v>4.2</v>
      </c>
      <c r="O58" s="167">
        <f>IF('Crisis Indicator Data'!H55="x","x",IF('Crisis Indicator Data'!H55=0,0,IF(LOG('Crisis Indicator Data'!H55)&lt;O$4,0,IF(LOG('Crisis Indicator Data'!H55)&gt;O$3,5,ROUND(5-(O$3-LOG('Crisis Indicator Data'!H55))/(O$3-O$4)*5,1)))))</f>
        <v>4.8</v>
      </c>
      <c r="P58" s="185">
        <f>IF('Crisis Indicator Data'!H55="x","x",'Crisis Indicator Data'!H55/'Crisis Indicator Data'!G55)</f>
        <v>2.6142906850794113E-2</v>
      </c>
      <c r="Q58" s="167">
        <f t="shared" si="5"/>
        <v>0.1</v>
      </c>
      <c r="R58" s="167">
        <f t="shared" si="15"/>
        <v>2.4499999999999997</v>
      </c>
      <c r="S58" s="167">
        <f>IF('Crisis Indicator Data'!I55="x","x",IF('Crisis Indicator Data'!I55=0,0,IF(LOG('Crisis Indicator Data'!I55)&lt;S$4,0,IF(LOG('Crisis Indicator Data'!I55)&gt;S$3,5,ROUND(5-(S$3-LOG('Crisis Indicator Data'!I55))/(S$3-S$4)*5,1)))))</f>
        <v>4.7</v>
      </c>
      <c r="T58" s="185">
        <f>IF('Crisis Indicator Data'!H55="x","x",IF('Crisis Indicator Data'!I55="x","x",'Crisis Indicator Data'!I55/'Crisis Indicator Data'!H55))</f>
        <v>8.0787088215785979E-2</v>
      </c>
      <c r="U58" s="167">
        <f t="shared" si="7"/>
        <v>2.7</v>
      </c>
      <c r="V58" s="167">
        <f t="shared" si="8"/>
        <v>3.7</v>
      </c>
      <c r="W58" s="167">
        <f>IF('Crisis Indicator Data'!L55="x","x",IF('Crisis Indicator Data'!L55=0,0,IF(LOG('Crisis Indicator Data'!L55)&lt;W$4,0,IF(LOG('Crisis Indicator Data'!L55)&gt;W$3,5,ROUND(5-(W$3-LOG('Crisis Indicator Data'!L55))/(W$3-W$4)*5,1)))))</f>
        <v>4.7</v>
      </c>
      <c r="X58" s="186">
        <f>IF(OR('Crisis Indicator Data'!L55="x",'Crisis Indicator Data'!H55="x"),"x",'Crisis Indicator Data'!L55/'Crisis Indicator Data'!H55)</f>
        <v>8.9277028520893213E-5</v>
      </c>
      <c r="Y58" s="167">
        <f t="shared" si="9"/>
        <v>4.5</v>
      </c>
      <c r="Z58" s="167">
        <f t="shared" si="10"/>
        <v>4.5999999999999996</v>
      </c>
      <c r="AA58" s="167">
        <f t="shared" si="11"/>
        <v>4.2</v>
      </c>
      <c r="AB58" s="187">
        <f t="shared" si="12"/>
        <v>3.5</v>
      </c>
    </row>
    <row r="59" spans="1:28" x14ac:dyDescent="0.3">
      <c r="A59" s="194" t="str">
        <f>'Crisis Indicator Data'!A56</f>
        <v>Conflict in Jammu and Kashmir</v>
      </c>
      <c r="B59" s="195" t="str">
        <f>'Crisis Indicator Data'!B56</f>
        <v>Conflict</v>
      </c>
      <c r="C59" s="195" t="str">
        <f>'Crisis Indicator Data'!C56</f>
        <v>IND002</v>
      </c>
      <c r="D59" s="195" t="str">
        <f>'Crisis Indicator Data'!D56</f>
        <v>India</v>
      </c>
      <c r="E59" s="196" t="str">
        <f>'Crisis Indicator Data'!E56</f>
        <v>IND</v>
      </c>
      <c r="F59" s="190">
        <f>IF('Crisis Indicator Data'!F56="x","x",IF(LOG('Crisis Indicator Data'!F56)&lt;F$4,0,IF(LOG('Crisis Indicator Data'!F56)&gt;F$3,5,ROUND(5-(F$3-LOG('Crisis Indicator Data'!F56))/(F$3-F$4)*5,1))))</f>
        <v>3.9</v>
      </c>
      <c r="G59" s="188">
        <f>IF('Crisis Indicator Data'!F56="x","x",IF(B59="Regional crisis",('Crisis Indicator Data'!F56/VLOOKUP('Impact of the crisis'!$C59,'Regional Crises'!$B$1:$R$66,4,FALSE)),'Crisis Indicator Data'!F56/VLOOKUP('Impact of the crisis'!$E59,'Country Indicator Data'!$B$4:$P$194,15,FALSE)))</f>
        <v>7.4746652585270371E-2</v>
      </c>
      <c r="H59" s="167">
        <f t="shared" si="0"/>
        <v>0.3</v>
      </c>
      <c r="I59" s="167">
        <f t="shared" si="13"/>
        <v>2.1</v>
      </c>
      <c r="J59" s="167">
        <f>IF('Crisis Indicator Data'!G56="x","x",IF(LOG('Crisis Indicator Data'!G56)&lt;J$4,0,IF(LOG('Crisis Indicator Data'!G56)&gt;J$3,5,ROUND(5-(J$3-LOG('Crisis Indicator Data'!G56))/(J$3-J$4)*5,1))))</f>
        <v>3.7</v>
      </c>
      <c r="K59" s="188">
        <f>IF('Crisis Indicator Data'!G56="x","x",IF(B59="Regional crisis",('Crisis Indicator Data'!G56/VLOOKUP('Impact of the crisis'!$C59,'Regional Crises'!$B$1:$R$66,5,FALSE)),'Crisis Indicator Data'!G56/VLOOKUP('Impact of the crisis'!$E59,'Country Indicator Data'!$B$4:$P$194,14,FALSE)))</f>
        <v>9.2654707725042858E-3</v>
      </c>
      <c r="L59" s="167">
        <f t="shared" si="2"/>
        <v>0</v>
      </c>
      <c r="M59" s="167">
        <f t="shared" si="14"/>
        <v>1.85</v>
      </c>
      <c r="N59" s="167">
        <f t="shared" si="4"/>
        <v>2</v>
      </c>
      <c r="O59" s="167" t="str">
        <f>IF('Crisis Indicator Data'!H56="x","x",IF('Crisis Indicator Data'!H56=0,0,IF(LOG('Crisis Indicator Data'!H56)&lt;O$4,0,IF(LOG('Crisis Indicator Data'!H56)&gt;O$3,5,ROUND(5-(O$3-LOG('Crisis Indicator Data'!H56))/(O$3-O$4)*5,1)))))</f>
        <v>x</v>
      </c>
      <c r="P59" s="185" t="str">
        <f>IF('Crisis Indicator Data'!H56="x","x",'Crisis Indicator Data'!H56/'Crisis Indicator Data'!G56)</f>
        <v>x</v>
      </c>
      <c r="Q59" s="167" t="str">
        <f t="shared" si="5"/>
        <v>x</v>
      </c>
      <c r="R59" s="167" t="str">
        <f t="shared" si="15"/>
        <v>x</v>
      </c>
      <c r="S59" s="167" t="str">
        <f>IF('Crisis Indicator Data'!I56="x","x",IF('Crisis Indicator Data'!I56=0,0,IF(LOG('Crisis Indicator Data'!I56)&lt;S$4,0,IF(LOG('Crisis Indicator Data'!I56)&gt;S$3,5,ROUND(5-(S$3-LOG('Crisis Indicator Data'!I56))/(S$3-S$4)*5,1)))))</f>
        <v>x</v>
      </c>
      <c r="T59" s="185" t="str">
        <f>IF('Crisis Indicator Data'!H56="x","x",IF('Crisis Indicator Data'!I56="x","x",'Crisis Indicator Data'!I56/'Crisis Indicator Data'!H56))</f>
        <v>x</v>
      </c>
      <c r="U59" s="167" t="str">
        <f t="shared" si="7"/>
        <v>x</v>
      </c>
      <c r="V59" s="167" t="str">
        <f t="shared" si="8"/>
        <v>x</v>
      </c>
      <c r="W59" s="167">
        <f>IF('Crisis Indicator Data'!L56="x","x",IF('Crisis Indicator Data'!L56=0,0,IF(LOG('Crisis Indicator Data'!L56)&lt;W$4,0,IF(LOG('Crisis Indicator Data'!L56)&gt;W$3,5,ROUND(5-(W$3-LOG('Crisis Indicator Data'!L56))/(W$3-W$4)*5,1)))))</f>
        <v>3.5</v>
      </c>
      <c r="X59" s="186" t="str">
        <f>IF(OR('Crisis Indicator Data'!L56="x",'Crisis Indicator Data'!H56="x"),"x",'Crisis Indicator Data'!L56/'Crisis Indicator Data'!H56)</f>
        <v>x</v>
      </c>
      <c r="Y59" s="167" t="str">
        <f t="shared" si="9"/>
        <v>x</v>
      </c>
      <c r="Z59" s="167">
        <f t="shared" si="10"/>
        <v>3.5</v>
      </c>
      <c r="AA59" s="167">
        <f t="shared" si="11"/>
        <v>3.5</v>
      </c>
      <c r="AB59" s="187">
        <f t="shared" si="12"/>
        <v>3.5</v>
      </c>
    </row>
    <row r="60" spans="1:28" x14ac:dyDescent="0.3">
      <c r="A60" s="194" t="str">
        <f>'Crisis Indicator Data'!A57</f>
        <v>Cyclone Amphan India</v>
      </c>
      <c r="B60" s="195" t="str">
        <f>'Crisis Indicator Data'!B57</f>
        <v>Tropical cyclone</v>
      </c>
      <c r="C60" s="195" t="str">
        <f>'Crisis Indicator Data'!C57</f>
        <v>IND003</v>
      </c>
      <c r="D60" s="195" t="str">
        <f>'Crisis Indicator Data'!D57</f>
        <v>India</v>
      </c>
      <c r="E60" s="196" t="str">
        <f>'Crisis Indicator Data'!E57</f>
        <v>IND</v>
      </c>
      <c r="F60" s="190">
        <f>IF('Crisis Indicator Data'!F57="x","x",IF(LOG('Crisis Indicator Data'!F57)&lt;F$4,0,IF(LOG('Crisis Indicator Data'!F57)&gt;F$3,5,ROUND(5-(F$3-LOG('Crisis Indicator Data'!F57))/(F$3-F$4)*5,1))))</f>
        <v>4.0999999999999996</v>
      </c>
      <c r="G60" s="188">
        <f>IF('Crisis Indicator Data'!F57="x","x",IF(B60="Regional crisis",('Crisis Indicator Data'!F57/VLOOKUP('Impact of the crisis'!$C60,'Regional Crises'!$B$1:$R$66,4,FALSE)),'Crisis Indicator Data'!F57/VLOOKUP('Impact of the crisis'!$E60,'Country Indicator Data'!$B$4:$P$194,15,FALSE)))</f>
        <v>9.055896192305235E-2</v>
      </c>
      <c r="H60" s="167">
        <f t="shared" si="0"/>
        <v>0.4</v>
      </c>
      <c r="I60" s="167">
        <f t="shared" si="13"/>
        <v>2.25</v>
      </c>
      <c r="J60" s="167">
        <f>IF('Crisis Indicator Data'!G57="x","x",IF(LOG('Crisis Indicator Data'!G57)&lt;J$4,0,IF(LOG('Crisis Indicator Data'!G57)&gt;J$3,5,ROUND(5-(J$3-LOG('Crisis Indicator Data'!G57))/(J$3-J$4)*5,1))))</f>
        <v>5</v>
      </c>
      <c r="K60" s="188">
        <f>IF('Crisis Indicator Data'!G57="x","x",IF(B60="Regional crisis",('Crisis Indicator Data'!G57/VLOOKUP('Impact of the crisis'!$C60,'Regional Crises'!$B$1:$R$66,5,FALSE)),'Crisis Indicator Data'!G57/VLOOKUP('Impact of the crisis'!$E60,'Country Indicator Data'!$B$4:$P$194,14,FALSE)))</f>
        <v>3.2542555706602048E-2</v>
      </c>
      <c r="L60" s="167">
        <f t="shared" si="2"/>
        <v>0.1</v>
      </c>
      <c r="M60" s="167">
        <f t="shared" si="14"/>
        <v>2.5499999999999998</v>
      </c>
      <c r="N60" s="167">
        <f t="shared" si="4"/>
        <v>2.4</v>
      </c>
      <c r="O60" s="167">
        <f>IF('Crisis Indicator Data'!H57="x","x",IF('Crisis Indicator Data'!H57=0,0,IF(LOG('Crisis Indicator Data'!H57)&lt;O$4,0,IF(LOG('Crisis Indicator Data'!H57)&gt;O$3,5,ROUND(5-(O$3-LOG('Crisis Indicator Data'!H57))/(O$3-O$4)*5,1)))))</f>
        <v>4.5999999999999996</v>
      </c>
      <c r="P60" s="185">
        <f>IF('Crisis Indicator Data'!H57="x","x",'Crisis Indicator Data'!H57/'Crisis Indicator Data'!G57)</f>
        <v>0.40865439189956182</v>
      </c>
      <c r="Q60" s="167">
        <f t="shared" si="5"/>
        <v>2</v>
      </c>
      <c r="R60" s="167">
        <f t="shared" si="15"/>
        <v>3.3</v>
      </c>
      <c r="S60" s="167">
        <f>IF('Crisis Indicator Data'!I57="x","x",IF('Crisis Indicator Data'!I57=0,0,IF(LOG('Crisis Indicator Data'!I57)&lt;S$4,0,IF(LOG('Crisis Indicator Data'!I57)&gt;S$3,5,ROUND(5-(S$3-LOG('Crisis Indicator Data'!I57))/(S$3-S$4)*5,1)))))</f>
        <v>4</v>
      </c>
      <c r="T60" s="185">
        <f>IF('Crisis Indicator Data'!H57="x","x",IF('Crisis Indicator Data'!I57="x","x",'Crisis Indicator Data'!I57/'Crisis Indicator Data'!H57))</f>
        <v>3.6666666666666667E-2</v>
      </c>
      <c r="U60" s="167">
        <f t="shared" si="7"/>
        <v>1.2</v>
      </c>
      <c r="V60" s="167">
        <f t="shared" si="8"/>
        <v>2.6</v>
      </c>
      <c r="W60" s="167">
        <f>IF('Crisis Indicator Data'!L57="x","x",IF('Crisis Indicator Data'!L57=0,0,IF(LOG('Crisis Indicator Data'!L57)&lt;W$4,0,IF(LOG('Crisis Indicator Data'!L57)&gt;W$3,5,ROUND(5-(W$3-LOG('Crisis Indicator Data'!L57))/(W$3-W$4)*5,1)))))</f>
        <v>2.8</v>
      </c>
      <c r="X60" s="186">
        <f>IF(OR('Crisis Indicator Data'!L57="x",'Crisis Indicator Data'!H57="x"),"x",'Crisis Indicator Data'!L57/'Crisis Indicator Data'!H57)</f>
        <v>4.7777777777777774E-6</v>
      </c>
      <c r="Y60" s="167">
        <f t="shared" si="9"/>
        <v>0.2</v>
      </c>
      <c r="Z60" s="167">
        <f t="shared" si="10"/>
        <v>1.5</v>
      </c>
      <c r="AA60" s="167">
        <f t="shared" si="11"/>
        <v>2.1</v>
      </c>
      <c r="AB60" s="187">
        <f t="shared" si="12"/>
        <v>2.8</v>
      </c>
    </row>
    <row r="61" spans="1:28" x14ac:dyDescent="0.3">
      <c r="A61" s="194" t="str">
        <f>'Crisis Indicator Data'!A58</f>
        <v>Floods in India</v>
      </c>
      <c r="B61" s="195" t="str">
        <f>'Crisis Indicator Data'!B58</f>
        <v>Flood</v>
      </c>
      <c r="C61" s="195" t="str">
        <f>'Crisis Indicator Data'!C58</f>
        <v>IND005</v>
      </c>
      <c r="D61" s="195" t="str">
        <f>'Crisis Indicator Data'!D58</f>
        <v>India</v>
      </c>
      <c r="E61" s="196" t="str">
        <f>'Crisis Indicator Data'!E58</f>
        <v>IND</v>
      </c>
      <c r="F61" s="190">
        <f>IF('Crisis Indicator Data'!F58="x","x",IF(LOG('Crisis Indicator Data'!F58)&lt;F$4,0,IF(LOG('Crisis Indicator Data'!F58)&gt;F$3,5,ROUND(5-(F$3-LOG('Crisis Indicator Data'!F58))/(F$3-F$4)*5,1))))</f>
        <v>5</v>
      </c>
      <c r="G61" s="188">
        <f>IF('Crisis Indicator Data'!F58="x","x",IF(B61="Regional crisis",('Crisis Indicator Data'!F58/VLOOKUP('Impact of the crisis'!$C61,'Regional Crises'!$B$1:$R$66,4,FALSE)),'Crisis Indicator Data'!F58/VLOOKUP('Impact of the crisis'!$E61,'Country Indicator Data'!$B$4:$P$194,15,FALSE)))</f>
        <v>0.63806988453479263</v>
      </c>
      <c r="H61" s="167">
        <f t="shared" si="0"/>
        <v>3.2</v>
      </c>
      <c r="I61" s="167">
        <f t="shared" si="13"/>
        <v>4.0999999999999996</v>
      </c>
      <c r="J61" s="167">
        <f>IF('Crisis Indicator Data'!G58="x","x",IF(LOG('Crisis Indicator Data'!G58)&lt;J$4,0,IF(LOG('Crisis Indicator Data'!G58)&gt;J$3,5,ROUND(5-(J$3-LOG('Crisis Indicator Data'!G58))/(J$3-J$4)*5,1))))</f>
        <v>5</v>
      </c>
      <c r="K61" s="188">
        <f>IF('Crisis Indicator Data'!G58="x","x",IF(B61="Regional crisis",('Crisis Indicator Data'!G58/VLOOKUP('Impact of the crisis'!$C61,'Regional Crises'!$B$1:$R$66,5,FALSE)),'Crisis Indicator Data'!G58/VLOOKUP('Impact of the crisis'!$E61,'Country Indicator Data'!$B$4:$P$194,14,FALSE)))</f>
        <v>0.60657101483539211</v>
      </c>
      <c r="L61" s="167">
        <f t="shared" si="2"/>
        <v>3</v>
      </c>
      <c r="M61" s="167">
        <f t="shared" si="14"/>
        <v>4</v>
      </c>
      <c r="N61" s="167">
        <f t="shared" si="4"/>
        <v>4.0999999999999996</v>
      </c>
      <c r="O61" s="167">
        <f>IF('Crisis Indicator Data'!H58="x","x",IF('Crisis Indicator Data'!H58=0,0,IF(LOG('Crisis Indicator Data'!H58)&lt;O$4,0,IF(LOG('Crisis Indicator Data'!H58)&gt;O$3,5,ROUND(5-(O$3-LOG('Crisis Indicator Data'!H58))/(O$3-O$4)*5,1)))))</f>
        <v>4.8</v>
      </c>
      <c r="P61" s="185">
        <f>IF('Crisis Indicator Data'!H58="x","x",'Crisis Indicator Data'!H58/'Crisis Indicator Data'!G58)</f>
        <v>2.7545474698114265E-2</v>
      </c>
      <c r="Q61" s="167">
        <f t="shared" si="5"/>
        <v>0.1</v>
      </c>
      <c r="R61" s="167">
        <f t="shared" si="15"/>
        <v>2.4499999999999997</v>
      </c>
      <c r="S61" s="167">
        <f>IF('Crisis Indicator Data'!I58="x","x",IF('Crisis Indicator Data'!I58=0,0,IF(LOG('Crisis Indicator Data'!I58)&lt;S$4,0,IF(LOG('Crisis Indicator Data'!I58)&gt;S$3,5,ROUND(5-(S$3-LOG('Crisis Indicator Data'!I58))/(S$3-S$4)*5,1)))))</f>
        <v>4.4000000000000004</v>
      </c>
      <c r="T61" s="185">
        <f>IF('Crisis Indicator Data'!H58="x","x",IF('Crisis Indicator Data'!I58="x","x",'Crisis Indicator Data'!I58/'Crisis Indicator Data'!H58))</f>
        <v>5.1602918416979879E-2</v>
      </c>
      <c r="U61" s="167">
        <f t="shared" si="7"/>
        <v>1.7</v>
      </c>
      <c r="V61" s="167">
        <f t="shared" si="8"/>
        <v>3.1</v>
      </c>
      <c r="W61" s="167">
        <f>IF('Crisis Indicator Data'!L58="x","x",IF('Crisis Indicator Data'!L58=0,0,IF(LOG('Crisis Indicator Data'!L58)&lt;W$4,0,IF(LOG('Crisis Indicator Data'!L58)&gt;W$3,5,ROUND(5-(W$3-LOG('Crisis Indicator Data'!L58))/(W$3-W$4)*5,1)))))</f>
        <v>4.5999999999999996</v>
      </c>
      <c r="X61" s="186">
        <f>IF(OR('Crisis Indicator Data'!L58="x",'Crisis Indicator Data'!H58="x"),"x",'Crisis Indicator Data'!L58/'Crisis Indicator Data'!H58)</f>
        <v>7.3491045766084463E-5</v>
      </c>
      <c r="Y61" s="167">
        <f t="shared" si="9"/>
        <v>3.7</v>
      </c>
      <c r="Z61" s="167">
        <f t="shared" si="10"/>
        <v>4.2</v>
      </c>
      <c r="AA61" s="167">
        <f t="shared" si="11"/>
        <v>3.7</v>
      </c>
      <c r="AB61" s="187">
        <f t="shared" si="12"/>
        <v>3.1</v>
      </c>
    </row>
    <row r="62" spans="1:28" x14ac:dyDescent="0.3">
      <c r="A62" s="194" t="str">
        <f>'Crisis Indicator Data'!A59</f>
        <v>Regional Kashmir conflict</v>
      </c>
      <c r="B62" s="195" t="str">
        <f>'Crisis Indicator Data'!B59</f>
        <v>Regional crisis</v>
      </c>
      <c r="C62" s="195" t="str">
        <f>'Crisis Indicator Data'!C59</f>
        <v>REG003</v>
      </c>
      <c r="D62" s="195" t="str">
        <f>'Crisis Indicator Data'!D59</f>
        <v>India, Pakistan</v>
      </c>
      <c r="E62" s="196" t="str">
        <f>'Crisis Indicator Data'!E59</f>
        <v>IND, PAK</v>
      </c>
      <c r="F62" s="190">
        <f>IF('Crisis Indicator Data'!F59="x","x",IF(LOG('Crisis Indicator Data'!F59)&lt;F$4,0,IF(LOG('Crisis Indicator Data'!F59)&gt;F$3,5,ROUND(5-(F$3-LOG('Crisis Indicator Data'!F59))/(F$3-F$4)*5,1))))</f>
        <v>4</v>
      </c>
      <c r="G62" s="188">
        <f>IF('Crisis Indicator Data'!F59="x","x",IF(B62="Regional crisis",('Crisis Indicator Data'!F59/VLOOKUP('Impact of the crisis'!$C62,'Regional Crises'!$B$1:$R$66,4,FALSE)),'Crisis Indicator Data'!F59/VLOOKUP('Impact of the crisis'!$E62,'Country Indicator Data'!$B$4:$P$194,15,FALSE)))</f>
        <v>0.30553782689912828</v>
      </c>
      <c r="H62" s="167">
        <f t="shared" si="0"/>
        <v>1.5</v>
      </c>
      <c r="I62" s="167">
        <f t="shared" si="13"/>
        <v>2.75</v>
      </c>
      <c r="J62" s="167">
        <f>IF('Crisis Indicator Data'!G59="x","x",IF(LOG('Crisis Indicator Data'!G59)&lt;J$4,0,IF(LOG('Crisis Indicator Data'!G59)&gt;J$3,5,ROUND(5-(J$3-LOG('Crisis Indicator Data'!G59))/(J$3-J$4)*5,1))))</f>
        <v>4.0999999999999996</v>
      </c>
      <c r="K62" s="188">
        <f>IF('Crisis Indicator Data'!G59="x","x",IF(B62="Regional crisis",('Crisis Indicator Data'!G59/VLOOKUP('Impact of the crisis'!$C62,'Regional Crises'!$B$1:$R$66,5,FALSE)),'Crisis Indicator Data'!G59/VLOOKUP('Impact of the crisis'!$E62,'Country Indicator Data'!$B$4:$P$194,14,FALSE)))</f>
        <v>1.0877929793786052E-2</v>
      </c>
      <c r="L62" s="167">
        <f t="shared" si="2"/>
        <v>0</v>
      </c>
      <c r="M62" s="167">
        <f t="shared" si="14"/>
        <v>2.0499999999999998</v>
      </c>
      <c r="N62" s="167">
        <f t="shared" si="4"/>
        <v>2.4</v>
      </c>
      <c r="O62" s="167">
        <f>IF('Crisis Indicator Data'!H59="x","x",IF('Crisis Indicator Data'!H59=0,0,IF(LOG('Crisis Indicator Data'!H59)&lt;O$4,0,IF(LOG('Crisis Indicator Data'!H59)&gt;O$3,5,ROUND(5-(O$3-LOG('Crisis Indicator Data'!H59))/(O$3-O$4)*5,1)))))</f>
        <v>4.5999999999999996</v>
      </c>
      <c r="P62" s="185">
        <f>IF('Crisis Indicator Data'!H59="x","x",'Crisis Indicator Data'!H59/'Crisis Indicator Data'!G59)</f>
        <v>1</v>
      </c>
      <c r="Q62" s="167">
        <f t="shared" si="5"/>
        <v>5</v>
      </c>
      <c r="R62" s="167">
        <f t="shared" si="15"/>
        <v>4.8</v>
      </c>
      <c r="S62" s="167" t="str">
        <f>IF('Crisis Indicator Data'!I59="x","x",IF('Crisis Indicator Data'!I59=0,0,IF(LOG('Crisis Indicator Data'!I59)&lt;S$4,0,IF(LOG('Crisis Indicator Data'!I59)&gt;S$3,5,ROUND(5-(S$3-LOG('Crisis Indicator Data'!I59))/(S$3-S$4)*5,1)))))</f>
        <v>x</v>
      </c>
      <c r="T62" s="185" t="str">
        <f>IF('Crisis Indicator Data'!H59="x","x",IF('Crisis Indicator Data'!I59="x","x",'Crisis Indicator Data'!I59/'Crisis Indicator Data'!H59))</f>
        <v>x</v>
      </c>
      <c r="U62" s="167" t="str">
        <f t="shared" si="7"/>
        <v>x</v>
      </c>
      <c r="V62" s="167" t="str">
        <f t="shared" si="8"/>
        <v>x</v>
      </c>
      <c r="W62" s="167">
        <f>IF('Crisis Indicator Data'!L59="x","x",IF('Crisis Indicator Data'!L59=0,0,IF(LOG('Crisis Indicator Data'!L59)&lt;W$4,0,IF(LOG('Crisis Indicator Data'!L59)&gt;W$3,5,ROUND(5-(W$3-LOG('Crisis Indicator Data'!L59))/(W$3-W$4)*5,1)))))</f>
        <v>3.6</v>
      </c>
      <c r="X62" s="186">
        <f>IF(OR('Crisis Indicator Data'!L59="x",'Crisis Indicator Data'!H59="x"),"x",'Crisis Indicator Data'!L59/'Crisis Indicator Data'!H59)</f>
        <v>1.8127243834971455E-5</v>
      </c>
      <c r="Y62" s="167">
        <f t="shared" si="9"/>
        <v>0.9</v>
      </c>
      <c r="Z62" s="167">
        <f t="shared" si="10"/>
        <v>2.2999999999999998</v>
      </c>
      <c r="AA62" s="167">
        <f t="shared" si="11"/>
        <v>2.2999999999999998</v>
      </c>
      <c r="AB62" s="187">
        <f t="shared" si="12"/>
        <v>3.9</v>
      </c>
    </row>
    <row r="63" spans="1:28" x14ac:dyDescent="0.3">
      <c r="A63" s="194" t="str">
        <f>'Crisis Indicator Data'!A60</f>
        <v>Papua Conflict</v>
      </c>
      <c r="B63" s="195" t="str">
        <f>'Crisis Indicator Data'!B60</f>
        <v>Conflict</v>
      </c>
      <c r="C63" s="195" t="str">
        <f>'Crisis Indicator Data'!C60</f>
        <v>IDN002</v>
      </c>
      <c r="D63" s="195" t="str">
        <f>'Crisis Indicator Data'!D60</f>
        <v>Indonesia</v>
      </c>
      <c r="E63" s="196" t="str">
        <f>'Crisis Indicator Data'!E60</f>
        <v>IDN</v>
      </c>
      <c r="F63" s="190">
        <f>IF('Crisis Indicator Data'!F60="x","x",IF(LOG('Crisis Indicator Data'!F60)&lt;F$4,0,IF(LOG('Crisis Indicator Data'!F60)&gt;F$3,5,ROUND(5-(F$3-LOG('Crisis Indicator Data'!F60))/(F$3-F$4)*5,1))))</f>
        <v>4.4000000000000004</v>
      </c>
      <c r="G63" s="188">
        <f>IF('Crisis Indicator Data'!F60="x","x",IF(B63="Regional crisis",('Crisis Indicator Data'!F60/VLOOKUP('Impact of the crisis'!$C63,'Regional Crises'!$B$1:$R$66,4,FALSE)),'Crisis Indicator Data'!F60/VLOOKUP('Impact of the crisis'!$E63,'Country Indicator Data'!$B$4:$P$194,15,FALSE)))</f>
        <v>0.2296681883669966</v>
      </c>
      <c r="H63" s="167">
        <f t="shared" si="0"/>
        <v>1.1000000000000001</v>
      </c>
      <c r="I63" s="167">
        <f t="shared" si="13"/>
        <v>2.75</v>
      </c>
      <c r="J63" s="167">
        <f>IF('Crisis Indicator Data'!G60="x","x",IF(LOG('Crisis Indicator Data'!G60)&lt;J$4,0,IF(LOG('Crisis Indicator Data'!G60)&gt;J$3,5,ROUND(5-(J$3-LOG('Crisis Indicator Data'!G60))/(J$3-J$4)*5,1))))</f>
        <v>1.9</v>
      </c>
      <c r="K63" s="188">
        <f>IF('Crisis Indicator Data'!G60="x","x",IF(B63="Regional crisis",('Crisis Indicator Data'!G60/VLOOKUP('Impact of the crisis'!$C63,'Regional Crises'!$B$1:$R$66,5,FALSE)),'Crisis Indicator Data'!G60/VLOOKUP('Impact of the crisis'!$E63,'Country Indicator Data'!$B$4:$P$194,14,FALSE)))</f>
        <v>1.5122761986913804E-2</v>
      </c>
      <c r="L63" s="167">
        <f t="shared" si="2"/>
        <v>0</v>
      </c>
      <c r="M63" s="167">
        <f t="shared" si="14"/>
        <v>0.95</v>
      </c>
      <c r="N63" s="167">
        <f t="shared" si="4"/>
        <v>1.9</v>
      </c>
      <c r="O63" s="167">
        <f>IF('Crisis Indicator Data'!H60="x","x",IF('Crisis Indicator Data'!H60=0,0,IF(LOG('Crisis Indicator Data'!H60)&lt;O$4,0,IF(LOG('Crisis Indicator Data'!H60)&gt;O$3,5,ROUND(5-(O$3-LOG('Crisis Indicator Data'!H60))/(O$3-O$4)*5,1)))))</f>
        <v>3.4</v>
      </c>
      <c r="P63" s="185">
        <f>IF('Crisis Indicator Data'!H60="x","x",'Crisis Indicator Data'!H60/'Crisis Indicator Data'!G60)</f>
        <v>1</v>
      </c>
      <c r="Q63" s="167">
        <f t="shared" si="5"/>
        <v>5</v>
      </c>
      <c r="R63" s="167">
        <f t="shared" si="15"/>
        <v>4.2</v>
      </c>
      <c r="S63" s="167" t="str">
        <f>IF('Crisis Indicator Data'!I60="x","x",IF('Crisis Indicator Data'!I60=0,0,IF(LOG('Crisis Indicator Data'!I60)&lt;S$4,0,IF(LOG('Crisis Indicator Data'!I60)&gt;S$3,5,ROUND(5-(S$3-LOG('Crisis Indicator Data'!I60))/(S$3-S$4)*5,1)))))</f>
        <v>x</v>
      </c>
      <c r="T63" s="185" t="str">
        <f>IF('Crisis Indicator Data'!H60="x","x",IF('Crisis Indicator Data'!I60="x","x",'Crisis Indicator Data'!I60/'Crisis Indicator Data'!H60))</f>
        <v>x</v>
      </c>
      <c r="U63" s="167" t="str">
        <f t="shared" si="7"/>
        <v>x</v>
      </c>
      <c r="V63" s="167" t="str">
        <f t="shared" si="8"/>
        <v>x</v>
      </c>
      <c r="W63" s="167">
        <f>IF('Crisis Indicator Data'!L60="x","x",IF('Crisis Indicator Data'!L60=0,0,IF(LOG('Crisis Indicator Data'!L60)&lt;W$4,0,IF(LOG('Crisis Indicator Data'!L60)&gt;W$3,5,ROUND(5-(W$3-LOG('Crisis Indicator Data'!L60))/(W$3-W$4)*5,1)))))</f>
        <v>2.2000000000000002</v>
      </c>
      <c r="X63" s="186">
        <f>IF(OR('Crisis Indicator Data'!L60="x",'Crisis Indicator Data'!H60="x"),"x",'Crisis Indicator Data'!L60/'Crisis Indicator Data'!H60)</f>
        <v>1.0016694490818031E-5</v>
      </c>
      <c r="Y63" s="167">
        <f t="shared" si="9"/>
        <v>0.5</v>
      </c>
      <c r="Z63" s="167">
        <f t="shared" si="10"/>
        <v>1.4</v>
      </c>
      <c r="AA63" s="167">
        <f t="shared" si="11"/>
        <v>1.4</v>
      </c>
      <c r="AB63" s="187">
        <f t="shared" si="12"/>
        <v>3.1</v>
      </c>
    </row>
    <row r="64" spans="1:28" x14ac:dyDescent="0.3">
      <c r="A64" s="194" t="str">
        <f>'Crisis Indicator Data'!A61</f>
        <v>Afghan Refugees in Iran</v>
      </c>
      <c r="B64" s="195" t="str">
        <f>'Crisis Indicator Data'!B61</f>
        <v>International displacement</v>
      </c>
      <c r="C64" s="195" t="str">
        <f>'Crisis Indicator Data'!C61</f>
        <v>IRN004</v>
      </c>
      <c r="D64" s="195" t="str">
        <f>'Crisis Indicator Data'!D61</f>
        <v>Iran</v>
      </c>
      <c r="E64" s="196" t="str">
        <f>'Crisis Indicator Data'!E61</f>
        <v>IRN</v>
      </c>
      <c r="F64" s="190">
        <f>IF('Crisis Indicator Data'!F61="x","x",IF(LOG('Crisis Indicator Data'!F61)&lt;F$4,0,IF(LOG('Crisis Indicator Data'!F61)&gt;F$3,5,ROUND(5-(F$3-LOG('Crisis Indicator Data'!F61))/(F$3-F$4)*5,1))))</f>
        <v>4</v>
      </c>
      <c r="G64" s="188">
        <f>IF('Crisis Indicator Data'!F61="x","x",IF(B64="Regional crisis",('Crisis Indicator Data'!F61/VLOOKUP('Impact of the crisis'!$C64,'Regional Crises'!$B$1:$R$66,4,FALSE)),'Crisis Indicator Data'!F61/VLOOKUP('Impact of the crisis'!$E64,'Country Indicator Data'!$B$4:$P$194,15,FALSE)))</f>
        <v>0.1470818291215403</v>
      </c>
      <c r="H64" s="167">
        <f t="shared" si="0"/>
        <v>0.6</v>
      </c>
      <c r="I64" s="167">
        <f t="shared" si="13"/>
        <v>2.2999999999999998</v>
      </c>
      <c r="J64" s="167">
        <f>IF('Crisis Indicator Data'!G61="x","x",IF(LOG('Crisis Indicator Data'!G61)&lt;J$4,0,IF(LOG('Crisis Indicator Data'!G61)&gt;J$3,5,ROUND(5-(J$3-LOG('Crisis Indicator Data'!G61))/(J$3-J$4)*5,1))))</f>
        <v>4.5999999999999996</v>
      </c>
      <c r="K64" s="188">
        <f>IF('Crisis Indicator Data'!G61="x","x",IF(B64="Regional crisis",('Crisis Indicator Data'!G61/VLOOKUP('Impact of the crisis'!$C64,'Regional Crises'!$B$1:$R$66,5,FALSE)),'Crisis Indicator Data'!G61/VLOOKUP('Impact of the crisis'!$E64,'Country Indicator Data'!$B$4:$P$194,14,FALSE)))</f>
        <v>0.29933916986228687</v>
      </c>
      <c r="L64" s="167">
        <f t="shared" si="2"/>
        <v>1.5</v>
      </c>
      <c r="M64" s="167">
        <f t="shared" si="14"/>
        <v>3.05</v>
      </c>
      <c r="N64" s="167">
        <f t="shared" si="4"/>
        <v>2.7</v>
      </c>
      <c r="O64" s="167">
        <f>IF('Crisis Indicator Data'!H61="x","x",IF('Crisis Indicator Data'!H61=0,0,IF(LOG('Crisis Indicator Data'!H61)&lt;O$4,0,IF(LOG('Crisis Indicator Data'!H61)&gt;O$3,5,ROUND(5-(O$3-LOG('Crisis Indicator Data'!H61))/(O$3-O$4)*5,1)))))</f>
        <v>3.3</v>
      </c>
      <c r="P64" s="185">
        <f>IF('Crisis Indicator Data'!H61="x","x",'Crisis Indicator Data'!H61/'Crisis Indicator Data'!G61)</f>
        <v>0.11888168231076018</v>
      </c>
      <c r="Q64" s="167">
        <f t="shared" si="5"/>
        <v>0.5</v>
      </c>
      <c r="R64" s="167">
        <f t="shared" si="15"/>
        <v>1.9</v>
      </c>
      <c r="S64" s="167">
        <f>IF('Crisis Indicator Data'!I61="x","x",IF('Crisis Indicator Data'!I61=0,0,IF(LOG('Crisis Indicator Data'!I61)&lt;S$4,0,IF(LOG('Crisis Indicator Data'!I61)&gt;S$3,5,ROUND(5-(S$3-LOG('Crisis Indicator Data'!I61))/(S$3-S$4)*5,1)))))</f>
        <v>5</v>
      </c>
      <c r="T64" s="185">
        <f>IF('Crisis Indicator Data'!H61="x","x",IF('Crisis Indicator Data'!I61="x","x",'Crisis Indicator Data'!I61/'Crisis Indicator Data'!H61))</f>
        <v>1</v>
      </c>
      <c r="U64" s="167">
        <f t="shared" si="7"/>
        <v>5</v>
      </c>
      <c r="V64" s="167">
        <f t="shared" si="8"/>
        <v>5</v>
      </c>
      <c r="W64" s="167">
        <f>IF('Crisis Indicator Data'!L61="x","x",IF('Crisis Indicator Data'!L61=0,0,IF(LOG('Crisis Indicator Data'!L61)&lt;W$4,0,IF(LOG('Crisis Indicator Data'!L61)&gt;W$3,5,ROUND(5-(W$3-LOG('Crisis Indicator Data'!L61))/(W$3-W$4)*5,1)))))</f>
        <v>0</v>
      </c>
      <c r="X64" s="186">
        <f>IF(OR('Crisis Indicator Data'!L61="x",'Crisis Indicator Data'!H61="x"),"x",'Crisis Indicator Data'!L61/'Crisis Indicator Data'!H61)</f>
        <v>0</v>
      </c>
      <c r="Y64" s="167">
        <f t="shared" si="9"/>
        <v>0</v>
      </c>
      <c r="Z64" s="167">
        <f t="shared" si="10"/>
        <v>0</v>
      </c>
      <c r="AA64" s="167">
        <f t="shared" si="11"/>
        <v>3.5</v>
      </c>
      <c r="AB64" s="187">
        <f t="shared" si="12"/>
        <v>2.8</v>
      </c>
    </row>
    <row r="65" spans="1:28" x14ac:dyDescent="0.3">
      <c r="A65" s="194" t="str">
        <f>'Crisis Indicator Data'!A62</f>
        <v>Multiple crises in Iraq</v>
      </c>
      <c r="B65" s="195" t="str">
        <f>'Crisis Indicator Data'!B62</f>
        <v>Multiple crises country</v>
      </c>
      <c r="C65" s="195" t="str">
        <f>'Crisis Indicator Data'!C62</f>
        <v>IRQ001</v>
      </c>
      <c r="D65" s="195" t="str">
        <f>'Crisis Indicator Data'!D62</f>
        <v>Iraq</v>
      </c>
      <c r="E65" s="196" t="str">
        <f>'Crisis Indicator Data'!E62</f>
        <v>IRQ</v>
      </c>
      <c r="F65" s="190">
        <f>IF('Crisis Indicator Data'!F62="x","x",IF(LOG('Crisis Indicator Data'!F62)&lt;F$4,0,IF(LOG('Crisis Indicator Data'!F62)&gt;F$3,5,ROUND(5-(F$3-LOG('Crisis Indicator Data'!F62))/(F$3-F$4)*5,1))))</f>
        <v>4.4000000000000004</v>
      </c>
      <c r="G65" s="188">
        <f>IF('Crisis Indicator Data'!F62="x","x",IF(B65="Regional crisis",('Crisis Indicator Data'!F62/VLOOKUP('Impact of the crisis'!$C65,'Regional Crises'!$B$1:$R$66,4,FALSE)),'Crisis Indicator Data'!F62/VLOOKUP('Impact of the crisis'!$E65,'Country Indicator Data'!$B$4:$P$194,15,FALSE)))</f>
        <v>0.99953951003868113</v>
      </c>
      <c r="H65" s="167">
        <f t="shared" si="0"/>
        <v>5</v>
      </c>
      <c r="I65" s="167">
        <f t="shared" si="13"/>
        <v>4.7</v>
      </c>
      <c r="J65" s="167">
        <f>IF('Crisis Indicator Data'!G62="x","x",IF(LOG('Crisis Indicator Data'!G62)&lt;J$4,0,IF(LOG('Crisis Indicator Data'!G62)&gt;J$3,5,ROUND(5-(J$3-LOG('Crisis Indicator Data'!G62))/(J$3-J$4)*5,1))))</f>
        <v>5</v>
      </c>
      <c r="K65" s="188">
        <f>IF('Crisis Indicator Data'!G62="x","x",IF(B65="Regional crisis",('Crisis Indicator Data'!G62/VLOOKUP('Impact of the crisis'!$C65,'Regional Crises'!$B$1:$R$66,5,FALSE)),'Crisis Indicator Data'!G62/VLOOKUP('Impact of the crisis'!$E65,'Country Indicator Data'!$B$4:$P$194,14,FALSE)))</f>
        <v>1</v>
      </c>
      <c r="L65" s="167">
        <f t="shared" si="2"/>
        <v>5</v>
      </c>
      <c r="M65" s="167">
        <f t="shared" si="14"/>
        <v>5</v>
      </c>
      <c r="N65" s="167">
        <f t="shared" si="4"/>
        <v>4.9000000000000004</v>
      </c>
      <c r="O65" s="167">
        <f>IF('Crisis Indicator Data'!H62="x","x",IF('Crisis Indicator Data'!H62=0,0,IF(LOG('Crisis Indicator Data'!H62)&lt;O$4,0,IF(LOG('Crisis Indicator Data'!H62)&gt;O$3,5,ROUND(5-(O$3-LOG('Crisis Indicator Data'!H62))/(O$3-O$4)*5,1)))))</f>
        <v>3.9</v>
      </c>
      <c r="P65" s="185">
        <f>IF('Crisis Indicator Data'!H62="x","x",'Crisis Indicator Data'!H62/'Crisis Indicator Data'!G62)</f>
        <v>0.18043919446323567</v>
      </c>
      <c r="Q65" s="167">
        <f t="shared" si="5"/>
        <v>0.9</v>
      </c>
      <c r="R65" s="167">
        <f t="shared" si="15"/>
        <v>2.4</v>
      </c>
      <c r="S65" s="167">
        <f>IF('Crisis Indicator Data'!I62="x","x",IF('Crisis Indicator Data'!I62=0,0,IF(LOG('Crisis Indicator Data'!I62)&lt;S$4,0,IF(LOG('Crisis Indicator Data'!I62)&gt;S$3,5,ROUND(5-(S$3-LOG('Crisis Indicator Data'!I62))/(S$3-S$4)*5,1)))))</f>
        <v>5</v>
      </c>
      <c r="T65" s="185">
        <f>IF('Crisis Indicator Data'!H62="x","x",IF('Crisis Indicator Data'!I62="x","x",'Crisis Indicator Data'!I62/'Crisis Indicator Data'!H62))</f>
        <v>0.99985580389329487</v>
      </c>
      <c r="U65" s="167">
        <f t="shared" si="7"/>
        <v>5</v>
      </c>
      <c r="V65" s="167">
        <f t="shared" si="8"/>
        <v>5</v>
      </c>
      <c r="W65" s="167">
        <f>IF('Crisis Indicator Data'!L62="x","x",IF('Crisis Indicator Data'!L62=0,0,IF(LOG('Crisis Indicator Data'!L62)&lt;W$4,0,IF(LOG('Crisis Indicator Data'!L62)&gt;W$3,5,ROUND(5-(W$3-LOG('Crisis Indicator Data'!L62))/(W$3-W$4)*5,1)))))</f>
        <v>4.5</v>
      </c>
      <c r="X65" s="186">
        <f>IF(OR('Crisis Indicator Data'!L62="x",'Crisis Indicator Data'!H62="x"),"x",'Crisis Indicator Data'!L62/'Crisis Indicator Data'!H62)</f>
        <v>2.0735400144196106E-4</v>
      </c>
      <c r="Y65" s="167">
        <f t="shared" si="9"/>
        <v>5</v>
      </c>
      <c r="Z65" s="167">
        <f t="shared" si="10"/>
        <v>4.8</v>
      </c>
      <c r="AA65" s="167">
        <f t="shared" si="11"/>
        <v>4.9000000000000004</v>
      </c>
      <c r="AB65" s="187">
        <f t="shared" si="12"/>
        <v>4</v>
      </c>
    </row>
    <row r="66" spans="1:28" x14ac:dyDescent="0.3">
      <c r="A66" s="194" t="str">
        <f>'Crisis Indicator Data'!A63</f>
        <v>Conflict  in Iraq</v>
      </c>
      <c r="B66" s="195" t="str">
        <f>'Crisis Indicator Data'!B63</f>
        <v>Conflict</v>
      </c>
      <c r="C66" s="195" t="str">
        <f>'Crisis Indicator Data'!C63</f>
        <v>IRQ002</v>
      </c>
      <c r="D66" s="195" t="str">
        <f>'Crisis Indicator Data'!D63</f>
        <v>Iraq</v>
      </c>
      <c r="E66" s="196" t="str">
        <f>'Crisis Indicator Data'!E63</f>
        <v>IRQ</v>
      </c>
      <c r="F66" s="190">
        <f>IF('Crisis Indicator Data'!F63="x","x",IF(LOG('Crisis Indicator Data'!F63)&lt;F$4,0,IF(LOG('Crisis Indicator Data'!F63)&gt;F$3,5,ROUND(5-(F$3-LOG('Crisis Indicator Data'!F63))/(F$3-F$4)*5,1))))</f>
        <v>4.4000000000000004</v>
      </c>
      <c r="G66" s="188">
        <f>IF('Crisis Indicator Data'!F63="x","x",IF(B66="Regional crisis",('Crisis Indicator Data'!F63/VLOOKUP('Impact of the crisis'!$C66,'Regional Crises'!$B$1:$R$66,4,FALSE)),'Crisis Indicator Data'!F63/VLOOKUP('Impact of the crisis'!$E66,'Country Indicator Data'!$B$4:$P$194,15,FALSE)))</f>
        <v>0.99953951003868113</v>
      </c>
      <c r="H66" s="167">
        <f t="shared" si="0"/>
        <v>5</v>
      </c>
      <c r="I66" s="167">
        <f t="shared" si="13"/>
        <v>4.7</v>
      </c>
      <c r="J66" s="167">
        <f>IF('Crisis Indicator Data'!G63="x","x",IF(LOG('Crisis Indicator Data'!G63)&lt;J$4,0,IF(LOG('Crisis Indicator Data'!G63)&gt;J$3,5,ROUND(5-(J$3-LOG('Crisis Indicator Data'!G63))/(J$3-J$4)*5,1))))</f>
        <v>3.5</v>
      </c>
      <c r="K66" s="188">
        <f>IF('Crisis Indicator Data'!G63="x","x",IF(B66="Regional crisis",('Crisis Indicator Data'!G63/VLOOKUP('Impact of the crisis'!$C66,'Regional Crises'!$B$1:$R$66,5,FALSE)),'Crisis Indicator Data'!G63/VLOOKUP('Impact of the crisis'!$E66,'Country Indicator Data'!$B$4:$P$194,14,FALSE)))</f>
        <v>0.28620492272467085</v>
      </c>
      <c r="L66" s="167">
        <f t="shared" si="2"/>
        <v>1.4</v>
      </c>
      <c r="M66" s="167">
        <f t="shared" si="14"/>
        <v>2.4500000000000002</v>
      </c>
      <c r="N66" s="167">
        <f t="shared" si="4"/>
        <v>3.8</v>
      </c>
      <c r="O66" s="167">
        <f>IF('Crisis Indicator Data'!H63="x","x",IF('Crisis Indicator Data'!H63=0,0,IF(LOG('Crisis Indicator Data'!H63)&lt;O$4,0,IF(LOG('Crisis Indicator Data'!H63)&gt;O$3,5,ROUND(5-(O$3-LOG('Crisis Indicator Data'!H63))/(O$3-O$4)*5,1)))))</f>
        <v>3.9</v>
      </c>
      <c r="P66" s="185">
        <f>IF('Crisis Indicator Data'!H63="x","x",'Crisis Indicator Data'!H63/'Crisis Indicator Data'!G63)</f>
        <v>0.6082727272727273</v>
      </c>
      <c r="Q66" s="167">
        <f t="shared" si="5"/>
        <v>3</v>
      </c>
      <c r="R66" s="167">
        <f t="shared" si="15"/>
        <v>3.45</v>
      </c>
      <c r="S66" s="167">
        <f>IF('Crisis Indicator Data'!I63="x","x",IF('Crisis Indicator Data'!I63=0,0,IF(LOG('Crisis Indicator Data'!I63)&lt;S$4,0,IF(LOG('Crisis Indicator Data'!I63)&gt;S$3,5,ROUND(5-(S$3-LOG('Crisis Indicator Data'!I63))/(S$3-S$4)*5,1)))))</f>
        <v>5</v>
      </c>
      <c r="T66" s="185">
        <f>IF('Crisis Indicator Data'!H63="x","x",IF('Crisis Indicator Data'!I63="x","x",'Crisis Indicator Data'!I63/'Crisis Indicator Data'!H63))</f>
        <v>1</v>
      </c>
      <c r="U66" s="167">
        <f t="shared" si="7"/>
        <v>5</v>
      </c>
      <c r="V66" s="167">
        <f t="shared" si="8"/>
        <v>5</v>
      </c>
      <c r="W66" s="167">
        <f>IF('Crisis Indicator Data'!L63="x","x",IF('Crisis Indicator Data'!L63=0,0,IF(LOG('Crisis Indicator Data'!L63)&lt;W$4,0,IF(LOG('Crisis Indicator Data'!L63)&gt;W$3,5,ROUND(5-(W$3-LOG('Crisis Indicator Data'!L63))/(W$3-W$4)*5,1)))))</f>
        <v>4.5</v>
      </c>
      <c r="X66" s="186">
        <f>IF(OR('Crisis Indicator Data'!L63="x",'Crisis Indicator Data'!H63="x"),"x",'Crisis Indicator Data'!L63/'Crisis Indicator Data'!H63)</f>
        <v>2.1491555821252428E-4</v>
      </c>
      <c r="Y66" s="167">
        <f t="shared" si="9"/>
        <v>5</v>
      </c>
      <c r="Z66" s="167">
        <f t="shared" si="10"/>
        <v>4.8</v>
      </c>
      <c r="AA66" s="167">
        <f t="shared" si="11"/>
        <v>4.9000000000000004</v>
      </c>
      <c r="AB66" s="187">
        <f t="shared" si="12"/>
        <v>4.3</v>
      </c>
    </row>
    <row r="67" spans="1:28" x14ac:dyDescent="0.3">
      <c r="A67" s="194" t="str">
        <f>'Crisis Indicator Data'!A64</f>
        <v>Syrian and Palestinian refugees in iraq</v>
      </c>
      <c r="B67" s="195" t="str">
        <f>'Crisis Indicator Data'!B64</f>
        <v>International displacement</v>
      </c>
      <c r="C67" s="195" t="str">
        <f>'Crisis Indicator Data'!C64</f>
        <v>IRQ003</v>
      </c>
      <c r="D67" s="195" t="str">
        <f>'Crisis Indicator Data'!D64</f>
        <v>Iraq</v>
      </c>
      <c r="E67" s="196" t="str">
        <f>'Crisis Indicator Data'!E64</f>
        <v>IRQ</v>
      </c>
      <c r="F67" s="190">
        <f>IF('Crisis Indicator Data'!F64="x","x",IF(LOG('Crisis Indicator Data'!F64)&lt;F$4,0,IF(LOG('Crisis Indicator Data'!F64)&gt;F$3,5,ROUND(5-(F$3-LOG('Crisis Indicator Data'!F64))/(F$3-F$4)*5,1))))</f>
        <v>2.7</v>
      </c>
      <c r="G67" s="188">
        <f>IF('Crisis Indicator Data'!F64="x","x",IF(B67="Regional crisis",('Crisis Indicator Data'!F64/VLOOKUP('Impact of the crisis'!$C67,'Regional Crises'!$B$1:$R$66,4,FALSE)),'Crisis Indicator Data'!F64/VLOOKUP('Impact of the crisis'!$E67,'Country Indicator Data'!$B$4:$P$194,15,FALSE)))</f>
        <v>9.2097992263768649E-2</v>
      </c>
      <c r="H67" s="167">
        <f t="shared" si="0"/>
        <v>0.4</v>
      </c>
      <c r="I67" s="167">
        <f t="shared" si="13"/>
        <v>1.55</v>
      </c>
      <c r="J67" s="167">
        <f>IF('Crisis Indicator Data'!G64="x","x",IF(LOG('Crisis Indicator Data'!G64)&lt;J$4,0,IF(LOG('Crisis Indicator Data'!G64)&gt;J$3,5,ROUND(5-(J$3-LOG('Crisis Indicator Data'!G64))/(J$3-J$4)*5,1))))</f>
        <v>2.4</v>
      </c>
      <c r="K67" s="188">
        <f>IF('Crisis Indicator Data'!G64="x","x",IF(B67="Regional crisis",('Crisis Indicator Data'!G64/VLOOKUP('Impact of the crisis'!$C67,'Regional Crises'!$B$1:$R$66,5,FALSE)),'Crisis Indicator Data'!G64/VLOOKUP('Impact of the crisis'!$E67,'Country Indicator Data'!$B$4:$P$194,14,FALSE)))</f>
        <v>0.13360566165374407</v>
      </c>
      <c r="L67" s="167">
        <f t="shared" si="2"/>
        <v>0.6</v>
      </c>
      <c r="M67" s="167">
        <f t="shared" si="14"/>
        <v>1.5</v>
      </c>
      <c r="N67" s="167">
        <f t="shared" si="4"/>
        <v>1.5</v>
      </c>
      <c r="O67" s="167">
        <f>IF('Crisis Indicator Data'!H64="x","x",IF('Crisis Indicator Data'!H64=0,0,IF(LOG('Crisis Indicator Data'!H64)&lt;O$4,0,IF(LOG('Crisis Indicator Data'!H64)&gt;O$3,5,ROUND(5-(O$3-LOG('Crisis Indicator Data'!H64))/(O$3-O$4)*5,1)))))</f>
        <v>1.9</v>
      </c>
      <c r="P67" s="185">
        <f>IF('Crisis Indicator Data'!H64="x","x",'Crisis Indicator Data'!H64/'Crisis Indicator Data'!G64)</f>
        <v>8.78286270691334E-2</v>
      </c>
      <c r="Q67" s="167">
        <f t="shared" si="5"/>
        <v>0.4</v>
      </c>
      <c r="R67" s="167">
        <f t="shared" si="15"/>
        <v>1.1499999999999999</v>
      </c>
      <c r="S67" s="167">
        <f>IF('Crisis Indicator Data'!I64="x","x",IF('Crisis Indicator Data'!I64=0,0,IF(LOG('Crisis Indicator Data'!I64)&lt;S$4,0,IF(LOG('Crisis Indicator Data'!I64)&gt;S$3,5,ROUND(5-(S$3-LOG('Crisis Indicator Data'!I64))/(S$3-S$4)*5,1)))))</f>
        <v>3.4</v>
      </c>
      <c r="T67" s="185">
        <f>IF('Crisis Indicator Data'!H64="x","x",IF('Crisis Indicator Data'!I64="x","x",'Crisis Indicator Data'!I64/'Crisis Indicator Data'!H64))</f>
        <v>0.53880266075388028</v>
      </c>
      <c r="U67" s="167">
        <f t="shared" si="7"/>
        <v>5</v>
      </c>
      <c r="V67" s="167">
        <f t="shared" si="8"/>
        <v>4.2</v>
      </c>
      <c r="W67" s="167">
        <f>IF('Crisis Indicator Data'!L64="x","x",IF('Crisis Indicator Data'!L64=0,0,IF(LOG('Crisis Indicator Data'!L64)&lt;W$4,0,IF(LOG('Crisis Indicator Data'!L64)&gt;W$3,5,ROUND(5-(W$3-LOG('Crisis Indicator Data'!L64))/(W$3-W$4)*5,1)))))</f>
        <v>0</v>
      </c>
      <c r="X67" s="186">
        <f>IF(OR('Crisis Indicator Data'!L64="x",'Crisis Indicator Data'!H64="x"),"x",'Crisis Indicator Data'!L64/'Crisis Indicator Data'!H64)</f>
        <v>0</v>
      </c>
      <c r="Y67" s="167">
        <f t="shared" si="9"/>
        <v>0</v>
      </c>
      <c r="Z67" s="167">
        <f t="shared" si="10"/>
        <v>0</v>
      </c>
      <c r="AA67" s="167">
        <f t="shared" si="11"/>
        <v>2.7</v>
      </c>
      <c r="AB67" s="187">
        <f t="shared" si="12"/>
        <v>2</v>
      </c>
    </row>
    <row r="68" spans="1:28" x14ac:dyDescent="0.3">
      <c r="A68" s="194" t="str">
        <f>'Crisis Indicator Data'!A65</f>
        <v>Syrian refugees in Jordan</v>
      </c>
      <c r="B68" s="195" t="str">
        <f>'Crisis Indicator Data'!B65</f>
        <v>International displacement</v>
      </c>
      <c r="C68" s="195" t="str">
        <f>'Crisis Indicator Data'!C65</f>
        <v>JOR002</v>
      </c>
      <c r="D68" s="195" t="str">
        <f>'Crisis Indicator Data'!D65</f>
        <v>Jordan</v>
      </c>
      <c r="E68" s="196" t="str">
        <f>'Crisis Indicator Data'!E65</f>
        <v>JOR</v>
      </c>
      <c r="F68" s="190">
        <f>IF('Crisis Indicator Data'!F65="x","x",IF(LOG('Crisis Indicator Data'!F65)&lt;F$4,0,IF(LOG('Crisis Indicator Data'!F65)&gt;F$3,5,ROUND(5-(F$3-LOG('Crisis Indicator Data'!F65))/(F$3-F$4)*5,1))))</f>
        <v>2.7</v>
      </c>
      <c r="G68" s="188">
        <f>IF('Crisis Indicator Data'!F65="x","x",IF(B68="Regional crisis",('Crisis Indicator Data'!F65/VLOOKUP('Impact of the crisis'!$C68,'Regional Crises'!$B$1:$R$66,4,FALSE)),'Crisis Indicator Data'!F65/VLOOKUP('Impact of the crisis'!$E68,'Country Indicator Data'!$B$4:$P$194,15,FALSE)))</f>
        <v>0.45576706465420141</v>
      </c>
      <c r="H68" s="167">
        <f t="shared" si="0"/>
        <v>2.2000000000000002</v>
      </c>
      <c r="I68" s="167">
        <f t="shared" si="13"/>
        <v>2.4500000000000002</v>
      </c>
      <c r="J68" s="167">
        <f>IF('Crisis Indicator Data'!G65="x","x",IF(LOG('Crisis Indicator Data'!G65)&lt;J$4,0,IF(LOG('Crisis Indicator Data'!G65)&gt;J$3,5,ROUND(5-(J$3-LOG('Crisis Indicator Data'!G65))/(J$3-J$4)*5,1))))</f>
        <v>3.1</v>
      </c>
      <c r="K68" s="188">
        <f>IF('Crisis Indicator Data'!G65="x","x",IF(B68="Regional crisis",('Crisis Indicator Data'!G65/VLOOKUP('Impact of the crisis'!$C68,'Regional Crises'!$B$1:$R$66,5,FALSE)),'Crisis Indicator Data'!G65/VLOOKUP('Impact of the crisis'!$E68,'Country Indicator Data'!$B$4:$P$194,14,FALSE)))</f>
        <v>0.80585559977259802</v>
      </c>
      <c r="L68" s="167">
        <f t="shared" si="2"/>
        <v>4</v>
      </c>
      <c r="M68" s="167">
        <f t="shared" si="14"/>
        <v>3.55</v>
      </c>
      <c r="N68" s="167">
        <f t="shared" si="4"/>
        <v>3</v>
      </c>
      <c r="O68" s="167">
        <f>IF('Crisis Indicator Data'!H65="x","x",IF('Crisis Indicator Data'!H65=0,0,IF(LOG('Crisis Indicator Data'!H65)&lt;O$4,0,IF(LOG('Crisis Indicator Data'!H65)&gt;O$3,5,ROUND(5-(O$3-LOG('Crisis Indicator Data'!H65))/(O$3-O$4)*5,1)))))</f>
        <v>2.7</v>
      </c>
      <c r="P68" s="185">
        <f>IF('Crisis Indicator Data'!H65="x","x",'Crisis Indicator Data'!H65/'Crisis Indicator Data'!G65)</f>
        <v>0.16190476190476191</v>
      </c>
      <c r="Q68" s="167">
        <f t="shared" si="5"/>
        <v>0.8</v>
      </c>
      <c r="R68" s="167">
        <f t="shared" si="15"/>
        <v>1.75</v>
      </c>
      <c r="S68" s="167">
        <f>IF('Crisis Indicator Data'!I65="x","x",IF('Crisis Indicator Data'!I65=0,0,IF(LOG('Crisis Indicator Data'!I65)&lt;S$4,0,IF(LOG('Crisis Indicator Data'!I65)&gt;S$3,5,ROUND(5-(S$3-LOG('Crisis Indicator Data'!I65))/(S$3-S$4)*5,1)))))</f>
        <v>4.5</v>
      </c>
      <c r="T68" s="185">
        <f>IF('Crisis Indicator Data'!H65="x","x",IF('Crisis Indicator Data'!I65="x","x",'Crisis Indicator Data'!I65/'Crisis Indicator Data'!H65))</f>
        <v>1</v>
      </c>
      <c r="U68" s="167">
        <f t="shared" si="7"/>
        <v>5</v>
      </c>
      <c r="V68" s="167">
        <f t="shared" si="8"/>
        <v>4.8</v>
      </c>
      <c r="W68" s="167">
        <f>IF('Crisis Indicator Data'!L65="x","x",IF('Crisis Indicator Data'!L65=0,0,IF(LOG('Crisis Indicator Data'!L65)&lt;W$4,0,IF(LOG('Crisis Indicator Data'!L65)&gt;W$3,5,ROUND(5-(W$3-LOG('Crisis Indicator Data'!L65))/(W$3-W$4)*5,1)))))</f>
        <v>0</v>
      </c>
      <c r="X68" s="186">
        <f>IF(OR('Crisis Indicator Data'!L65="x",'Crisis Indicator Data'!H65="x"),"x",'Crisis Indicator Data'!L65/'Crisis Indicator Data'!H65)</f>
        <v>7.2621641249092225E-7</v>
      </c>
      <c r="Y68" s="167">
        <f t="shared" si="9"/>
        <v>0</v>
      </c>
      <c r="Z68" s="167">
        <f t="shared" si="10"/>
        <v>0</v>
      </c>
      <c r="AA68" s="167">
        <f t="shared" si="11"/>
        <v>3.2</v>
      </c>
      <c r="AB68" s="187">
        <f t="shared" si="12"/>
        <v>2.5</v>
      </c>
    </row>
    <row r="69" spans="1:28" x14ac:dyDescent="0.3">
      <c r="A69" s="194" t="str">
        <f>'Crisis Indicator Data'!A66</f>
        <v xml:space="preserve">Multiple crisis in Kenya </v>
      </c>
      <c r="B69" s="195" t="str">
        <f>'Crisis Indicator Data'!B66</f>
        <v>Multiple crises country</v>
      </c>
      <c r="C69" s="195" t="str">
        <f>'Crisis Indicator Data'!C66</f>
        <v>KEN001</v>
      </c>
      <c r="D69" s="195" t="str">
        <f>'Crisis Indicator Data'!D66</f>
        <v>Kenya</v>
      </c>
      <c r="E69" s="196" t="str">
        <f>'Crisis Indicator Data'!E66</f>
        <v>KEN</v>
      </c>
      <c r="F69" s="190">
        <f>IF('Crisis Indicator Data'!F66="x","x",IF(LOG('Crisis Indicator Data'!F66)&lt;F$4,0,IF(LOG('Crisis Indicator Data'!F66)&gt;F$3,5,ROUND(5-(F$3-LOG('Crisis Indicator Data'!F66))/(F$3-F$4)*5,1))))</f>
        <v>4.5999999999999996</v>
      </c>
      <c r="G69" s="188">
        <f>IF('Crisis Indicator Data'!F66="x","x",IF(B69="Regional crisis",('Crisis Indicator Data'!F66/VLOOKUP('Impact of the crisis'!$C69,'Regional Crises'!$B$1:$R$66,4,FALSE)),'Crisis Indicator Data'!F66/VLOOKUP('Impact of the crisis'!$E69,'Country Indicator Data'!$B$4:$P$194,15,FALSE)))</f>
        <v>1</v>
      </c>
      <c r="H69" s="167">
        <f t="shared" si="0"/>
        <v>5</v>
      </c>
      <c r="I69" s="167">
        <f t="shared" si="13"/>
        <v>4.8</v>
      </c>
      <c r="J69" s="167">
        <f>IF('Crisis Indicator Data'!G66="x","x",IF(LOG('Crisis Indicator Data'!G66)&lt;J$4,0,IF(LOG('Crisis Indicator Data'!G66)&gt;J$3,5,ROUND(5-(J$3-LOG('Crisis Indicator Data'!G66))/(J$3-J$4)*5,1))))</f>
        <v>5</v>
      </c>
      <c r="K69" s="188">
        <f>IF('Crisis Indicator Data'!G66="x","x",IF(B69="Regional crisis",('Crisis Indicator Data'!G66/VLOOKUP('Impact of the crisis'!$C69,'Regional Crises'!$B$1:$R$66,5,FALSE)),'Crisis Indicator Data'!G66/VLOOKUP('Impact of the crisis'!$E69,'Country Indicator Data'!$B$4:$P$194,14,FALSE)))</f>
        <v>1</v>
      </c>
      <c r="L69" s="167">
        <f t="shared" si="2"/>
        <v>5</v>
      </c>
      <c r="M69" s="167">
        <f t="shared" si="14"/>
        <v>5</v>
      </c>
      <c r="N69" s="167">
        <f t="shared" si="4"/>
        <v>4.9000000000000004</v>
      </c>
      <c r="O69" s="167">
        <f>IF('Crisis Indicator Data'!H66="x","x",IF('Crisis Indicator Data'!H66=0,0,IF(LOG('Crisis Indicator Data'!H66)&lt;O$4,0,IF(LOG('Crisis Indicator Data'!H66)&gt;O$3,5,ROUND(5-(O$3-LOG('Crisis Indicator Data'!H66))/(O$3-O$4)*5,1)))))</f>
        <v>4.2</v>
      </c>
      <c r="P69" s="185">
        <f>IF('Crisis Indicator Data'!H66="x","x",'Crisis Indicator Data'!H66/'Crisis Indicator Data'!G66)</f>
        <v>0.21779230634522212</v>
      </c>
      <c r="Q69" s="167">
        <f t="shared" si="5"/>
        <v>1</v>
      </c>
      <c r="R69" s="167">
        <f t="shared" si="15"/>
        <v>2.6</v>
      </c>
      <c r="S69" s="167">
        <f>IF('Crisis Indicator Data'!I66="x","x",IF('Crisis Indicator Data'!I66=0,0,IF(LOG('Crisis Indicator Data'!I66)&lt;S$4,0,IF(LOG('Crisis Indicator Data'!I66)&gt;S$3,5,ROUND(5-(S$3-LOG('Crisis Indicator Data'!I66))/(S$3-S$4)*5,1)))))</f>
        <v>4</v>
      </c>
      <c r="T69" s="185">
        <f>IF('Crisis Indicator Data'!H66="x","x",IF('Crisis Indicator Data'!I66="x","x",'Crisis Indicator Data'!I66/'Crisis Indicator Data'!H66))</f>
        <v>5.45876887340302E-2</v>
      </c>
      <c r="U69" s="167">
        <f t="shared" si="7"/>
        <v>1.8</v>
      </c>
      <c r="V69" s="167">
        <f t="shared" si="8"/>
        <v>2.9</v>
      </c>
      <c r="W69" s="167">
        <f>IF('Crisis Indicator Data'!L66="x","x",IF('Crisis Indicator Data'!L66=0,0,IF(LOG('Crisis Indicator Data'!L66)&lt;W$4,0,IF(LOG('Crisis Indicator Data'!L66)&gt;W$3,5,ROUND(5-(W$3-LOG('Crisis Indicator Data'!L66))/(W$3-W$4)*5,1)))))</f>
        <v>3</v>
      </c>
      <c r="X69" s="186">
        <f>IF(OR('Crisis Indicator Data'!L66="x",'Crisis Indicator Data'!H66="x"),"x",'Crisis Indicator Data'!L66/'Crisis Indicator Data'!H66)</f>
        <v>1.0720986330742428E-5</v>
      </c>
      <c r="Y69" s="167">
        <f t="shared" si="9"/>
        <v>0.5</v>
      </c>
      <c r="Z69" s="167">
        <f t="shared" si="10"/>
        <v>1.8</v>
      </c>
      <c r="AA69" s="167">
        <f t="shared" si="11"/>
        <v>2.4</v>
      </c>
      <c r="AB69" s="187">
        <f t="shared" si="12"/>
        <v>2.5</v>
      </c>
    </row>
    <row r="70" spans="1:28" x14ac:dyDescent="0.3">
      <c r="A70" s="194" t="str">
        <f>'Crisis Indicator Data'!A67</f>
        <v>Refugee situation in Kenya</v>
      </c>
      <c r="B70" s="195" t="str">
        <f>'Crisis Indicator Data'!B67</f>
        <v>International displacement</v>
      </c>
      <c r="C70" s="195" t="str">
        <f>'Crisis Indicator Data'!C67</f>
        <v>KEN002</v>
      </c>
      <c r="D70" s="195" t="str">
        <f>'Crisis Indicator Data'!D67</f>
        <v>Kenya</v>
      </c>
      <c r="E70" s="196" t="str">
        <f>'Crisis Indicator Data'!E67</f>
        <v>KEN</v>
      </c>
      <c r="F70" s="190">
        <f>IF('Crisis Indicator Data'!F67="x","x",IF(LOG('Crisis Indicator Data'!F67)&lt;F$4,0,IF(LOG('Crisis Indicator Data'!F67)&gt;F$3,5,ROUND(5-(F$3-LOG('Crisis Indicator Data'!F67))/(F$3-F$4)*5,1))))</f>
        <v>3.5</v>
      </c>
      <c r="G70" s="188">
        <f>IF('Crisis Indicator Data'!F67="x","x",IF(B70="Regional crisis",('Crisis Indicator Data'!F67/VLOOKUP('Impact of the crisis'!$C70,'Regional Crises'!$B$1:$R$66,4,FALSE)),'Crisis Indicator Data'!F67/VLOOKUP('Impact of the crisis'!$E70,'Country Indicator Data'!$B$4:$P$194,15,FALSE)))</f>
        <v>0.21611554274870859</v>
      </c>
      <c r="H70" s="167">
        <f t="shared" si="0"/>
        <v>1</v>
      </c>
      <c r="I70" s="167">
        <f t="shared" si="13"/>
        <v>2.25</v>
      </c>
      <c r="J70" s="167">
        <f>IF('Crisis Indicator Data'!G67="x","x",IF(LOG('Crisis Indicator Data'!G67)&lt;J$4,0,IF(LOG('Crisis Indicator Data'!G67)&gt;J$3,5,ROUND(5-(J$3-LOG('Crisis Indicator Data'!G67))/(J$3-J$4)*5,1))))</f>
        <v>2.4</v>
      </c>
      <c r="K70" s="188">
        <f>IF('Crisis Indicator Data'!G67="x","x",IF(B70="Regional crisis",('Crisis Indicator Data'!G67/VLOOKUP('Impact of the crisis'!$C70,'Regional Crises'!$B$1:$R$66,5,FALSE)),'Crisis Indicator Data'!G67/VLOOKUP('Impact of the crisis'!$E70,'Country Indicator Data'!$B$4:$P$194,14,FALSE)))</f>
        <v>0.1014924211468488</v>
      </c>
      <c r="L70" s="167">
        <f t="shared" si="2"/>
        <v>0.5</v>
      </c>
      <c r="M70" s="167">
        <f t="shared" si="14"/>
        <v>1.45</v>
      </c>
      <c r="N70" s="167">
        <f t="shared" si="4"/>
        <v>1.9</v>
      </c>
      <c r="O70" s="167">
        <f>IF('Crisis Indicator Data'!H67="x","x",IF('Crisis Indicator Data'!H67=0,0,IF(LOG('Crisis Indicator Data'!H67)&lt;O$4,0,IF(LOG('Crisis Indicator Data'!H67)&gt;O$3,5,ROUND(5-(O$3-LOG('Crisis Indicator Data'!H67))/(O$3-O$4)*5,1)))))</f>
        <v>2</v>
      </c>
      <c r="P70" s="185">
        <f>IF('Crisis Indicator Data'!H67="x","x",'Crisis Indicator Data'!H67/'Crisis Indicator Data'!G67)</f>
        <v>9.4900306748466251E-2</v>
      </c>
      <c r="Q70" s="167">
        <f t="shared" si="5"/>
        <v>0.4</v>
      </c>
      <c r="R70" s="167">
        <f t="shared" si="15"/>
        <v>1.2</v>
      </c>
      <c r="S70" s="167">
        <f>IF('Crisis Indicator Data'!I67="x","x",IF('Crisis Indicator Data'!I67=0,0,IF(LOG('Crisis Indicator Data'!I67)&lt;S$4,0,IF(LOG('Crisis Indicator Data'!I67)&gt;S$3,5,ROUND(5-(S$3-LOG('Crisis Indicator Data'!I67))/(S$3-S$4)*5,1)))))</f>
        <v>3.8</v>
      </c>
      <c r="T70" s="185">
        <f>IF('Crisis Indicator Data'!H67="x","x",IF('Crisis Indicator Data'!I67="x","x",'Crisis Indicator Data'!I67/'Crisis Indicator Data'!H67))</f>
        <v>1</v>
      </c>
      <c r="U70" s="167">
        <f t="shared" si="7"/>
        <v>5</v>
      </c>
      <c r="V70" s="167">
        <f t="shared" si="8"/>
        <v>4.4000000000000004</v>
      </c>
      <c r="W70" s="167" t="str">
        <f>IF('Crisis Indicator Data'!L67="x","x",IF('Crisis Indicator Data'!L67=0,0,IF(LOG('Crisis Indicator Data'!L67)&lt;W$4,0,IF(LOG('Crisis Indicator Data'!L67)&gt;W$3,5,ROUND(5-(W$3-LOG('Crisis Indicator Data'!L67))/(W$3-W$4)*5,1)))))</f>
        <v>x</v>
      </c>
      <c r="X70" s="186" t="str">
        <f>IF(OR('Crisis Indicator Data'!L67="x",'Crisis Indicator Data'!H67="x"),"x",'Crisis Indicator Data'!L67/'Crisis Indicator Data'!H67)</f>
        <v>x</v>
      </c>
      <c r="Y70" s="167" t="str">
        <f t="shared" si="9"/>
        <v>x</v>
      </c>
      <c r="Z70" s="167" t="str">
        <f t="shared" si="10"/>
        <v>x</v>
      </c>
      <c r="AA70" s="167">
        <f t="shared" si="11"/>
        <v>4.4000000000000004</v>
      </c>
      <c r="AB70" s="187">
        <f t="shared" si="12"/>
        <v>3.2</v>
      </c>
    </row>
    <row r="71" spans="1:28" x14ac:dyDescent="0.3">
      <c r="A71" s="194" t="str">
        <f>'Crisis Indicator Data'!A68</f>
        <v>Drought in Kenya</v>
      </c>
      <c r="B71" s="195" t="str">
        <f>'Crisis Indicator Data'!B68</f>
        <v>Drought</v>
      </c>
      <c r="C71" s="195" t="str">
        <f>'Crisis Indicator Data'!C68</f>
        <v>KEN003</v>
      </c>
      <c r="D71" s="195" t="str">
        <f>'Crisis Indicator Data'!D68</f>
        <v>Kenya</v>
      </c>
      <c r="E71" s="196" t="str">
        <f>'Crisis Indicator Data'!E68</f>
        <v>KEN</v>
      </c>
      <c r="F71" s="190">
        <f>IF('Crisis Indicator Data'!F68="x","x",IF(LOG('Crisis Indicator Data'!F68)&lt;F$4,0,IF(LOG('Crisis Indicator Data'!F68)&gt;F$3,5,ROUND(5-(F$3-LOG('Crisis Indicator Data'!F68))/(F$3-F$4)*5,1))))</f>
        <v>4.5999999999999996</v>
      </c>
      <c r="G71" s="188">
        <f>IF('Crisis Indicator Data'!F68="x","x",IF(B71="Regional crisis",('Crisis Indicator Data'!F68/VLOOKUP('Impact of the crisis'!$C71,'Regional Crises'!$B$1:$R$66,4,FALSE)),'Crisis Indicator Data'!F68/VLOOKUP('Impact of the crisis'!$E71,'Country Indicator Data'!$B$4:$P$194,15,FALSE)))</f>
        <v>1</v>
      </c>
      <c r="H71" s="167">
        <f t="shared" ref="H71:H134" si="16">IF(G71="x","x",IF(G71&lt;H$4,0,IF(G71&gt;H$3,5,ROUND(5-(H$3-G71)/(H$3-H$4)*5,1))))</f>
        <v>5</v>
      </c>
      <c r="I71" s="167">
        <f t="shared" si="13"/>
        <v>4.8</v>
      </c>
      <c r="J71" s="167">
        <f>IF('Crisis Indicator Data'!G68="x","x",IF(LOG('Crisis Indicator Data'!G68)&lt;J$4,0,IF(LOG('Crisis Indicator Data'!G68)&gt;J$3,5,ROUND(5-(J$3-LOG('Crisis Indicator Data'!G68))/(J$3-J$4)*5,1))))</f>
        <v>5</v>
      </c>
      <c r="K71" s="188">
        <f>IF('Crisis Indicator Data'!G68="x","x",IF(B71="Regional crisis",('Crisis Indicator Data'!G68/VLOOKUP('Impact of the crisis'!$C71,'Regional Crises'!$B$1:$R$66,5,FALSE)),'Crisis Indicator Data'!G68/VLOOKUP('Impact of the crisis'!$E71,'Country Indicator Data'!$B$4:$P$194,14,FALSE)))</f>
        <v>1</v>
      </c>
      <c r="L71" s="167">
        <f t="shared" ref="L71:L134" si="17">IF(K71="x","x",IF(K71&lt;L$4,0,IF(K71&gt;L$3,5,ROUND(5-(L$3-K71)/(L$3-L$4)*5,1))))</f>
        <v>5</v>
      </c>
      <c r="M71" s="167">
        <f t="shared" si="14"/>
        <v>5</v>
      </c>
      <c r="N71" s="167">
        <f t="shared" ref="N71:N134" si="18">IF(AND(M71="x",I71="x"),"x",IF(OR(M71="x",I71="x"),AVERAGE(I71,M71),ROUND((5-GEOMEAN(((5-I71)/5*4+1),((5-M71)/5*4+1)))/4*5,1)))</f>
        <v>4.9000000000000004</v>
      </c>
      <c r="O71" s="167">
        <f>IF('Crisis Indicator Data'!H68="x","x",IF('Crisis Indicator Data'!H68=0,0,IF(LOG('Crisis Indicator Data'!H68)&lt;O$4,0,IF(LOG('Crisis Indicator Data'!H68)&gt;O$3,5,ROUND(5-(O$3-LOG('Crisis Indicator Data'!H68))/(O$3-O$4)*5,1)))))</f>
        <v>4.2</v>
      </c>
      <c r="P71" s="185">
        <f>IF('Crisis Indicator Data'!H68="x","x",'Crisis Indicator Data'!H68/'Crisis Indicator Data'!G68)</f>
        <v>0.20816064444574164</v>
      </c>
      <c r="Q71" s="167">
        <f t="shared" ref="Q71:Q134" si="19">IF(P71="x","x",IF(P71&lt;Q$4,0,IF(P71&gt;Q$3,5,ROUND(5-(Q$3-P71)/(Q$3-Q$4)*5,1))))</f>
        <v>1</v>
      </c>
      <c r="R71" s="167">
        <f t="shared" si="15"/>
        <v>2.6</v>
      </c>
      <c r="S71" s="167" t="str">
        <f>IF('Crisis Indicator Data'!I68="x","x",IF('Crisis Indicator Data'!I68=0,0,IF(LOG('Crisis Indicator Data'!I68)&lt;S$4,0,IF(LOG('Crisis Indicator Data'!I68)&gt;S$3,5,ROUND(5-(S$3-LOG('Crisis Indicator Data'!I68))/(S$3-S$4)*5,1)))))</f>
        <v>x</v>
      </c>
      <c r="T71" s="185" t="str">
        <f>IF('Crisis Indicator Data'!H68="x","x",IF('Crisis Indicator Data'!I68="x","x",'Crisis Indicator Data'!I68/'Crisis Indicator Data'!H68))</f>
        <v>x</v>
      </c>
      <c r="U71" s="167" t="str">
        <f t="shared" ref="U71:U134" si="20">IF(T71="x","x",IF(T71&lt;U$4,0,IF(T71&gt;U$3,5,ROUND(5-(U$3-T71)/(U$3-U$4)*5,1))))</f>
        <v>x</v>
      </c>
      <c r="V71" s="167" t="str">
        <f t="shared" ref="V71:V134" si="21">IF(AND(U71="x",S71="x"),"x",ROUND(AVERAGE(S71,U71),1))</f>
        <v>x</v>
      </c>
      <c r="W71" s="167" t="str">
        <f>IF('Crisis Indicator Data'!L68="x","x",IF('Crisis Indicator Data'!L68=0,0,IF(LOG('Crisis Indicator Data'!L68)&lt;W$4,0,IF(LOG('Crisis Indicator Data'!L68)&gt;W$3,5,ROUND(5-(W$3-LOG('Crisis Indicator Data'!L68))/(W$3-W$4)*5,1)))))</f>
        <v>x</v>
      </c>
      <c r="X71" s="186" t="str">
        <f>IF(OR('Crisis Indicator Data'!L68="x",'Crisis Indicator Data'!H68="x"),"x",'Crisis Indicator Data'!L68/'Crisis Indicator Data'!H68)</f>
        <v>x</v>
      </c>
      <c r="Y71" s="167" t="str">
        <f t="shared" ref="Y71:Y134" si="22">IF(X71="x","x",IF(X71&lt;Y$4,0,IF(X71&gt;Y$3,5,ROUND(5-(Y$3-X71)/(Y$3-Y$4)*5,1))))</f>
        <v>x</v>
      </c>
      <c r="Z71" s="167" t="str">
        <f t="shared" ref="Z71:Z134" si="23">IF(AND(Y71="x",W71="x"),"x",ROUND(AVERAGE(W71,Y71),1))</f>
        <v>x</v>
      </c>
      <c r="AA71" s="167" t="str">
        <f t="shared" ref="AA71:AA134" si="24">IF(AND(V71="x",Z71="x"),"x",IF(OR(V71="x",Z71="x"),AVERAGE(V71,Z71),ROUND((5-GEOMEAN(((5-V71)/5*4+1),((5-Z71)/5*4+1)))/4*5,1)))</f>
        <v>x</v>
      </c>
      <c r="AB71" s="187">
        <f t="shared" ref="AB71:AB134" si="25">IF(AND(R71="x",AA71="x"),"x",IF(OR(R71="x",AA71="x"),AVERAGE(R71,AA71),ROUND((5-GEOMEAN(((5-R71)/5*4+1),((5-AA71)/5*4+1)))/4*5,1)))</f>
        <v>2.6</v>
      </c>
    </row>
    <row r="72" spans="1:28" x14ac:dyDescent="0.3">
      <c r="A72" s="194" t="str">
        <f>'Crisis Indicator Data'!A69</f>
        <v>Flooding and Landslides in Kenya</v>
      </c>
      <c r="B72" s="195" t="str">
        <f>'Crisis Indicator Data'!B69</f>
        <v>Flood</v>
      </c>
      <c r="C72" s="195" t="str">
        <f>'Crisis Indicator Data'!C69</f>
        <v>KEN005</v>
      </c>
      <c r="D72" s="195" t="str">
        <f>'Crisis Indicator Data'!D69</f>
        <v>Kenya</v>
      </c>
      <c r="E72" s="196" t="str">
        <f>'Crisis Indicator Data'!E69</f>
        <v>KEN</v>
      </c>
      <c r="F72" s="190">
        <f>IF('Crisis Indicator Data'!F69="x","x",IF(LOG('Crisis Indicator Data'!F69)&lt;F$4,0,IF(LOG('Crisis Indicator Data'!F69)&gt;F$3,5,ROUND(5-(F$3-LOG('Crisis Indicator Data'!F69))/(F$3-F$4)*5,1))))</f>
        <v>4.5</v>
      </c>
      <c r="G72" s="188">
        <f>IF('Crisis Indicator Data'!F69="x","x",IF(B72="Regional crisis",('Crisis Indicator Data'!F69/VLOOKUP('Impact of the crisis'!$C72,'Regional Crises'!$B$1:$R$66,4,FALSE)),'Crisis Indicator Data'!F69/VLOOKUP('Impact of the crisis'!$E72,'Country Indicator Data'!$B$4:$P$194,15,FALSE)))</f>
        <v>0.82773658502301717</v>
      </c>
      <c r="H72" s="167">
        <f t="shared" si="16"/>
        <v>4.0999999999999996</v>
      </c>
      <c r="I72" s="167">
        <f t="shared" si="13"/>
        <v>4.3</v>
      </c>
      <c r="J72" s="167">
        <f>IF('Crisis Indicator Data'!G69="x","x",IF(LOG('Crisis Indicator Data'!G69)&lt;J$4,0,IF(LOG('Crisis Indicator Data'!G69)&gt;J$3,5,ROUND(5-(J$3-LOG('Crisis Indicator Data'!G69))/(J$3-J$4)*5,1))))</f>
        <v>5</v>
      </c>
      <c r="K72" s="188">
        <f>IF('Crisis Indicator Data'!G69="x","x",IF(B72="Regional crisis",('Crisis Indicator Data'!G69/VLOOKUP('Impact of the crisis'!$C72,'Regional Crises'!$B$1:$R$66,5,FALSE)),'Crisis Indicator Data'!G69/VLOOKUP('Impact of the crisis'!$E72,'Country Indicator Data'!$B$4:$P$194,14,FALSE)))</f>
        <v>0.82721382289416845</v>
      </c>
      <c r="L72" s="167">
        <f t="shared" si="17"/>
        <v>4.0999999999999996</v>
      </c>
      <c r="M72" s="167">
        <f t="shared" si="14"/>
        <v>4.55</v>
      </c>
      <c r="N72" s="167">
        <f t="shared" si="18"/>
        <v>4.4000000000000004</v>
      </c>
      <c r="O72" s="167">
        <f>IF('Crisis Indicator Data'!H69="x","x",IF('Crisis Indicator Data'!H69=0,0,IF(LOG('Crisis Indicator Data'!H69)&lt;O$4,0,IF(LOG('Crisis Indicator Data'!H69)&gt;O$3,5,ROUND(5-(O$3-LOG('Crisis Indicator Data'!H69))/(O$3-O$4)*5,1)))))</f>
        <v>1.4</v>
      </c>
      <c r="P72" s="185">
        <f>IF('Crisis Indicator Data'!H69="x","x",'Crisis Indicator Data'!H69/'Crisis Indicator Data'!G69)</f>
        <v>5.4806764989532609E-3</v>
      </c>
      <c r="Q72" s="167">
        <f t="shared" si="19"/>
        <v>0</v>
      </c>
      <c r="R72" s="167">
        <f t="shared" si="15"/>
        <v>0.7</v>
      </c>
      <c r="S72" s="167">
        <f>IF('Crisis Indicator Data'!I69="x","x",IF('Crisis Indicator Data'!I69=0,0,IF(LOG('Crisis Indicator Data'!I69)&lt;S$4,0,IF(LOG('Crisis Indicator Data'!I69)&gt;S$3,5,ROUND(5-(S$3-LOG('Crisis Indicator Data'!I69))/(S$3-S$4)*5,1)))))</f>
        <v>1.7</v>
      </c>
      <c r="T72" s="185">
        <f>IF('Crisis Indicator Data'!H69="x","x",IF('Crisis Indicator Data'!I69="x","x",'Crisis Indicator Data'!I69/'Crisis Indicator Data'!H69))</f>
        <v>6.8669527896995708E-2</v>
      </c>
      <c r="U72" s="167">
        <f t="shared" si="20"/>
        <v>2.2999999999999998</v>
      </c>
      <c r="V72" s="167">
        <f t="shared" si="21"/>
        <v>2</v>
      </c>
      <c r="W72" s="167">
        <f>IF('Crisis Indicator Data'!L69="x","x",IF('Crisis Indicator Data'!L69=0,0,IF(LOG('Crisis Indicator Data'!L69)&lt;W$4,0,IF(LOG('Crisis Indicator Data'!L69)&gt;W$3,5,ROUND(5-(W$3-LOG('Crisis Indicator Data'!L69))/(W$3-W$4)*5,1)))))</f>
        <v>3.4</v>
      </c>
      <c r="X72" s="186">
        <f>IF(OR('Crisis Indicator Data'!L69="x",'Crisis Indicator Data'!H69="x"),"x",'Crisis Indicator Data'!L69/'Crisis Indicator Data'!H69)</f>
        <v>1.0171673819742489E-3</v>
      </c>
      <c r="Y72" s="167">
        <f t="shared" si="22"/>
        <v>5</v>
      </c>
      <c r="Z72" s="167">
        <f t="shared" si="23"/>
        <v>4.2</v>
      </c>
      <c r="AA72" s="167">
        <f t="shared" si="24"/>
        <v>3.3</v>
      </c>
      <c r="AB72" s="187">
        <f t="shared" si="25"/>
        <v>2.2000000000000002</v>
      </c>
    </row>
    <row r="73" spans="1:28" x14ac:dyDescent="0.3">
      <c r="A73" s="194" t="str">
        <f>'Crisis Indicator Data'!A70</f>
        <v>Syrian refugees in Lebanon</v>
      </c>
      <c r="B73" s="195" t="str">
        <f>'Crisis Indicator Data'!B70</f>
        <v>International displacement</v>
      </c>
      <c r="C73" s="195" t="str">
        <f>'Crisis Indicator Data'!C70</f>
        <v>LBN002</v>
      </c>
      <c r="D73" s="195" t="str">
        <f>'Crisis Indicator Data'!D70</f>
        <v>Lebanon</v>
      </c>
      <c r="E73" s="196" t="str">
        <f>'Crisis Indicator Data'!E70</f>
        <v>LBN</v>
      </c>
      <c r="F73" s="190">
        <f>IF('Crisis Indicator Data'!F70="x","x",IF(LOG('Crisis Indicator Data'!F70)&lt;F$4,0,IF(LOG('Crisis Indicator Data'!F70)&gt;F$3,5,ROUND(5-(F$3-LOG('Crisis Indicator Data'!F70))/(F$3-F$4)*5,1))))</f>
        <v>1.7</v>
      </c>
      <c r="G73" s="188">
        <f>IF('Crisis Indicator Data'!F70="x","x",IF(B73="Regional crisis",('Crisis Indicator Data'!F70/VLOOKUP('Impact of the crisis'!$C73,'Regional Crises'!$B$1:$R$66,4,FALSE)),'Crisis Indicator Data'!F70/VLOOKUP('Impact of the crisis'!$E73,'Country Indicator Data'!$B$4:$P$194,15,FALSE)))</f>
        <v>0.99718475073313795</v>
      </c>
      <c r="H73" s="167">
        <f t="shared" si="16"/>
        <v>5</v>
      </c>
      <c r="I73" s="167">
        <f t="shared" si="13"/>
        <v>3.35</v>
      </c>
      <c r="J73" s="167">
        <f>IF('Crisis Indicator Data'!G70="x","x",IF(LOG('Crisis Indicator Data'!G70)&lt;J$4,0,IF(LOG('Crisis Indicator Data'!G70)&gt;J$3,5,ROUND(5-(J$3-LOG('Crisis Indicator Data'!G70))/(J$3-J$4)*5,1))))</f>
        <v>2.8</v>
      </c>
      <c r="K73" s="188">
        <f>IF('Crisis Indicator Data'!G70="x","x",IF(B73="Regional crisis",('Crisis Indicator Data'!G70/VLOOKUP('Impact of the crisis'!$C73,'Regional Crises'!$B$1:$R$66,5,FALSE)),'Crisis Indicator Data'!G70/VLOOKUP('Impact of the crisis'!$E73,'Country Indicator Data'!$B$4:$P$194,14,FALSE)))</f>
        <v>1</v>
      </c>
      <c r="L73" s="167">
        <f t="shared" si="17"/>
        <v>5</v>
      </c>
      <c r="M73" s="167">
        <f t="shared" si="14"/>
        <v>3.9</v>
      </c>
      <c r="N73" s="167">
        <f t="shared" si="18"/>
        <v>3.6</v>
      </c>
      <c r="O73" s="167">
        <f>IF('Crisis Indicator Data'!H70="x","x",IF('Crisis Indicator Data'!H70=0,0,IF(LOG('Crisis Indicator Data'!H70)&lt;O$4,0,IF(LOG('Crisis Indicator Data'!H70)&gt;O$3,5,ROUND(5-(O$3-LOG('Crisis Indicator Data'!H70))/(O$3-O$4)*5,1)))))</f>
        <v>3.3</v>
      </c>
      <c r="P73" s="185">
        <f>IF('Crisis Indicator Data'!H70="x","x",'Crisis Indicator Data'!H70/'Crisis Indicator Data'!G70)</f>
        <v>0.44196233026719228</v>
      </c>
      <c r="Q73" s="167">
        <f t="shared" si="19"/>
        <v>2.2000000000000002</v>
      </c>
      <c r="R73" s="167">
        <f t="shared" si="15"/>
        <v>2.75</v>
      </c>
      <c r="S73" s="167">
        <f>IF('Crisis Indicator Data'!I70="x","x",IF('Crisis Indicator Data'!I70=0,0,IF(LOG('Crisis Indicator Data'!I70)&lt;S$4,0,IF(LOG('Crisis Indicator Data'!I70)&gt;S$3,5,ROUND(5-(S$3-LOG('Crisis Indicator Data'!I70))/(S$3-S$4)*5,1)))))</f>
        <v>4.5</v>
      </c>
      <c r="T73" s="185">
        <f>IF('Crisis Indicator Data'!H70="x","x",IF('Crisis Indicator Data'!I70="x","x",'Crisis Indicator Data'!I70/'Crisis Indicator Data'!H70))</f>
        <v>0.50445986124876119</v>
      </c>
      <c r="U73" s="167">
        <f t="shared" si="20"/>
        <v>5</v>
      </c>
      <c r="V73" s="167">
        <f t="shared" si="21"/>
        <v>4.8</v>
      </c>
      <c r="W73" s="167">
        <f>IF('Crisis Indicator Data'!L70="x","x",IF('Crisis Indicator Data'!L70=0,0,IF(LOG('Crisis Indicator Data'!L70)&lt;W$4,0,IF(LOG('Crisis Indicator Data'!L70)&gt;W$3,5,ROUND(5-(W$3-LOG('Crisis Indicator Data'!L70))/(W$3-W$4)*5,1)))))</f>
        <v>0</v>
      </c>
      <c r="X73" s="186">
        <f>IF(OR('Crisis Indicator Data'!L70="x",'Crisis Indicator Data'!H70="x"),"x",'Crisis Indicator Data'!L70/'Crisis Indicator Data'!H70)</f>
        <v>0</v>
      </c>
      <c r="Y73" s="167">
        <f t="shared" si="22"/>
        <v>0</v>
      </c>
      <c r="Z73" s="167">
        <f t="shared" si="23"/>
        <v>0</v>
      </c>
      <c r="AA73" s="167">
        <f t="shared" si="24"/>
        <v>3.2</v>
      </c>
      <c r="AB73" s="187">
        <f t="shared" si="25"/>
        <v>3</v>
      </c>
    </row>
    <row r="74" spans="1:28" x14ac:dyDescent="0.3">
      <c r="A74" s="194" t="str">
        <f>'Crisis Indicator Data'!A71</f>
        <v>Socioeconomic crisis in Lebanon</v>
      </c>
      <c r="B74" s="195" t="str">
        <f>'Crisis Indicator Data'!B71</f>
        <v>Political and economic crisis</v>
      </c>
      <c r="C74" s="195" t="str">
        <f>'Crisis Indicator Data'!C71</f>
        <v>LBN004</v>
      </c>
      <c r="D74" s="195" t="str">
        <f>'Crisis Indicator Data'!D71</f>
        <v>Lebanon</v>
      </c>
      <c r="E74" s="196" t="str">
        <f>'Crisis Indicator Data'!E71</f>
        <v>LBN</v>
      </c>
      <c r="F74" s="190">
        <f>IF('Crisis Indicator Data'!F71="x","x",IF(LOG('Crisis Indicator Data'!F71)&lt;F$4,0,IF(LOG('Crisis Indicator Data'!F71)&gt;F$3,5,ROUND(5-(F$3-LOG('Crisis Indicator Data'!F71))/(F$3-F$4)*5,1))))</f>
        <v>1.7</v>
      </c>
      <c r="G74" s="188">
        <f>IF('Crisis Indicator Data'!F71="x","x",IF(B74="Regional crisis",('Crisis Indicator Data'!F71/VLOOKUP('Impact of the crisis'!$C74,'Regional Crises'!$B$1:$R$66,4,FALSE)),'Crisis Indicator Data'!F71/VLOOKUP('Impact of the crisis'!$E74,'Country Indicator Data'!$B$4:$P$194,15,FALSE)))</f>
        <v>0.99718475073313795</v>
      </c>
      <c r="H74" s="167">
        <f t="shared" si="16"/>
        <v>5</v>
      </c>
      <c r="I74" s="167">
        <f t="shared" si="13"/>
        <v>3.35</v>
      </c>
      <c r="J74" s="167">
        <f>IF('Crisis Indicator Data'!G71="x","x",IF(LOG('Crisis Indicator Data'!G71)&lt;J$4,0,IF(LOG('Crisis Indicator Data'!G71)&gt;J$3,5,ROUND(5-(J$3-LOG('Crisis Indicator Data'!G71))/(J$3-J$4)*5,1))))</f>
        <v>2.8</v>
      </c>
      <c r="K74" s="188">
        <f>IF('Crisis Indicator Data'!G71="x","x",IF(B74="Regional crisis",('Crisis Indicator Data'!G71/VLOOKUP('Impact of the crisis'!$C74,'Regional Crises'!$B$1:$R$66,5,FALSE)),'Crisis Indicator Data'!G71/VLOOKUP('Impact of the crisis'!$E74,'Country Indicator Data'!$B$4:$P$194,14,FALSE)))</f>
        <v>1</v>
      </c>
      <c r="L74" s="167">
        <f t="shared" si="17"/>
        <v>5</v>
      </c>
      <c r="M74" s="167">
        <f t="shared" si="14"/>
        <v>3.9</v>
      </c>
      <c r="N74" s="167">
        <f t="shared" si="18"/>
        <v>3.6</v>
      </c>
      <c r="O74" s="167">
        <f>IF('Crisis Indicator Data'!H71="x","x",IF('Crisis Indicator Data'!H71=0,0,IF(LOG('Crisis Indicator Data'!H71)&lt;O$4,0,IF(LOG('Crisis Indicator Data'!H71)&gt;O$3,5,ROUND(5-(O$3-LOG('Crisis Indicator Data'!H71))/(O$3-O$4)*5,1)))))</f>
        <v>3.5</v>
      </c>
      <c r="P74" s="185">
        <f>IF('Crisis Indicator Data'!H71="x","x",'Crisis Indicator Data'!H71/'Crisis Indicator Data'!G71)</f>
        <v>0.6189224704336399</v>
      </c>
      <c r="Q74" s="167">
        <f t="shared" si="19"/>
        <v>3.1</v>
      </c>
      <c r="R74" s="167">
        <f t="shared" si="15"/>
        <v>3.3</v>
      </c>
      <c r="S74" s="167" t="str">
        <f>IF('Crisis Indicator Data'!I71="x","x",IF('Crisis Indicator Data'!I71=0,0,IF(LOG('Crisis Indicator Data'!I71)&lt;S$4,0,IF(LOG('Crisis Indicator Data'!I71)&gt;S$3,5,ROUND(5-(S$3-LOG('Crisis Indicator Data'!I71))/(S$3-S$4)*5,1)))))</f>
        <v>x</v>
      </c>
      <c r="T74" s="185" t="str">
        <f>IF('Crisis Indicator Data'!H71="x","x",IF('Crisis Indicator Data'!I71="x","x",'Crisis Indicator Data'!I71/'Crisis Indicator Data'!H71))</f>
        <v>x</v>
      </c>
      <c r="U74" s="167" t="str">
        <f t="shared" si="20"/>
        <v>x</v>
      </c>
      <c r="V74" s="167" t="str">
        <f t="shared" si="21"/>
        <v>x</v>
      </c>
      <c r="W74" s="167">
        <f>IF('Crisis Indicator Data'!L71="x","x",IF('Crisis Indicator Data'!L71=0,0,IF(LOG('Crisis Indicator Data'!L71)&lt;W$4,0,IF(LOG('Crisis Indicator Data'!L71)&gt;W$3,5,ROUND(5-(W$3-LOG('Crisis Indicator Data'!L71))/(W$3-W$4)*5,1)))))</f>
        <v>0</v>
      </c>
      <c r="X74" s="186">
        <f>IF(OR('Crisis Indicator Data'!L71="x",'Crisis Indicator Data'!H71="x"),"x",'Crisis Indicator Data'!L71/'Crisis Indicator Data'!H71)</f>
        <v>0</v>
      </c>
      <c r="Y74" s="167">
        <f t="shared" si="22"/>
        <v>0</v>
      </c>
      <c r="Z74" s="167">
        <f t="shared" si="23"/>
        <v>0</v>
      </c>
      <c r="AA74" s="167">
        <f t="shared" si="24"/>
        <v>0</v>
      </c>
      <c r="AB74" s="187">
        <f t="shared" si="25"/>
        <v>2</v>
      </c>
    </row>
    <row r="75" spans="1:28" x14ac:dyDescent="0.3">
      <c r="A75" s="194" t="str">
        <f>'Crisis Indicator Data'!A72</f>
        <v>Explosion in Beirut</v>
      </c>
      <c r="B75" s="195" t="str">
        <f>'Crisis Indicator Data'!B72</f>
        <v>Industrial Accidents</v>
      </c>
      <c r="C75" s="195" t="str">
        <f>'Crisis Indicator Data'!C72</f>
        <v>LBN005</v>
      </c>
      <c r="D75" s="195" t="str">
        <f>'Crisis Indicator Data'!D72</f>
        <v>Lebanon</v>
      </c>
      <c r="E75" s="196" t="str">
        <f>'Crisis Indicator Data'!E72</f>
        <v>LBN</v>
      </c>
      <c r="F75" s="190">
        <f>IF('Crisis Indicator Data'!F72="x","x",IF(LOG('Crisis Indicator Data'!F72)&lt;F$4,0,IF(LOG('Crisis Indicator Data'!F72)&gt;F$3,5,ROUND(5-(F$3-LOG('Crisis Indicator Data'!F72))/(F$3-F$4)*5,1))))</f>
        <v>0.5</v>
      </c>
      <c r="G75" s="188">
        <f>IF('Crisis Indicator Data'!F72="x","x",IF(B75="Regional crisis",('Crisis Indicator Data'!F72/VLOOKUP('Impact of the crisis'!$C75,'Regional Crises'!$B$1:$R$66,4,FALSE)),'Crisis Indicator Data'!F72/VLOOKUP('Impact of the crisis'!$E75,'Country Indicator Data'!$B$4:$P$194,15,FALSE)))</f>
        <v>0.1942913000977517</v>
      </c>
      <c r="H75" s="167">
        <f t="shared" si="16"/>
        <v>0.9</v>
      </c>
      <c r="I75" s="167">
        <f t="shared" si="13"/>
        <v>0.7</v>
      </c>
      <c r="J75" s="167">
        <f>IF('Crisis Indicator Data'!G72="x","x",IF(LOG('Crisis Indicator Data'!G72)&lt;J$4,0,IF(LOG('Crisis Indicator Data'!G72)&gt;J$3,5,ROUND(5-(J$3-LOG('Crisis Indicator Data'!G72))/(J$3-J$4)*5,1))))</f>
        <v>1.1000000000000001</v>
      </c>
      <c r="K75" s="188">
        <f>IF('Crisis Indicator Data'!G72="x","x",IF(B75="Regional crisis",('Crisis Indicator Data'!G72/VLOOKUP('Impact of the crisis'!$C75,'Regional Crises'!$B$1:$R$66,5,FALSE)),'Crisis Indicator Data'!G72/VLOOKUP('Impact of the crisis'!$E75,'Country Indicator Data'!$B$4:$P$194,14,FALSE)))</f>
        <v>0.32121477587969044</v>
      </c>
      <c r="L75" s="167">
        <f t="shared" si="17"/>
        <v>1.6</v>
      </c>
      <c r="M75" s="167">
        <f t="shared" si="14"/>
        <v>1.35</v>
      </c>
      <c r="N75" s="167">
        <f t="shared" si="18"/>
        <v>1</v>
      </c>
      <c r="O75" s="167">
        <f>IF('Crisis Indicator Data'!H72="x","x",IF('Crisis Indicator Data'!H72=0,0,IF(LOG('Crisis Indicator Data'!H72)&lt;O$4,0,IF(LOG('Crisis Indicator Data'!H72)&gt;O$3,5,ROUND(5-(O$3-LOG('Crisis Indicator Data'!H72))/(O$3-O$4)*5,1)))))</f>
        <v>3.1</v>
      </c>
      <c r="P75" s="185">
        <f>IF('Crisis Indicator Data'!H72="x","x",'Crisis Indicator Data'!H72/'Crisis Indicator Data'!G72)</f>
        <v>1</v>
      </c>
      <c r="Q75" s="167">
        <f t="shared" si="19"/>
        <v>5</v>
      </c>
      <c r="R75" s="167">
        <f t="shared" si="15"/>
        <v>4.05</v>
      </c>
      <c r="S75" s="167">
        <f>IF('Crisis Indicator Data'!I72="x","x",IF('Crisis Indicator Data'!I72=0,0,IF(LOG('Crisis Indicator Data'!I72)&lt;S$4,0,IF(LOG('Crisis Indicator Data'!I72)&gt;S$3,5,ROUND(5-(S$3-LOG('Crisis Indicator Data'!I72))/(S$3-S$4)*5,1)))))</f>
        <v>3.5</v>
      </c>
      <c r="T75" s="185">
        <f>IF('Crisis Indicator Data'!H72="x","x",IF('Crisis Indicator Data'!I72="x","x",'Crisis Indicator Data'!I72/'Crisis Indicator Data'!H72))</f>
        <v>0.13636363636363635</v>
      </c>
      <c r="U75" s="167">
        <f t="shared" si="20"/>
        <v>4.5</v>
      </c>
      <c r="V75" s="167">
        <f t="shared" si="21"/>
        <v>4</v>
      </c>
      <c r="W75" s="167">
        <f>IF('Crisis Indicator Data'!L72="x","x",IF('Crisis Indicator Data'!L72=0,0,IF(LOG('Crisis Indicator Data'!L72)&lt;W$4,0,IF(LOG('Crisis Indicator Data'!L72)&gt;W$3,5,ROUND(5-(W$3-LOG('Crisis Indicator Data'!L72))/(W$3-W$4)*5,1)))))</f>
        <v>3.3</v>
      </c>
      <c r="X75" s="186">
        <f>IF(OR('Crisis Indicator Data'!L72="x",'Crisis Indicator Data'!H72="x"),"x",'Crisis Indicator Data'!L72/'Crisis Indicator Data'!H72)</f>
        <v>8.6818181818181816E-5</v>
      </c>
      <c r="Y75" s="167">
        <f t="shared" si="22"/>
        <v>4.3</v>
      </c>
      <c r="Z75" s="167">
        <f t="shared" si="23"/>
        <v>3.8</v>
      </c>
      <c r="AA75" s="167">
        <f t="shared" si="24"/>
        <v>3.9</v>
      </c>
      <c r="AB75" s="187">
        <f t="shared" si="25"/>
        <v>4</v>
      </c>
    </row>
    <row r="76" spans="1:28" x14ac:dyDescent="0.3">
      <c r="A76" s="194" t="str">
        <f>'Crisis Indicator Data'!A73</f>
        <v>Drought in Lesotho</v>
      </c>
      <c r="B76" s="195" t="str">
        <f>'Crisis Indicator Data'!B73</f>
        <v>Drought</v>
      </c>
      <c r="C76" s="195" t="str">
        <f>'Crisis Indicator Data'!C73</f>
        <v>LSO002</v>
      </c>
      <c r="D76" s="195" t="str">
        <f>'Crisis Indicator Data'!D73</f>
        <v>Lesotho</v>
      </c>
      <c r="E76" s="196" t="str">
        <f>'Crisis Indicator Data'!E73</f>
        <v>LSO</v>
      </c>
      <c r="F76" s="190">
        <f>IF('Crisis Indicator Data'!F73="x","x",IF(LOG('Crisis Indicator Data'!F73)&lt;F$4,0,IF(LOG('Crisis Indicator Data'!F73)&gt;F$3,5,ROUND(5-(F$3-LOG('Crisis Indicator Data'!F73))/(F$3-F$4)*5,1))))</f>
        <v>2.5</v>
      </c>
      <c r="G76" s="188">
        <f>IF('Crisis Indicator Data'!F73="x","x",IF(B76="Regional crisis",('Crisis Indicator Data'!F73/VLOOKUP('Impact of the crisis'!$C76,'Regional Crises'!$B$1:$R$66,4,FALSE)),'Crisis Indicator Data'!F73/VLOOKUP('Impact of the crisis'!$E76,'Country Indicator Data'!$B$4:$P$194,15,FALSE)))</f>
        <v>1.0013175230566536</v>
      </c>
      <c r="H76" s="167">
        <f t="shared" si="16"/>
        <v>5</v>
      </c>
      <c r="I76" s="167">
        <f t="shared" si="13"/>
        <v>3.75</v>
      </c>
      <c r="J76" s="167">
        <f>IF('Crisis Indicator Data'!G73="x","x",IF(LOG('Crisis Indicator Data'!G73)&lt;J$4,0,IF(LOG('Crisis Indicator Data'!G73)&gt;J$3,5,ROUND(5-(J$3-LOG('Crisis Indicator Data'!G73))/(J$3-J$4)*5,1))))</f>
        <v>0.6</v>
      </c>
      <c r="K76" s="188">
        <f>IF('Crisis Indicator Data'!G73="x","x",IF(B76="Regional crisis",('Crisis Indicator Data'!G73/VLOOKUP('Impact of the crisis'!$C76,'Regional Crises'!$B$1:$R$66,5,FALSE)),'Crisis Indicator Data'!G73/VLOOKUP('Impact of the crisis'!$E76,'Country Indicator Data'!$B$4:$P$194,14,FALSE)))</f>
        <v>0.64825452938577111</v>
      </c>
      <c r="L76" s="167">
        <f t="shared" si="17"/>
        <v>3.2</v>
      </c>
      <c r="M76" s="167">
        <f t="shared" si="14"/>
        <v>1.9000000000000001</v>
      </c>
      <c r="N76" s="167">
        <f t="shared" si="18"/>
        <v>3</v>
      </c>
      <c r="O76" s="167">
        <f>IF('Crisis Indicator Data'!H73="x","x",IF('Crisis Indicator Data'!H73=0,0,IF(LOG('Crisis Indicator Data'!H73)&lt;O$4,0,IF(LOG('Crisis Indicator Data'!H73)&gt;O$3,5,ROUND(5-(O$3-LOG('Crisis Indicator Data'!H73))/(O$3-O$4)*5,1)))))</f>
        <v>2.5</v>
      </c>
      <c r="P76" s="185">
        <f>IF('Crisis Indicator Data'!H73="x","x",'Crisis Indicator Data'!H73/'Crisis Indicator Data'!G73)</f>
        <v>0.7239263803680982</v>
      </c>
      <c r="Q76" s="167">
        <f t="shared" si="19"/>
        <v>3.6</v>
      </c>
      <c r="R76" s="167">
        <f t="shared" si="15"/>
        <v>3.05</v>
      </c>
      <c r="S76" s="167" t="str">
        <f>IF('Crisis Indicator Data'!I73="x","x",IF('Crisis Indicator Data'!I73=0,0,IF(LOG('Crisis Indicator Data'!I73)&lt;S$4,0,IF(LOG('Crisis Indicator Data'!I73)&gt;S$3,5,ROUND(5-(S$3-LOG('Crisis Indicator Data'!I73))/(S$3-S$4)*5,1)))))</f>
        <v>x</v>
      </c>
      <c r="T76" s="185" t="str">
        <f>IF('Crisis Indicator Data'!H73="x","x",IF('Crisis Indicator Data'!I73="x","x",'Crisis Indicator Data'!I73/'Crisis Indicator Data'!H73))</f>
        <v>x</v>
      </c>
      <c r="U76" s="167" t="str">
        <f t="shared" si="20"/>
        <v>x</v>
      </c>
      <c r="V76" s="167" t="str">
        <f t="shared" si="21"/>
        <v>x</v>
      </c>
      <c r="W76" s="167">
        <f>IF('Crisis Indicator Data'!L73="x","x",IF('Crisis Indicator Data'!L73=0,0,IF(LOG('Crisis Indicator Data'!L73)&lt;W$4,0,IF(LOG('Crisis Indicator Data'!L73)&gt;W$3,5,ROUND(5-(W$3-LOG('Crisis Indicator Data'!L73))/(W$3-W$4)*5,1)))))</f>
        <v>0</v>
      </c>
      <c r="X76" s="186">
        <f>IF(OR('Crisis Indicator Data'!L73="x",'Crisis Indicator Data'!H73="x"),"x",'Crisis Indicator Data'!L73/'Crisis Indicator Data'!H73)</f>
        <v>0</v>
      </c>
      <c r="Y76" s="167">
        <f t="shared" si="22"/>
        <v>0</v>
      </c>
      <c r="Z76" s="167">
        <f t="shared" si="23"/>
        <v>0</v>
      </c>
      <c r="AA76" s="167">
        <f t="shared" si="24"/>
        <v>0</v>
      </c>
      <c r="AB76" s="187">
        <f t="shared" si="25"/>
        <v>1.8</v>
      </c>
    </row>
    <row r="77" spans="1:28" x14ac:dyDescent="0.3">
      <c r="A77" s="194" t="str">
        <f>'Crisis Indicator Data'!A74</f>
        <v>Southern Africa Regional Food Security Crisis</v>
      </c>
      <c r="B77" s="195" t="str">
        <f>'Crisis Indicator Data'!B74</f>
        <v>Regional crisis</v>
      </c>
      <c r="C77" s="195" t="str">
        <f>'Crisis Indicator Data'!C74</f>
        <v>REG012</v>
      </c>
      <c r="D77" s="195" t="str">
        <f>'Crisis Indicator Data'!D74</f>
        <v>Lesotho,Madagascar,Malawi,Mozambique,Namibia,Eswatini,Tanzania,Zambia,Zimbabwe</v>
      </c>
      <c r="E77" s="196" t="str">
        <f>'Crisis Indicator Data'!E74</f>
        <v>LSO, MDG, MWI, MOZ, NAM, SWZ, TZA, ZMB, ZWE</v>
      </c>
      <c r="F77" s="190">
        <f>IF('Crisis Indicator Data'!F74="x","x",IF(LOG('Crisis Indicator Data'!F74)&lt;F$4,0,IF(LOG('Crisis Indicator Data'!F74)&gt;F$3,5,ROUND(5-(F$3-LOG('Crisis Indicator Data'!F74))/(F$3-F$4)*5,1))))</f>
        <v>5</v>
      </c>
      <c r="G77" s="188">
        <f>IF('Crisis Indicator Data'!F74="x","x",IF(B77="Regional crisis",('Crisis Indicator Data'!F74/VLOOKUP('Impact of the crisis'!$C77,'Regional Crises'!$B$1:$R$66,4,FALSE)),'Crisis Indicator Data'!F74/VLOOKUP('Impact of the crisis'!$E77,'Country Indicator Data'!$B$4:$P$194,15,FALSE)))</f>
        <v>0.41876717210617681</v>
      </c>
      <c r="H77" s="167">
        <f t="shared" si="16"/>
        <v>2</v>
      </c>
      <c r="I77" s="167">
        <f t="shared" si="13"/>
        <v>3.5</v>
      </c>
      <c r="J77" s="167">
        <f>IF('Crisis Indicator Data'!G74="x","x",IF(LOG('Crisis Indicator Data'!G74)&lt;J$4,0,IF(LOG('Crisis Indicator Data'!G74)&gt;J$3,5,ROUND(5-(J$3-LOG('Crisis Indicator Data'!G74))/(J$3-J$4)*5,1))))</f>
        <v>5</v>
      </c>
      <c r="K77" s="188">
        <f>IF('Crisis Indicator Data'!G74="x","x",IF(B77="Regional crisis",('Crisis Indicator Data'!G74/VLOOKUP('Impact of the crisis'!$C77,'Regional Crises'!$B$1:$R$66,5,FALSE)),'Crisis Indicator Data'!G74/VLOOKUP('Impact of the crisis'!$E77,'Country Indicator Data'!$B$4:$P$194,14,FALSE)))</f>
        <v>0.46337735278957753</v>
      </c>
      <c r="L77" s="167">
        <f t="shared" si="17"/>
        <v>2.2999999999999998</v>
      </c>
      <c r="M77" s="167">
        <f t="shared" si="14"/>
        <v>3.65</v>
      </c>
      <c r="N77" s="167">
        <f t="shared" si="18"/>
        <v>3.6</v>
      </c>
      <c r="O77" s="167">
        <f>IF('Crisis Indicator Data'!H74="x","x",IF('Crisis Indicator Data'!H74=0,0,IF(LOG('Crisis Indicator Data'!H74)&lt;O$4,0,IF(LOG('Crisis Indicator Data'!H74)&gt;O$3,5,ROUND(5-(O$3-LOG('Crisis Indicator Data'!H74))/(O$3-O$4)*5,1)))))</f>
        <v>4.9000000000000004</v>
      </c>
      <c r="P77" s="185">
        <f>IF('Crisis Indicator Data'!H74="x","x",'Crisis Indicator Data'!H74/'Crisis Indicator Data'!G74)</f>
        <v>0.51417283571784744</v>
      </c>
      <c r="Q77" s="167">
        <f t="shared" si="19"/>
        <v>2.5</v>
      </c>
      <c r="R77" s="167">
        <f t="shared" si="15"/>
        <v>3.7</v>
      </c>
      <c r="S77" s="167">
        <f>IF('Crisis Indicator Data'!I74="x","x",IF('Crisis Indicator Data'!I74=0,0,IF(LOG('Crisis Indicator Data'!I74)&lt;S$4,0,IF(LOG('Crisis Indicator Data'!I74)&gt;S$3,5,ROUND(5-(S$3-LOG('Crisis Indicator Data'!I74))/(S$3-S$4)*5,1)))))</f>
        <v>1.9</v>
      </c>
      <c r="T77" s="185">
        <f>IF('Crisis Indicator Data'!H74="x","x",IF('Crisis Indicator Data'!I74="x","x",'Crisis Indicator Data'!I74/'Crisis Indicator Data'!H74))</f>
        <v>7.8328981723237601E-4</v>
      </c>
      <c r="U77" s="167">
        <f t="shared" si="20"/>
        <v>0</v>
      </c>
      <c r="V77" s="167">
        <f t="shared" si="21"/>
        <v>1</v>
      </c>
      <c r="W77" s="167">
        <f>IF('Crisis Indicator Data'!L74="x","x",IF('Crisis Indicator Data'!L74=0,0,IF(LOG('Crisis Indicator Data'!L74)&lt;W$4,0,IF(LOG('Crisis Indicator Data'!L74)&gt;W$3,5,ROUND(5-(W$3-LOG('Crisis Indicator Data'!L74))/(W$3-W$4)*5,1)))))</f>
        <v>2.4</v>
      </c>
      <c r="X77" s="186">
        <f>IF(OR('Crisis Indicator Data'!L74="x",'Crisis Indicator Data'!H74="x"),"x",'Crisis Indicator Data'!L74/'Crisis Indicator Data'!H74)</f>
        <v>1.75307720999627E-6</v>
      </c>
      <c r="Y77" s="167">
        <f t="shared" si="22"/>
        <v>0.1</v>
      </c>
      <c r="Z77" s="167">
        <f t="shared" si="23"/>
        <v>1.3</v>
      </c>
      <c r="AA77" s="167">
        <f t="shared" si="24"/>
        <v>1.2</v>
      </c>
      <c r="AB77" s="187">
        <f t="shared" si="25"/>
        <v>2.7</v>
      </c>
    </row>
    <row r="78" spans="1:28" x14ac:dyDescent="0.3">
      <c r="A78" s="194" t="str">
        <f>'Crisis Indicator Data'!A75</f>
        <v>Complex crisis in Libya</v>
      </c>
      <c r="B78" s="195" t="str">
        <f>'Crisis Indicator Data'!B75</f>
        <v>Multiple crises country</v>
      </c>
      <c r="C78" s="195" t="str">
        <f>'Crisis Indicator Data'!C75</f>
        <v>LBY001</v>
      </c>
      <c r="D78" s="195" t="str">
        <f>'Crisis Indicator Data'!D75</f>
        <v>Libya</v>
      </c>
      <c r="E78" s="196" t="str">
        <f>'Crisis Indicator Data'!E75</f>
        <v>LBY</v>
      </c>
      <c r="F78" s="190">
        <f>IF('Crisis Indicator Data'!F75="x","x",IF(LOG('Crisis Indicator Data'!F75)&lt;F$4,0,IF(LOG('Crisis Indicator Data'!F75)&gt;F$3,5,ROUND(5-(F$3-LOG('Crisis Indicator Data'!F75))/(F$3-F$4)*5,1))))</f>
        <v>5</v>
      </c>
      <c r="G78" s="188">
        <f>IF('Crisis Indicator Data'!F75="x","x",IF(B78="Regional crisis",('Crisis Indicator Data'!F75/VLOOKUP('Impact of the crisis'!$C78,'Regional Crises'!$B$1:$R$66,4,FALSE)),'Crisis Indicator Data'!F75/VLOOKUP('Impact of the crisis'!$E78,'Country Indicator Data'!$B$4:$P$194,15,FALSE)))</f>
        <v>1</v>
      </c>
      <c r="H78" s="167">
        <f t="shared" si="16"/>
        <v>5</v>
      </c>
      <c r="I78" s="167">
        <f t="shared" si="13"/>
        <v>5</v>
      </c>
      <c r="J78" s="167">
        <f>IF('Crisis Indicator Data'!G75="x","x",IF(LOG('Crisis Indicator Data'!G75)&lt;J$4,0,IF(LOG('Crisis Indicator Data'!G75)&gt;J$3,5,ROUND(5-(J$3-LOG('Crisis Indicator Data'!G75))/(J$3-J$4)*5,1))))</f>
        <v>2.8</v>
      </c>
      <c r="K78" s="188">
        <f>IF('Crisis Indicator Data'!G75="x","x",IF(B78="Regional crisis",('Crisis Indicator Data'!G75/VLOOKUP('Impact of the crisis'!$C78,'Regional Crises'!$B$1:$R$66,5,FALSE)),'Crisis Indicator Data'!G75/VLOOKUP('Impact of the crisis'!$E78,'Country Indicator Data'!$B$4:$P$194,14,FALSE)))</f>
        <v>1</v>
      </c>
      <c r="L78" s="167">
        <f t="shared" si="17"/>
        <v>5</v>
      </c>
      <c r="M78" s="167">
        <f t="shared" si="14"/>
        <v>3.9</v>
      </c>
      <c r="N78" s="167">
        <f t="shared" si="18"/>
        <v>4.5</v>
      </c>
      <c r="O78" s="167">
        <f>IF('Crisis Indicator Data'!H75="x","x",IF('Crisis Indicator Data'!H75=0,0,IF(LOG('Crisis Indicator Data'!H75)&lt;O$4,0,IF(LOG('Crisis Indicator Data'!H75)&gt;O$3,5,ROUND(5-(O$3-LOG('Crisis Indicator Data'!H75))/(O$3-O$4)*5,1)))))</f>
        <v>2.9</v>
      </c>
      <c r="P78" s="185">
        <f>IF('Crisis Indicator Data'!H75="x","x",'Crisis Indicator Data'!H75/'Crisis Indicator Data'!G75)</f>
        <v>0.26197060107699027</v>
      </c>
      <c r="Q78" s="167">
        <f t="shared" si="19"/>
        <v>1.3</v>
      </c>
      <c r="R78" s="167">
        <f t="shared" si="15"/>
        <v>2.1</v>
      </c>
      <c r="S78" s="167">
        <f>IF('Crisis Indicator Data'!I75="x","x",IF('Crisis Indicator Data'!I75=0,0,IF(LOG('Crisis Indicator Data'!I75)&lt;S$4,0,IF(LOG('Crisis Indicator Data'!I75)&gt;S$3,5,ROUND(5-(S$3-LOG('Crisis Indicator Data'!I75))/(S$3-S$4)*5,1)))))</f>
        <v>4.5</v>
      </c>
      <c r="T78" s="185">
        <f>IF('Crisis Indicator Data'!H75="x","x",IF('Crisis Indicator Data'!I75="x","x",'Crisis Indicator Data'!I75/'Crisis Indicator Data'!H75))</f>
        <v>0.81444444444444442</v>
      </c>
      <c r="U78" s="167">
        <f t="shared" si="20"/>
        <v>5</v>
      </c>
      <c r="V78" s="167">
        <f t="shared" si="21"/>
        <v>4.8</v>
      </c>
      <c r="W78" s="167">
        <f>IF('Crisis Indicator Data'!L75="x","x",IF('Crisis Indicator Data'!L75=0,0,IF(LOG('Crisis Indicator Data'!L75)&lt;W$4,0,IF(LOG('Crisis Indicator Data'!L75)&gt;W$3,5,ROUND(5-(W$3-LOG('Crisis Indicator Data'!L75))/(W$3-W$4)*5,1)))))</f>
        <v>4.0999999999999996</v>
      </c>
      <c r="X78" s="186">
        <f>IF(OR('Crisis Indicator Data'!L75="x",'Crisis Indicator Data'!H75="x"),"x",'Crisis Indicator Data'!L75/'Crisis Indicator Data'!H75)</f>
        <v>3.8444444444444447E-4</v>
      </c>
      <c r="Y78" s="167">
        <f t="shared" si="22"/>
        <v>5</v>
      </c>
      <c r="Z78" s="167">
        <f t="shared" si="23"/>
        <v>4.5999999999999996</v>
      </c>
      <c r="AA78" s="167">
        <f t="shared" si="24"/>
        <v>4.7</v>
      </c>
      <c r="AB78" s="187">
        <f t="shared" si="25"/>
        <v>3.7</v>
      </c>
    </row>
    <row r="79" spans="1:28" x14ac:dyDescent="0.3">
      <c r="A79" s="194" t="str">
        <f>'Crisis Indicator Data'!A76</f>
        <v>Mixed migration flows in Libya</v>
      </c>
      <c r="B79" s="195" t="str">
        <f>'Crisis Indicator Data'!B76</f>
        <v>International displacement</v>
      </c>
      <c r="C79" s="195" t="str">
        <f>'Crisis Indicator Data'!C76</f>
        <v>LBY002</v>
      </c>
      <c r="D79" s="195" t="str">
        <f>'Crisis Indicator Data'!D76</f>
        <v>Libya</v>
      </c>
      <c r="E79" s="196" t="str">
        <f>'Crisis Indicator Data'!E76</f>
        <v>LBY</v>
      </c>
      <c r="F79" s="190">
        <f>IF('Crisis Indicator Data'!F76="x","x",IF(LOG('Crisis Indicator Data'!F76)&lt;F$4,0,IF(LOG('Crisis Indicator Data'!F76)&gt;F$3,5,ROUND(5-(F$3-LOG('Crisis Indicator Data'!F76))/(F$3-F$4)*5,1))))</f>
        <v>5</v>
      </c>
      <c r="G79" s="188">
        <f>IF('Crisis Indicator Data'!F76="x","x",IF(B79="Regional crisis",('Crisis Indicator Data'!F76/VLOOKUP('Impact of the crisis'!$C79,'Regional Crises'!$B$1:$R$66,4,FALSE)),'Crisis Indicator Data'!F76/VLOOKUP('Impact of the crisis'!$E79,'Country Indicator Data'!$B$4:$P$194,15,FALSE)))</f>
        <v>1</v>
      </c>
      <c r="H79" s="167">
        <f t="shared" si="16"/>
        <v>5</v>
      </c>
      <c r="I79" s="167">
        <f t="shared" si="13"/>
        <v>5</v>
      </c>
      <c r="J79" s="167">
        <f>IF('Crisis Indicator Data'!G76="x","x",IF(LOG('Crisis Indicator Data'!G76)&lt;J$4,0,IF(LOG('Crisis Indicator Data'!G76)&gt;J$3,5,ROUND(5-(J$3-LOG('Crisis Indicator Data'!G76))/(J$3-J$4)*5,1))))</f>
        <v>2.8</v>
      </c>
      <c r="K79" s="188">
        <f>IF('Crisis Indicator Data'!G76="x","x",IF(B79="Regional crisis",('Crisis Indicator Data'!G76/VLOOKUP('Impact of the crisis'!$C79,'Regional Crises'!$B$1:$R$66,5,FALSE)),'Crisis Indicator Data'!G76/VLOOKUP('Impact of the crisis'!$E79,'Country Indicator Data'!$B$4:$P$194,14,FALSE)))</f>
        <v>1</v>
      </c>
      <c r="L79" s="167">
        <f t="shared" si="17"/>
        <v>5</v>
      </c>
      <c r="M79" s="167">
        <f t="shared" si="14"/>
        <v>3.9</v>
      </c>
      <c r="N79" s="167">
        <f t="shared" si="18"/>
        <v>4.5</v>
      </c>
      <c r="O79" s="167">
        <f>IF('Crisis Indicator Data'!H76="x","x",IF('Crisis Indicator Data'!H76=0,0,IF(LOG('Crisis Indicator Data'!H76)&lt;O$4,0,IF(LOG('Crisis Indicator Data'!H76)&gt;O$3,5,ROUND(5-(O$3-LOG('Crisis Indicator Data'!H76))/(O$3-O$4)*5,1)))))</f>
        <v>2.1</v>
      </c>
      <c r="P79" s="185">
        <f>IF('Crisis Indicator Data'!H76="x","x",'Crisis Indicator Data'!H76/'Crisis Indicator Data'!G76)</f>
        <v>8.5140445350021826E-2</v>
      </c>
      <c r="Q79" s="167">
        <f t="shared" si="19"/>
        <v>0.4</v>
      </c>
      <c r="R79" s="167">
        <f t="shared" si="15"/>
        <v>1.25</v>
      </c>
      <c r="S79" s="167">
        <f>IF('Crisis Indicator Data'!I76="x","x",IF('Crisis Indicator Data'!I76=0,0,IF(LOG('Crisis Indicator Data'!I76)&lt;S$4,0,IF(LOG('Crisis Indicator Data'!I76)&gt;S$3,5,ROUND(5-(S$3-LOG('Crisis Indicator Data'!I76))/(S$3-S$4)*5,1)))))</f>
        <v>4</v>
      </c>
      <c r="T79" s="185">
        <f>IF('Crisis Indicator Data'!H76="x","x",IF('Crisis Indicator Data'!I76="x","x",'Crisis Indicator Data'!I76/'Crisis Indicator Data'!H76))</f>
        <v>1</v>
      </c>
      <c r="U79" s="167">
        <f t="shared" si="20"/>
        <v>5</v>
      </c>
      <c r="V79" s="167">
        <f t="shared" si="21"/>
        <v>4.5</v>
      </c>
      <c r="W79" s="167">
        <f>IF('Crisis Indicator Data'!L76="x","x",IF('Crisis Indicator Data'!L76=0,0,IF(LOG('Crisis Indicator Data'!L76)&lt;W$4,0,IF(LOG('Crisis Indicator Data'!L76)&gt;W$3,5,ROUND(5-(W$3-LOG('Crisis Indicator Data'!L76))/(W$3-W$4)*5,1)))))</f>
        <v>3.3</v>
      </c>
      <c r="X79" s="186">
        <f>IF(OR('Crisis Indicator Data'!L76="x",'Crisis Indicator Data'!H76="x"),"x",'Crisis Indicator Data'!L76/'Crisis Indicator Data'!H76)</f>
        <v>3.5384615384615386E-4</v>
      </c>
      <c r="Y79" s="167">
        <f t="shared" si="22"/>
        <v>5</v>
      </c>
      <c r="Z79" s="167">
        <f t="shared" si="23"/>
        <v>4.2</v>
      </c>
      <c r="AA79" s="167">
        <f t="shared" si="24"/>
        <v>4.4000000000000004</v>
      </c>
      <c r="AB79" s="187">
        <f t="shared" si="25"/>
        <v>3.2</v>
      </c>
    </row>
    <row r="80" spans="1:28" x14ac:dyDescent="0.3">
      <c r="A80" s="194" t="str">
        <f>'Crisis Indicator Data'!A77</f>
        <v>Drought in Madagascar</v>
      </c>
      <c r="B80" s="195" t="str">
        <f>'Crisis Indicator Data'!B77</f>
        <v>Drought</v>
      </c>
      <c r="C80" s="195" t="str">
        <f>'Crisis Indicator Data'!C77</f>
        <v>MDG002</v>
      </c>
      <c r="D80" s="195" t="str">
        <f>'Crisis Indicator Data'!D77</f>
        <v>Madagascar</v>
      </c>
      <c r="E80" s="196" t="str">
        <f>'Crisis Indicator Data'!E77</f>
        <v>MDG</v>
      </c>
      <c r="F80" s="190">
        <f>IF('Crisis Indicator Data'!F77="x","x",IF(LOG('Crisis Indicator Data'!F77)&lt;F$4,0,IF(LOG('Crisis Indicator Data'!F77)&gt;F$3,5,ROUND(5-(F$3-LOG('Crisis Indicator Data'!F77))/(F$3-F$4)*5,1))))</f>
        <v>3.6</v>
      </c>
      <c r="G80" s="188">
        <f>IF('Crisis Indicator Data'!F77="x","x",IF(B80="Regional crisis",('Crisis Indicator Data'!F77/VLOOKUP('Impact of the crisis'!$C80,'Regional Crises'!$B$1:$R$66,4,FALSE)),'Crisis Indicator Data'!F77/VLOOKUP('Impact of the crisis'!$E80,'Country Indicator Data'!$B$4:$P$194,15,FALSE)))</f>
        <v>0.25739429357167409</v>
      </c>
      <c r="H80" s="167">
        <f t="shared" si="16"/>
        <v>1.2</v>
      </c>
      <c r="I80" s="167">
        <f t="shared" si="13"/>
        <v>2.4</v>
      </c>
      <c r="J80" s="167">
        <f>IF('Crisis Indicator Data'!G77="x","x",IF(LOG('Crisis Indicator Data'!G77)&lt;J$4,0,IF(LOG('Crisis Indicator Data'!G77)&gt;J$3,5,ROUND(5-(J$3-LOG('Crisis Indicator Data'!G77))/(J$3-J$4)*5,1))))</f>
        <v>1.2</v>
      </c>
      <c r="K80" s="188">
        <f>IF('Crisis Indicator Data'!G77="x","x",IF(B80="Regional crisis",('Crisis Indicator Data'!G77/VLOOKUP('Impact of the crisis'!$C80,'Regional Crises'!$B$1:$R$66,5,FALSE)),'Crisis Indicator Data'!G77/VLOOKUP('Impact of the crisis'!$E80,'Country Indicator Data'!$B$4:$P$194,14,FALSE)))</f>
        <v>8.524344569288389E-2</v>
      </c>
      <c r="L80" s="167">
        <f t="shared" si="17"/>
        <v>0.4</v>
      </c>
      <c r="M80" s="167">
        <f t="shared" si="14"/>
        <v>0.8</v>
      </c>
      <c r="N80" s="167">
        <f t="shared" si="18"/>
        <v>1.7</v>
      </c>
      <c r="O80" s="167">
        <f>IF('Crisis Indicator Data'!H77="x","x",IF('Crisis Indicator Data'!H77=0,0,IF(LOG('Crisis Indicator Data'!H77)&lt;O$4,0,IF(LOG('Crisis Indicator Data'!H77)&gt;O$3,5,ROUND(5-(O$3-LOG('Crisis Indicator Data'!H77))/(O$3-O$4)*5,1)))))</f>
        <v>2.8</v>
      </c>
      <c r="P80" s="185">
        <f>IF('Crisis Indicator Data'!H77="x","x",'Crisis Indicator Data'!H77/'Crisis Indicator Data'!G77)</f>
        <v>0.70474516695957823</v>
      </c>
      <c r="Q80" s="167">
        <f t="shared" si="19"/>
        <v>3.5</v>
      </c>
      <c r="R80" s="167">
        <f t="shared" si="15"/>
        <v>3.15</v>
      </c>
      <c r="S80" s="167" t="str">
        <f>IF('Crisis Indicator Data'!I77="x","x",IF('Crisis Indicator Data'!I77=0,0,IF(LOG('Crisis Indicator Data'!I77)&lt;S$4,0,IF(LOG('Crisis Indicator Data'!I77)&gt;S$3,5,ROUND(5-(S$3-LOG('Crisis Indicator Data'!I77))/(S$3-S$4)*5,1)))))</f>
        <v>x</v>
      </c>
      <c r="T80" s="185" t="str">
        <f>IF('Crisis Indicator Data'!H77="x","x",IF('Crisis Indicator Data'!I77="x","x",'Crisis Indicator Data'!I77/'Crisis Indicator Data'!H77))</f>
        <v>x</v>
      </c>
      <c r="U80" s="167" t="str">
        <f t="shared" si="20"/>
        <v>x</v>
      </c>
      <c r="V80" s="167" t="str">
        <f t="shared" si="21"/>
        <v>x</v>
      </c>
      <c r="W80" s="167" t="str">
        <f>IF('Crisis Indicator Data'!L77="x","x",IF('Crisis Indicator Data'!L77=0,0,IF(LOG('Crisis Indicator Data'!L77)&lt;W$4,0,IF(LOG('Crisis Indicator Data'!L77)&gt;W$3,5,ROUND(5-(W$3-LOG('Crisis Indicator Data'!L77))/(W$3-W$4)*5,1)))))</f>
        <v>x</v>
      </c>
      <c r="X80" s="186" t="str">
        <f>IF(OR('Crisis Indicator Data'!L77="x",'Crisis Indicator Data'!H77="x"),"x",'Crisis Indicator Data'!L77/'Crisis Indicator Data'!H77)</f>
        <v>x</v>
      </c>
      <c r="Y80" s="167" t="str">
        <f t="shared" si="22"/>
        <v>x</v>
      </c>
      <c r="Z80" s="167" t="str">
        <f t="shared" si="23"/>
        <v>x</v>
      </c>
      <c r="AA80" s="167" t="str">
        <f t="shared" si="24"/>
        <v>x</v>
      </c>
      <c r="AB80" s="187">
        <f t="shared" si="25"/>
        <v>3.15</v>
      </c>
    </row>
    <row r="81" spans="1:28" x14ac:dyDescent="0.3">
      <c r="A81" s="194" t="str">
        <f>'Crisis Indicator Data'!A78</f>
        <v>Floods in Madagascar</v>
      </c>
      <c r="B81" s="195" t="str">
        <f>'Crisis Indicator Data'!B78</f>
        <v>Flood</v>
      </c>
      <c r="C81" s="195" t="str">
        <f>'Crisis Indicator Data'!C78</f>
        <v>MDG004</v>
      </c>
      <c r="D81" s="195" t="str">
        <f>'Crisis Indicator Data'!D78</f>
        <v>Madagascar</v>
      </c>
      <c r="E81" s="196" t="str">
        <f>'Crisis Indicator Data'!E78</f>
        <v>MDG</v>
      </c>
      <c r="F81" s="190">
        <f>IF('Crisis Indicator Data'!F78="x","x",IF(LOG('Crisis Indicator Data'!F78)&lt;F$4,0,IF(LOG('Crisis Indicator Data'!F78)&gt;F$3,5,ROUND(5-(F$3-LOG('Crisis Indicator Data'!F78))/(F$3-F$4)*5,1))))</f>
        <v>3.1</v>
      </c>
      <c r="G81" s="188">
        <f>IF('Crisis Indicator Data'!F78="x","x",IF(B81="Regional crisis",('Crisis Indicator Data'!F78/VLOOKUP('Impact of the crisis'!$C81,'Regional Crises'!$B$1:$R$66,4,FALSE)),'Crisis Indicator Data'!F78/VLOOKUP('Impact of the crisis'!$E81,'Country Indicator Data'!$B$4:$P$194,15,FALSE)))</f>
        <v>0.13093331041595049</v>
      </c>
      <c r="H81" s="167">
        <f t="shared" si="16"/>
        <v>0.6</v>
      </c>
      <c r="I81" s="167">
        <f t="shared" si="13"/>
        <v>1.85</v>
      </c>
      <c r="J81" s="167">
        <f>IF('Crisis Indicator Data'!G78="x","x",IF(LOG('Crisis Indicator Data'!G78)&lt;J$4,0,IF(LOG('Crisis Indicator Data'!G78)&gt;J$3,5,ROUND(5-(J$3-LOG('Crisis Indicator Data'!G78))/(J$3-J$4)*5,1))))</f>
        <v>2.1</v>
      </c>
      <c r="K81" s="188">
        <f>IF('Crisis Indicator Data'!G78="x","x",IF(B81="Regional crisis",('Crisis Indicator Data'!G78/VLOOKUP('Impact of the crisis'!$C81,'Regional Crises'!$B$1:$R$66,5,FALSE)),'Crisis Indicator Data'!G78/VLOOKUP('Impact of the crisis'!$E81,'Country Indicator Data'!$B$4:$P$194,14,FALSE)))</f>
        <v>0.16273408239700374</v>
      </c>
      <c r="L81" s="167">
        <f t="shared" si="17"/>
        <v>0.8</v>
      </c>
      <c r="M81" s="167">
        <f t="shared" si="14"/>
        <v>1.4500000000000002</v>
      </c>
      <c r="N81" s="167">
        <f t="shared" si="18"/>
        <v>1.7</v>
      </c>
      <c r="O81" s="167">
        <f>IF('Crisis Indicator Data'!H78="x","x",IF('Crisis Indicator Data'!H78=0,0,IF(LOG('Crisis Indicator Data'!H78)&lt;O$4,0,IF(LOG('Crisis Indicator Data'!H78)&gt;O$3,5,ROUND(5-(O$3-LOG('Crisis Indicator Data'!H78))/(O$3-O$4)*5,1)))))</f>
        <v>0.9</v>
      </c>
      <c r="P81" s="185">
        <f>IF('Crisis Indicator Data'!H78="x","x",'Crisis Indicator Data'!H78/'Crisis Indicator Data'!G78)</f>
        <v>2.6927502876869965E-2</v>
      </c>
      <c r="Q81" s="167">
        <f t="shared" si="19"/>
        <v>0.1</v>
      </c>
      <c r="R81" s="167">
        <f t="shared" si="15"/>
        <v>0.5</v>
      </c>
      <c r="S81" s="167">
        <f>IF('Crisis Indicator Data'!I78="x","x",IF('Crisis Indicator Data'!I78=0,0,IF(LOG('Crisis Indicator Data'!I78)&lt;S$4,0,IF(LOG('Crisis Indicator Data'!I78)&gt;S$3,5,ROUND(5-(S$3-LOG('Crisis Indicator Data'!I78))/(S$3-S$4)*5,1)))))</f>
        <v>1.7</v>
      </c>
      <c r="T81" s="185">
        <f>IF('Crisis Indicator Data'!H78="x","x",IF('Crisis Indicator Data'!I78="x","x",'Crisis Indicator Data'!I78/'Crisis Indicator Data'!H78))</f>
        <v>0.13675213675213677</v>
      </c>
      <c r="U81" s="167">
        <f t="shared" si="20"/>
        <v>4.5999999999999996</v>
      </c>
      <c r="V81" s="167">
        <f t="shared" si="21"/>
        <v>3.2</v>
      </c>
      <c r="W81" s="167">
        <f>IF('Crisis Indicator Data'!L78="x","x",IF('Crisis Indicator Data'!L78=0,0,IF(LOG('Crisis Indicator Data'!L78)&lt;W$4,0,IF(LOG('Crisis Indicator Data'!L78)&gt;W$3,5,ROUND(5-(W$3-LOG('Crisis Indicator Data'!L78))/(W$3-W$4)*5,1)))))</f>
        <v>3.2</v>
      </c>
      <c r="X81" s="186">
        <f>IF(OR('Crisis Indicator Data'!L78="x",'Crisis Indicator Data'!H78="x"),"x",'Crisis Indicator Data'!L78/'Crisis Indicator Data'!H78)</f>
        <v>1.452991452991453E-3</v>
      </c>
      <c r="Y81" s="167">
        <f t="shared" si="22"/>
        <v>5</v>
      </c>
      <c r="Z81" s="167">
        <f t="shared" si="23"/>
        <v>4.0999999999999996</v>
      </c>
      <c r="AA81" s="167">
        <f t="shared" si="24"/>
        <v>3.7</v>
      </c>
      <c r="AB81" s="187">
        <f t="shared" si="25"/>
        <v>2.4</v>
      </c>
    </row>
    <row r="82" spans="1:28" x14ac:dyDescent="0.3">
      <c r="A82" s="194" t="str">
        <f>'Crisis Indicator Data'!A79</f>
        <v>Complex Country Crisis in Madagascar</v>
      </c>
      <c r="B82" s="195" t="str">
        <f>'Crisis Indicator Data'!B79</f>
        <v>Complex crisis</v>
      </c>
      <c r="C82" s="195" t="str">
        <f>'Crisis Indicator Data'!C79</f>
        <v>MDG005</v>
      </c>
      <c r="D82" s="195" t="str">
        <f>'Crisis Indicator Data'!D79</f>
        <v>Madagascar</v>
      </c>
      <c r="E82" s="196" t="str">
        <f>'Crisis Indicator Data'!E79</f>
        <v>MDG</v>
      </c>
      <c r="F82" s="190">
        <f>IF('Crisis Indicator Data'!F79="x","x",IF(LOG('Crisis Indicator Data'!F79)&lt;F$4,0,IF(LOG('Crisis Indicator Data'!F79)&gt;F$3,5,ROUND(5-(F$3-LOG('Crisis Indicator Data'!F79))/(F$3-F$4)*5,1))))</f>
        <v>3.1</v>
      </c>
      <c r="G82" s="188">
        <f>IF('Crisis Indicator Data'!F79="x","x",IF(B82="Regional crisis",('Crisis Indicator Data'!F79/VLOOKUP('Impact of the crisis'!$C82,'Regional Crises'!$B$1:$R$66,4,FALSE)),'Crisis Indicator Data'!F79/VLOOKUP('Impact of the crisis'!$E82,'Country Indicator Data'!$B$4:$P$194,15,FALSE)))</f>
        <v>0.13093331041595049</v>
      </c>
      <c r="H82" s="167">
        <f t="shared" si="16"/>
        <v>0.6</v>
      </c>
      <c r="I82" s="167">
        <f t="shared" si="13"/>
        <v>1.85</v>
      </c>
      <c r="J82" s="167">
        <f>IF('Crisis Indicator Data'!G79="x","x",IF(LOG('Crisis Indicator Data'!G79)&lt;J$4,0,IF(LOG('Crisis Indicator Data'!G79)&gt;J$3,5,ROUND(5-(J$3-LOG('Crisis Indicator Data'!G79))/(J$3-J$4)*5,1))))</f>
        <v>2.7</v>
      </c>
      <c r="K82" s="188">
        <f>IF('Crisis Indicator Data'!G79="x","x",IF(B82="Regional crisis",('Crisis Indicator Data'!G79/VLOOKUP('Impact of the crisis'!$C82,'Regional Crises'!$B$1:$R$66,5,FALSE)),'Crisis Indicator Data'!G79/VLOOKUP('Impact of the crisis'!$E82,'Country Indicator Data'!$B$4:$P$194,14,FALSE)))</f>
        <v>0.24797752808988763</v>
      </c>
      <c r="L82" s="167">
        <f t="shared" si="17"/>
        <v>1.2</v>
      </c>
      <c r="M82" s="167">
        <f t="shared" si="14"/>
        <v>1.9500000000000002</v>
      </c>
      <c r="N82" s="167">
        <f t="shared" si="18"/>
        <v>1.9</v>
      </c>
      <c r="O82" s="167">
        <f>IF('Crisis Indicator Data'!H79="x","x",IF('Crisis Indicator Data'!H79=0,0,IF(LOG('Crisis Indicator Data'!H79)&lt;O$4,0,IF(LOG('Crisis Indicator Data'!H79)&gt;O$3,5,ROUND(5-(O$3-LOG('Crisis Indicator Data'!H79))/(O$3-O$4)*5,1)))))</f>
        <v>2.9</v>
      </c>
      <c r="P82" s="185">
        <f>IF('Crisis Indicator Data'!H79="x","x",'Crisis Indicator Data'!H79/'Crisis Indicator Data'!G79)</f>
        <v>0.26159190454614106</v>
      </c>
      <c r="Q82" s="167">
        <f t="shared" si="19"/>
        <v>1.3</v>
      </c>
      <c r="R82" s="167">
        <f t="shared" si="15"/>
        <v>2.1</v>
      </c>
      <c r="S82" s="167">
        <f>IF('Crisis Indicator Data'!I79="x","x",IF('Crisis Indicator Data'!I79=0,0,IF(LOG('Crisis Indicator Data'!I79)&lt;S$4,0,IF(LOG('Crisis Indicator Data'!I79)&gt;S$3,5,ROUND(5-(S$3-LOG('Crisis Indicator Data'!I79))/(S$3-S$4)*5,1)))))</f>
        <v>1.7</v>
      </c>
      <c r="T82" s="185">
        <f>IF('Crisis Indicator Data'!H79="x","x",IF('Crisis Indicator Data'!I79="x","x",'Crisis Indicator Data'!I79/'Crisis Indicator Data'!H79))</f>
        <v>9.2378752886836026E-3</v>
      </c>
      <c r="U82" s="167">
        <f t="shared" si="20"/>
        <v>0.3</v>
      </c>
      <c r="V82" s="167">
        <f t="shared" si="21"/>
        <v>1</v>
      </c>
      <c r="W82" s="167">
        <f>IF('Crisis Indicator Data'!L79="x","x",IF('Crisis Indicator Data'!L79=0,0,IF(LOG('Crisis Indicator Data'!L79)&lt;W$4,0,IF(LOG('Crisis Indicator Data'!L79)&gt;W$3,5,ROUND(5-(W$3-LOG('Crisis Indicator Data'!L79))/(W$3-W$4)*5,1)))))</f>
        <v>3.2</v>
      </c>
      <c r="X82" s="186">
        <f>IF(OR('Crisis Indicator Data'!L79="x",'Crisis Indicator Data'!H79="x"),"x",'Crisis Indicator Data'!L79/'Crisis Indicator Data'!H79)</f>
        <v>9.7575057736720556E-5</v>
      </c>
      <c r="Y82" s="167">
        <f t="shared" si="22"/>
        <v>4.9000000000000004</v>
      </c>
      <c r="Z82" s="167">
        <f t="shared" si="23"/>
        <v>4.0999999999999996</v>
      </c>
      <c r="AA82" s="167">
        <f t="shared" si="24"/>
        <v>2.9</v>
      </c>
      <c r="AB82" s="187">
        <f t="shared" si="25"/>
        <v>2.5</v>
      </c>
    </row>
    <row r="83" spans="1:28" x14ac:dyDescent="0.3">
      <c r="A83" s="194" t="str">
        <f>'Crisis Indicator Data'!A80</f>
        <v>Complex crisis in Malawi</v>
      </c>
      <c r="B83" s="195" t="str">
        <f>'Crisis Indicator Data'!B80</f>
        <v>Complex crisis</v>
      </c>
      <c r="C83" s="195" t="str">
        <f>'Crisis Indicator Data'!C80</f>
        <v>MWI002</v>
      </c>
      <c r="D83" s="195" t="str">
        <f>'Crisis Indicator Data'!D80</f>
        <v>Malawi</v>
      </c>
      <c r="E83" s="196" t="str">
        <f>'Crisis Indicator Data'!E80</f>
        <v>MWI</v>
      </c>
      <c r="F83" s="190">
        <f>IF('Crisis Indicator Data'!F80="x","x",IF(LOG('Crisis Indicator Data'!F80)&lt;F$4,0,IF(LOG('Crisis Indicator Data'!F80)&gt;F$3,5,ROUND(5-(F$3-LOG('Crisis Indicator Data'!F80))/(F$3-F$4)*5,1))))</f>
        <v>3.3</v>
      </c>
      <c r="G83" s="188">
        <f>IF('Crisis Indicator Data'!F80="x","x",IF(B83="Regional crisis",('Crisis Indicator Data'!F80/VLOOKUP('Impact of the crisis'!$C83,'Regional Crises'!$B$1:$R$66,4,FALSE)),'Crisis Indicator Data'!F80/VLOOKUP('Impact of the crisis'!$E83,'Country Indicator Data'!$B$4:$P$194,15,FALSE)))</f>
        <v>0.99995757318625367</v>
      </c>
      <c r="H83" s="167">
        <f t="shared" si="16"/>
        <v>5</v>
      </c>
      <c r="I83" s="167">
        <f t="shared" si="13"/>
        <v>4.1500000000000004</v>
      </c>
      <c r="J83" s="167">
        <f>IF('Crisis Indicator Data'!G80="x","x",IF(LOG('Crisis Indicator Data'!G80)&lt;J$4,0,IF(LOG('Crisis Indicator Data'!G80)&gt;J$3,5,ROUND(5-(J$3-LOG('Crisis Indicator Data'!G80))/(J$3-J$4)*5,1))))</f>
        <v>4.2</v>
      </c>
      <c r="K83" s="188">
        <f>IF('Crisis Indicator Data'!G80="x","x",IF(B83="Regional crisis",('Crisis Indicator Data'!G80/VLOOKUP('Impact of the crisis'!$C83,'Regional Crises'!$B$1:$R$66,5,FALSE)),'Crisis Indicator Data'!G80/VLOOKUP('Impact of the crisis'!$E83,'Country Indicator Data'!$B$4:$P$194,14,FALSE)))</f>
        <v>0.92409827496079455</v>
      </c>
      <c r="L83" s="167">
        <f t="shared" si="17"/>
        <v>4.5999999999999996</v>
      </c>
      <c r="M83" s="167">
        <f t="shared" si="14"/>
        <v>4.4000000000000004</v>
      </c>
      <c r="N83" s="167">
        <f t="shared" si="18"/>
        <v>4.3</v>
      </c>
      <c r="O83" s="167">
        <f>IF('Crisis Indicator Data'!H80="x","x",IF('Crisis Indicator Data'!H80=0,0,IF(LOG('Crisis Indicator Data'!H80)&lt;O$4,0,IF(LOG('Crisis Indicator Data'!H80)&gt;O$3,5,ROUND(5-(O$3-LOG('Crisis Indicator Data'!H80))/(O$3-O$4)*5,1)))))</f>
        <v>4.0999999999999996</v>
      </c>
      <c r="P83" s="185">
        <f>IF('Crisis Indicator Data'!H80="x","x",'Crisis Indicator Data'!H80/'Crisis Indicator Data'!G80)</f>
        <v>0.49988686502998075</v>
      </c>
      <c r="Q83" s="167">
        <f t="shared" si="19"/>
        <v>2.5</v>
      </c>
      <c r="R83" s="167">
        <f t="shared" si="15"/>
        <v>3.3</v>
      </c>
      <c r="S83" s="167">
        <f>IF('Crisis Indicator Data'!I80="x","x",IF('Crisis Indicator Data'!I80=0,0,IF(LOG('Crisis Indicator Data'!I80)&lt;S$4,0,IF(LOG('Crisis Indicator Data'!I80)&gt;S$3,5,ROUND(5-(S$3-LOG('Crisis Indicator Data'!I80))/(S$3-S$4)*5,1)))))</f>
        <v>0</v>
      </c>
      <c r="T83" s="185">
        <f>IF('Crisis Indicator Data'!H80="x","x",IF('Crisis Indicator Data'!I80="x","x",'Crisis Indicator Data'!I80/'Crisis Indicator Data'!H80))</f>
        <v>0</v>
      </c>
      <c r="U83" s="167">
        <f t="shared" si="20"/>
        <v>0</v>
      </c>
      <c r="V83" s="167">
        <f t="shared" si="21"/>
        <v>0</v>
      </c>
      <c r="W83" s="167">
        <f>IF('Crisis Indicator Data'!L80="x","x",IF('Crisis Indicator Data'!L80=0,0,IF(LOG('Crisis Indicator Data'!L80)&lt;W$4,0,IF(LOG('Crisis Indicator Data'!L80)&gt;W$3,5,ROUND(5-(W$3-LOG('Crisis Indicator Data'!L80))/(W$3-W$4)*5,1)))))</f>
        <v>2.2000000000000002</v>
      </c>
      <c r="X83" s="186">
        <f>IF(OR('Crisis Indicator Data'!L80="x",'Crisis Indicator Data'!H80="x"),"x",'Crisis Indicator Data'!L80/'Crisis Indicator Data'!H80)</f>
        <v>3.7342989702387687E-6</v>
      </c>
      <c r="Y83" s="167">
        <f t="shared" si="22"/>
        <v>0.2</v>
      </c>
      <c r="Z83" s="167">
        <f t="shared" si="23"/>
        <v>1.2</v>
      </c>
      <c r="AA83" s="167">
        <f t="shared" si="24"/>
        <v>0.6</v>
      </c>
      <c r="AB83" s="187">
        <f t="shared" si="25"/>
        <v>2.2000000000000002</v>
      </c>
    </row>
    <row r="84" spans="1:28" x14ac:dyDescent="0.3">
      <c r="A84" s="194" t="str">
        <f>'Crisis Indicator Data'!A81</f>
        <v>Complex crisis in Mali</v>
      </c>
      <c r="B84" s="195" t="str">
        <f>'Crisis Indicator Data'!B81</f>
        <v>Complex crisis</v>
      </c>
      <c r="C84" s="195" t="str">
        <f>'Crisis Indicator Data'!C81</f>
        <v>MLI001</v>
      </c>
      <c r="D84" s="195" t="str">
        <f>'Crisis Indicator Data'!D81</f>
        <v>Mali</v>
      </c>
      <c r="E84" s="196" t="str">
        <f>'Crisis Indicator Data'!E81</f>
        <v>MLI</v>
      </c>
      <c r="F84" s="190">
        <f>IF('Crisis Indicator Data'!F81="x","x",IF(LOG('Crisis Indicator Data'!F81)&lt;F$4,0,IF(LOG('Crisis Indicator Data'!F81)&gt;F$3,5,ROUND(5-(F$3-LOG('Crisis Indicator Data'!F81))/(F$3-F$4)*5,1))))</f>
        <v>5</v>
      </c>
      <c r="G84" s="188">
        <f>IF('Crisis Indicator Data'!F81="x","x",IF(B84="Regional crisis",('Crisis Indicator Data'!F81/VLOOKUP('Impact of the crisis'!$C84,'Regional Crises'!$B$1:$R$66,4,FALSE)),'Crisis Indicator Data'!F81/VLOOKUP('Impact of the crisis'!$E84,'Country Indicator Data'!$B$4:$P$194,15,FALSE)))</f>
        <v>1</v>
      </c>
      <c r="H84" s="167">
        <f t="shared" si="16"/>
        <v>5</v>
      </c>
      <c r="I84" s="167">
        <f t="shared" si="13"/>
        <v>5</v>
      </c>
      <c r="J84" s="167">
        <f>IF('Crisis Indicator Data'!G81="x","x",IF(LOG('Crisis Indicator Data'!G81)&lt;J$4,0,IF(LOG('Crisis Indicator Data'!G81)&gt;J$3,5,ROUND(5-(J$3-LOG('Crisis Indicator Data'!G81))/(J$3-J$4)*5,1))))</f>
        <v>4.3</v>
      </c>
      <c r="K84" s="188">
        <f>IF('Crisis Indicator Data'!G81="x","x",IF(B84="Regional crisis",('Crisis Indicator Data'!G81/VLOOKUP('Impact of the crisis'!$C84,'Regional Crises'!$B$1:$R$66,5,FALSE)),'Crisis Indicator Data'!G81/VLOOKUP('Impact of the crisis'!$E84,'Country Indicator Data'!$B$4:$P$194,14,FALSE)))</f>
        <v>1.0002525124993686</v>
      </c>
      <c r="L84" s="167">
        <f t="shared" si="17"/>
        <v>5</v>
      </c>
      <c r="M84" s="167">
        <f t="shared" si="14"/>
        <v>4.6500000000000004</v>
      </c>
      <c r="N84" s="167">
        <f t="shared" si="18"/>
        <v>4.8</v>
      </c>
      <c r="O84" s="167">
        <f>IF('Crisis Indicator Data'!H81="x","x",IF('Crisis Indicator Data'!H81=0,0,IF(LOG('Crisis Indicator Data'!H81)&lt;O$4,0,IF(LOG('Crisis Indicator Data'!H81)&gt;O$3,5,ROUND(5-(O$3-LOG('Crisis Indicator Data'!H81))/(O$3-O$4)*5,1)))))</f>
        <v>4</v>
      </c>
      <c r="P84" s="185">
        <f>IF('Crisis Indicator Data'!H81="x","x",'Crisis Indicator Data'!H81/'Crisis Indicator Data'!G81)</f>
        <v>0.41401595476118347</v>
      </c>
      <c r="Q84" s="167">
        <f t="shared" si="19"/>
        <v>2</v>
      </c>
      <c r="R84" s="167">
        <f t="shared" si="15"/>
        <v>3</v>
      </c>
      <c r="S84" s="167">
        <f>IF('Crisis Indicator Data'!I81="x","x",IF('Crisis Indicator Data'!I81=0,0,IF(LOG('Crisis Indicator Data'!I81)&lt;S$4,0,IF(LOG('Crisis Indicator Data'!I81)&gt;S$3,5,ROUND(5-(S$3-LOG('Crisis Indicator Data'!I81))/(S$3-S$4)*5,1)))))</f>
        <v>3.8</v>
      </c>
      <c r="T84" s="185">
        <f>IF('Crisis Indicator Data'!H81="x","x",IF('Crisis Indicator Data'!I81="x","x",'Crisis Indicator Data'!I81/'Crisis Indicator Data'!H81))</f>
        <v>5.24390243902439E-2</v>
      </c>
      <c r="U84" s="167">
        <f t="shared" si="20"/>
        <v>1.7</v>
      </c>
      <c r="V84" s="167">
        <f t="shared" si="21"/>
        <v>2.8</v>
      </c>
      <c r="W84" s="167">
        <f>IF('Crisis Indicator Data'!L81="x","x",IF('Crisis Indicator Data'!L81=0,0,IF(LOG('Crisis Indicator Data'!L81)&lt;W$4,0,IF(LOG('Crisis Indicator Data'!L81)&gt;W$3,5,ROUND(5-(W$3-LOG('Crisis Indicator Data'!L81))/(W$3-W$4)*5,1)))))</f>
        <v>4.5999999999999996</v>
      </c>
      <c r="X84" s="186">
        <f>IF(OR('Crisis Indicator Data'!L81="x",'Crisis Indicator Data'!H81="x"),"x",'Crisis Indicator Data'!L81/'Crisis Indicator Data'!H81)</f>
        <v>1.9597560975609756E-4</v>
      </c>
      <c r="Y84" s="167">
        <f t="shared" si="22"/>
        <v>5</v>
      </c>
      <c r="Z84" s="167">
        <f t="shared" si="23"/>
        <v>4.8</v>
      </c>
      <c r="AA84" s="167">
        <f t="shared" si="24"/>
        <v>4</v>
      </c>
      <c r="AB84" s="187">
        <f t="shared" si="25"/>
        <v>3.5</v>
      </c>
    </row>
    <row r="85" spans="1:28" x14ac:dyDescent="0.3">
      <c r="A85" s="194" t="str">
        <f>'Crisis Indicator Data'!A82</f>
        <v>Refugees from Mali in Mauritania</v>
      </c>
      <c r="B85" s="195" t="str">
        <f>'Crisis Indicator Data'!B82</f>
        <v>International displacement</v>
      </c>
      <c r="C85" s="195" t="str">
        <f>'Crisis Indicator Data'!C82</f>
        <v>MRT002</v>
      </c>
      <c r="D85" s="195" t="str">
        <f>'Crisis Indicator Data'!D82</f>
        <v>Mauritania</v>
      </c>
      <c r="E85" s="196" t="str">
        <f>'Crisis Indicator Data'!E82</f>
        <v>MRT</v>
      </c>
      <c r="F85" s="190">
        <f>IF('Crisis Indicator Data'!F82="x","x",IF(LOG('Crisis Indicator Data'!F82)&lt;F$4,0,IF(LOG('Crisis Indicator Data'!F82)&gt;F$3,5,ROUND(5-(F$3-LOG('Crisis Indicator Data'!F82))/(F$3-F$4)*5,1))))</f>
        <v>0</v>
      </c>
      <c r="G85" s="188">
        <f>IF('Crisis Indicator Data'!F82="x","x",IF(B85="Regional crisis",('Crisis Indicator Data'!F82/VLOOKUP('Impact of the crisis'!$C85,'Regional Crises'!$B$1:$R$66,4,FALSE)),'Crisis Indicator Data'!F82/VLOOKUP('Impact of the crisis'!$E85,'Country Indicator Data'!$B$4:$P$194,15,FALSE)))</f>
        <v>7.276608130396817E-5</v>
      </c>
      <c r="H85" s="167">
        <f t="shared" si="16"/>
        <v>0</v>
      </c>
      <c r="I85" s="167">
        <f t="shared" si="13"/>
        <v>0</v>
      </c>
      <c r="J85" s="167">
        <f>IF('Crisis Indicator Data'!G82="x","x",IF(LOG('Crisis Indicator Data'!G82)&lt;J$4,0,IF(LOG('Crisis Indicator Data'!G82)&gt;J$3,5,ROUND(5-(J$3-LOG('Crisis Indicator Data'!G82))/(J$3-J$4)*5,1))))</f>
        <v>0</v>
      </c>
      <c r="K85" s="188">
        <f>IF('Crisis Indicator Data'!G82="x","x",IF(B85="Regional crisis",('Crisis Indicator Data'!G82/VLOOKUP('Impact of the crisis'!$C85,'Regional Crises'!$B$1:$R$66,5,FALSE)),'Crisis Indicator Data'!G82/VLOOKUP('Impact of the crisis'!$E85,'Country Indicator Data'!$B$4:$P$194,14,FALSE)))</f>
        <v>1.7370325693606754E-2</v>
      </c>
      <c r="L85" s="167">
        <f t="shared" si="17"/>
        <v>0</v>
      </c>
      <c r="M85" s="167">
        <f t="shared" si="14"/>
        <v>0</v>
      </c>
      <c r="N85" s="167">
        <f t="shared" si="18"/>
        <v>0</v>
      </c>
      <c r="O85" s="167">
        <f>IF('Crisis Indicator Data'!H82="x","x",IF('Crisis Indicator Data'!H82=0,0,IF(LOG('Crisis Indicator Data'!H82)&lt;O$4,0,IF(LOG('Crisis Indicator Data'!H82)&gt;O$3,5,ROUND(5-(O$3-LOG('Crisis Indicator Data'!H82))/(O$3-O$4)*5,1)))))</f>
        <v>0.5</v>
      </c>
      <c r="P85" s="185">
        <f>IF('Crisis Indicator Data'!H82="x","x",'Crisis Indicator Data'!H82/'Crisis Indicator Data'!G82)</f>
        <v>0.84722222222222221</v>
      </c>
      <c r="Q85" s="167">
        <f t="shared" si="19"/>
        <v>4.2</v>
      </c>
      <c r="R85" s="167">
        <f t="shared" si="15"/>
        <v>2.35</v>
      </c>
      <c r="S85" s="167">
        <f>IF('Crisis Indicator Data'!I82="x","x",IF('Crisis Indicator Data'!I82=0,0,IF(LOG('Crisis Indicator Data'!I82)&lt;S$4,0,IF(LOG('Crisis Indicator Data'!I82)&gt;S$3,5,ROUND(5-(S$3-LOG('Crisis Indicator Data'!I82))/(S$3-S$4)*5,1)))))</f>
        <v>2.6</v>
      </c>
      <c r="T85" s="185">
        <f>IF('Crisis Indicator Data'!H82="x","x",IF('Crisis Indicator Data'!I82="x","x",'Crisis Indicator Data'!I82/'Crisis Indicator Data'!H82))</f>
        <v>1</v>
      </c>
      <c r="U85" s="167">
        <f t="shared" si="20"/>
        <v>5</v>
      </c>
      <c r="V85" s="167">
        <f t="shared" si="21"/>
        <v>3.8</v>
      </c>
      <c r="W85" s="167" t="str">
        <f>IF('Crisis Indicator Data'!L82="x","x",IF('Crisis Indicator Data'!L82=0,0,IF(LOG('Crisis Indicator Data'!L82)&lt;W$4,0,IF(LOG('Crisis Indicator Data'!L82)&gt;W$3,5,ROUND(5-(W$3-LOG('Crisis Indicator Data'!L82))/(W$3-W$4)*5,1)))))</f>
        <v>x</v>
      </c>
      <c r="X85" s="186" t="str">
        <f>IF(OR('Crisis Indicator Data'!L82="x",'Crisis Indicator Data'!H82="x"),"x",'Crisis Indicator Data'!L82/'Crisis Indicator Data'!H82)</f>
        <v>x</v>
      </c>
      <c r="Y85" s="167" t="str">
        <f t="shared" si="22"/>
        <v>x</v>
      </c>
      <c r="Z85" s="167" t="str">
        <f t="shared" si="23"/>
        <v>x</v>
      </c>
      <c r="AA85" s="167">
        <f t="shared" si="24"/>
        <v>3.8</v>
      </c>
      <c r="AB85" s="187">
        <f t="shared" si="25"/>
        <v>3.2</v>
      </c>
    </row>
    <row r="86" spans="1:28" x14ac:dyDescent="0.3">
      <c r="A86" s="194" t="str">
        <f>'Crisis Indicator Data'!A83</f>
        <v>Food Security in Mauritania</v>
      </c>
      <c r="B86" s="195" t="str">
        <f>'Crisis Indicator Data'!B83</f>
        <v>Drought</v>
      </c>
      <c r="C86" s="195" t="str">
        <f>'Crisis Indicator Data'!C83</f>
        <v>MRT003</v>
      </c>
      <c r="D86" s="195" t="str">
        <f>'Crisis Indicator Data'!D83</f>
        <v>Mauritania</v>
      </c>
      <c r="E86" s="196" t="str">
        <f>'Crisis Indicator Data'!E83</f>
        <v>MRT</v>
      </c>
      <c r="F86" s="190">
        <f>IF('Crisis Indicator Data'!F83="x","x",IF(LOG('Crisis Indicator Data'!F83)&lt;F$4,0,IF(LOG('Crisis Indicator Data'!F83)&gt;F$3,5,ROUND(5-(F$3-LOG('Crisis Indicator Data'!F83))/(F$3-F$4)*5,1))))</f>
        <v>5</v>
      </c>
      <c r="G86" s="188">
        <f>IF('Crisis Indicator Data'!F83="x","x",IF(B86="Regional crisis",('Crisis Indicator Data'!F83/VLOOKUP('Impact of the crisis'!$C86,'Regional Crises'!$B$1:$R$66,4,FALSE)),'Crisis Indicator Data'!F83/VLOOKUP('Impact of the crisis'!$E86,'Country Indicator Data'!$B$4:$P$194,15,FALSE)))</f>
        <v>1</v>
      </c>
      <c r="H86" s="167">
        <f t="shared" si="16"/>
        <v>5</v>
      </c>
      <c r="I86" s="167">
        <f t="shared" ref="I86:I117" si="26">IF(AND(H86="x",F86="x"),"x",AVERAGE(F86,H86))</f>
        <v>5</v>
      </c>
      <c r="J86" s="167">
        <f>IF('Crisis Indicator Data'!G83="x","x",IF(LOG('Crisis Indicator Data'!G83)&lt;J$4,0,IF(LOG('Crisis Indicator Data'!G83)&gt;J$3,5,ROUND(5-(J$3-LOG('Crisis Indicator Data'!G83))/(J$3-J$4)*5,1))))</f>
        <v>2.1</v>
      </c>
      <c r="K86" s="188">
        <f>IF('Crisis Indicator Data'!G83="x","x",IF(B86="Regional crisis",('Crisis Indicator Data'!G83/VLOOKUP('Impact of the crisis'!$C86,'Regional Crises'!$B$1:$R$66,5,FALSE)),'Crisis Indicator Data'!G83/VLOOKUP('Impact of the crisis'!$E86,'Country Indicator Data'!$B$4:$P$194,14,FALSE)))</f>
        <v>1</v>
      </c>
      <c r="L86" s="167">
        <f t="shared" si="17"/>
        <v>5</v>
      </c>
      <c r="M86" s="167">
        <f t="shared" ref="M86:M117" si="27">IF(AND(L86="x",J86="x"),"x",AVERAGE(J86,L86))</f>
        <v>3.55</v>
      </c>
      <c r="N86" s="167">
        <f t="shared" si="18"/>
        <v>4.4000000000000004</v>
      </c>
      <c r="O86" s="167">
        <f>IF('Crisis Indicator Data'!H83="x","x",IF('Crisis Indicator Data'!H83=0,0,IF(LOG('Crisis Indicator Data'!H83)&lt;O$4,0,IF(LOG('Crisis Indicator Data'!H83)&gt;O$3,5,ROUND(5-(O$3-LOG('Crisis Indicator Data'!H83))/(O$3-O$4)*5,1)))))</f>
        <v>2.8</v>
      </c>
      <c r="P86" s="185">
        <f>IF('Crisis Indicator Data'!H83="x","x",'Crisis Indicator Data'!H83/'Crisis Indicator Data'!G83)</f>
        <v>0.35609167671893849</v>
      </c>
      <c r="Q86" s="167">
        <f t="shared" si="19"/>
        <v>1.7</v>
      </c>
      <c r="R86" s="167">
        <f t="shared" ref="R86:R117" si="28">IF(AND(Q86="x",O86="x"),"x",AVERAGE(O86,Q86))</f>
        <v>2.25</v>
      </c>
      <c r="S86" s="167" t="str">
        <f>IF('Crisis Indicator Data'!I83="x","x",IF('Crisis Indicator Data'!I83=0,0,IF(LOG('Crisis Indicator Data'!I83)&lt;S$4,0,IF(LOG('Crisis Indicator Data'!I83)&gt;S$3,5,ROUND(5-(S$3-LOG('Crisis Indicator Data'!I83))/(S$3-S$4)*5,1)))))</f>
        <v>x</v>
      </c>
      <c r="T86" s="185" t="str">
        <f>IF('Crisis Indicator Data'!H83="x","x",IF('Crisis Indicator Data'!I83="x","x",'Crisis Indicator Data'!I83/'Crisis Indicator Data'!H83))</f>
        <v>x</v>
      </c>
      <c r="U86" s="167" t="str">
        <f t="shared" si="20"/>
        <v>x</v>
      </c>
      <c r="V86" s="167" t="str">
        <f t="shared" si="21"/>
        <v>x</v>
      </c>
      <c r="W86" s="167" t="str">
        <f>IF('Crisis Indicator Data'!L83="x","x",IF('Crisis Indicator Data'!L83=0,0,IF(LOG('Crisis Indicator Data'!L83)&lt;W$4,0,IF(LOG('Crisis Indicator Data'!L83)&gt;W$3,5,ROUND(5-(W$3-LOG('Crisis Indicator Data'!L83))/(W$3-W$4)*5,1)))))</f>
        <v>x</v>
      </c>
      <c r="X86" s="186" t="str">
        <f>IF(OR('Crisis Indicator Data'!L83="x",'Crisis Indicator Data'!H83="x"),"x",'Crisis Indicator Data'!L83/'Crisis Indicator Data'!H83)</f>
        <v>x</v>
      </c>
      <c r="Y86" s="167" t="str">
        <f t="shared" si="22"/>
        <v>x</v>
      </c>
      <c r="Z86" s="167" t="str">
        <f t="shared" si="23"/>
        <v>x</v>
      </c>
      <c r="AA86" s="167" t="str">
        <f t="shared" si="24"/>
        <v>x</v>
      </c>
      <c r="AB86" s="187">
        <f t="shared" si="25"/>
        <v>2.25</v>
      </c>
    </row>
    <row r="87" spans="1:28" x14ac:dyDescent="0.3">
      <c r="A87" s="194" t="str">
        <f>'Crisis Indicator Data'!A84</f>
        <v>Multiple crisis in Mexico</v>
      </c>
      <c r="B87" s="195" t="str">
        <f>'Crisis Indicator Data'!B84</f>
        <v>Multiple crises country</v>
      </c>
      <c r="C87" s="195" t="str">
        <f>'Crisis Indicator Data'!C84</f>
        <v>MEX001</v>
      </c>
      <c r="D87" s="195" t="str">
        <f>'Crisis Indicator Data'!D84</f>
        <v>Mexico</v>
      </c>
      <c r="E87" s="196" t="str">
        <f>'Crisis Indicator Data'!E84</f>
        <v>MEX</v>
      </c>
      <c r="F87" s="190">
        <f>IF('Crisis Indicator Data'!F84="x","x",IF(LOG('Crisis Indicator Data'!F84)&lt;F$4,0,IF(LOG('Crisis Indicator Data'!F84)&gt;F$3,5,ROUND(5-(F$3-LOG('Crisis Indicator Data'!F84))/(F$3-F$4)*5,1))))</f>
        <v>5</v>
      </c>
      <c r="G87" s="188">
        <f>IF('Crisis Indicator Data'!F84="x","x",IF(B87="Regional crisis",('Crisis Indicator Data'!F84/VLOOKUP('Impact of the crisis'!$C87,'Regional Crises'!$B$1:$R$66,4,FALSE)),'Crisis Indicator Data'!F84/VLOOKUP('Impact of the crisis'!$E87,'Country Indicator Data'!$B$4:$P$194,15,FALSE)))</f>
        <v>0.84131844954859947</v>
      </c>
      <c r="H87" s="167">
        <f t="shared" si="16"/>
        <v>4.2</v>
      </c>
      <c r="I87" s="167">
        <f t="shared" si="26"/>
        <v>4.5999999999999996</v>
      </c>
      <c r="J87" s="167">
        <f>IF('Crisis Indicator Data'!G84="x","x",IF(LOG('Crisis Indicator Data'!G84)&lt;J$4,0,IF(LOG('Crisis Indicator Data'!G84)&gt;J$3,5,ROUND(5-(J$3-LOG('Crisis Indicator Data'!G84))/(J$3-J$4)*5,1))))</f>
        <v>5</v>
      </c>
      <c r="K87" s="188">
        <f>IF('Crisis Indicator Data'!G84="x","x",IF(B87="Regional crisis",('Crisis Indicator Data'!G84/VLOOKUP('Impact of the crisis'!$C87,'Regional Crises'!$B$1:$R$66,5,FALSE)),'Crisis Indicator Data'!G84/VLOOKUP('Impact of the crisis'!$E87,'Country Indicator Data'!$B$4:$P$194,14,FALSE)))</f>
        <v>0.80498386236213038</v>
      </c>
      <c r="L87" s="167">
        <f t="shared" si="17"/>
        <v>4</v>
      </c>
      <c r="M87" s="167">
        <f t="shared" si="27"/>
        <v>4.5</v>
      </c>
      <c r="N87" s="167">
        <f t="shared" si="18"/>
        <v>4.5999999999999996</v>
      </c>
      <c r="O87" s="167" t="str">
        <f>IF('Crisis Indicator Data'!H84="x","x",IF('Crisis Indicator Data'!H84=0,0,IF(LOG('Crisis Indicator Data'!H84)&lt;O$4,0,IF(LOG('Crisis Indicator Data'!H84)&gt;O$3,5,ROUND(5-(O$3-LOG('Crisis Indicator Data'!H84))/(O$3-O$4)*5,1)))))</f>
        <v>x</v>
      </c>
      <c r="P87" s="185" t="str">
        <f>IF('Crisis Indicator Data'!H84="x","x",'Crisis Indicator Data'!H84/'Crisis Indicator Data'!G84)</f>
        <v>x</v>
      </c>
      <c r="Q87" s="167" t="str">
        <f t="shared" si="19"/>
        <v>x</v>
      </c>
      <c r="R87" s="167" t="str">
        <f t="shared" si="28"/>
        <v>x</v>
      </c>
      <c r="S87" s="167">
        <f>IF('Crisis Indicator Data'!I84="x","x",IF('Crisis Indicator Data'!I84=0,0,IF(LOG('Crisis Indicator Data'!I84)&lt;S$4,0,IF(LOG('Crisis Indicator Data'!I84)&gt;S$3,5,ROUND(5-(S$3-LOG('Crisis Indicator Data'!I84))/(S$3-S$4)*5,1)))))</f>
        <v>4</v>
      </c>
      <c r="T87" s="185" t="str">
        <f>IF('Crisis Indicator Data'!H84="x","x",IF('Crisis Indicator Data'!I84="x","x",'Crisis Indicator Data'!I84/'Crisis Indicator Data'!H84))</f>
        <v>x</v>
      </c>
      <c r="U87" s="167" t="str">
        <f t="shared" si="20"/>
        <v>x</v>
      </c>
      <c r="V87" s="167">
        <f t="shared" si="21"/>
        <v>4</v>
      </c>
      <c r="W87" s="167" t="str">
        <f>IF('Crisis Indicator Data'!L84="x","x",IF('Crisis Indicator Data'!L84=0,0,IF(LOG('Crisis Indicator Data'!L84)&lt;W$4,0,IF(LOG('Crisis Indicator Data'!L84)&gt;W$3,5,ROUND(5-(W$3-LOG('Crisis Indicator Data'!L84))/(W$3-W$4)*5,1)))))</f>
        <v>x</v>
      </c>
      <c r="X87" s="186" t="str">
        <f>IF(OR('Crisis Indicator Data'!L84="x",'Crisis Indicator Data'!H84="x"),"x",'Crisis Indicator Data'!L84/'Crisis Indicator Data'!H84)</f>
        <v>x</v>
      </c>
      <c r="Y87" s="167" t="str">
        <f t="shared" si="22"/>
        <v>x</v>
      </c>
      <c r="Z87" s="167" t="str">
        <f t="shared" si="23"/>
        <v>x</v>
      </c>
      <c r="AA87" s="167">
        <f t="shared" si="24"/>
        <v>4</v>
      </c>
      <c r="AB87" s="187">
        <f t="shared" si="25"/>
        <v>4</v>
      </c>
    </row>
    <row r="88" spans="1:28" x14ac:dyDescent="0.3">
      <c r="A88" s="194" t="str">
        <f>'Crisis Indicator Data'!A85</f>
        <v>Criminal Violence in Mexico</v>
      </c>
      <c r="B88" s="195" t="str">
        <f>'Crisis Indicator Data'!B85</f>
        <v>Other type of violence</v>
      </c>
      <c r="C88" s="195" t="str">
        <f>'Crisis Indicator Data'!C85</f>
        <v>MEX002</v>
      </c>
      <c r="D88" s="195" t="str">
        <f>'Crisis Indicator Data'!D85</f>
        <v>Mexico</v>
      </c>
      <c r="E88" s="196" t="str">
        <f>'Crisis Indicator Data'!E85</f>
        <v>MEX</v>
      </c>
      <c r="F88" s="190">
        <f>IF('Crisis Indicator Data'!F85="x","x",IF(LOG('Crisis Indicator Data'!F85)&lt;F$4,0,IF(LOG('Crisis Indicator Data'!F85)&gt;F$3,5,ROUND(5-(F$3-LOG('Crisis Indicator Data'!F85))/(F$3-F$4)*5,1))))</f>
        <v>5</v>
      </c>
      <c r="G88" s="188">
        <f>IF('Crisis Indicator Data'!F85="x","x",IF(B88="Regional crisis",('Crisis Indicator Data'!F85/VLOOKUP('Impact of the crisis'!$C88,'Regional Crises'!$B$1:$R$66,4,FALSE)),'Crisis Indicator Data'!F85/VLOOKUP('Impact of the crisis'!$E88,'Country Indicator Data'!$B$4:$P$194,15,FALSE)))</f>
        <v>0.55466138532369658</v>
      </c>
      <c r="H88" s="167">
        <f t="shared" si="16"/>
        <v>2.7</v>
      </c>
      <c r="I88" s="167">
        <f t="shared" si="26"/>
        <v>3.85</v>
      </c>
      <c r="J88" s="167">
        <f>IF('Crisis Indicator Data'!G85="x","x",IF(LOG('Crisis Indicator Data'!G85)&lt;J$4,0,IF(LOG('Crisis Indicator Data'!G85)&gt;J$3,5,ROUND(5-(J$3-LOG('Crisis Indicator Data'!G85))/(J$3-J$4)*5,1))))</f>
        <v>5</v>
      </c>
      <c r="K88" s="188">
        <f>IF('Crisis Indicator Data'!G85="x","x",IF(B88="Regional crisis",('Crisis Indicator Data'!G85/VLOOKUP('Impact of the crisis'!$C88,'Regional Crises'!$B$1:$R$66,5,FALSE)),'Crisis Indicator Data'!G85/VLOOKUP('Impact of the crisis'!$E88,'Country Indicator Data'!$B$4:$P$194,14,FALSE)))</f>
        <v>0.61247802394842954</v>
      </c>
      <c r="L88" s="167">
        <f t="shared" si="17"/>
        <v>3</v>
      </c>
      <c r="M88" s="167">
        <f t="shared" si="27"/>
        <v>4</v>
      </c>
      <c r="N88" s="167">
        <f t="shared" si="18"/>
        <v>3.9</v>
      </c>
      <c r="O88" s="167" t="str">
        <f>IF('Crisis Indicator Data'!H85="x","x",IF('Crisis Indicator Data'!H85=0,0,IF(LOG('Crisis Indicator Data'!H85)&lt;O$4,0,IF(LOG('Crisis Indicator Data'!H85)&gt;O$3,5,ROUND(5-(O$3-LOG('Crisis Indicator Data'!H85))/(O$3-O$4)*5,1)))))</f>
        <v>x</v>
      </c>
      <c r="P88" s="185" t="str">
        <f>IF('Crisis Indicator Data'!H85="x","x",'Crisis Indicator Data'!H85/'Crisis Indicator Data'!G85)</f>
        <v>x</v>
      </c>
      <c r="Q88" s="167" t="str">
        <f t="shared" si="19"/>
        <v>x</v>
      </c>
      <c r="R88" s="167" t="str">
        <f t="shared" si="28"/>
        <v>x</v>
      </c>
      <c r="S88" s="167">
        <f>IF('Crisis Indicator Data'!I85="x","x",IF('Crisis Indicator Data'!I85=0,0,IF(LOG('Crisis Indicator Data'!I85)&lt;S$4,0,IF(LOG('Crisis Indicator Data'!I85)&gt;S$3,5,ROUND(5-(S$3-LOG('Crisis Indicator Data'!I85))/(S$3-S$4)*5,1)))))</f>
        <v>3.6</v>
      </c>
      <c r="T88" s="185" t="str">
        <f>IF('Crisis Indicator Data'!H85="x","x",IF('Crisis Indicator Data'!I85="x","x",'Crisis Indicator Data'!I85/'Crisis Indicator Data'!H85))</f>
        <v>x</v>
      </c>
      <c r="U88" s="167" t="str">
        <f t="shared" si="20"/>
        <v>x</v>
      </c>
      <c r="V88" s="167">
        <f t="shared" si="21"/>
        <v>3.6</v>
      </c>
      <c r="W88" s="167" t="str">
        <f>IF('Crisis Indicator Data'!L85="x","x",IF('Crisis Indicator Data'!L85=0,0,IF(LOG('Crisis Indicator Data'!L85)&lt;W$4,0,IF(LOG('Crisis Indicator Data'!L85)&gt;W$3,5,ROUND(5-(W$3-LOG('Crisis Indicator Data'!L85))/(W$3-W$4)*5,1)))))</f>
        <v>x</v>
      </c>
      <c r="X88" s="186" t="str">
        <f>IF(OR('Crisis Indicator Data'!L85="x",'Crisis Indicator Data'!H85="x"),"x",'Crisis Indicator Data'!L85/'Crisis Indicator Data'!H85)</f>
        <v>x</v>
      </c>
      <c r="Y88" s="167" t="str">
        <f t="shared" si="22"/>
        <v>x</v>
      </c>
      <c r="Z88" s="167" t="str">
        <f t="shared" si="23"/>
        <v>x</v>
      </c>
      <c r="AA88" s="167">
        <f t="shared" si="24"/>
        <v>3.6</v>
      </c>
      <c r="AB88" s="187">
        <f t="shared" si="25"/>
        <v>3.6</v>
      </c>
    </row>
    <row r="89" spans="1:28" x14ac:dyDescent="0.3">
      <c r="A89" s="194" t="str">
        <f>'Crisis Indicator Data'!A86</f>
        <v>Mixed Migration in Mexico</v>
      </c>
      <c r="B89" s="195" t="str">
        <f>'Crisis Indicator Data'!B86</f>
        <v>International displacement</v>
      </c>
      <c r="C89" s="195" t="str">
        <f>'Crisis Indicator Data'!C86</f>
        <v>MEX003</v>
      </c>
      <c r="D89" s="195" t="str">
        <f>'Crisis Indicator Data'!D86</f>
        <v>Mexico</v>
      </c>
      <c r="E89" s="196" t="str">
        <f>'Crisis Indicator Data'!E86</f>
        <v>MEX</v>
      </c>
      <c r="F89" s="190">
        <f>IF('Crisis Indicator Data'!F86="x","x",IF(LOG('Crisis Indicator Data'!F86)&lt;F$4,0,IF(LOG('Crisis Indicator Data'!F86)&gt;F$3,5,ROUND(5-(F$3-LOG('Crisis Indicator Data'!F86))/(F$3-F$4)*5,1))))</f>
        <v>5</v>
      </c>
      <c r="G89" s="188">
        <f>IF('Crisis Indicator Data'!F86="x","x",IF(B89="Regional crisis",('Crisis Indicator Data'!F86/VLOOKUP('Impact of the crisis'!$C89,'Regional Crises'!$B$1:$R$66,4,FALSE)),'Crisis Indicator Data'!F86/VLOOKUP('Impact of the crisis'!$E89,'Country Indicator Data'!$B$4:$P$194,15,FALSE)))</f>
        <v>0.73937395509143755</v>
      </c>
      <c r="H89" s="167">
        <f t="shared" si="16"/>
        <v>3.7</v>
      </c>
      <c r="I89" s="167">
        <f t="shared" si="26"/>
        <v>4.3499999999999996</v>
      </c>
      <c r="J89" s="167">
        <f>IF('Crisis Indicator Data'!G86="x","x",IF(LOG('Crisis Indicator Data'!G86)&lt;J$4,0,IF(LOG('Crisis Indicator Data'!G86)&gt;J$3,5,ROUND(5-(J$3-LOG('Crisis Indicator Data'!G86))/(J$3-J$4)*5,1))))</f>
        <v>5</v>
      </c>
      <c r="K89" s="188">
        <f>IF('Crisis Indicator Data'!G86="x","x",IF(B89="Regional crisis",('Crisis Indicator Data'!G86/VLOOKUP('Impact of the crisis'!$C89,'Regional Crises'!$B$1:$R$66,5,FALSE)),'Crisis Indicator Data'!G86/VLOOKUP('Impact of the crisis'!$E89,'Country Indicator Data'!$B$4:$P$194,14,FALSE)))</f>
        <v>0.61961532069728587</v>
      </c>
      <c r="L89" s="167">
        <f t="shared" si="17"/>
        <v>3.1</v>
      </c>
      <c r="M89" s="167">
        <f t="shared" si="27"/>
        <v>4.05</v>
      </c>
      <c r="N89" s="167">
        <f t="shared" si="18"/>
        <v>4.2</v>
      </c>
      <c r="O89" s="167">
        <f>IF('Crisis Indicator Data'!H86="x","x",IF('Crisis Indicator Data'!H86=0,0,IF(LOG('Crisis Indicator Data'!H86)&lt;O$4,0,IF(LOG('Crisis Indicator Data'!H86)&gt;O$3,5,ROUND(5-(O$3-LOG('Crisis Indicator Data'!H86))/(O$3-O$4)*5,1)))))</f>
        <v>1.6</v>
      </c>
      <c r="P89" s="185">
        <f>IF('Crisis Indicator Data'!H86="x","x",'Crisis Indicator Data'!H86/'Crisis Indicator Data'!G86)</f>
        <v>3.8819875776397515E-3</v>
      </c>
      <c r="Q89" s="167">
        <f t="shared" si="19"/>
        <v>0</v>
      </c>
      <c r="R89" s="167">
        <f t="shared" si="28"/>
        <v>0.8</v>
      </c>
      <c r="S89" s="167">
        <f>IF('Crisis Indicator Data'!I86="x","x",IF('Crisis Indicator Data'!I86=0,0,IF(LOG('Crisis Indicator Data'!I86)&lt;S$4,0,IF(LOG('Crisis Indicator Data'!I86)&gt;S$3,5,ROUND(5-(S$3-LOG('Crisis Indicator Data'!I86))/(S$3-S$4)*5,1)))))</f>
        <v>3.5</v>
      </c>
      <c r="T89" s="185">
        <f>IF('Crisis Indicator Data'!H86="x","x",IF('Crisis Indicator Data'!I86="x","x",'Crisis Indicator Data'!I86/'Crisis Indicator Data'!H86))</f>
        <v>1</v>
      </c>
      <c r="U89" s="167">
        <f t="shared" si="20"/>
        <v>5</v>
      </c>
      <c r="V89" s="167">
        <f t="shared" si="21"/>
        <v>4.3</v>
      </c>
      <c r="W89" s="167">
        <f>IF('Crisis Indicator Data'!L86="x","x",IF('Crisis Indicator Data'!L86=0,0,IF(LOG('Crisis Indicator Data'!L86)&lt;W$4,0,IF(LOG('Crisis Indicator Data'!L86)&gt;W$3,5,ROUND(5-(W$3-LOG('Crisis Indicator Data'!L86))/(W$3-W$4)*5,1)))))</f>
        <v>3.2</v>
      </c>
      <c r="X89" s="186">
        <f>IF(OR('Crisis Indicator Data'!L86="x",'Crisis Indicator Data'!H86="x"),"x",'Crisis Indicator Data'!L86/'Crisis Indicator Data'!H86)</f>
        <v>6.2909090909090911E-4</v>
      </c>
      <c r="Y89" s="167">
        <f t="shared" si="22"/>
        <v>5</v>
      </c>
      <c r="Z89" s="167">
        <f t="shared" si="23"/>
        <v>4.0999999999999996</v>
      </c>
      <c r="AA89" s="167">
        <f t="shared" si="24"/>
        <v>4.2</v>
      </c>
      <c r="AB89" s="187">
        <f t="shared" si="25"/>
        <v>2.9</v>
      </c>
    </row>
    <row r="90" spans="1:28" x14ac:dyDescent="0.3">
      <c r="A90" s="194" t="str">
        <f>'Crisis Indicator Data'!A87</f>
        <v>Mixed migration flows in Morocco</v>
      </c>
      <c r="B90" s="195" t="str">
        <f>'Crisis Indicator Data'!B87</f>
        <v>International displacement</v>
      </c>
      <c r="C90" s="195" t="str">
        <f>'Crisis Indicator Data'!C87</f>
        <v>MAR002</v>
      </c>
      <c r="D90" s="195" t="str">
        <f>'Crisis Indicator Data'!D87</f>
        <v>Morocco</v>
      </c>
      <c r="E90" s="196" t="str">
        <f>'Crisis Indicator Data'!E87</f>
        <v>MAR</v>
      </c>
      <c r="F90" s="190">
        <f>IF('Crisis Indicator Data'!F87="x","x",IF(LOG('Crisis Indicator Data'!F87)&lt;F$4,0,IF(LOG('Crisis Indicator Data'!F87)&gt;F$3,5,ROUND(5-(F$3-LOG('Crisis Indicator Data'!F87))/(F$3-F$4)*5,1))))</f>
        <v>4.4000000000000004</v>
      </c>
      <c r="G90" s="188">
        <f>IF('Crisis Indicator Data'!F87="x","x",IF(B90="Regional crisis",('Crisis Indicator Data'!F87/VLOOKUP('Impact of the crisis'!$C90,'Regional Crises'!$B$1:$R$66,4,FALSE)),'Crisis Indicator Data'!F87/VLOOKUP('Impact of the crisis'!$E90,'Country Indicator Data'!$B$4:$P$194,15,FALSE)))</f>
        <v>1</v>
      </c>
      <c r="H90" s="167">
        <f t="shared" si="16"/>
        <v>5</v>
      </c>
      <c r="I90" s="167">
        <f t="shared" si="26"/>
        <v>4.7</v>
      </c>
      <c r="J90" s="167">
        <f>IF('Crisis Indicator Data'!G87="x","x",IF(LOG('Crisis Indicator Data'!G87)&lt;J$4,0,IF(LOG('Crisis Indicator Data'!G87)&gt;J$3,5,ROUND(5-(J$3-LOG('Crisis Indicator Data'!G87))/(J$3-J$4)*5,1))))</f>
        <v>5</v>
      </c>
      <c r="K90" s="188">
        <f>IF('Crisis Indicator Data'!G87="x","x",IF(B90="Regional crisis",('Crisis Indicator Data'!G87/VLOOKUP('Impact of the crisis'!$C90,'Regional Crises'!$B$1:$R$66,5,FALSE)),'Crisis Indicator Data'!G87/VLOOKUP('Impact of the crisis'!$E90,'Country Indicator Data'!$B$4:$P$194,14,FALSE)))</f>
        <v>0.97573481026540909</v>
      </c>
      <c r="L90" s="167">
        <f t="shared" si="17"/>
        <v>4.9000000000000004</v>
      </c>
      <c r="M90" s="167">
        <f t="shared" si="27"/>
        <v>4.95</v>
      </c>
      <c r="N90" s="167">
        <f t="shared" si="18"/>
        <v>4.8</v>
      </c>
      <c r="O90" s="167" t="str">
        <f>IF('Crisis Indicator Data'!H87="x","x",IF('Crisis Indicator Data'!H87=0,0,IF(LOG('Crisis Indicator Data'!H87)&lt;O$4,0,IF(LOG('Crisis Indicator Data'!H87)&gt;O$3,5,ROUND(5-(O$3-LOG('Crisis Indicator Data'!H87))/(O$3-O$4)*5,1)))))</f>
        <v>x</v>
      </c>
      <c r="P90" s="185" t="str">
        <f>IF('Crisis Indicator Data'!H87="x","x",'Crisis Indicator Data'!H87/'Crisis Indicator Data'!G87)</f>
        <v>x</v>
      </c>
      <c r="Q90" s="167" t="str">
        <f t="shared" si="19"/>
        <v>x</v>
      </c>
      <c r="R90" s="167" t="str">
        <f t="shared" si="28"/>
        <v>x</v>
      </c>
      <c r="S90" s="167" t="str">
        <f>IF('Crisis Indicator Data'!I87="x","x",IF('Crisis Indicator Data'!I87=0,0,IF(LOG('Crisis Indicator Data'!I87)&lt;S$4,0,IF(LOG('Crisis Indicator Data'!I87)&gt;S$3,5,ROUND(5-(S$3-LOG('Crisis Indicator Data'!I87))/(S$3-S$4)*5,1)))))</f>
        <v>x</v>
      </c>
      <c r="T90" s="185" t="str">
        <f>IF('Crisis Indicator Data'!H87="x","x",IF('Crisis Indicator Data'!I87="x","x",'Crisis Indicator Data'!I87/'Crisis Indicator Data'!H87))</f>
        <v>x</v>
      </c>
      <c r="U90" s="167" t="str">
        <f t="shared" si="20"/>
        <v>x</v>
      </c>
      <c r="V90" s="167" t="str">
        <f t="shared" si="21"/>
        <v>x</v>
      </c>
      <c r="W90" s="167">
        <f>IF('Crisis Indicator Data'!L87="x","x",IF('Crisis Indicator Data'!L87=0,0,IF(LOG('Crisis Indicator Data'!L87)&lt;W$4,0,IF(LOG('Crisis Indicator Data'!L87)&gt;W$3,5,ROUND(5-(W$3-LOG('Crisis Indicator Data'!L87))/(W$3-W$4)*5,1)))))</f>
        <v>2.5</v>
      </c>
      <c r="X90" s="186" t="str">
        <f>IF(OR('Crisis Indicator Data'!L87="x",'Crisis Indicator Data'!H87="x"),"x",'Crisis Indicator Data'!L87/'Crisis Indicator Data'!H87)</f>
        <v>x</v>
      </c>
      <c r="Y90" s="167" t="str">
        <f t="shared" si="22"/>
        <v>x</v>
      </c>
      <c r="Z90" s="167">
        <f t="shared" si="23"/>
        <v>2.5</v>
      </c>
      <c r="AA90" s="167">
        <f t="shared" si="24"/>
        <v>2.5</v>
      </c>
      <c r="AB90" s="187">
        <f t="shared" si="25"/>
        <v>2.5</v>
      </c>
    </row>
    <row r="91" spans="1:28" x14ac:dyDescent="0.3">
      <c r="A91" s="194" t="str">
        <f>'Crisis Indicator Data'!A88</f>
        <v>Complex crisis in Mozambique</v>
      </c>
      <c r="B91" s="195" t="str">
        <f>'Crisis Indicator Data'!B88</f>
        <v>Complex crisis</v>
      </c>
      <c r="C91" s="195" t="str">
        <f>'Crisis Indicator Data'!C88</f>
        <v>MOZ001</v>
      </c>
      <c r="D91" s="195" t="str">
        <f>'Crisis Indicator Data'!D88</f>
        <v>Mozambique</v>
      </c>
      <c r="E91" s="196" t="str">
        <f>'Crisis Indicator Data'!E88</f>
        <v>MOZ</v>
      </c>
      <c r="F91" s="190">
        <f>IF('Crisis Indicator Data'!F88="x","x",IF(LOG('Crisis Indicator Data'!F88)&lt;F$4,0,IF(LOG('Crisis Indicator Data'!F88)&gt;F$3,5,ROUND(5-(F$3-LOG('Crisis Indicator Data'!F88))/(F$3-F$4)*5,1))))</f>
        <v>4.2</v>
      </c>
      <c r="G91" s="188">
        <f>IF('Crisis Indicator Data'!F88="x","x",IF(B91="Regional crisis",('Crisis Indicator Data'!F88/VLOOKUP('Impact of the crisis'!$C91,'Regional Crises'!$B$1:$R$66,4,FALSE)),'Crisis Indicator Data'!F88/VLOOKUP('Impact of the crisis'!$E91,'Country Indicator Data'!$B$4:$P$194,15,FALSE)))</f>
        <v>0.43821307764693912</v>
      </c>
      <c r="H91" s="167">
        <f t="shared" si="16"/>
        <v>2.1</v>
      </c>
      <c r="I91" s="167">
        <f t="shared" si="26"/>
        <v>3.1500000000000004</v>
      </c>
      <c r="J91" s="167">
        <f>IF('Crisis Indicator Data'!G88="x","x",IF(LOG('Crisis Indicator Data'!G88)&lt;J$4,0,IF(LOG('Crisis Indicator Data'!G88)&gt;J$3,5,ROUND(5-(J$3-LOG('Crisis Indicator Data'!G88))/(J$3-J$4)*5,1))))</f>
        <v>2.4</v>
      </c>
      <c r="K91" s="188">
        <f>IF('Crisis Indicator Data'!G88="x","x",IF(B91="Regional crisis",('Crisis Indicator Data'!G88/VLOOKUP('Impact of the crisis'!$C91,'Regional Crises'!$B$1:$R$66,5,FALSE)),'Crisis Indicator Data'!G88/VLOOKUP('Impact of the crisis'!$E91,'Country Indicator Data'!$B$4:$P$194,14,FALSE)))</f>
        <v>0.17930150370729681</v>
      </c>
      <c r="L91" s="167">
        <f t="shared" si="17"/>
        <v>0.9</v>
      </c>
      <c r="M91" s="167">
        <f t="shared" si="27"/>
        <v>1.65</v>
      </c>
      <c r="N91" s="167">
        <f t="shared" si="18"/>
        <v>2.5</v>
      </c>
      <c r="O91" s="167">
        <f>IF('Crisis Indicator Data'!H88="x","x",IF('Crisis Indicator Data'!H88=0,0,IF(LOG('Crisis Indicator Data'!H88)&lt;O$4,0,IF(LOG('Crisis Indicator Data'!H88)&gt;O$3,5,ROUND(5-(O$3-LOG('Crisis Indicator Data'!H88))/(O$3-O$4)*5,1)))))</f>
        <v>3.5</v>
      </c>
      <c r="P91" s="185">
        <f>IF('Crisis Indicator Data'!H88="x","x",'Crisis Indicator Data'!H88/'Crisis Indicator Data'!G88)</f>
        <v>0.77333333333333332</v>
      </c>
      <c r="Q91" s="167">
        <f t="shared" si="19"/>
        <v>3.9</v>
      </c>
      <c r="R91" s="167">
        <f t="shared" si="28"/>
        <v>3.7</v>
      </c>
      <c r="S91" s="167">
        <f>IF('Crisis Indicator Data'!I88="x","x",IF('Crisis Indicator Data'!I88=0,0,IF(LOG('Crisis Indicator Data'!I88)&lt;S$4,0,IF(LOG('Crisis Indicator Data'!I88)&gt;S$3,5,ROUND(5-(S$3-LOG('Crisis Indicator Data'!I88))/(S$3-S$4)*5,1)))))</f>
        <v>3.6</v>
      </c>
      <c r="T91" s="185">
        <f>IF('Crisis Indicator Data'!H88="x","x",IF('Crisis Indicator Data'!I88="x","x",'Crisis Indicator Data'!I88/'Crisis Indicator Data'!H88))</f>
        <v>8.5957021489255367E-2</v>
      </c>
      <c r="U91" s="167">
        <f t="shared" si="20"/>
        <v>2.9</v>
      </c>
      <c r="V91" s="167">
        <f t="shared" si="21"/>
        <v>3.3</v>
      </c>
      <c r="W91" s="167">
        <f>IF('Crisis Indicator Data'!L88="x","x",IF('Crisis Indicator Data'!L88=0,0,IF(LOG('Crisis Indicator Data'!L88)&lt;W$4,0,IF(LOG('Crisis Indicator Data'!L88)&gt;W$3,5,ROUND(5-(W$3-LOG('Crisis Indicator Data'!L88))/(W$3-W$4)*5,1)))))</f>
        <v>4.4000000000000004</v>
      </c>
      <c r="X91" s="186">
        <f>IF(OR('Crisis Indicator Data'!L88="x",'Crisis Indicator Data'!H88="x"),"x",'Crisis Indicator Data'!L88/'Crisis Indicator Data'!H88)</f>
        <v>2.7736131934032984E-4</v>
      </c>
      <c r="Y91" s="167">
        <f t="shared" si="22"/>
        <v>5</v>
      </c>
      <c r="Z91" s="167">
        <f t="shared" si="23"/>
        <v>4.7</v>
      </c>
      <c r="AA91" s="167">
        <f t="shared" si="24"/>
        <v>4.0999999999999996</v>
      </c>
      <c r="AB91" s="187">
        <f t="shared" si="25"/>
        <v>3.9</v>
      </c>
    </row>
    <row r="92" spans="1:28" x14ac:dyDescent="0.3">
      <c r="A92" s="194" t="str">
        <f>'Crisis Indicator Data'!A89</f>
        <v>Cabo Delgado Islamist Insurgency</v>
      </c>
      <c r="B92" s="195" t="str">
        <f>'Crisis Indicator Data'!B89</f>
        <v>Other type of violence</v>
      </c>
      <c r="C92" s="195" t="str">
        <f>'Crisis Indicator Data'!C89</f>
        <v>MOZ004</v>
      </c>
      <c r="D92" s="195" t="str">
        <f>'Crisis Indicator Data'!D89</f>
        <v>Mozambique</v>
      </c>
      <c r="E92" s="196" t="str">
        <f>'Crisis Indicator Data'!E89</f>
        <v>MOZ</v>
      </c>
      <c r="F92" s="190">
        <f>IF('Crisis Indicator Data'!F89="x","x",IF(LOG('Crisis Indicator Data'!F89)&lt;F$4,0,IF(LOG('Crisis Indicator Data'!F89)&gt;F$3,5,ROUND(5-(F$3-LOG('Crisis Indicator Data'!F89))/(F$3-F$4)*5,1))))</f>
        <v>3.2</v>
      </c>
      <c r="G92" s="188">
        <f>IF('Crisis Indicator Data'!F89="x","x",IF(B92="Regional crisis",('Crisis Indicator Data'!F89/VLOOKUP('Impact of the crisis'!$C92,'Regional Crises'!$B$1:$R$66,4,FALSE)),'Crisis Indicator Data'!F89/VLOOKUP('Impact of the crisis'!$E92,'Country Indicator Data'!$B$4:$P$194,15,FALSE)))</f>
        <v>0.10017803097739006</v>
      </c>
      <c r="H92" s="167">
        <f t="shared" si="16"/>
        <v>0.4</v>
      </c>
      <c r="I92" s="167">
        <f t="shared" si="26"/>
        <v>1.8</v>
      </c>
      <c r="J92" s="167">
        <f>IF('Crisis Indicator Data'!G89="x","x",IF(LOG('Crisis Indicator Data'!G89)&lt;J$4,0,IF(LOG('Crisis Indicator Data'!G89)&gt;J$3,5,ROUND(5-(J$3-LOG('Crisis Indicator Data'!G89))/(J$3-J$4)*5,1))))</f>
        <v>1.5</v>
      </c>
      <c r="K92" s="188">
        <f>IF('Crisis Indicator Data'!G89="x","x",IF(B92="Regional crisis",('Crisis Indicator Data'!G89/VLOOKUP('Impact of the crisis'!$C92,'Regional Crises'!$B$1:$R$66,5,FALSE)),'Crisis Indicator Data'!G89/VLOOKUP('Impact of the crisis'!$E92,'Country Indicator Data'!$B$4:$P$194,14,FALSE)))</f>
        <v>9.5107754140392214E-2</v>
      </c>
      <c r="L92" s="167">
        <f t="shared" si="17"/>
        <v>0.4</v>
      </c>
      <c r="M92" s="167">
        <f t="shared" si="27"/>
        <v>0.95</v>
      </c>
      <c r="N92" s="167">
        <f t="shared" si="18"/>
        <v>1.4</v>
      </c>
      <c r="O92" s="167">
        <f>IF('Crisis Indicator Data'!H89="x","x",IF('Crisis Indicator Data'!H89=0,0,IF(LOG('Crisis Indicator Data'!H89)&lt;O$4,0,IF(LOG('Crisis Indicator Data'!H89)&gt;O$3,5,ROUND(5-(O$3-LOG('Crisis Indicator Data'!H89))/(O$3-O$4)*5,1)))))</f>
        <v>2.2999999999999998</v>
      </c>
      <c r="P92" s="185">
        <f>IF('Crisis Indicator Data'!H89="x","x",'Crisis Indicator Data'!H89/'Crisis Indicator Data'!G89)</f>
        <v>0.25938069216757742</v>
      </c>
      <c r="Q92" s="167">
        <f t="shared" si="19"/>
        <v>1.3</v>
      </c>
      <c r="R92" s="167">
        <f t="shared" si="28"/>
        <v>1.7999999999999998</v>
      </c>
      <c r="S92" s="167">
        <f>IF('Crisis Indicator Data'!I89="x","x",IF('Crisis Indicator Data'!I89=0,0,IF(LOG('Crisis Indicator Data'!I89)&lt;S$4,0,IF(LOG('Crisis Indicator Data'!I89)&gt;S$3,5,ROUND(5-(S$3-LOG('Crisis Indicator Data'!I89))/(S$3-S$4)*5,1)))))</f>
        <v>3.5</v>
      </c>
      <c r="T92" s="185">
        <f>IF('Crisis Indicator Data'!H89="x","x",IF('Crisis Indicator Data'!I89="x","x",'Crisis Indicator Data'!I89/'Crisis Indicator Data'!H89))</f>
        <v>0.42134831460674155</v>
      </c>
      <c r="U92" s="167">
        <f t="shared" si="20"/>
        <v>5</v>
      </c>
      <c r="V92" s="167">
        <f t="shared" si="21"/>
        <v>4.3</v>
      </c>
      <c r="W92" s="167">
        <f>IF('Crisis Indicator Data'!L89="x","x",IF('Crisis Indicator Data'!L89=0,0,IF(LOG('Crisis Indicator Data'!L89)&lt;W$4,0,IF(LOG('Crisis Indicator Data'!L89)&gt;W$3,5,ROUND(5-(W$3-LOG('Crisis Indicator Data'!L89))/(W$3-W$4)*5,1)))))</f>
        <v>4</v>
      </c>
      <c r="X92" s="186">
        <f>IF(OR('Crisis Indicator Data'!L89="x",'Crisis Indicator Data'!H89="x"),"x",'Crisis Indicator Data'!L89/'Crisis Indicator Data'!H89)</f>
        <v>8.4129213483146066E-4</v>
      </c>
      <c r="Y92" s="167">
        <f t="shared" si="22"/>
        <v>5</v>
      </c>
      <c r="Z92" s="167">
        <f t="shared" si="23"/>
        <v>4.5</v>
      </c>
      <c r="AA92" s="167">
        <f t="shared" si="24"/>
        <v>4.4000000000000004</v>
      </c>
      <c r="AB92" s="187">
        <f t="shared" si="25"/>
        <v>3.4</v>
      </c>
    </row>
    <row r="93" spans="1:28" x14ac:dyDescent="0.3">
      <c r="A93" s="194" t="str">
        <f>'Crisis Indicator Data'!A90</f>
        <v>Food Security Crisis in Mozambique</v>
      </c>
      <c r="B93" s="195" t="str">
        <f>'Crisis Indicator Data'!B90</f>
        <v>Food Security</v>
      </c>
      <c r="C93" s="195" t="str">
        <f>'Crisis Indicator Data'!C90</f>
        <v>MOZ006</v>
      </c>
      <c r="D93" s="195" t="str">
        <f>'Crisis Indicator Data'!D90</f>
        <v>Mozambique</v>
      </c>
      <c r="E93" s="196" t="str">
        <f>'Crisis Indicator Data'!E90</f>
        <v>MOZ</v>
      </c>
      <c r="F93" s="190">
        <f>IF('Crisis Indicator Data'!F90="x","x",IF(LOG('Crisis Indicator Data'!F90)&lt;F$4,0,IF(LOG('Crisis Indicator Data'!F90)&gt;F$3,5,ROUND(5-(F$3-LOG('Crisis Indicator Data'!F90))/(F$3-F$4)*5,1))))</f>
        <v>4.2</v>
      </c>
      <c r="G93" s="188">
        <f>IF('Crisis Indicator Data'!F90="x","x",IF(B93="Regional crisis",('Crisis Indicator Data'!F90/VLOOKUP('Impact of the crisis'!$C93,'Regional Crises'!$B$1:$R$66,4,FALSE)),'Crisis Indicator Data'!F90/VLOOKUP('Impact of the crisis'!$E93,'Country Indicator Data'!$B$4:$P$194,15,FALSE)))</f>
        <v>0.43821307764693912</v>
      </c>
      <c r="H93" s="167">
        <f t="shared" si="16"/>
        <v>2.1</v>
      </c>
      <c r="I93" s="167">
        <f t="shared" si="26"/>
        <v>3.1500000000000004</v>
      </c>
      <c r="J93" s="167">
        <f>IF('Crisis Indicator Data'!G90="x","x",IF(LOG('Crisis Indicator Data'!G90)&lt;J$4,0,IF(LOG('Crisis Indicator Data'!G90)&gt;J$3,5,ROUND(5-(J$3-LOG('Crisis Indicator Data'!G90))/(J$3-J$4)*5,1))))</f>
        <v>1.3</v>
      </c>
      <c r="K93" s="188">
        <f>IF('Crisis Indicator Data'!G90="x","x",IF(B93="Regional crisis",('Crisis Indicator Data'!G90/VLOOKUP('Impact of the crisis'!$C93,'Regional Crises'!$B$1:$R$66,5,FALSE)),'Crisis Indicator Data'!G90/VLOOKUP('Impact of the crisis'!$E93,'Country Indicator Data'!$B$4:$P$194,14,FALSE)))</f>
        <v>8.4193749566904577E-2</v>
      </c>
      <c r="L93" s="167">
        <f t="shared" si="17"/>
        <v>0.4</v>
      </c>
      <c r="M93" s="167">
        <f t="shared" si="27"/>
        <v>0.85000000000000009</v>
      </c>
      <c r="N93" s="167">
        <f t="shared" si="18"/>
        <v>2.2000000000000002</v>
      </c>
      <c r="O93" s="167">
        <f>IF('Crisis Indicator Data'!H90="x","x",IF('Crisis Indicator Data'!H90=0,0,IF(LOG('Crisis Indicator Data'!H90)&lt;O$4,0,IF(LOG('Crisis Indicator Data'!H90)&gt;O$3,5,ROUND(5-(O$3-LOG('Crisis Indicator Data'!H90))/(O$3-O$4)*5,1)))))</f>
        <v>3.1</v>
      </c>
      <c r="P93" s="185">
        <f>IF('Crisis Indicator Data'!H90="x","x",'Crisis Indicator Data'!H90/'Crisis Indicator Data'!G90)</f>
        <v>1</v>
      </c>
      <c r="Q93" s="167">
        <f t="shared" si="19"/>
        <v>5</v>
      </c>
      <c r="R93" s="167">
        <f t="shared" si="28"/>
        <v>4.05</v>
      </c>
      <c r="S93" s="167">
        <f>IF('Crisis Indicator Data'!I90="x","x",IF('Crisis Indicator Data'!I90=0,0,IF(LOG('Crisis Indicator Data'!I90)&lt;S$4,0,IF(LOG('Crisis Indicator Data'!I90)&gt;S$3,5,ROUND(5-(S$3-LOG('Crisis Indicator Data'!I90))/(S$3-S$4)*5,1)))))</f>
        <v>2.8</v>
      </c>
      <c r="T93" s="185">
        <f>IF('Crisis Indicator Data'!H90="x","x",IF('Crisis Indicator Data'!I90="x","x",'Crisis Indicator Data'!I90/'Crisis Indicator Data'!H90))</f>
        <v>3.868312757201646E-2</v>
      </c>
      <c r="U93" s="167">
        <f t="shared" si="20"/>
        <v>1.3</v>
      </c>
      <c r="V93" s="167">
        <f t="shared" si="21"/>
        <v>2.1</v>
      </c>
      <c r="W93" s="167" t="str">
        <f>IF('Crisis Indicator Data'!L90="x","x",IF('Crisis Indicator Data'!L90=0,0,IF(LOG('Crisis Indicator Data'!L90)&lt;W$4,0,IF(LOG('Crisis Indicator Data'!L90)&gt;W$3,5,ROUND(5-(W$3-LOG('Crisis Indicator Data'!L90))/(W$3-W$4)*5,1)))))</f>
        <v>x</v>
      </c>
      <c r="X93" s="186" t="str">
        <f>IF(OR('Crisis Indicator Data'!L90="x",'Crisis Indicator Data'!H90="x"),"x",'Crisis Indicator Data'!L90/'Crisis Indicator Data'!H90)</f>
        <v>x</v>
      </c>
      <c r="Y93" s="167" t="str">
        <f t="shared" si="22"/>
        <v>x</v>
      </c>
      <c r="Z93" s="167" t="str">
        <f t="shared" si="23"/>
        <v>x</v>
      </c>
      <c r="AA93" s="167">
        <f t="shared" si="24"/>
        <v>2.1</v>
      </c>
      <c r="AB93" s="187">
        <f t="shared" si="25"/>
        <v>3.2</v>
      </c>
    </row>
    <row r="94" spans="1:28" x14ac:dyDescent="0.3">
      <c r="A94" s="194" t="str">
        <f>'Crisis Indicator Data'!A91</f>
        <v>Multiple crises in Myanmar</v>
      </c>
      <c r="B94" s="195" t="str">
        <f>'Crisis Indicator Data'!B91</f>
        <v>Multiple crises country</v>
      </c>
      <c r="C94" s="195" t="str">
        <f>'Crisis Indicator Data'!C91</f>
        <v>MMR001</v>
      </c>
      <c r="D94" s="195" t="str">
        <f>'Crisis Indicator Data'!D91</f>
        <v>Myanmar</v>
      </c>
      <c r="E94" s="196" t="str">
        <f>'Crisis Indicator Data'!E91</f>
        <v>MMR</v>
      </c>
      <c r="F94" s="190">
        <f>IF('Crisis Indicator Data'!F91="x","x",IF(LOG('Crisis Indicator Data'!F91)&lt;F$4,0,IF(LOG('Crisis Indicator Data'!F91)&gt;F$3,5,ROUND(5-(F$3-LOG('Crisis Indicator Data'!F91))/(F$3-F$4)*5,1))))</f>
        <v>4.0999999999999996</v>
      </c>
      <c r="G94" s="188">
        <f>IF('Crisis Indicator Data'!F91="x","x",IF(B94="Regional crisis",('Crisis Indicator Data'!F91/VLOOKUP('Impact of the crisis'!$C94,'Regional Crises'!$B$1:$R$66,4,FALSE)),'Crisis Indicator Data'!F91/VLOOKUP('Impact of the crisis'!$E94,'Country Indicator Data'!$B$4:$P$194,15,FALSE)))</f>
        <v>0.44359037177681143</v>
      </c>
      <c r="H94" s="167">
        <f t="shared" si="16"/>
        <v>2.2000000000000002</v>
      </c>
      <c r="I94" s="167">
        <f t="shared" si="26"/>
        <v>3.15</v>
      </c>
      <c r="J94" s="167">
        <f>IF('Crisis Indicator Data'!G91="x","x",IF(LOG('Crisis Indicator Data'!G91)&lt;J$4,0,IF(LOG('Crisis Indicator Data'!G91)&gt;J$3,5,ROUND(5-(J$3-LOG('Crisis Indicator Data'!G91))/(J$3-J$4)*5,1))))</f>
        <v>3.4</v>
      </c>
      <c r="K94" s="188">
        <f>IF('Crisis Indicator Data'!G91="x","x",IF(B94="Regional crisis",('Crisis Indicator Data'!G91/VLOOKUP('Impact of the crisis'!$C94,'Regional Crises'!$B$1:$R$66,5,FALSE)),'Crisis Indicator Data'!G91/VLOOKUP('Impact of the crisis'!$E94,'Country Indicator Data'!$B$4:$P$194,14,FALSE)))</f>
        <v>0.19889407622837899</v>
      </c>
      <c r="L94" s="167">
        <f t="shared" si="17"/>
        <v>1</v>
      </c>
      <c r="M94" s="167">
        <f t="shared" si="27"/>
        <v>2.2000000000000002</v>
      </c>
      <c r="N94" s="167">
        <f t="shared" si="18"/>
        <v>2.7</v>
      </c>
      <c r="O94" s="167">
        <f>IF('Crisis Indicator Data'!H91="x","x",IF('Crisis Indicator Data'!H91=0,0,IF(LOG('Crisis Indicator Data'!H91)&lt;O$4,0,IF(LOG('Crisis Indicator Data'!H91)&gt;O$3,5,ROUND(5-(O$3-LOG('Crisis Indicator Data'!H91))/(O$3-O$4)*5,1)))))</f>
        <v>3.7</v>
      </c>
      <c r="P94" s="185">
        <f>IF('Crisis Indicator Data'!H91="x","x",'Crisis Indicator Data'!H91/'Crisis Indicator Data'!G91)</f>
        <v>0.49292929292929294</v>
      </c>
      <c r="Q94" s="167">
        <f t="shared" si="19"/>
        <v>2.4</v>
      </c>
      <c r="R94" s="167">
        <f t="shared" si="28"/>
        <v>3.05</v>
      </c>
      <c r="S94" s="167">
        <f>IF('Crisis Indicator Data'!I91="x","x",IF('Crisis Indicator Data'!I91=0,0,IF(LOG('Crisis Indicator Data'!I91)&lt;S$4,0,IF(LOG('Crisis Indicator Data'!I91)&gt;S$3,5,ROUND(5-(S$3-LOG('Crisis Indicator Data'!I91))/(S$3-S$4)*5,1)))))</f>
        <v>4.4000000000000004</v>
      </c>
      <c r="T94" s="185">
        <f>IF('Crisis Indicator Data'!H91="x","x",IF('Crisis Indicator Data'!I91="x","x",'Crisis Indicator Data'!I91/'Crisis Indicator Data'!H91))</f>
        <v>0.25214676034348166</v>
      </c>
      <c r="U94" s="167">
        <f t="shared" si="20"/>
        <v>5</v>
      </c>
      <c r="V94" s="167">
        <f t="shared" si="21"/>
        <v>4.7</v>
      </c>
      <c r="W94" s="167">
        <f>IF('Crisis Indicator Data'!L91="x","x",IF('Crisis Indicator Data'!L91=0,0,IF(LOG('Crisis Indicator Data'!L91)&lt;W$4,0,IF(LOG('Crisis Indicator Data'!L91)&gt;W$3,5,ROUND(5-(W$3-LOG('Crisis Indicator Data'!L91))/(W$3-W$4)*5,1)))))</f>
        <v>3.4</v>
      </c>
      <c r="X94" s="186">
        <f>IF(OR('Crisis Indicator Data'!L91="x",'Crisis Indicator Data'!H91="x"),"x",'Crisis Indicator Data'!L91/'Crisis Indicator Data'!H91)</f>
        <v>4.566744730679157E-5</v>
      </c>
      <c r="Y94" s="167">
        <f t="shared" si="22"/>
        <v>2.2999999999999998</v>
      </c>
      <c r="Z94" s="167">
        <f t="shared" si="23"/>
        <v>2.9</v>
      </c>
      <c r="AA94" s="167">
        <f t="shared" si="24"/>
        <v>4</v>
      </c>
      <c r="AB94" s="187">
        <f t="shared" si="25"/>
        <v>3.6</v>
      </c>
    </row>
    <row r="95" spans="1:28" x14ac:dyDescent="0.3">
      <c r="A95" s="194" t="str">
        <f>'Crisis Indicator Data'!A92</f>
        <v>Rakhine Conflict</v>
      </c>
      <c r="B95" s="195" t="str">
        <f>'Crisis Indicator Data'!B92</f>
        <v>Conflict</v>
      </c>
      <c r="C95" s="195" t="str">
        <f>'Crisis Indicator Data'!C92</f>
        <v>MMR002</v>
      </c>
      <c r="D95" s="195" t="str">
        <f>'Crisis Indicator Data'!D92</f>
        <v>Myanmar</v>
      </c>
      <c r="E95" s="196" t="str">
        <f>'Crisis Indicator Data'!E92</f>
        <v>MMR</v>
      </c>
      <c r="F95" s="190">
        <f>IF('Crisis Indicator Data'!F92="x","x",IF(LOG('Crisis Indicator Data'!F92)&lt;F$4,0,IF(LOG('Crisis Indicator Data'!F92)&gt;F$3,5,ROUND(5-(F$3-LOG('Crisis Indicator Data'!F92))/(F$3-F$4)*5,1))))</f>
        <v>2.8</v>
      </c>
      <c r="G95" s="188">
        <f>IF('Crisis Indicator Data'!F92="x","x",IF(B95="Regional crisis",('Crisis Indicator Data'!F92/VLOOKUP('Impact of the crisis'!$C95,'Regional Crises'!$B$1:$R$66,4,FALSE)),'Crisis Indicator Data'!F92/VLOOKUP('Impact of the crisis'!$E95,'Country Indicator Data'!$B$4:$P$194,15,FALSE)))</f>
        <v>6.8685306547436764E-2</v>
      </c>
      <c r="H95" s="167">
        <f t="shared" si="16"/>
        <v>0.2</v>
      </c>
      <c r="I95" s="167">
        <f t="shared" si="26"/>
        <v>1.5</v>
      </c>
      <c r="J95" s="167">
        <f>IF('Crisis Indicator Data'!G92="x","x",IF(LOG('Crisis Indicator Data'!G92)&lt;J$4,0,IF(LOG('Crisis Indicator Data'!G92)&gt;J$3,5,ROUND(5-(J$3-LOG('Crisis Indicator Data'!G92))/(J$3-J$4)*5,1))))</f>
        <v>2</v>
      </c>
      <c r="K95" s="188">
        <f>IF('Crisis Indicator Data'!G92="x","x",IF(B95="Regional crisis",('Crisis Indicator Data'!G92/VLOOKUP('Impact of the crisis'!$C95,'Regional Crises'!$B$1:$R$66,5,FALSE)),'Crisis Indicator Data'!G92/VLOOKUP('Impact of the crisis'!$E95,'Country Indicator Data'!$B$4:$P$194,14,FALSE)))</f>
        <v>7.4276748813714988E-2</v>
      </c>
      <c r="L95" s="167">
        <f t="shared" si="17"/>
        <v>0.3</v>
      </c>
      <c r="M95" s="167">
        <f t="shared" si="27"/>
        <v>1.1499999999999999</v>
      </c>
      <c r="N95" s="167">
        <f t="shared" si="18"/>
        <v>1.3</v>
      </c>
      <c r="O95" s="167">
        <f>IF('Crisis Indicator Data'!H92="x","x",IF('Crisis Indicator Data'!H92=0,0,IF(LOG('Crisis Indicator Data'!H92)&lt;O$4,0,IF(LOG('Crisis Indicator Data'!H92)&gt;O$3,5,ROUND(5-(O$3-LOG('Crisis Indicator Data'!H92))/(O$3-O$4)*5,1)))))</f>
        <v>2.8</v>
      </c>
      <c r="P95" s="185">
        <f>IF('Crisis Indicator Data'!H92="x","x",'Crisis Indicator Data'!H92/'Crisis Indicator Data'!G92)</f>
        <v>0.40262751159196292</v>
      </c>
      <c r="Q95" s="167">
        <f t="shared" si="19"/>
        <v>2</v>
      </c>
      <c r="R95" s="167">
        <f t="shared" si="28"/>
        <v>2.4</v>
      </c>
      <c r="S95" s="167">
        <f>IF('Crisis Indicator Data'!I92="x","x",IF('Crisis Indicator Data'!I92=0,0,IF(LOG('Crisis Indicator Data'!I92)&lt;S$4,0,IF(LOG('Crisis Indicator Data'!I92)&gt;S$3,5,ROUND(5-(S$3-LOG('Crisis Indicator Data'!I92))/(S$3-S$4)*5,1)))))</f>
        <v>4.4000000000000004</v>
      </c>
      <c r="T95" s="185">
        <f>IF('Crisis Indicator Data'!H92="x","x",IF('Crisis Indicator Data'!I92="x","x",'Crisis Indicator Data'!I92/'Crisis Indicator Data'!H92))</f>
        <v>0.75943698016634675</v>
      </c>
      <c r="U95" s="167">
        <f t="shared" si="20"/>
        <v>5</v>
      </c>
      <c r="V95" s="167">
        <f t="shared" si="21"/>
        <v>4.7</v>
      </c>
      <c r="W95" s="167">
        <f>IF('Crisis Indicator Data'!L92="x","x",IF('Crisis Indicator Data'!L92=0,0,IF(LOG('Crisis Indicator Data'!L92)&lt;W$4,0,IF(LOG('Crisis Indicator Data'!L92)&gt;W$3,5,ROUND(5-(W$3-LOG('Crisis Indicator Data'!L92))/(W$3-W$4)*5,1)))))</f>
        <v>3.3</v>
      </c>
      <c r="X95" s="186">
        <f>IF(OR('Crisis Indicator Data'!L92="x",'Crisis Indicator Data'!H92="x"),"x",'Crisis Indicator Data'!L92/'Crisis Indicator Data'!H92)</f>
        <v>1.2156110044785668E-4</v>
      </c>
      <c r="Y95" s="167">
        <f t="shared" si="22"/>
        <v>5</v>
      </c>
      <c r="Z95" s="167">
        <f t="shared" si="23"/>
        <v>4.2</v>
      </c>
      <c r="AA95" s="167">
        <f t="shared" si="24"/>
        <v>4.5</v>
      </c>
      <c r="AB95" s="187">
        <f t="shared" si="25"/>
        <v>3.7</v>
      </c>
    </row>
    <row r="96" spans="1:28" x14ac:dyDescent="0.3">
      <c r="A96" s="194" t="str">
        <f>'Crisis Indicator Data'!A93</f>
        <v>Kachin and Shan Conflict</v>
      </c>
      <c r="B96" s="195" t="str">
        <f>'Crisis Indicator Data'!B93</f>
        <v>Conflict</v>
      </c>
      <c r="C96" s="195" t="str">
        <f>'Crisis Indicator Data'!C93</f>
        <v>MMR003</v>
      </c>
      <c r="D96" s="195" t="str">
        <f>'Crisis Indicator Data'!D93</f>
        <v>Myanmar</v>
      </c>
      <c r="E96" s="196" t="str">
        <f>'Crisis Indicator Data'!E93</f>
        <v>MMR</v>
      </c>
      <c r="F96" s="190">
        <f>IF('Crisis Indicator Data'!F93="x","x",IF(LOG('Crisis Indicator Data'!F93)&lt;F$4,0,IF(LOG('Crisis Indicator Data'!F93)&gt;F$3,5,ROUND(5-(F$3-LOG('Crisis Indicator Data'!F93))/(F$3-F$4)*5,1))))</f>
        <v>4</v>
      </c>
      <c r="G96" s="188">
        <f>IF('Crisis Indicator Data'!F93="x","x",IF(B96="Regional crisis",('Crisis Indicator Data'!F93/VLOOKUP('Impact of the crisis'!$C96,'Regional Crises'!$B$1:$R$66,4,FALSE)),'Crisis Indicator Data'!F93/VLOOKUP('Impact of the crisis'!$E96,'Country Indicator Data'!$B$4:$P$194,15,FALSE)))</f>
        <v>0.37490521834997242</v>
      </c>
      <c r="H96" s="167">
        <f t="shared" si="16"/>
        <v>1.8</v>
      </c>
      <c r="I96" s="167">
        <f t="shared" si="26"/>
        <v>2.9</v>
      </c>
      <c r="J96" s="167">
        <f>IF('Crisis Indicator Data'!G93="x","x",IF(LOG('Crisis Indicator Data'!G93)&lt;J$4,0,IF(LOG('Crisis Indicator Data'!G93)&gt;J$3,5,ROUND(5-(J$3-LOG('Crisis Indicator Data'!G93))/(J$3-J$4)*5,1))))</f>
        <v>2.7</v>
      </c>
      <c r="K96" s="188">
        <f>IF('Crisis Indicator Data'!G93="x","x",IF(B96="Regional crisis",('Crisis Indicator Data'!G93/VLOOKUP('Impact of the crisis'!$C96,'Regional Crises'!$B$1:$R$66,5,FALSE)),'Crisis Indicator Data'!G93/VLOOKUP('Impact of the crisis'!$E96,'Country Indicator Data'!$B$4:$P$194,14,FALSE)))</f>
        <v>0.12461732741466401</v>
      </c>
      <c r="L96" s="167">
        <f t="shared" si="17"/>
        <v>0.6</v>
      </c>
      <c r="M96" s="167">
        <f t="shared" si="27"/>
        <v>1.6500000000000001</v>
      </c>
      <c r="N96" s="167">
        <f t="shared" si="18"/>
        <v>2.2999999999999998</v>
      </c>
      <c r="O96" s="167">
        <f>IF('Crisis Indicator Data'!H93="x","x",IF('Crisis Indicator Data'!H93=0,0,IF(LOG('Crisis Indicator Data'!H93)&lt;O$4,0,IF(LOG('Crisis Indicator Data'!H93)&gt;O$3,5,ROUND(5-(O$3-LOG('Crisis Indicator Data'!H93))/(O$3-O$4)*5,1)))))</f>
        <v>3.4</v>
      </c>
      <c r="P96" s="185">
        <f>IF('Crisis Indicator Data'!H93="x","x",'Crisis Indicator Data'!H93/'Crisis Indicator Data'!G93)</f>
        <v>0.54659910947336099</v>
      </c>
      <c r="Q96" s="167">
        <f t="shared" si="19"/>
        <v>2.7</v>
      </c>
      <c r="R96" s="167">
        <f t="shared" si="28"/>
        <v>3.05</v>
      </c>
      <c r="S96" s="167">
        <f>IF('Crisis Indicator Data'!I93="x","x",IF('Crisis Indicator Data'!I93=0,0,IF(LOG('Crisis Indicator Data'!I93)&lt;S$4,0,IF(LOG('Crisis Indicator Data'!I93)&gt;S$3,5,ROUND(5-(S$3-LOG('Crisis Indicator Data'!I93))/(S$3-S$4)*5,1)))))</f>
        <v>2.9</v>
      </c>
      <c r="T96" s="185">
        <f>IF('Crisis Indicator Data'!H93="x","x",IF('Crisis Indicator Data'!I93="x","x",'Crisis Indicator Data'!I93/'Crisis Indicator Data'!H93))</f>
        <v>2.9494382022471909E-2</v>
      </c>
      <c r="U96" s="167">
        <f t="shared" si="20"/>
        <v>1</v>
      </c>
      <c r="V96" s="167">
        <f t="shared" si="21"/>
        <v>2</v>
      </c>
      <c r="W96" s="167">
        <f>IF('Crisis Indicator Data'!L93="x","x",IF('Crisis Indicator Data'!L93=0,0,IF(LOG('Crisis Indicator Data'!L93)&lt;W$4,0,IF(LOG('Crisis Indicator Data'!L93)&gt;W$3,5,ROUND(5-(W$3-LOG('Crisis Indicator Data'!L93))/(W$3-W$4)*5,1)))))</f>
        <v>2.2999999999999998</v>
      </c>
      <c r="X96" s="186">
        <f>IF(OR('Crisis Indicator Data'!L93="x",'Crisis Indicator Data'!H93="x"),"x",'Crisis Indicator Data'!L93/'Crisis Indicator Data'!H93)</f>
        <v>1.2359550561797752E-5</v>
      </c>
      <c r="Y96" s="167">
        <f t="shared" si="22"/>
        <v>0.6</v>
      </c>
      <c r="Z96" s="167">
        <f t="shared" si="23"/>
        <v>1.5</v>
      </c>
      <c r="AA96" s="167">
        <f t="shared" si="24"/>
        <v>1.8</v>
      </c>
      <c r="AB96" s="187">
        <f t="shared" si="25"/>
        <v>2.5</v>
      </c>
    </row>
    <row r="97" spans="1:28" x14ac:dyDescent="0.3">
      <c r="A97" s="194" t="str">
        <f>'Crisis Indicator Data'!A94</f>
        <v>Food Security Crisis in Namibia</v>
      </c>
      <c r="B97" s="195" t="str">
        <f>'Crisis Indicator Data'!B94</f>
        <v>Food Security</v>
      </c>
      <c r="C97" s="195" t="str">
        <f>'Crisis Indicator Data'!C94</f>
        <v>NAM002</v>
      </c>
      <c r="D97" s="195" t="str">
        <f>'Crisis Indicator Data'!D94</f>
        <v>Namibia</v>
      </c>
      <c r="E97" s="196" t="str">
        <f>'Crisis Indicator Data'!E94</f>
        <v>NAM</v>
      </c>
      <c r="F97" s="190">
        <f>IF('Crisis Indicator Data'!F94="x","x",IF(LOG('Crisis Indicator Data'!F94)&lt;F$4,0,IF(LOG('Crisis Indicator Data'!F94)&gt;F$3,5,ROUND(5-(F$3-LOG('Crisis Indicator Data'!F94))/(F$3-F$4)*5,1))))</f>
        <v>0</v>
      </c>
      <c r="G97" s="188">
        <f>IF('Crisis Indicator Data'!F94="x","x",IF(B97="Regional crisis",('Crisis Indicator Data'!F94/VLOOKUP('Impact of the crisis'!$C97,'Regional Crises'!$B$1:$R$66,4,FALSE)),'Crisis Indicator Data'!F94/VLOOKUP('Impact of the crisis'!$E97,'Country Indicator Data'!$B$4:$P$194,15,FALSE)))</f>
        <v>9.9964775474012803E-4</v>
      </c>
      <c r="H97" s="167">
        <f t="shared" si="16"/>
        <v>0</v>
      </c>
      <c r="I97" s="167">
        <f t="shared" si="26"/>
        <v>0</v>
      </c>
      <c r="J97" s="167">
        <f>IF('Crisis Indicator Data'!G94="x","x",IF(LOG('Crisis Indicator Data'!G94)&lt;J$4,0,IF(LOG('Crisis Indicator Data'!G94)&gt;J$3,5,ROUND(5-(J$3-LOG('Crisis Indicator Data'!G94))/(J$3-J$4)*5,1))))</f>
        <v>1.2</v>
      </c>
      <c r="K97" s="188">
        <f>IF('Crisis Indicator Data'!G94="x","x",IF(B97="Regional crisis",('Crisis Indicator Data'!G94/VLOOKUP('Impact of the crisis'!$C97,'Regional Crises'!$B$1:$R$66,5,FALSE)),'Crisis Indicator Data'!G94/VLOOKUP('Impact of the crisis'!$E97,'Country Indicator Data'!$B$4:$P$194,14,FALSE)))</f>
        <v>0.88783943329397874</v>
      </c>
      <c r="L97" s="167">
        <f t="shared" si="17"/>
        <v>4.4000000000000004</v>
      </c>
      <c r="M97" s="167">
        <f t="shared" si="27"/>
        <v>2.8000000000000003</v>
      </c>
      <c r="N97" s="167">
        <f t="shared" si="18"/>
        <v>1.6</v>
      </c>
      <c r="O97" s="167">
        <f>IF('Crisis Indicator Data'!H94="x","x",IF('Crisis Indicator Data'!H94=0,0,IF(LOG('Crisis Indicator Data'!H94)&lt;O$4,0,IF(LOG('Crisis Indicator Data'!H94)&gt;O$3,5,ROUND(5-(O$3-LOG('Crisis Indicator Data'!H94))/(O$3-O$4)*5,1)))))</f>
        <v>2.6</v>
      </c>
      <c r="P97" s="185">
        <f>IF('Crisis Indicator Data'!H94="x","x",'Crisis Indicator Data'!H94/'Crisis Indicator Data'!G94)</f>
        <v>0.48359929078014185</v>
      </c>
      <c r="Q97" s="167">
        <f t="shared" si="19"/>
        <v>2.4</v>
      </c>
      <c r="R97" s="167">
        <f t="shared" si="28"/>
        <v>2.5</v>
      </c>
      <c r="S97" s="167">
        <f>IF('Crisis Indicator Data'!I94="x","x",IF('Crisis Indicator Data'!I94=0,0,IF(LOG('Crisis Indicator Data'!I94)&lt;S$4,0,IF(LOG('Crisis Indicator Data'!I94)&gt;S$3,5,ROUND(5-(S$3-LOG('Crisis Indicator Data'!I94))/(S$3-S$4)*5,1)))))</f>
        <v>0</v>
      </c>
      <c r="T97" s="185">
        <f>IF('Crisis Indicator Data'!H94="x","x",IF('Crisis Indicator Data'!I94="x","x",'Crisis Indicator Data'!I94/'Crisis Indicator Data'!H94))</f>
        <v>0</v>
      </c>
      <c r="U97" s="167">
        <f t="shared" si="20"/>
        <v>0</v>
      </c>
      <c r="V97" s="167">
        <f t="shared" si="21"/>
        <v>0</v>
      </c>
      <c r="W97" s="167" t="str">
        <f>IF('Crisis Indicator Data'!L94="x","x",IF('Crisis Indicator Data'!L94=0,0,IF(LOG('Crisis Indicator Data'!L94)&lt;W$4,0,IF(LOG('Crisis Indicator Data'!L94)&gt;W$3,5,ROUND(5-(W$3-LOG('Crisis Indicator Data'!L94))/(W$3-W$4)*5,1)))))</f>
        <v>x</v>
      </c>
      <c r="X97" s="186" t="str">
        <f>IF(OR('Crisis Indicator Data'!L94="x",'Crisis Indicator Data'!H94="x"),"x",'Crisis Indicator Data'!L94/'Crisis Indicator Data'!H94)</f>
        <v>x</v>
      </c>
      <c r="Y97" s="167" t="str">
        <f t="shared" si="22"/>
        <v>x</v>
      </c>
      <c r="Z97" s="167" t="str">
        <f t="shared" si="23"/>
        <v>x</v>
      </c>
      <c r="AA97" s="167">
        <f t="shared" si="24"/>
        <v>0</v>
      </c>
      <c r="AB97" s="187">
        <f t="shared" si="25"/>
        <v>1.4</v>
      </c>
    </row>
    <row r="98" spans="1:28" x14ac:dyDescent="0.3">
      <c r="A98" s="194" t="str">
        <f>'Crisis Indicator Data'!A95</f>
        <v>Socioeconomic crisis in Nicaragua</v>
      </c>
      <c r="B98" s="195" t="str">
        <f>'Crisis Indicator Data'!B95</f>
        <v>Political and economic crisis</v>
      </c>
      <c r="C98" s="195" t="str">
        <f>'Crisis Indicator Data'!C95</f>
        <v>NIC001</v>
      </c>
      <c r="D98" s="195" t="str">
        <f>'Crisis Indicator Data'!D95</f>
        <v>Nicaragua</v>
      </c>
      <c r="E98" s="196" t="str">
        <f>'Crisis Indicator Data'!E95</f>
        <v>NIC</v>
      </c>
      <c r="F98" s="190">
        <f>IF('Crisis Indicator Data'!F95="x","x",IF(LOG('Crisis Indicator Data'!F95)&lt;F$4,0,IF(LOG('Crisis Indicator Data'!F95)&gt;F$3,5,ROUND(5-(F$3-LOG('Crisis Indicator Data'!F95))/(F$3-F$4)*5,1))))</f>
        <v>3.5</v>
      </c>
      <c r="G98" s="188">
        <f>IF('Crisis Indicator Data'!F95="x","x",IF(B98="Regional crisis",('Crisis Indicator Data'!F95/VLOOKUP('Impact of the crisis'!$C98,'Regional Crises'!$B$1:$R$66,4,FALSE)),'Crisis Indicator Data'!F95/VLOOKUP('Impact of the crisis'!$E98,'Country Indicator Data'!$B$4:$P$194,15,FALSE)))</f>
        <v>0.99999617749709147</v>
      </c>
      <c r="H98" s="167">
        <f t="shared" si="16"/>
        <v>5</v>
      </c>
      <c r="I98" s="167">
        <f t="shared" si="26"/>
        <v>4.25</v>
      </c>
      <c r="J98" s="167">
        <f>IF('Crisis Indicator Data'!G95="x","x",IF(LOG('Crisis Indicator Data'!G95)&lt;J$4,0,IF(LOG('Crisis Indicator Data'!G95)&gt;J$3,5,ROUND(5-(J$3-LOG('Crisis Indicator Data'!G95))/(J$3-J$4)*5,1))))</f>
        <v>2.7</v>
      </c>
      <c r="K98" s="188">
        <f>IF('Crisis Indicator Data'!G95="x","x",IF(B98="Regional crisis",('Crisis Indicator Data'!G95/VLOOKUP('Impact of the crisis'!$C98,'Regional Crises'!$B$1:$R$66,5,FALSE)),'Crisis Indicator Data'!G95/VLOOKUP('Impact of the crisis'!$E98,'Country Indicator Data'!$B$4:$P$194,14,FALSE)))</f>
        <v>1</v>
      </c>
      <c r="L98" s="167">
        <f t="shared" si="17"/>
        <v>5</v>
      </c>
      <c r="M98" s="167">
        <f t="shared" si="27"/>
        <v>3.85</v>
      </c>
      <c r="N98" s="167">
        <f t="shared" si="18"/>
        <v>4.0999999999999996</v>
      </c>
      <c r="O98" s="167">
        <f>IF('Crisis Indicator Data'!H95="x","x",IF('Crisis Indicator Data'!H95=0,0,IF(LOG('Crisis Indicator Data'!H95)&lt;O$4,0,IF(LOG('Crisis Indicator Data'!H95)&gt;O$3,5,ROUND(5-(O$3-LOG('Crisis Indicator Data'!H95))/(O$3-O$4)*5,1)))))</f>
        <v>1.9</v>
      </c>
      <c r="P98" s="185">
        <f>IF('Crisis Indicator Data'!H95="x","x",'Crisis Indicator Data'!H95/'Crisis Indicator Data'!G95)</f>
        <v>6.4711359404096835E-2</v>
      </c>
      <c r="Q98" s="167">
        <f t="shared" si="19"/>
        <v>0.3</v>
      </c>
      <c r="R98" s="167">
        <f t="shared" si="28"/>
        <v>1.0999999999999999</v>
      </c>
      <c r="S98" s="167">
        <f>IF('Crisis Indicator Data'!I95="x","x",IF('Crisis Indicator Data'!I95=0,0,IF(LOG('Crisis Indicator Data'!I95)&lt;S$4,0,IF(LOG('Crisis Indicator Data'!I95)&gt;S$3,5,ROUND(5-(S$3-LOG('Crisis Indicator Data'!I95))/(S$3-S$4)*5,1)))))</f>
        <v>2.9</v>
      </c>
      <c r="T98" s="185">
        <f>IF('Crisis Indicator Data'!H95="x","x",IF('Crisis Indicator Data'!I95="x","x",'Crisis Indicator Data'!I95/'Crisis Indicator Data'!H95))</f>
        <v>0.2446043165467626</v>
      </c>
      <c r="U98" s="167">
        <f t="shared" si="20"/>
        <v>5</v>
      </c>
      <c r="V98" s="167">
        <f t="shared" si="21"/>
        <v>4</v>
      </c>
      <c r="W98" s="167">
        <f>IF('Crisis Indicator Data'!L95="x","x",IF('Crisis Indicator Data'!L95=0,0,IF(LOG('Crisis Indicator Data'!L95)&lt;W$4,0,IF(LOG('Crisis Indicator Data'!L95)&gt;W$3,5,ROUND(5-(W$3-LOG('Crisis Indicator Data'!L95))/(W$3-W$4)*5,1)))))</f>
        <v>1.1000000000000001</v>
      </c>
      <c r="X98" s="186">
        <f>IF(OR('Crisis Indicator Data'!L95="x",'Crisis Indicator Data'!H95="x"),"x",'Crisis Indicator Data'!L95/'Crisis Indicator Data'!H95)</f>
        <v>1.4388489208633093E-5</v>
      </c>
      <c r="Y98" s="167">
        <f t="shared" si="22"/>
        <v>0.7</v>
      </c>
      <c r="Z98" s="167">
        <f t="shared" si="23"/>
        <v>0.9</v>
      </c>
      <c r="AA98" s="167">
        <f t="shared" si="24"/>
        <v>2.8</v>
      </c>
      <c r="AB98" s="187">
        <f t="shared" si="25"/>
        <v>2</v>
      </c>
    </row>
    <row r="99" spans="1:28" x14ac:dyDescent="0.3">
      <c r="A99" s="194" t="str">
        <f>'Crisis Indicator Data'!A96</f>
        <v>Multiple crises in Niger</v>
      </c>
      <c r="B99" s="195" t="str">
        <f>'Crisis Indicator Data'!B96</f>
        <v>Multiple crises country</v>
      </c>
      <c r="C99" s="195" t="str">
        <f>'Crisis Indicator Data'!C96</f>
        <v>NER001</v>
      </c>
      <c r="D99" s="195" t="str">
        <f>'Crisis Indicator Data'!D96</f>
        <v>Niger</v>
      </c>
      <c r="E99" s="196" t="str">
        <f>'Crisis Indicator Data'!E96</f>
        <v>NER</v>
      </c>
      <c r="F99" s="190">
        <f>IF('Crisis Indicator Data'!F96="x","x",IF(LOG('Crisis Indicator Data'!F96)&lt;F$4,0,IF(LOG('Crisis Indicator Data'!F96)&gt;F$3,5,ROUND(5-(F$3-LOG('Crisis Indicator Data'!F96))/(F$3-F$4)*5,1))))</f>
        <v>5</v>
      </c>
      <c r="G99" s="188">
        <f>IF('Crisis Indicator Data'!F96="x","x",IF(B99="Regional crisis",('Crisis Indicator Data'!F96/VLOOKUP('Impact of the crisis'!$C99,'Regional Crises'!$B$1:$R$66,4,FALSE)),'Crisis Indicator Data'!F96/VLOOKUP('Impact of the crisis'!$E99,'Country Indicator Data'!$B$4:$P$194,15,FALSE)))</f>
        <v>1.0002368358727403</v>
      </c>
      <c r="H99" s="167">
        <f t="shared" si="16"/>
        <v>5</v>
      </c>
      <c r="I99" s="167">
        <f t="shared" si="26"/>
        <v>5</v>
      </c>
      <c r="J99" s="167">
        <f>IF('Crisis Indicator Data'!G96="x","x",IF(LOG('Crisis Indicator Data'!G96)&lt;J$4,0,IF(LOG('Crisis Indicator Data'!G96)&gt;J$3,5,ROUND(5-(J$3-LOG('Crisis Indicator Data'!G96))/(J$3-J$4)*5,1))))</f>
        <v>4.5999999999999996</v>
      </c>
      <c r="K99" s="188">
        <f>IF('Crisis Indicator Data'!G96="x","x",IF(B99="Regional crisis",('Crisis Indicator Data'!G96/VLOOKUP('Impact of the crisis'!$C99,'Regional Crises'!$B$1:$R$66,5,FALSE)),'Crisis Indicator Data'!G96/VLOOKUP('Impact of the crisis'!$E99,'Country Indicator Data'!$B$4:$P$194,14,FALSE)))</f>
        <v>0.99995758758164388</v>
      </c>
      <c r="L99" s="167">
        <f t="shared" si="17"/>
        <v>5</v>
      </c>
      <c r="M99" s="167">
        <f t="shared" si="27"/>
        <v>4.8</v>
      </c>
      <c r="N99" s="167">
        <f t="shared" si="18"/>
        <v>4.9000000000000004</v>
      </c>
      <c r="O99" s="167">
        <f>IF('Crisis Indicator Data'!H96="x","x",IF('Crisis Indicator Data'!H96=0,0,IF(LOG('Crisis Indicator Data'!H96)&lt;O$4,0,IF(LOG('Crisis Indicator Data'!H96)&gt;O$3,5,ROUND(5-(O$3-LOG('Crisis Indicator Data'!H96))/(O$3-O$4)*5,1)))))</f>
        <v>4.8</v>
      </c>
      <c r="P99" s="185">
        <f>IF('Crisis Indicator Data'!H96="x","x",'Crisis Indicator Data'!H96/'Crisis Indicator Data'!G96)</f>
        <v>1.0000424142172457</v>
      </c>
      <c r="Q99" s="167">
        <f t="shared" si="19"/>
        <v>5</v>
      </c>
      <c r="R99" s="167">
        <f t="shared" si="28"/>
        <v>4.9000000000000004</v>
      </c>
      <c r="S99" s="167">
        <f>IF('Crisis Indicator Data'!I96="x","x",IF('Crisis Indicator Data'!I96=0,0,IF(LOG('Crisis Indicator Data'!I96)&lt;S$4,0,IF(LOG('Crisis Indicator Data'!I96)&gt;S$3,5,ROUND(5-(S$3-LOG('Crisis Indicator Data'!I96))/(S$3-S$4)*5,1)))))</f>
        <v>3.9</v>
      </c>
      <c r="T99" s="185">
        <f>IF('Crisis Indicator Data'!H96="x","x",IF('Crisis Indicator Data'!I96="x","x",'Crisis Indicator Data'!I96/'Crisis Indicator Data'!H96))</f>
        <v>2.281788107557893E-2</v>
      </c>
      <c r="U99" s="167">
        <f t="shared" si="20"/>
        <v>0.8</v>
      </c>
      <c r="V99" s="167">
        <f t="shared" si="21"/>
        <v>2.4</v>
      </c>
      <c r="W99" s="167">
        <f>IF('Crisis Indicator Data'!L96="x","x",IF('Crisis Indicator Data'!L96=0,0,IF(LOG('Crisis Indicator Data'!L96)&lt;W$4,0,IF(LOG('Crisis Indicator Data'!L96)&gt;W$3,5,ROUND(5-(W$3-LOG('Crisis Indicator Data'!L96))/(W$3-W$4)*5,1)))))</f>
        <v>3.8</v>
      </c>
      <c r="X99" s="186">
        <f>IF(OR('Crisis Indicator Data'!L96="x",'Crisis Indicator Data'!H96="x"),"x",'Crisis Indicator Data'!L96/'Crisis Indicator Data'!H96)</f>
        <v>2.0782084994486386E-5</v>
      </c>
      <c r="Y99" s="167">
        <f t="shared" si="22"/>
        <v>1</v>
      </c>
      <c r="Z99" s="167">
        <f t="shared" si="23"/>
        <v>2.4</v>
      </c>
      <c r="AA99" s="167">
        <f t="shared" si="24"/>
        <v>2.4</v>
      </c>
      <c r="AB99" s="187">
        <f t="shared" si="25"/>
        <v>4</v>
      </c>
    </row>
    <row r="100" spans="1:28" x14ac:dyDescent="0.3">
      <c r="A100" s="194" t="str">
        <f>'Crisis Indicator Data'!A97</f>
        <v>Boko Haram in Niger</v>
      </c>
      <c r="B100" s="195" t="str">
        <f>'Crisis Indicator Data'!B97</f>
        <v>Conflict</v>
      </c>
      <c r="C100" s="195" t="str">
        <f>'Crisis Indicator Data'!C97</f>
        <v>NER002</v>
      </c>
      <c r="D100" s="195" t="str">
        <f>'Crisis Indicator Data'!D97</f>
        <v>Niger</v>
      </c>
      <c r="E100" s="196" t="str">
        <f>'Crisis Indicator Data'!E97</f>
        <v>NER</v>
      </c>
      <c r="F100" s="190">
        <f>IF('Crisis Indicator Data'!F97="x","x",IF(LOG('Crisis Indicator Data'!F97)&lt;F$4,0,IF(LOG('Crisis Indicator Data'!F97)&gt;F$3,5,ROUND(5-(F$3-LOG('Crisis Indicator Data'!F97))/(F$3-F$4)*5,1))))</f>
        <v>3.7</v>
      </c>
      <c r="G100" s="188">
        <f>IF('Crisis Indicator Data'!F97="x","x",IF(B100="Regional crisis",('Crisis Indicator Data'!F97/VLOOKUP('Impact of the crisis'!$C100,'Regional Crises'!$B$1:$R$66,4,FALSE)),'Crisis Indicator Data'!F97/VLOOKUP('Impact of the crisis'!$E100,'Country Indicator Data'!$B$4:$P$194,15,FALSE)))</f>
        <v>0.12386989816057473</v>
      </c>
      <c r="H100" s="167">
        <f t="shared" si="16"/>
        <v>0.5</v>
      </c>
      <c r="I100" s="167">
        <f t="shared" si="26"/>
        <v>2.1</v>
      </c>
      <c r="J100" s="167">
        <f>IF('Crisis Indicator Data'!G97="x","x",IF(LOG('Crisis Indicator Data'!G97)&lt;J$4,0,IF(LOG('Crisis Indicator Data'!G97)&gt;J$3,5,ROUND(5-(J$3-LOG('Crisis Indicator Data'!G97))/(J$3-J$4)*5,1))))</f>
        <v>0</v>
      </c>
      <c r="K100" s="188">
        <f>IF('Crisis Indicator Data'!G97="x","x",IF(B100="Regional crisis",('Crisis Indicator Data'!G97/VLOOKUP('Impact of the crisis'!$C100,'Regional Crises'!$B$1:$R$66,5,FALSE)),'Crisis Indicator Data'!G97/VLOOKUP('Impact of the crisis'!$E100,'Country Indicator Data'!$B$4:$P$194,14,FALSE)))</f>
        <v>3.1300364746797864E-2</v>
      </c>
      <c r="L100" s="167">
        <f t="shared" si="17"/>
        <v>0.1</v>
      </c>
      <c r="M100" s="167">
        <f t="shared" si="27"/>
        <v>0.05</v>
      </c>
      <c r="N100" s="167">
        <f t="shared" si="18"/>
        <v>1.2</v>
      </c>
      <c r="O100" s="167">
        <f>IF('Crisis Indicator Data'!H97="x","x",IF('Crisis Indicator Data'!H97=0,0,IF(LOG('Crisis Indicator Data'!H97)&lt;O$4,0,IF(LOG('Crisis Indicator Data'!H97)&gt;O$3,5,ROUND(5-(O$3-LOG('Crisis Indicator Data'!H97))/(O$3-O$4)*5,1)))))</f>
        <v>2.2999999999999998</v>
      </c>
      <c r="P100" s="185">
        <f>IF('Crisis Indicator Data'!H97="x","x",'Crisis Indicator Data'!H97/'Crisis Indicator Data'!G97)</f>
        <v>0.98644986449864502</v>
      </c>
      <c r="Q100" s="167">
        <f t="shared" si="19"/>
        <v>4.9000000000000004</v>
      </c>
      <c r="R100" s="167">
        <f t="shared" si="28"/>
        <v>3.6</v>
      </c>
      <c r="S100" s="167">
        <f>IF('Crisis Indicator Data'!I97="x","x",IF('Crisis Indicator Data'!I97=0,0,IF(LOG('Crisis Indicator Data'!I97)&lt;S$4,0,IF(LOG('Crisis Indicator Data'!I97)&gt;S$3,5,ROUND(5-(S$3-LOG('Crisis Indicator Data'!I97))/(S$3-S$4)*5,1)))))</f>
        <v>3.5</v>
      </c>
      <c r="T100" s="185">
        <f>IF('Crisis Indicator Data'!H97="x","x",IF('Crisis Indicator Data'!I97="x","x",'Crisis Indicator Data'!I97/'Crisis Indicator Data'!H97))</f>
        <v>0.36538461538461536</v>
      </c>
      <c r="U100" s="167">
        <f t="shared" si="20"/>
        <v>5</v>
      </c>
      <c r="V100" s="167">
        <f t="shared" si="21"/>
        <v>4.3</v>
      </c>
      <c r="W100" s="167">
        <f>IF('Crisis Indicator Data'!L97="x","x",IF('Crisis Indicator Data'!L97=0,0,IF(LOG('Crisis Indicator Data'!L97)&lt;W$4,0,IF(LOG('Crisis Indicator Data'!L97)&gt;W$3,5,ROUND(5-(W$3-LOG('Crisis Indicator Data'!L97))/(W$3-W$4)*5,1)))))</f>
        <v>3.2</v>
      </c>
      <c r="X100" s="186">
        <f>IF(OR('Crisis Indicator Data'!L97="x",'Crisis Indicator Data'!H97="x"),"x",'Crisis Indicator Data'!L97/'Crisis Indicator Data'!H97)</f>
        <v>2.458791208791209E-4</v>
      </c>
      <c r="Y100" s="167">
        <f t="shared" si="22"/>
        <v>5</v>
      </c>
      <c r="Z100" s="167">
        <f t="shared" si="23"/>
        <v>4.0999999999999996</v>
      </c>
      <c r="AA100" s="167">
        <f t="shared" si="24"/>
        <v>4.2</v>
      </c>
      <c r="AB100" s="187">
        <f t="shared" si="25"/>
        <v>3.9</v>
      </c>
    </row>
    <row r="101" spans="1:28" x14ac:dyDescent="0.3">
      <c r="A101" s="194" t="str">
        <f>'Crisis Indicator Data'!A98</f>
        <v>Mali/Burkina Faso conflict</v>
      </c>
      <c r="B101" s="195" t="str">
        <f>'Crisis Indicator Data'!B98</f>
        <v>Conflict</v>
      </c>
      <c r="C101" s="195" t="str">
        <f>'Crisis Indicator Data'!C98</f>
        <v>NER003</v>
      </c>
      <c r="D101" s="195" t="str">
        <f>'Crisis Indicator Data'!D98</f>
        <v>Niger</v>
      </c>
      <c r="E101" s="196" t="str">
        <f>'Crisis Indicator Data'!E98</f>
        <v>NER</v>
      </c>
      <c r="F101" s="190">
        <f>IF('Crisis Indicator Data'!F98="x","x",IF(LOG('Crisis Indicator Data'!F98)&lt;F$4,0,IF(LOG('Crisis Indicator Data'!F98)&gt;F$3,5,ROUND(5-(F$3-LOG('Crisis Indicator Data'!F98))/(F$3-F$4)*5,1))))</f>
        <v>3.9</v>
      </c>
      <c r="G101" s="188">
        <f>IF('Crisis Indicator Data'!F98="x","x",IF(B101="Regional crisis",('Crisis Indicator Data'!F98/VLOOKUP('Impact of the crisis'!$C101,'Regional Crises'!$B$1:$R$66,4,FALSE)),'Crisis Indicator Data'!F98/VLOOKUP('Impact of the crisis'!$E101,'Country Indicator Data'!$B$4:$P$194,15,FALSE)))</f>
        <v>0.1662587826636141</v>
      </c>
      <c r="H101" s="167">
        <f t="shared" si="16"/>
        <v>0.7</v>
      </c>
      <c r="I101" s="167">
        <f t="shared" si="26"/>
        <v>2.2999999999999998</v>
      </c>
      <c r="J101" s="167">
        <f>IF('Crisis Indicator Data'!G98="x","x",IF(LOG('Crisis Indicator Data'!G98)&lt;J$4,0,IF(LOG('Crisis Indicator Data'!G98)&gt;J$3,5,ROUND(5-(J$3-LOG('Crisis Indicator Data'!G98))/(J$3-J$4)*5,1))))</f>
        <v>3</v>
      </c>
      <c r="K101" s="188">
        <f>IF('Crisis Indicator Data'!G98="x","x",IF(B101="Regional crisis",('Crisis Indicator Data'!G98/VLOOKUP('Impact of the crisis'!$C101,'Regional Crises'!$B$1:$R$66,5,FALSE)),'Crisis Indicator Data'!G98/VLOOKUP('Impact of the crisis'!$E101,'Country Indicator Data'!$B$4:$P$194,14,FALSE)))</f>
        <v>0.33081686317753839</v>
      </c>
      <c r="L101" s="167">
        <f t="shared" si="17"/>
        <v>1.6</v>
      </c>
      <c r="M101" s="167">
        <f t="shared" si="27"/>
        <v>2.2999999999999998</v>
      </c>
      <c r="N101" s="167">
        <f t="shared" si="18"/>
        <v>2.2999999999999998</v>
      </c>
      <c r="O101" s="167">
        <f>IF('Crisis Indicator Data'!H98="x","x",IF('Crisis Indicator Data'!H98=0,0,IF(LOG('Crisis Indicator Data'!H98)&lt;O$4,0,IF(LOG('Crisis Indicator Data'!H98)&gt;O$3,5,ROUND(5-(O$3-LOG('Crisis Indicator Data'!H98))/(O$3-O$4)*5,1)))))</f>
        <v>2.5</v>
      </c>
      <c r="P101" s="185">
        <f>IF('Crisis Indicator Data'!H98="x","x",'Crisis Indicator Data'!H98/'Crisis Indicator Data'!G98)</f>
        <v>0.12371794871794872</v>
      </c>
      <c r="Q101" s="167">
        <f t="shared" si="19"/>
        <v>0.6</v>
      </c>
      <c r="R101" s="167">
        <f t="shared" si="28"/>
        <v>1.55</v>
      </c>
      <c r="S101" s="167">
        <f>IF('Crisis Indicator Data'!I98="x","x",IF('Crisis Indicator Data'!I98=0,0,IF(LOG('Crisis Indicator Data'!I98)&lt;S$4,0,IF(LOG('Crisis Indicator Data'!I98)&gt;S$3,5,ROUND(5-(S$3-LOG('Crisis Indicator Data'!I98))/(S$3-S$4)*5,1)))))</f>
        <v>3.3</v>
      </c>
      <c r="T101" s="185">
        <f>IF('Crisis Indicator Data'!H98="x","x",IF('Crisis Indicator Data'!I98="x","x",'Crisis Indicator Data'!I98/'Crisis Indicator Data'!H98))</f>
        <v>0.20725388601036268</v>
      </c>
      <c r="U101" s="167">
        <f t="shared" si="20"/>
        <v>5</v>
      </c>
      <c r="V101" s="167">
        <f t="shared" si="21"/>
        <v>4.2</v>
      </c>
      <c r="W101" s="167">
        <f>IF('Crisis Indicator Data'!L98="x","x",IF('Crisis Indicator Data'!L98=0,0,IF(LOG('Crisis Indicator Data'!L98)&lt;W$4,0,IF(LOG('Crisis Indicator Data'!L98)&gt;W$3,5,ROUND(5-(W$3-LOG('Crisis Indicator Data'!L98))/(W$3-W$4)*5,1)))))</f>
        <v>3.3</v>
      </c>
      <c r="X101" s="186">
        <f>IF(OR('Crisis Indicator Data'!L98="x",'Crisis Indicator Data'!H98="x"),"x",'Crisis Indicator Data'!L98/'Crisis Indicator Data'!H98)</f>
        <v>2.2797927461139898E-4</v>
      </c>
      <c r="Y101" s="167">
        <f t="shared" si="22"/>
        <v>5</v>
      </c>
      <c r="Z101" s="167">
        <f t="shared" si="23"/>
        <v>4.2</v>
      </c>
      <c r="AA101" s="167">
        <f t="shared" si="24"/>
        <v>4.2</v>
      </c>
      <c r="AB101" s="187">
        <f t="shared" si="25"/>
        <v>3.1</v>
      </c>
    </row>
    <row r="102" spans="1:28" x14ac:dyDescent="0.3">
      <c r="A102" s="194" t="str">
        <f>'Crisis Indicator Data'!A99</f>
        <v>Nigerian Refugees</v>
      </c>
      <c r="B102" s="195" t="str">
        <f>'Crisis Indicator Data'!B99</f>
        <v>International displacement</v>
      </c>
      <c r="C102" s="195" t="str">
        <f>'Crisis Indicator Data'!C99</f>
        <v>NER004</v>
      </c>
      <c r="D102" s="195" t="str">
        <f>'Crisis Indicator Data'!D99</f>
        <v>Niger</v>
      </c>
      <c r="E102" s="196" t="str">
        <f>'Crisis Indicator Data'!E99</f>
        <v>NER</v>
      </c>
      <c r="F102" s="190">
        <f>IF('Crisis Indicator Data'!F99="x","x",IF(LOG('Crisis Indicator Data'!F99)&lt;F$4,0,IF(LOG('Crisis Indicator Data'!F99)&gt;F$3,5,ROUND(5-(F$3-LOG('Crisis Indicator Data'!F99))/(F$3-F$4)*5,1))))</f>
        <v>1.2</v>
      </c>
      <c r="G102" s="188">
        <f>IF('Crisis Indicator Data'!F99="x","x",IF(B102="Regional crisis",('Crisis Indicator Data'!F99/VLOOKUP('Impact of the crisis'!$C102,'Regional Crises'!$B$1:$R$66,4,FALSE)),'Crisis Indicator Data'!F99/VLOOKUP('Impact of the crisis'!$E102,'Country Indicator Data'!$B$4:$P$194,15,FALSE)))</f>
        <v>3.891213389121339E-3</v>
      </c>
      <c r="H102" s="167">
        <f t="shared" si="16"/>
        <v>0</v>
      </c>
      <c r="I102" s="167">
        <f t="shared" si="26"/>
        <v>0.6</v>
      </c>
      <c r="J102" s="167">
        <f>IF('Crisis Indicator Data'!G99="x","x",IF(LOG('Crisis Indicator Data'!G99)&lt;J$4,0,IF(LOG('Crisis Indicator Data'!G99)&gt;J$3,5,ROUND(5-(J$3-LOG('Crisis Indicator Data'!G99))/(J$3-J$4)*5,1))))</f>
        <v>0</v>
      </c>
      <c r="K102" s="188">
        <f>IF('Crisis Indicator Data'!G99="x","x",IF(B102="Regional crisis",('Crisis Indicator Data'!G99/VLOOKUP('Impact of the crisis'!$C102,'Regional Crises'!$B$1:$R$66,5,FALSE)),'Crisis Indicator Data'!G99/VLOOKUP('Impact of the crisis'!$E102,'Country Indicator Data'!$B$4:$P$194,14,FALSE)))</f>
        <v>2.7822546441598098E-2</v>
      </c>
      <c r="L102" s="167">
        <f t="shared" si="17"/>
        <v>0.1</v>
      </c>
      <c r="M102" s="167">
        <f t="shared" si="27"/>
        <v>0.05</v>
      </c>
      <c r="N102" s="167">
        <f t="shared" si="18"/>
        <v>0.3</v>
      </c>
      <c r="O102" s="167">
        <f>IF('Crisis Indicator Data'!H99="x","x",IF('Crisis Indicator Data'!H99=0,0,IF(LOG('Crisis Indicator Data'!H99)&lt;O$4,0,IF(LOG('Crisis Indicator Data'!H99)&gt;O$3,5,ROUND(5-(O$3-LOG('Crisis Indicator Data'!H99))/(O$3-O$4)*5,1)))))</f>
        <v>1</v>
      </c>
      <c r="P102" s="185">
        <f>IF('Crisis Indicator Data'!H99="x","x",'Crisis Indicator Data'!H99/'Crisis Indicator Data'!G99)</f>
        <v>0.1875</v>
      </c>
      <c r="Q102" s="167">
        <f t="shared" si="19"/>
        <v>0.9</v>
      </c>
      <c r="R102" s="167">
        <f t="shared" si="28"/>
        <v>0.95</v>
      </c>
      <c r="S102" s="167">
        <f>IF('Crisis Indicator Data'!I99="x","x",IF('Crisis Indicator Data'!I99=0,0,IF(LOG('Crisis Indicator Data'!I99)&lt;S$4,0,IF(LOG('Crisis Indicator Data'!I99)&gt;S$3,5,ROUND(5-(S$3-LOG('Crisis Indicator Data'!I99))/(S$3-S$4)*5,1)))))</f>
        <v>2.8</v>
      </c>
      <c r="T102" s="185">
        <f>IF('Crisis Indicator Data'!H99="x","x",IF('Crisis Indicator Data'!I99="x","x",'Crisis Indicator Data'!I99/'Crisis Indicator Data'!H99))</f>
        <v>0.75609756097560976</v>
      </c>
      <c r="U102" s="167">
        <f t="shared" si="20"/>
        <v>5</v>
      </c>
      <c r="V102" s="167">
        <f t="shared" si="21"/>
        <v>3.9</v>
      </c>
      <c r="W102" s="167">
        <f>IF('Crisis Indicator Data'!L99="x","x",IF('Crisis Indicator Data'!L99=0,0,IF(LOG('Crisis Indicator Data'!L99)&lt;W$4,0,IF(LOG('Crisis Indicator Data'!L99)&gt;W$3,5,ROUND(5-(W$3-LOG('Crisis Indicator Data'!L99))/(W$3-W$4)*5,1)))))</f>
        <v>1</v>
      </c>
      <c r="X102" s="186">
        <f>IF(OR('Crisis Indicator Data'!L99="x",'Crisis Indicator Data'!H99="x"),"x",'Crisis Indicator Data'!L99/'Crisis Indicator Data'!H99)</f>
        <v>4.0650406504065041E-5</v>
      </c>
      <c r="Y102" s="167">
        <f t="shared" si="22"/>
        <v>2</v>
      </c>
      <c r="Z102" s="167">
        <f t="shared" si="23"/>
        <v>1.5</v>
      </c>
      <c r="AA102" s="167">
        <f t="shared" si="24"/>
        <v>2.9</v>
      </c>
      <c r="AB102" s="187">
        <f t="shared" si="25"/>
        <v>2</v>
      </c>
    </row>
    <row r="103" spans="1:28" x14ac:dyDescent="0.3">
      <c r="A103" s="194" t="str">
        <f>'Crisis Indicator Data'!A100</f>
        <v>Floods in Niger</v>
      </c>
      <c r="B103" s="195" t="str">
        <f>'Crisis Indicator Data'!B100</f>
        <v>Flood</v>
      </c>
      <c r="C103" s="195" t="str">
        <f>'Crisis Indicator Data'!C100</f>
        <v>NER005</v>
      </c>
      <c r="D103" s="195" t="str">
        <f>'Crisis Indicator Data'!D100</f>
        <v>Niger</v>
      </c>
      <c r="E103" s="196" t="str">
        <f>'Crisis Indicator Data'!E100</f>
        <v>NER</v>
      </c>
      <c r="F103" s="190">
        <f>IF('Crisis Indicator Data'!F100="x","x",IF(LOG('Crisis Indicator Data'!F100)&lt;F$4,0,IF(LOG('Crisis Indicator Data'!F100)&gt;F$3,5,ROUND(5-(F$3-LOG('Crisis Indicator Data'!F100))/(F$3-F$4)*5,1))))</f>
        <v>5</v>
      </c>
      <c r="G103" s="188">
        <f>IF('Crisis Indicator Data'!F100="x","x",IF(B103="Regional crisis",('Crisis Indicator Data'!F100/VLOOKUP('Impact of the crisis'!$C103,'Regional Crises'!$B$1:$R$66,4,FALSE)),'Crisis Indicator Data'!F100/VLOOKUP('Impact of the crisis'!$E103,'Country Indicator Data'!$B$4:$P$194,15,FALSE)))</f>
        <v>1.0002368358727403</v>
      </c>
      <c r="H103" s="167">
        <f t="shared" si="16"/>
        <v>5</v>
      </c>
      <c r="I103" s="167">
        <f t="shared" si="26"/>
        <v>5</v>
      </c>
      <c r="J103" s="167">
        <f>IF('Crisis Indicator Data'!G100="x","x",IF(LOG('Crisis Indicator Data'!G100)&lt;J$4,0,IF(LOG('Crisis Indicator Data'!G100)&gt;J$3,5,ROUND(5-(J$3-LOG('Crisis Indicator Data'!G100))/(J$3-J$4)*5,1))))</f>
        <v>4.5999999999999996</v>
      </c>
      <c r="K103" s="188">
        <f>IF('Crisis Indicator Data'!G100="x","x",IF(B103="Regional crisis",('Crisis Indicator Data'!G100/VLOOKUP('Impact of the crisis'!$C103,'Regional Crises'!$B$1:$R$66,5,FALSE)),'Crisis Indicator Data'!G100/VLOOKUP('Impact of the crisis'!$E103,'Country Indicator Data'!$B$4:$P$194,14,FALSE)))</f>
        <v>1</v>
      </c>
      <c r="L103" s="167">
        <f t="shared" si="17"/>
        <v>5</v>
      </c>
      <c r="M103" s="167">
        <f t="shared" si="27"/>
        <v>4.8</v>
      </c>
      <c r="N103" s="167">
        <f t="shared" si="18"/>
        <v>4.9000000000000004</v>
      </c>
      <c r="O103" s="167">
        <f>IF('Crisis Indicator Data'!H100="x","x",IF('Crisis Indicator Data'!H100=0,0,IF(LOG('Crisis Indicator Data'!H100)&lt;O$4,0,IF(LOG('Crisis Indicator Data'!H100)&gt;O$3,5,ROUND(5-(O$3-LOG('Crisis Indicator Data'!H100))/(O$3-O$4)*5,1)))))</f>
        <v>2</v>
      </c>
      <c r="P103" s="185">
        <f>IF('Crisis Indicator Data'!H100="x","x",'Crisis Indicator Data'!H100/'Crisis Indicator Data'!G100)</f>
        <v>2.1884807871744846E-2</v>
      </c>
      <c r="Q103" s="167">
        <f t="shared" si="19"/>
        <v>0.1</v>
      </c>
      <c r="R103" s="167">
        <f t="shared" si="28"/>
        <v>1.05</v>
      </c>
      <c r="S103" s="167" t="str">
        <f>IF('Crisis Indicator Data'!I100="x","x",IF('Crisis Indicator Data'!I100=0,0,IF(LOG('Crisis Indicator Data'!I100)&lt;S$4,0,IF(LOG('Crisis Indicator Data'!I100)&gt;S$3,5,ROUND(5-(S$3-LOG('Crisis Indicator Data'!I100))/(S$3-S$4)*5,1)))))</f>
        <v>x</v>
      </c>
      <c r="T103" s="185" t="str">
        <f>IF('Crisis Indicator Data'!H100="x","x",IF('Crisis Indicator Data'!I100="x","x",'Crisis Indicator Data'!I100/'Crisis Indicator Data'!H100))</f>
        <v>x</v>
      </c>
      <c r="U103" s="167" t="str">
        <f t="shared" si="20"/>
        <v>x</v>
      </c>
      <c r="V103" s="167" t="str">
        <f t="shared" si="21"/>
        <v>x</v>
      </c>
      <c r="W103" s="167">
        <f>IF('Crisis Indicator Data'!L100="x","x",IF('Crisis Indicator Data'!L100=0,0,IF(LOG('Crisis Indicator Data'!L100)&lt;W$4,0,IF(LOG('Crisis Indicator Data'!L100)&gt;W$3,5,ROUND(5-(W$3-LOG('Crisis Indicator Data'!L100))/(W$3-W$4)*5,1)))))</f>
        <v>2.6</v>
      </c>
      <c r="X103" s="186">
        <f>IF(OR('Crisis Indicator Data'!L100="x",'Crisis Indicator Data'!H100="x"),"x",'Crisis Indicator Data'!L100/'Crisis Indicator Data'!H100)</f>
        <v>1.3372093023255815E-4</v>
      </c>
      <c r="Y103" s="167">
        <f t="shared" si="22"/>
        <v>5</v>
      </c>
      <c r="Z103" s="167">
        <f t="shared" si="23"/>
        <v>3.8</v>
      </c>
      <c r="AA103" s="167">
        <f t="shared" si="24"/>
        <v>3.8</v>
      </c>
      <c r="AB103" s="187">
        <f t="shared" si="25"/>
        <v>2.7</v>
      </c>
    </row>
    <row r="104" spans="1:28" x14ac:dyDescent="0.3">
      <c r="A104" s="194" t="str">
        <f>'Crisis Indicator Data'!A101</f>
        <v>Complex crisis in Nigeria</v>
      </c>
      <c r="B104" s="195" t="str">
        <f>'Crisis Indicator Data'!B101</f>
        <v>Complex crisis</v>
      </c>
      <c r="C104" s="195" t="str">
        <f>'Crisis Indicator Data'!C101</f>
        <v>NGA001</v>
      </c>
      <c r="D104" s="195" t="str">
        <f>'Crisis Indicator Data'!D101</f>
        <v>Nigeria</v>
      </c>
      <c r="E104" s="196" t="str">
        <f>'Crisis Indicator Data'!E101</f>
        <v>NGA</v>
      </c>
      <c r="F104" s="190">
        <f>IF('Crisis Indicator Data'!F101="x","x",IF(LOG('Crisis Indicator Data'!F101)&lt;F$4,0,IF(LOG('Crisis Indicator Data'!F101)&gt;F$3,5,ROUND(5-(F$3-LOG('Crisis Indicator Data'!F101))/(F$3-F$4)*5,1))))</f>
        <v>4.9000000000000004</v>
      </c>
      <c r="G104" s="188">
        <f>IF('Crisis Indicator Data'!F101="x","x",IF(B104="Regional crisis",('Crisis Indicator Data'!F101/VLOOKUP('Impact of the crisis'!$C104,'Regional Crises'!$B$1:$R$66,4,FALSE)),'Crisis Indicator Data'!F101/VLOOKUP('Impact of the crisis'!$E104,'Country Indicator Data'!$B$4:$P$194,15,FALSE)))</f>
        <v>0.99903378459984404</v>
      </c>
      <c r="H104" s="167">
        <f t="shared" si="16"/>
        <v>5</v>
      </c>
      <c r="I104" s="167">
        <f t="shared" si="26"/>
        <v>4.95</v>
      </c>
      <c r="J104" s="167">
        <f>IF('Crisis Indicator Data'!G101="x","x",IF(LOG('Crisis Indicator Data'!G101)&lt;J$4,0,IF(LOG('Crisis Indicator Data'!G101)&gt;J$3,5,ROUND(5-(J$3-LOG('Crisis Indicator Data'!G101))/(J$3-J$4)*5,1))))</f>
        <v>5</v>
      </c>
      <c r="K104" s="188">
        <f>IF('Crisis Indicator Data'!G101="x","x",IF(B104="Regional crisis",('Crisis Indicator Data'!G101/VLOOKUP('Impact of the crisis'!$C104,'Regional Crises'!$B$1:$R$66,5,FALSE)),'Crisis Indicator Data'!G101/VLOOKUP('Impact of the crisis'!$E104,'Country Indicator Data'!$B$4:$P$194,14,FALSE)))</f>
        <v>0.28738986446429665</v>
      </c>
      <c r="L104" s="167">
        <f t="shared" si="17"/>
        <v>1.4</v>
      </c>
      <c r="M104" s="167">
        <f t="shared" si="27"/>
        <v>3.2</v>
      </c>
      <c r="N104" s="167">
        <f t="shared" si="18"/>
        <v>4.3</v>
      </c>
      <c r="O104" s="167">
        <f>IF('Crisis Indicator Data'!H101="x","x",IF('Crisis Indicator Data'!H101=0,0,IF(LOG('Crisis Indicator Data'!H101)&lt;O$4,0,IF(LOG('Crisis Indicator Data'!H101)&gt;O$3,5,ROUND(5-(O$3-LOG('Crisis Indicator Data'!H101))/(O$3-O$4)*5,1)))))</f>
        <v>4</v>
      </c>
      <c r="P104" s="185">
        <f>IF('Crisis Indicator Data'!H101="x","x",'Crisis Indicator Data'!H101/'Crisis Indicator Data'!G101)</f>
        <v>0.13915316629025662</v>
      </c>
      <c r="Q104" s="167">
        <f t="shared" si="19"/>
        <v>0.7</v>
      </c>
      <c r="R104" s="167">
        <f t="shared" si="28"/>
        <v>2.35</v>
      </c>
      <c r="S104" s="167">
        <f>IF('Crisis Indicator Data'!I101="x","x",IF('Crisis Indicator Data'!I101=0,0,IF(LOG('Crisis Indicator Data'!I101)&lt;S$4,0,IF(LOG('Crisis Indicator Data'!I101)&gt;S$3,5,ROUND(5-(S$3-LOG('Crisis Indicator Data'!I101))/(S$3-S$4)*5,1)))))</f>
        <v>4.9000000000000004</v>
      </c>
      <c r="T104" s="185">
        <f>IF('Crisis Indicator Data'!H101="x","x",IF('Crisis Indicator Data'!I101="x","x",'Crisis Indicator Data'!I101/'Crisis Indicator Data'!H101))</f>
        <v>0.32651757188498404</v>
      </c>
      <c r="U104" s="167">
        <f t="shared" si="20"/>
        <v>5</v>
      </c>
      <c r="V104" s="167">
        <f t="shared" si="21"/>
        <v>5</v>
      </c>
      <c r="W104" s="167">
        <f>IF('Crisis Indicator Data'!L101="x","x",IF('Crisis Indicator Data'!L101=0,0,IF(LOG('Crisis Indicator Data'!L101)&lt;W$4,0,IF(LOG('Crisis Indicator Data'!L101)&gt;W$3,5,ROUND(5-(W$3-LOG('Crisis Indicator Data'!L101))/(W$3-W$4)*5,1)))))</f>
        <v>4.8</v>
      </c>
      <c r="X104" s="186">
        <f>IF(OR('Crisis Indicator Data'!L101="x",'Crisis Indicator Data'!H101="x"),"x",'Crisis Indicator Data'!L101/'Crisis Indicator Data'!H101)</f>
        <v>2.7859424920127795E-4</v>
      </c>
      <c r="Y104" s="167">
        <f t="shared" si="22"/>
        <v>5</v>
      </c>
      <c r="Z104" s="167">
        <f t="shared" si="23"/>
        <v>4.9000000000000004</v>
      </c>
      <c r="AA104" s="167">
        <f t="shared" si="24"/>
        <v>5</v>
      </c>
      <c r="AB104" s="187">
        <f t="shared" si="25"/>
        <v>4</v>
      </c>
    </row>
    <row r="105" spans="1:28" x14ac:dyDescent="0.3">
      <c r="A105" s="194" t="str">
        <f>'Crisis Indicator Data'!A102</f>
        <v>Middle belt conflict</v>
      </c>
      <c r="B105" s="195" t="str">
        <f>'Crisis Indicator Data'!B102</f>
        <v>Conflict</v>
      </c>
      <c r="C105" s="195" t="str">
        <f>'Crisis Indicator Data'!C102</f>
        <v>NGA003</v>
      </c>
      <c r="D105" s="195" t="str">
        <f>'Crisis Indicator Data'!D102</f>
        <v>Nigeria</v>
      </c>
      <c r="E105" s="196" t="str">
        <f>'Crisis Indicator Data'!E102</f>
        <v>NGA</v>
      </c>
      <c r="F105" s="190">
        <f>IF('Crisis Indicator Data'!F102="x","x",IF(LOG('Crisis Indicator Data'!F102)&lt;F$4,0,IF(LOG('Crisis Indicator Data'!F102)&gt;F$3,5,ROUND(5-(F$3-LOG('Crisis Indicator Data'!F102))/(F$3-F$4)*5,1))))</f>
        <v>4.4000000000000004</v>
      </c>
      <c r="G105" s="188">
        <f>IF('Crisis Indicator Data'!F102="x","x",IF(B105="Regional crisis",('Crisis Indicator Data'!F102/VLOOKUP('Impact of the crisis'!$C105,'Regional Crises'!$B$1:$R$66,4,FALSE)),'Crisis Indicator Data'!F102/VLOOKUP('Impact of the crisis'!$E105,'Country Indicator Data'!$B$4:$P$194,15,FALSE)))</f>
        <v>0.44987757611691204</v>
      </c>
      <c r="H105" s="167">
        <f t="shared" si="16"/>
        <v>2.2000000000000002</v>
      </c>
      <c r="I105" s="167">
        <f t="shared" si="26"/>
        <v>3.3000000000000003</v>
      </c>
      <c r="J105" s="167">
        <f>IF('Crisis Indicator Data'!G102="x","x",IF(LOG('Crisis Indicator Data'!G102)&lt;J$4,0,IF(LOG('Crisis Indicator Data'!G102)&gt;J$3,5,ROUND(5-(J$3-LOG('Crisis Indicator Data'!G102))/(J$3-J$4)*5,1))))</f>
        <v>5</v>
      </c>
      <c r="K105" s="188">
        <f>IF('Crisis Indicator Data'!G102="x","x",IF(B105="Regional crisis",('Crisis Indicator Data'!G102/VLOOKUP('Impact of the crisis'!$C105,'Regional Crises'!$B$1:$R$66,5,FALSE)),'Crisis Indicator Data'!G102/VLOOKUP('Impact of the crisis'!$E105,'Country Indicator Data'!$B$4:$P$194,14,FALSE)))</f>
        <v>0.43008565529366072</v>
      </c>
      <c r="L105" s="167">
        <f t="shared" si="17"/>
        <v>2.1</v>
      </c>
      <c r="M105" s="167">
        <f t="shared" si="27"/>
        <v>3.55</v>
      </c>
      <c r="N105" s="167">
        <f t="shared" si="18"/>
        <v>3.4</v>
      </c>
      <c r="O105" s="167">
        <f>IF('Crisis Indicator Data'!H102="x","x",IF('Crisis Indicator Data'!H102=0,0,IF(LOG('Crisis Indicator Data'!H102)&lt;O$4,0,IF(LOG('Crisis Indicator Data'!H102)&gt;O$3,5,ROUND(5-(O$3-LOG('Crisis Indicator Data'!H102))/(O$3-O$4)*5,1)))))</f>
        <v>1.6</v>
      </c>
      <c r="P105" s="185">
        <f>IF('Crisis Indicator Data'!H102="x","x",'Crisis Indicator Data'!H102/'Crisis Indicator Data'!G102)</f>
        <v>3.564892934382204E-3</v>
      </c>
      <c r="Q105" s="167">
        <f t="shared" si="19"/>
        <v>0</v>
      </c>
      <c r="R105" s="167">
        <f t="shared" si="28"/>
        <v>0.8</v>
      </c>
      <c r="S105" s="167" t="str">
        <f>IF('Crisis Indicator Data'!I102="x","x",IF('Crisis Indicator Data'!I102=0,0,IF(LOG('Crisis Indicator Data'!I102)&lt;S$4,0,IF(LOG('Crisis Indicator Data'!I102)&gt;S$3,5,ROUND(5-(S$3-LOG('Crisis Indicator Data'!I102))/(S$3-S$4)*5,1)))))</f>
        <v>x</v>
      </c>
      <c r="T105" s="185" t="str">
        <f>IF('Crisis Indicator Data'!H102="x","x",IF('Crisis Indicator Data'!I102="x","x",'Crisis Indicator Data'!I102/'Crisis Indicator Data'!H102))</f>
        <v>x</v>
      </c>
      <c r="U105" s="167" t="str">
        <f t="shared" si="20"/>
        <v>x</v>
      </c>
      <c r="V105" s="167" t="str">
        <f t="shared" si="21"/>
        <v>x</v>
      </c>
      <c r="W105" s="167">
        <f>IF('Crisis Indicator Data'!L102="x","x",IF('Crisis Indicator Data'!L102=0,0,IF(LOG('Crisis Indicator Data'!L102)&lt;W$4,0,IF(LOG('Crisis Indicator Data'!L102)&gt;W$3,5,ROUND(5-(W$3-LOG('Crisis Indicator Data'!L102))/(W$3-W$4)*5,1)))))</f>
        <v>3.5</v>
      </c>
      <c r="X105" s="186">
        <f>IF(OR('Crisis Indicator Data'!L102="x",'Crisis Indicator Data'!H102="x"),"x",'Crisis Indicator Data'!L102/'Crisis Indicator Data'!H102)</f>
        <v>9.7000000000000005E-4</v>
      </c>
      <c r="Y105" s="167">
        <f t="shared" si="22"/>
        <v>5</v>
      </c>
      <c r="Z105" s="167">
        <f t="shared" si="23"/>
        <v>4.3</v>
      </c>
      <c r="AA105" s="167">
        <f t="shared" si="24"/>
        <v>4.3</v>
      </c>
      <c r="AB105" s="187">
        <f t="shared" si="25"/>
        <v>3</v>
      </c>
    </row>
    <row r="106" spans="1:28" x14ac:dyDescent="0.3">
      <c r="A106" s="194" t="str">
        <f>'Crisis Indicator Data'!A103</f>
        <v>Boko Haram crisis in Nigeria</v>
      </c>
      <c r="B106" s="195" t="str">
        <f>'Crisis Indicator Data'!B103</f>
        <v>Conflict</v>
      </c>
      <c r="C106" s="195" t="str">
        <f>'Crisis Indicator Data'!C103</f>
        <v>NGA004</v>
      </c>
      <c r="D106" s="195" t="str">
        <f>'Crisis Indicator Data'!D103</f>
        <v>Nigeria</v>
      </c>
      <c r="E106" s="196" t="str">
        <f>'Crisis Indicator Data'!E103</f>
        <v>NGA</v>
      </c>
      <c r="F106" s="190">
        <f>IF('Crisis Indicator Data'!F103="x","x",IF(LOG('Crisis Indicator Data'!F103)&lt;F$4,0,IF(LOG('Crisis Indicator Data'!F103)&gt;F$3,5,ROUND(5-(F$3-LOG('Crisis Indicator Data'!F103))/(F$3-F$4)*5,1))))</f>
        <v>3.7</v>
      </c>
      <c r="G106" s="188">
        <f>IF('Crisis Indicator Data'!F103="x","x",IF(B106="Regional crisis",('Crisis Indicator Data'!F103/VLOOKUP('Impact of the crisis'!$C106,'Regional Crises'!$B$1:$R$66,4,FALSE)),'Crisis Indicator Data'!F103/VLOOKUP('Impact of the crisis'!$E106,'Country Indicator Data'!$B$4:$P$194,15,FALSE)))</f>
        <v>0.17338954950206967</v>
      </c>
      <c r="H106" s="167">
        <f t="shared" si="16"/>
        <v>0.8</v>
      </c>
      <c r="I106" s="167">
        <f t="shared" si="26"/>
        <v>2.25</v>
      </c>
      <c r="J106" s="167">
        <f>IF('Crisis Indicator Data'!G103="x","x",IF(LOG('Crisis Indicator Data'!G103)&lt;J$4,0,IF(LOG('Crisis Indicator Data'!G103)&gt;J$3,5,ROUND(5-(J$3-LOG('Crisis Indicator Data'!G103))/(J$3-J$4)*5,1))))</f>
        <v>3</v>
      </c>
      <c r="K106" s="188">
        <f>IF('Crisis Indicator Data'!G103="x","x",IF(B106="Regional crisis",('Crisis Indicator Data'!G103/VLOOKUP('Impact of the crisis'!$C106,'Regional Crises'!$B$1:$R$66,5,FALSE)),'Crisis Indicator Data'!G103/VLOOKUP('Impact of the crisis'!$E106,'Country Indicator Data'!$B$4:$P$194,14,FALSE)))</f>
        <v>4.037451192836846E-2</v>
      </c>
      <c r="L106" s="167">
        <f t="shared" si="17"/>
        <v>0.2</v>
      </c>
      <c r="M106" s="167">
        <f t="shared" si="27"/>
        <v>1.6</v>
      </c>
      <c r="N106" s="167">
        <f t="shared" si="18"/>
        <v>1.9</v>
      </c>
      <c r="O106" s="167">
        <f>IF('Crisis Indicator Data'!H103="x","x",IF('Crisis Indicator Data'!H103=0,0,IF(LOG('Crisis Indicator Data'!H103)&lt;O$4,0,IF(LOG('Crisis Indicator Data'!H103)&gt;O$3,5,ROUND(5-(O$3-LOG('Crisis Indicator Data'!H103))/(O$3-O$4)*5,1)))))</f>
        <v>3.9</v>
      </c>
      <c r="P106" s="185">
        <f>IF('Crisis Indicator Data'!H103="x","x",'Crisis Indicator Data'!H103/'Crisis Indicator Data'!G103)</f>
        <v>0.90506329113924056</v>
      </c>
      <c r="Q106" s="167">
        <f t="shared" si="19"/>
        <v>4.5</v>
      </c>
      <c r="R106" s="167">
        <f t="shared" si="28"/>
        <v>4.2</v>
      </c>
      <c r="S106" s="167">
        <f>IF('Crisis Indicator Data'!I103="x","x",IF('Crisis Indicator Data'!I103=0,0,IF(LOG('Crisis Indicator Data'!I103)&lt;S$4,0,IF(LOG('Crisis Indicator Data'!I103)&gt;S$3,5,ROUND(5-(S$3-LOG('Crisis Indicator Data'!I103))/(S$3-S$4)*5,1)))))</f>
        <v>4.8</v>
      </c>
      <c r="T106" s="185">
        <f>IF('Crisis Indicator Data'!H103="x","x",IF('Crisis Indicator Data'!I103="x","x",'Crisis Indicator Data'!I103/'Crisis Indicator Data'!H103))</f>
        <v>0.30475524475524474</v>
      </c>
      <c r="U106" s="167">
        <f t="shared" si="20"/>
        <v>5</v>
      </c>
      <c r="V106" s="167">
        <f t="shared" si="21"/>
        <v>4.9000000000000004</v>
      </c>
      <c r="W106" s="167">
        <f>IF('Crisis Indicator Data'!L103="x","x",IF('Crisis Indicator Data'!L103=0,0,IF(LOG('Crisis Indicator Data'!L103)&lt;W$4,0,IF(LOG('Crisis Indicator Data'!L103)&gt;W$3,5,ROUND(5-(W$3-LOG('Crisis Indicator Data'!L103))/(W$3-W$4)*5,1)))))</f>
        <v>4.3</v>
      </c>
      <c r="X106" s="186">
        <f>IF(OR('Crisis Indicator Data'!L103="x",'Crisis Indicator Data'!H103="x"),"x",'Crisis Indicator Data'!L103/'Crisis Indicator Data'!H103)</f>
        <v>1.462937062937063E-4</v>
      </c>
      <c r="Y106" s="167">
        <f t="shared" si="22"/>
        <v>5</v>
      </c>
      <c r="Z106" s="167">
        <f t="shared" si="23"/>
        <v>4.7</v>
      </c>
      <c r="AA106" s="167">
        <f t="shared" si="24"/>
        <v>4.8</v>
      </c>
      <c r="AB106" s="187">
        <f t="shared" si="25"/>
        <v>4.5</v>
      </c>
    </row>
    <row r="107" spans="1:28" x14ac:dyDescent="0.3">
      <c r="A107" s="194" t="str">
        <f>'Crisis Indicator Data'!A104</f>
        <v>Northwest Banditry</v>
      </c>
      <c r="B107" s="195" t="str">
        <f>'Crisis Indicator Data'!B104</f>
        <v>Other type of violence</v>
      </c>
      <c r="C107" s="195" t="str">
        <f>'Crisis Indicator Data'!C104</f>
        <v>NGA007</v>
      </c>
      <c r="D107" s="195" t="str">
        <f>'Crisis Indicator Data'!D104</f>
        <v>Nigeria</v>
      </c>
      <c r="E107" s="196" t="str">
        <f>'Crisis Indicator Data'!E104</f>
        <v>NGA</v>
      </c>
      <c r="F107" s="190">
        <f>IF('Crisis Indicator Data'!F104="x","x",IF(LOG('Crisis Indicator Data'!F104)&lt;F$4,0,IF(LOG('Crisis Indicator Data'!F104)&gt;F$3,5,ROUND(5-(F$3-LOG('Crisis Indicator Data'!F104))/(F$3-F$4)*5,1))))</f>
        <v>4</v>
      </c>
      <c r="G107" s="188">
        <f>IF('Crisis Indicator Data'!F104="x","x",IF(B107="Regional crisis",('Crisis Indicator Data'!F104/VLOOKUP('Impact of the crisis'!$C107,'Regional Crises'!$B$1:$R$66,4,FALSE)),'Crisis Indicator Data'!F104/VLOOKUP('Impact of the crisis'!$E107,'Country Indicator Data'!$B$4:$P$194,15,FALSE)))</f>
        <v>0.26099673902302445</v>
      </c>
      <c r="H107" s="167">
        <f t="shared" si="16"/>
        <v>1.2</v>
      </c>
      <c r="I107" s="167">
        <f t="shared" si="26"/>
        <v>2.6</v>
      </c>
      <c r="J107" s="167">
        <f>IF('Crisis Indicator Data'!G104="x","x",IF(LOG('Crisis Indicator Data'!G104)&lt;J$4,0,IF(LOG('Crisis Indicator Data'!G104)&gt;J$3,5,ROUND(5-(J$3-LOG('Crisis Indicator Data'!G104))/(J$3-J$4)*5,1))))</f>
        <v>4.9000000000000004</v>
      </c>
      <c r="K107" s="188">
        <f>IF('Crisis Indicator Data'!G104="x","x",IF(B107="Regional crisis",('Crisis Indicator Data'!G104/VLOOKUP('Impact of the crisis'!$C107,'Regional Crises'!$B$1:$R$66,5,FALSE)),'Crisis Indicator Data'!G104/VLOOKUP('Impact of the crisis'!$E107,'Country Indicator Data'!$B$4:$P$194,14,FALSE)))</f>
        <v>0.15524255371343296</v>
      </c>
      <c r="L107" s="167">
        <f t="shared" si="17"/>
        <v>0.7</v>
      </c>
      <c r="M107" s="167">
        <f t="shared" si="27"/>
        <v>2.8000000000000003</v>
      </c>
      <c r="N107" s="167">
        <f t="shared" si="18"/>
        <v>2.7</v>
      </c>
      <c r="O107" s="167">
        <f>IF('Crisis Indicator Data'!H104="x","x",IF('Crisis Indicator Data'!H104=0,0,IF(LOG('Crisis Indicator Data'!H104)&lt;O$4,0,IF(LOG('Crisis Indicator Data'!H104)&gt;O$3,5,ROUND(5-(O$3-LOG('Crisis Indicator Data'!H104))/(O$3-O$4)*5,1)))))</f>
        <v>1.7</v>
      </c>
      <c r="P107" s="185">
        <f>IF('Crisis Indicator Data'!H104="x","x",'Crisis Indicator Data'!H104/'Crisis Indicator Data'!G104)</f>
        <v>1.0435870424018962E-2</v>
      </c>
      <c r="Q107" s="167">
        <f t="shared" si="19"/>
        <v>0</v>
      </c>
      <c r="R107" s="167">
        <f t="shared" si="28"/>
        <v>0.85</v>
      </c>
      <c r="S107" s="167">
        <f>IF('Crisis Indicator Data'!I104="x","x",IF('Crisis Indicator Data'!I104=0,0,IF(LOG('Crisis Indicator Data'!I104)&lt;S$4,0,IF(LOG('Crisis Indicator Data'!I104)&gt;S$3,5,ROUND(5-(S$3-LOG('Crisis Indicator Data'!I104))/(S$3-S$4)*5,1)))))</f>
        <v>3.6</v>
      </c>
      <c r="T107" s="185">
        <f>IF('Crisis Indicator Data'!H104="x","x",IF('Crisis Indicator Data'!I104="x","x",'Crisis Indicator Data'!I104/'Crisis Indicator Data'!H104))</f>
        <v>1</v>
      </c>
      <c r="U107" s="167">
        <f t="shared" si="20"/>
        <v>5</v>
      </c>
      <c r="V107" s="167">
        <f t="shared" si="21"/>
        <v>4.3</v>
      </c>
      <c r="W107" s="167">
        <f>IF('Crisis Indicator Data'!L104="x","x",IF('Crisis Indicator Data'!L104=0,0,IF(LOG('Crisis Indicator Data'!L104)&lt;W$4,0,IF(LOG('Crisis Indicator Data'!L104)&gt;W$3,5,ROUND(5-(W$3-LOG('Crisis Indicator Data'!L104))/(W$3-W$4)*5,1)))))</f>
        <v>4.3</v>
      </c>
      <c r="X107" s="186">
        <f>IF(OR('Crisis Indicator Data'!L104="x",'Crisis Indicator Data'!H104="x"),"x",'Crisis Indicator Data'!L104/'Crisis Indicator Data'!H104)</f>
        <v>3.003154574132492E-3</v>
      </c>
      <c r="Y107" s="167">
        <f t="shared" si="22"/>
        <v>5</v>
      </c>
      <c r="Z107" s="167">
        <f t="shared" si="23"/>
        <v>4.7</v>
      </c>
      <c r="AA107" s="167">
        <f t="shared" si="24"/>
        <v>4.5</v>
      </c>
      <c r="AB107" s="187">
        <f t="shared" si="25"/>
        <v>3.2</v>
      </c>
    </row>
    <row r="108" spans="1:28" x14ac:dyDescent="0.3">
      <c r="A108" s="194" t="str">
        <f>'Crisis Indicator Data'!A105</f>
        <v>Cameroonian Refugees in Nigeria</v>
      </c>
      <c r="B108" s="195" t="str">
        <f>'Crisis Indicator Data'!B105</f>
        <v>International displacement</v>
      </c>
      <c r="C108" s="195" t="str">
        <f>'Crisis Indicator Data'!C105</f>
        <v>NGA008</v>
      </c>
      <c r="D108" s="195" t="str">
        <f>'Crisis Indicator Data'!D105</f>
        <v>Nigeria</v>
      </c>
      <c r="E108" s="196" t="str">
        <f>'Crisis Indicator Data'!E105</f>
        <v>NGA</v>
      </c>
      <c r="F108" s="190">
        <f>IF('Crisis Indicator Data'!F105="x","x",IF(LOG('Crisis Indicator Data'!F105)&lt;F$4,0,IF(LOG('Crisis Indicator Data'!F105)&gt;F$3,5,ROUND(5-(F$3-LOG('Crisis Indicator Data'!F105))/(F$3-F$4)*5,1))))</f>
        <v>3.4</v>
      </c>
      <c r="G108" s="188">
        <f>IF('Crisis Indicator Data'!F105="x","x",IF(B108="Regional crisis",('Crisis Indicator Data'!F105/VLOOKUP('Impact of the crisis'!$C108,'Regional Crises'!$B$1:$R$66,4,FALSE)),'Crisis Indicator Data'!F105/VLOOKUP('Impact of the crisis'!$E108,'Country Indicator Data'!$B$4:$P$194,15,FALSE)))</f>
        <v>0.12711112575073838</v>
      </c>
      <c r="H108" s="167">
        <f t="shared" si="16"/>
        <v>0.5</v>
      </c>
      <c r="I108" s="167">
        <f t="shared" si="26"/>
        <v>1.95</v>
      </c>
      <c r="J108" s="167">
        <f>IF('Crisis Indicator Data'!G105="x","x",IF(LOG('Crisis Indicator Data'!G105)&lt;J$4,0,IF(LOG('Crisis Indicator Data'!G105)&gt;J$3,5,ROUND(5-(J$3-LOG('Crisis Indicator Data'!G105))/(J$3-J$4)*5,1))))</f>
        <v>4.2</v>
      </c>
      <c r="K108" s="188">
        <f>IF('Crisis Indicator Data'!G105="x","x",IF(B108="Regional crisis",('Crisis Indicator Data'!G105/VLOOKUP('Impact of the crisis'!$C108,'Regional Crises'!$B$1:$R$66,5,FALSE)),'Crisis Indicator Data'!G105/VLOOKUP('Impact of the crisis'!$E108,'Country Indicator Data'!$B$4:$P$194,14,FALSE)))</f>
        <v>9.0239589508759738E-2</v>
      </c>
      <c r="L108" s="167">
        <f t="shared" si="17"/>
        <v>0.4</v>
      </c>
      <c r="M108" s="167">
        <f t="shared" si="27"/>
        <v>2.3000000000000003</v>
      </c>
      <c r="N108" s="167">
        <f t="shared" si="18"/>
        <v>2.1</v>
      </c>
      <c r="O108" s="167">
        <f>IF('Crisis Indicator Data'!H105="x","x",IF('Crisis Indicator Data'!H105=0,0,IF(LOG('Crisis Indicator Data'!H105)&lt;O$4,0,IF(LOG('Crisis Indicator Data'!H105)&gt;O$3,5,ROUND(5-(O$3-LOG('Crisis Indicator Data'!H105))/(O$3-O$4)*5,1)))))</f>
        <v>0.5</v>
      </c>
      <c r="P108" s="185">
        <f>IF('Crisis Indicator Data'!H105="x","x",'Crisis Indicator Data'!H105/'Crisis Indicator Data'!G105)</f>
        <v>3.3414509826131277E-3</v>
      </c>
      <c r="Q108" s="167">
        <f t="shared" si="19"/>
        <v>0</v>
      </c>
      <c r="R108" s="167">
        <f t="shared" si="28"/>
        <v>0.25</v>
      </c>
      <c r="S108" s="167">
        <f>IF('Crisis Indicator Data'!I105="x","x",IF('Crisis Indicator Data'!I105=0,0,IF(LOG('Crisis Indicator Data'!I105)&lt;S$4,0,IF(LOG('Crisis Indicator Data'!I105)&gt;S$3,5,ROUND(5-(S$3-LOG('Crisis Indicator Data'!I105))/(S$3-S$4)*5,1)))))</f>
        <v>2.5</v>
      </c>
      <c r="T108" s="185">
        <f>IF('Crisis Indicator Data'!H105="x","x",IF('Crisis Indicator Data'!I105="x","x",'Crisis Indicator Data'!I105/'Crisis Indicator Data'!H105))</f>
        <v>1</v>
      </c>
      <c r="U108" s="167">
        <f t="shared" si="20"/>
        <v>5</v>
      </c>
      <c r="V108" s="167">
        <f t="shared" si="21"/>
        <v>3.8</v>
      </c>
      <c r="W108" s="167" t="str">
        <f>IF('Crisis Indicator Data'!L105="x","x",IF('Crisis Indicator Data'!L105=0,0,IF(LOG('Crisis Indicator Data'!L105)&lt;W$4,0,IF(LOG('Crisis Indicator Data'!L105)&gt;W$3,5,ROUND(5-(W$3-LOG('Crisis Indicator Data'!L105))/(W$3-W$4)*5,1)))))</f>
        <v>x</v>
      </c>
      <c r="X108" s="186" t="str">
        <f>IF(OR('Crisis Indicator Data'!L105="x",'Crisis Indicator Data'!H105="x"),"x",'Crisis Indicator Data'!L105/'Crisis Indicator Data'!H105)</f>
        <v>x</v>
      </c>
      <c r="Y108" s="167" t="str">
        <f t="shared" si="22"/>
        <v>x</v>
      </c>
      <c r="Z108" s="167" t="str">
        <f t="shared" si="23"/>
        <v>x</v>
      </c>
      <c r="AA108" s="167">
        <f t="shared" si="24"/>
        <v>3.8</v>
      </c>
      <c r="AB108" s="187">
        <f t="shared" si="25"/>
        <v>2.4</v>
      </c>
    </row>
    <row r="109" spans="1:28" x14ac:dyDescent="0.3">
      <c r="A109" s="194" t="str">
        <f>'Crisis Indicator Data'!A106</f>
        <v>Regional Boko Haram Crisis</v>
      </c>
      <c r="B109" s="195" t="str">
        <f>'Crisis Indicator Data'!B106</f>
        <v>Regional crisis</v>
      </c>
      <c r="C109" s="195" t="str">
        <f>'Crisis Indicator Data'!C106</f>
        <v>REG001</v>
      </c>
      <c r="D109" s="195" t="str">
        <f>'Crisis Indicator Data'!D106</f>
        <v>Nigeria, Niger, Chad, Cameroon</v>
      </c>
      <c r="E109" s="196" t="str">
        <f>'Crisis Indicator Data'!E106</f>
        <v>NGA, NER, TCD, CMR</v>
      </c>
      <c r="F109" s="190">
        <f>IF('Crisis Indicator Data'!F106="x","x",IF(LOG('Crisis Indicator Data'!F106)&lt;F$4,0,IF(LOG('Crisis Indicator Data'!F106)&gt;F$3,5,ROUND(5-(F$3-LOG('Crisis Indicator Data'!F106))/(F$3-F$4)*5,1))))</f>
        <v>4.3</v>
      </c>
      <c r="G109" s="188">
        <f>IF('Crisis Indicator Data'!F106="x","x",IF(B109="Regional crisis",('Crisis Indicator Data'!F106/VLOOKUP('Impact of the crisis'!$C109,'Regional Crises'!$B$1:$R$66,4,FALSE)),'Crisis Indicator Data'!F106/VLOOKUP('Impact of the crisis'!$E109,'Country Indicator Data'!$B$4:$P$194,15,FALSE)))</f>
        <v>9.4388880078170964E-2</v>
      </c>
      <c r="H109" s="167">
        <f t="shared" si="16"/>
        <v>0.4</v>
      </c>
      <c r="I109" s="167">
        <f t="shared" si="26"/>
        <v>2.35</v>
      </c>
      <c r="J109" s="167">
        <f>IF('Crisis Indicator Data'!G106="x","x",IF(LOG('Crisis Indicator Data'!G106)&lt;J$4,0,IF(LOG('Crisis Indicator Data'!G106)&gt;J$3,5,ROUND(5-(J$3-LOG('Crisis Indicator Data'!G106))/(J$3-J$4)*5,1))))</f>
        <v>3.8</v>
      </c>
      <c r="K109" s="188">
        <f>IF('Crisis Indicator Data'!G106="x","x",IF(B109="Regional crisis",('Crisis Indicator Data'!G106/VLOOKUP('Impact of the crisis'!$C109,'Regional Crises'!$B$1:$R$66,5,FALSE)),'Crisis Indicator Data'!G106/VLOOKUP('Impact of the crisis'!$E109,'Country Indicator Data'!$B$4:$P$194,14,FALSE)))</f>
        <v>5.2272545181929517E-2</v>
      </c>
      <c r="L109" s="167">
        <f t="shared" si="17"/>
        <v>0.2</v>
      </c>
      <c r="M109" s="167">
        <f t="shared" si="27"/>
        <v>2</v>
      </c>
      <c r="N109" s="167">
        <f t="shared" si="18"/>
        <v>2.2000000000000002</v>
      </c>
      <c r="O109" s="167">
        <f>IF('Crisis Indicator Data'!H106="x","x",IF('Crisis Indicator Data'!H106=0,0,IF(LOG('Crisis Indicator Data'!H106)&lt;O$4,0,IF(LOG('Crisis Indicator Data'!H106)&gt;O$3,5,ROUND(5-(O$3-LOG('Crisis Indicator Data'!H106))/(O$3-O$4)*5,1)))))</f>
        <v>4.2</v>
      </c>
      <c r="P109" s="185">
        <f>IF('Crisis Indicator Data'!H106="x","x",'Crisis Indicator Data'!H106/'Crisis Indicator Data'!G106)</f>
        <v>0.8096489307349829</v>
      </c>
      <c r="Q109" s="167">
        <f t="shared" si="19"/>
        <v>4</v>
      </c>
      <c r="R109" s="167">
        <f t="shared" si="28"/>
        <v>4.0999999999999996</v>
      </c>
      <c r="S109" s="167">
        <f>IF('Crisis Indicator Data'!I106="x","x",IF('Crisis Indicator Data'!I106=0,0,IF(LOG('Crisis Indicator Data'!I106)&lt;S$4,0,IF(LOG('Crisis Indicator Data'!I106)&gt;S$3,5,ROUND(5-(S$3-LOG('Crisis Indicator Data'!I106))/(S$3-S$4)*5,1)))))</f>
        <v>5</v>
      </c>
      <c r="T109" s="185">
        <f>IF('Crisis Indicator Data'!H106="x","x",IF('Crisis Indicator Data'!I106="x","x",'Crisis Indicator Data'!I106/'Crisis Indicator Data'!H106))</f>
        <v>0.30181195348417922</v>
      </c>
      <c r="U109" s="167">
        <f t="shared" si="20"/>
        <v>5</v>
      </c>
      <c r="V109" s="167">
        <f t="shared" si="21"/>
        <v>5</v>
      </c>
      <c r="W109" s="167">
        <f>IF('Crisis Indicator Data'!L106="x","x",IF('Crisis Indicator Data'!L106=0,0,IF(LOG('Crisis Indicator Data'!L106)&lt;W$4,0,IF(LOG('Crisis Indicator Data'!L106)&gt;W$3,5,ROUND(5-(W$3-LOG('Crisis Indicator Data'!L106))/(W$3-W$4)*5,1)))))</f>
        <v>4.5999999999999996</v>
      </c>
      <c r="X109" s="186">
        <f>IF(OR('Crisis Indicator Data'!L106="x",'Crisis Indicator Data'!H106="x"),"x",'Crisis Indicator Data'!L106/'Crisis Indicator Data'!H106)</f>
        <v>1.5099612368160101E-4</v>
      </c>
      <c r="Y109" s="167">
        <f t="shared" si="22"/>
        <v>5</v>
      </c>
      <c r="Z109" s="167">
        <f t="shared" si="23"/>
        <v>4.8</v>
      </c>
      <c r="AA109" s="167">
        <f t="shared" si="24"/>
        <v>4.9000000000000004</v>
      </c>
      <c r="AB109" s="187">
        <f t="shared" si="25"/>
        <v>4.5</v>
      </c>
    </row>
    <row r="110" spans="1:28" x14ac:dyDescent="0.3">
      <c r="A110" s="194" t="str">
        <f>'Crisis Indicator Data'!A107</f>
        <v>Complex crisis in Pakistan</v>
      </c>
      <c r="B110" s="195" t="str">
        <f>'Crisis Indicator Data'!B107</f>
        <v>Complex crisis</v>
      </c>
      <c r="C110" s="195" t="str">
        <f>'Crisis Indicator Data'!C107</f>
        <v>PAK001</v>
      </c>
      <c r="D110" s="195" t="str">
        <f>'Crisis Indicator Data'!D107</f>
        <v>Pakistan</v>
      </c>
      <c r="E110" s="196" t="str">
        <f>'Crisis Indicator Data'!E107</f>
        <v>PAK</v>
      </c>
      <c r="F110" s="190">
        <f>IF('Crisis Indicator Data'!F107="x","x",IF(LOG('Crisis Indicator Data'!F107)&lt;F$4,0,IF(LOG('Crisis Indicator Data'!F107)&gt;F$3,5,ROUND(5-(F$3-LOG('Crisis Indicator Data'!F107))/(F$3-F$4)*5,1))))</f>
        <v>4.8</v>
      </c>
      <c r="G110" s="188">
        <f>IF('Crisis Indicator Data'!F107="x","x",IF(B110="Regional crisis",('Crisis Indicator Data'!F107/VLOOKUP('Impact of the crisis'!$C110,'Regional Crises'!$B$1:$R$66,4,FALSE)),'Crisis Indicator Data'!F107/VLOOKUP('Impact of the crisis'!$E110,'Country Indicator Data'!$B$4:$P$194,15,FALSE)))</f>
        <v>1</v>
      </c>
      <c r="H110" s="167">
        <f t="shared" si="16"/>
        <v>5</v>
      </c>
      <c r="I110" s="167">
        <f t="shared" si="26"/>
        <v>4.9000000000000004</v>
      </c>
      <c r="J110" s="167">
        <f>IF('Crisis Indicator Data'!G107="x","x",IF(LOG('Crisis Indicator Data'!G107)&lt;J$4,0,IF(LOG('Crisis Indicator Data'!G107)&gt;J$3,5,ROUND(5-(J$3-LOG('Crisis Indicator Data'!G107))/(J$3-J$4)*5,1))))</f>
        <v>5</v>
      </c>
      <c r="K110" s="188">
        <f>IF('Crisis Indicator Data'!G107="x","x",IF(B110="Regional crisis",('Crisis Indicator Data'!G107/VLOOKUP('Impact of the crisis'!$C110,'Regional Crises'!$B$1:$R$66,5,FALSE)),'Crisis Indicator Data'!G107/VLOOKUP('Impact of the crisis'!$E110,'Country Indicator Data'!$B$4:$P$194,14,FALSE)))</f>
        <v>1</v>
      </c>
      <c r="L110" s="167">
        <f t="shared" si="17"/>
        <v>5</v>
      </c>
      <c r="M110" s="167">
        <f t="shared" si="27"/>
        <v>5</v>
      </c>
      <c r="N110" s="167">
        <f t="shared" si="18"/>
        <v>5</v>
      </c>
      <c r="O110" s="167">
        <f>IF('Crisis Indicator Data'!H107="x","x",IF('Crisis Indicator Data'!H107=0,0,IF(LOG('Crisis Indicator Data'!H107)&lt;O$4,0,IF(LOG('Crisis Indicator Data'!H107)&gt;O$3,5,ROUND(5-(O$3-LOG('Crisis Indicator Data'!H107))/(O$3-O$4)*5,1)))))</f>
        <v>5</v>
      </c>
      <c r="P110" s="185">
        <f>IF('Crisis Indicator Data'!H107="x","x",'Crisis Indicator Data'!H107/'Crisis Indicator Data'!G107)</f>
        <v>0.30706508774106128</v>
      </c>
      <c r="Q110" s="167">
        <f t="shared" si="19"/>
        <v>1.5</v>
      </c>
      <c r="R110" s="167">
        <f t="shared" si="28"/>
        <v>3.25</v>
      </c>
      <c r="S110" s="167">
        <f>IF('Crisis Indicator Data'!I107="x","x",IF('Crisis Indicator Data'!I107=0,0,IF(LOG('Crisis Indicator Data'!I107)&lt;S$4,0,IF(LOG('Crisis Indicator Data'!I107)&gt;S$3,5,ROUND(5-(S$3-LOG('Crisis Indicator Data'!I107))/(S$3-S$4)*5,1)))))</f>
        <v>3.3</v>
      </c>
      <c r="T110" s="185">
        <f>IF('Crisis Indicator Data'!H107="x","x",IF('Crisis Indicator Data'!I107="x","x",'Crisis Indicator Data'!I107/'Crisis Indicator Data'!H107))</f>
        <v>3.1697198527012539E-3</v>
      </c>
      <c r="U110" s="167">
        <f t="shared" si="20"/>
        <v>0.1</v>
      </c>
      <c r="V110" s="167">
        <f t="shared" si="21"/>
        <v>1.7</v>
      </c>
      <c r="W110" s="167">
        <f>IF('Crisis Indicator Data'!L107="x","x",IF('Crisis Indicator Data'!L107=0,0,IF(LOG('Crisis Indicator Data'!L107)&lt;W$4,0,IF(LOG('Crisis Indicator Data'!L107)&gt;W$3,5,ROUND(5-(W$3-LOG('Crisis Indicator Data'!L107))/(W$3-W$4)*5,1)))))</f>
        <v>4.0999999999999996</v>
      </c>
      <c r="X110" s="186">
        <f>IF(OR('Crisis Indicator Data'!L107="x",'Crisis Indicator Data'!H107="x"),"x",'Crisis Indicator Data'!L107/'Crisis Indicator Data'!H107)</f>
        <v>1.1855373762799298E-5</v>
      </c>
      <c r="Y110" s="167">
        <f t="shared" si="22"/>
        <v>0.6</v>
      </c>
      <c r="Z110" s="167">
        <f t="shared" si="23"/>
        <v>2.4</v>
      </c>
      <c r="AA110" s="167">
        <f t="shared" si="24"/>
        <v>2.1</v>
      </c>
      <c r="AB110" s="187">
        <f t="shared" si="25"/>
        <v>2.7</v>
      </c>
    </row>
    <row r="111" spans="1:28" x14ac:dyDescent="0.3">
      <c r="A111" s="194" t="str">
        <f>'Crisis Indicator Data'!A108</f>
        <v>Kashmir conflict in Pakistan</v>
      </c>
      <c r="B111" s="195" t="str">
        <f>'Crisis Indicator Data'!B108</f>
        <v>Conflict</v>
      </c>
      <c r="C111" s="195" t="str">
        <f>'Crisis Indicator Data'!C108</f>
        <v>PAK004</v>
      </c>
      <c r="D111" s="195" t="str">
        <f>'Crisis Indicator Data'!D108</f>
        <v>Pakistan</v>
      </c>
      <c r="E111" s="196" t="str">
        <f>'Crisis Indicator Data'!E108</f>
        <v>PAK</v>
      </c>
      <c r="F111" s="190">
        <f>IF('Crisis Indicator Data'!F108="x","x",IF(LOG('Crisis Indicator Data'!F108)&lt;F$4,0,IF(LOG('Crisis Indicator Data'!F108)&gt;F$3,5,ROUND(5-(F$3-LOG('Crisis Indicator Data'!F108))/(F$3-F$4)*5,1))))</f>
        <v>1.9</v>
      </c>
      <c r="G111" s="188">
        <f>IF('Crisis Indicator Data'!F108="x","x",IF(B111="Regional crisis",('Crisis Indicator Data'!F108/VLOOKUP('Impact of the crisis'!$C111,'Regional Crises'!$B$1:$R$66,4,FALSE)),'Crisis Indicator Data'!F108/VLOOKUP('Impact of the crisis'!$E111,'Country Indicator Data'!$B$4:$P$194,15,FALSE)))</f>
        <v>1.7249117891241179E-2</v>
      </c>
      <c r="H111" s="167">
        <f t="shared" si="16"/>
        <v>0</v>
      </c>
      <c r="I111" s="167">
        <f t="shared" si="26"/>
        <v>0.95</v>
      </c>
      <c r="J111" s="167">
        <f>IF('Crisis Indicator Data'!G108="x","x",IF(LOG('Crisis Indicator Data'!G108)&lt;J$4,0,IF(LOG('Crisis Indicator Data'!G108)&gt;J$3,5,ROUND(5-(J$3-LOG('Crisis Indicator Data'!G108))/(J$3-J$4)*5,1))))</f>
        <v>2.2000000000000002</v>
      </c>
      <c r="K111" s="188">
        <f>IF('Crisis Indicator Data'!G108="x","x",IF(B111="Regional crisis",('Crisis Indicator Data'!G108/VLOOKUP('Impact of the crisis'!$C111,'Regional Crises'!$B$1:$R$66,5,FALSE)),'Crisis Indicator Data'!G108/VLOOKUP('Impact of the crisis'!$E111,'Country Indicator Data'!$B$4:$P$194,14,FALSE)))</f>
        <v>2.1231523803162303E-2</v>
      </c>
      <c r="L111" s="167">
        <f t="shared" si="17"/>
        <v>0.1</v>
      </c>
      <c r="M111" s="167">
        <f t="shared" si="27"/>
        <v>1.1500000000000001</v>
      </c>
      <c r="N111" s="167">
        <f t="shared" si="18"/>
        <v>1.1000000000000001</v>
      </c>
      <c r="O111" s="167" t="str">
        <f>IF('Crisis Indicator Data'!H108="x","x",IF('Crisis Indicator Data'!H108=0,0,IF(LOG('Crisis Indicator Data'!H108)&lt;O$4,0,IF(LOG('Crisis Indicator Data'!H108)&gt;O$3,5,ROUND(5-(O$3-LOG('Crisis Indicator Data'!H108))/(O$3-O$4)*5,1)))))</f>
        <v>x</v>
      </c>
      <c r="P111" s="185" t="str">
        <f>IF('Crisis Indicator Data'!H108="x","x",'Crisis Indicator Data'!H108/'Crisis Indicator Data'!G108)</f>
        <v>x</v>
      </c>
      <c r="Q111" s="167" t="str">
        <f t="shared" si="19"/>
        <v>x</v>
      </c>
      <c r="R111" s="167" t="str">
        <f t="shared" si="28"/>
        <v>x</v>
      </c>
      <c r="S111" s="167" t="str">
        <f>IF('Crisis Indicator Data'!I108="x","x",IF('Crisis Indicator Data'!I108=0,0,IF(LOG('Crisis Indicator Data'!I108)&lt;S$4,0,IF(LOG('Crisis Indicator Data'!I108)&gt;S$3,5,ROUND(5-(S$3-LOG('Crisis Indicator Data'!I108))/(S$3-S$4)*5,1)))))</f>
        <v>x</v>
      </c>
      <c r="T111" s="185" t="str">
        <f>IF('Crisis Indicator Data'!H108="x","x",IF('Crisis Indicator Data'!I108="x","x",'Crisis Indicator Data'!I108/'Crisis Indicator Data'!H108))</f>
        <v>x</v>
      </c>
      <c r="U111" s="167" t="str">
        <f t="shared" si="20"/>
        <v>x</v>
      </c>
      <c r="V111" s="167" t="str">
        <f t="shared" si="21"/>
        <v>x</v>
      </c>
      <c r="W111" s="167">
        <f>IF('Crisis Indicator Data'!L108="x","x",IF('Crisis Indicator Data'!L108=0,0,IF(LOG('Crisis Indicator Data'!L108)&lt;W$4,0,IF(LOG('Crisis Indicator Data'!L108)&gt;W$3,5,ROUND(5-(W$3-LOG('Crisis Indicator Data'!L108))/(W$3-W$4)*5,1)))))</f>
        <v>2.2000000000000002</v>
      </c>
      <c r="X111" s="186" t="str">
        <f>IF(OR('Crisis Indicator Data'!L108="x",'Crisis Indicator Data'!H108="x"),"x",'Crisis Indicator Data'!L108/'Crisis Indicator Data'!H108)</f>
        <v>x</v>
      </c>
      <c r="Y111" s="167" t="str">
        <f t="shared" si="22"/>
        <v>x</v>
      </c>
      <c r="Z111" s="167">
        <f t="shared" si="23"/>
        <v>2.2000000000000002</v>
      </c>
      <c r="AA111" s="167">
        <f t="shared" si="24"/>
        <v>2.2000000000000002</v>
      </c>
      <c r="AB111" s="187">
        <f t="shared" si="25"/>
        <v>2.2000000000000002</v>
      </c>
    </row>
    <row r="112" spans="1:28" x14ac:dyDescent="0.3">
      <c r="A112" s="194" t="str">
        <f>'Crisis Indicator Data'!A109</f>
        <v>Conflict in Palestine</v>
      </c>
      <c r="B112" s="195" t="str">
        <f>'Crisis Indicator Data'!B109</f>
        <v>Conflict</v>
      </c>
      <c r="C112" s="195" t="str">
        <f>'Crisis Indicator Data'!C109</f>
        <v>PSE002</v>
      </c>
      <c r="D112" s="195" t="str">
        <f>'Crisis Indicator Data'!D109</f>
        <v>Palestine</v>
      </c>
      <c r="E112" s="196" t="str">
        <f>'Crisis Indicator Data'!E109</f>
        <v>PSE</v>
      </c>
      <c r="F112" s="190">
        <f>IF('Crisis Indicator Data'!F109="x","x",IF(LOG('Crisis Indicator Data'!F109)&lt;F$4,0,IF(LOG('Crisis Indicator Data'!F109)&gt;F$3,5,ROUND(5-(F$3-LOG('Crisis Indicator Data'!F109))/(F$3-F$4)*5,1))))</f>
        <v>1.3</v>
      </c>
      <c r="G112" s="188">
        <f>IF('Crisis Indicator Data'!F109="x","x",IF(B112="Regional crisis",('Crisis Indicator Data'!F109/VLOOKUP('Impact of the crisis'!$C112,'Regional Crises'!$B$1:$R$66,4,FALSE)),'Crisis Indicator Data'!F109/VLOOKUP('Impact of the crisis'!$E112,'Country Indicator Data'!$B$4:$P$194,15,FALSE)))</f>
        <v>1</v>
      </c>
      <c r="H112" s="167">
        <f t="shared" si="16"/>
        <v>5</v>
      </c>
      <c r="I112" s="167">
        <f t="shared" si="26"/>
        <v>3.15</v>
      </c>
      <c r="J112" s="167">
        <f>IF('Crisis Indicator Data'!G109="x","x",IF(LOG('Crisis Indicator Data'!G109)&lt;J$4,0,IF(LOG('Crisis Indicator Data'!G109)&gt;J$3,5,ROUND(5-(J$3-LOG('Crisis Indicator Data'!G109))/(J$3-J$4)*5,1))))</f>
        <v>2.4</v>
      </c>
      <c r="K112" s="188">
        <f>IF('Crisis Indicator Data'!G109="x","x",IF(B112="Regional crisis",('Crisis Indicator Data'!G109/VLOOKUP('Impact of the crisis'!$C112,'Regional Crises'!$B$1:$R$66,5,FALSE)),'Crisis Indicator Data'!G109/VLOOKUP('Impact of the crisis'!$E112,'Country Indicator Data'!$B$4:$P$194,14,FALSE)))</f>
        <v>1</v>
      </c>
      <c r="L112" s="167">
        <f t="shared" si="17"/>
        <v>5</v>
      </c>
      <c r="M112" s="167">
        <f t="shared" si="27"/>
        <v>3.7</v>
      </c>
      <c r="N112" s="167">
        <f t="shared" si="18"/>
        <v>3.4</v>
      </c>
      <c r="O112" s="167">
        <f>IF('Crisis Indicator Data'!H109="x","x",IF('Crisis Indicator Data'!H109=0,0,IF(LOG('Crisis Indicator Data'!H109)&lt;O$4,0,IF(LOG('Crisis Indicator Data'!H109)&gt;O$3,5,ROUND(5-(O$3-LOG('Crisis Indicator Data'!H109))/(O$3-O$4)*5,1)))))</f>
        <v>3.7</v>
      </c>
      <c r="P112" s="185">
        <f>IF('Crisis Indicator Data'!H109="x","x",'Crisis Indicator Data'!H109/'Crisis Indicator Data'!G109)</f>
        <v>1</v>
      </c>
      <c r="Q112" s="167">
        <f t="shared" si="19"/>
        <v>5</v>
      </c>
      <c r="R112" s="167">
        <f t="shared" si="28"/>
        <v>4.3499999999999996</v>
      </c>
      <c r="S112" s="167">
        <f>IF('Crisis Indicator Data'!I109="x","x",IF('Crisis Indicator Data'!I109=0,0,IF(LOG('Crisis Indicator Data'!I109)&lt;S$4,0,IF(LOG('Crisis Indicator Data'!I109)&gt;S$3,5,ROUND(5-(S$3-LOG('Crisis Indicator Data'!I109))/(S$3-S$4)*5,1)))))</f>
        <v>5</v>
      </c>
      <c r="T112" s="185">
        <f>IF('Crisis Indicator Data'!H109="x","x",IF('Crisis Indicator Data'!I109="x","x",'Crisis Indicator Data'!I109/'Crisis Indicator Data'!H109))</f>
        <v>1.2240384615384616</v>
      </c>
      <c r="U112" s="167">
        <f t="shared" si="20"/>
        <v>5</v>
      </c>
      <c r="V112" s="167">
        <f t="shared" si="21"/>
        <v>5</v>
      </c>
      <c r="W112" s="167">
        <f>IF('Crisis Indicator Data'!L109="x","x",IF('Crisis Indicator Data'!L109=0,0,IF(LOG('Crisis Indicator Data'!L109)&lt;W$4,0,IF(LOG('Crisis Indicator Data'!L109)&gt;W$3,5,ROUND(5-(W$3-LOG('Crisis Indicator Data'!L109))/(W$3-W$4)*5,1)))))</f>
        <v>1.4</v>
      </c>
      <c r="X112" s="186">
        <f>IF(OR('Crisis Indicator Data'!L109="x",'Crisis Indicator Data'!H109="x"),"x",'Crisis Indicator Data'!L109/'Crisis Indicator Data'!H109)</f>
        <v>1.7307692307692308E-6</v>
      </c>
      <c r="Y112" s="167">
        <f t="shared" si="22"/>
        <v>0.1</v>
      </c>
      <c r="Z112" s="167">
        <f t="shared" si="23"/>
        <v>0.8</v>
      </c>
      <c r="AA112" s="167">
        <f t="shared" si="24"/>
        <v>3.6</v>
      </c>
      <c r="AB112" s="187">
        <f t="shared" si="25"/>
        <v>4</v>
      </c>
    </row>
    <row r="113" spans="1:28" x14ac:dyDescent="0.3">
      <c r="A113" s="194" t="str">
        <f>'Crisis Indicator Data'!A110</f>
        <v>Venezuela displacement in Peru</v>
      </c>
      <c r="B113" s="195" t="str">
        <f>'Crisis Indicator Data'!B110</f>
        <v>International displacement</v>
      </c>
      <c r="C113" s="195" t="str">
        <f>'Crisis Indicator Data'!C110</f>
        <v>PER002</v>
      </c>
      <c r="D113" s="195" t="str">
        <f>'Crisis Indicator Data'!D110</f>
        <v>Peru</v>
      </c>
      <c r="E113" s="196" t="str">
        <f>'Crisis Indicator Data'!E110</f>
        <v>PER</v>
      </c>
      <c r="F113" s="190">
        <f>IF('Crisis Indicator Data'!F110="x","x",IF(LOG('Crisis Indicator Data'!F110)&lt;F$4,0,IF(LOG('Crisis Indicator Data'!F110)&gt;F$3,5,ROUND(5-(F$3-LOG('Crisis Indicator Data'!F110))/(F$3-F$4)*5,1))))</f>
        <v>3.8</v>
      </c>
      <c r="G113" s="188">
        <f>IF('Crisis Indicator Data'!F110="x","x",IF(B113="Regional crisis",('Crisis Indicator Data'!F110/VLOOKUP('Impact of the crisis'!$C113,'Regional Crises'!$B$1:$R$66,4,FALSE)),'Crisis Indicator Data'!F110/VLOOKUP('Impact of the crisis'!$E113,'Country Indicator Data'!$B$4:$P$194,15,FALSE)))</f>
        <v>0.13940625000000001</v>
      </c>
      <c r="H113" s="167">
        <f t="shared" si="16"/>
        <v>0.6</v>
      </c>
      <c r="I113" s="167">
        <f t="shared" si="26"/>
        <v>2.1999999999999997</v>
      </c>
      <c r="J113" s="167">
        <f>IF('Crisis Indicator Data'!G110="x","x",IF(LOG('Crisis Indicator Data'!G110)&lt;J$4,0,IF(LOG('Crisis Indicator Data'!G110)&gt;J$3,5,ROUND(5-(J$3-LOG('Crisis Indicator Data'!G110))/(J$3-J$4)*5,1))))</f>
        <v>4</v>
      </c>
      <c r="K113" s="188">
        <f>IF('Crisis Indicator Data'!G110="x","x",IF(B113="Regional crisis",('Crisis Indicator Data'!G110/VLOOKUP('Impact of the crisis'!$C113,'Regional Crises'!$B$1:$R$66,5,FALSE)),'Crisis Indicator Data'!G110/VLOOKUP('Impact of the crisis'!$E113,'Country Indicator Data'!$B$4:$P$194,14,FALSE)))</f>
        <v>0.51042545875144585</v>
      </c>
      <c r="L113" s="167">
        <f t="shared" si="17"/>
        <v>2.5</v>
      </c>
      <c r="M113" s="167">
        <f t="shared" si="27"/>
        <v>3.25</v>
      </c>
      <c r="N113" s="167">
        <f t="shared" si="18"/>
        <v>2.8</v>
      </c>
      <c r="O113" s="167">
        <f>IF('Crisis Indicator Data'!H110="x","x",IF('Crisis Indicator Data'!H110=0,0,IF(LOG('Crisis Indicator Data'!H110)&lt;O$4,0,IF(LOG('Crisis Indicator Data'!H110)&gt;O$3,5,ROUND(5-(O$3-LOG('Crisis Indicator Data'!H110))/(O$3-O$4)*5,1)))))</f>
        <v>2.6</v>
      </c>
      <c r="P113" s="185">
        <f>IF('Crisis Indicator Data'!H110="x","x",'Crisis Indicator Data'!H110/'Crisis Indicator Data'!G110)</f>
        <v>6.7246447819696228E-2</v>
      </c>
      <c r="Q113" s="167">
        <f t="shared" si="19"/>
        <v>0.3</v>
      </c>
      <c r="R113" s="167">
        <f t="shared" si="28"/>
        <v>1.45</v>
      </c>
      <c r="S113" s="167">
        <f>IF('Crisis Indicator Data'!I110="x","x",IF('Crisis Indicator Data'!I110=0,0,IF(LOG('Crisis Indicator Data'!I110)&lt;S$4,0,IF(LOG('Crisis Indicator Data'!I110)&gt;S$3,5,ROUND(5-(S$3-LOG('Crisis Indicator Data'!I110))/(S$3-S$4)*5,1)))))</f>
        <v>4.2</v>
      </c>
      <c r="T113" s="185">
        <f>IF('Crisis Indicator Data'!H110="x","x",IF('Crisis Indicator Data'!I110="x","x",'Crisis Indicator Data'!I110/'Crisis Indicator Data'!H110))</f>
        <v>0.75591985428051001</v>
      </c>
      <c r="U113" s="167">
        <f t="shared" si="20"/>
        <v>5</v>
      </c>
      <c r="V113" s="167">
        <f t="shared" si="21"/>
        <v>4.5999999999999996</v>
      </c>
      <c r="W113" s="167">
        <f>IF('Crisis Indicator Data'!L110="x","x",IF('Crisis Indicator Data'!L110=0,0,IF(LOG('Crisis Indicator Data'!L110)&lt;W$4,0,IF(LOG('Crisis Indicator Data'!L110)&gt;W$3,5,ROUND(5-(W$3-LOG('Crisis Indicator Data'!L110))/(W$3-W$4)*5,1)))))</f>
        <v>0.7</v>
      </c>
      <c r="X113" s="186">
        <f>IF(OR('Crisis Indicator Data'!L110="x",'Crisis Indicator Data'!H110="x"),"x",'Crisis Indicator Data'!L110/'Crisis Indicator Data'!H110)</f>
        <v>2.73224043715847E-6</v>
      </c>
      <c r="Y113" s="167">
        <f t="shared" si="22"/>
        <v>0.1</v>
      </c>
      <c r="Z113" s="167">
        <f t="shared" si="23"/>
        <v>0.4</v>
      </c>
      <c r="AA113" s="167">
        <f t="shared" si="24"/>
        <v>3.1</v>
      </c>
      <c r="AB113" s="187">
        <f t="shared" si="25"/>
        <v>2.4</v>
      </c>
    </row>
    <row r="114" spans="1:28" x14ac:dyDescent="0.3">
      <c r="A114" s="194" t="str">
        <f>'Crisis Indicator Data'!A111</f>
        <v>Multiple crises in the Philippines</v>
      </c>
      <c r="B114" s="195" t="str">
        <f>'Crisis Indicator Data'!B111</f>
        <v>Multiple crises country</v>
      </c>
      <c r="C114" s="195" t="str">
        <f>'Crisis Indicator Data'!C111</f>
        <v>PHL001</v>
      </c>
      <c r="D114" s="195" t="str">
        <f>'Crisis Indicator Data'!D111</f>
        <v>Philippines</v>
      </c>
      <c r="E114" s="196" t="str">
        <f>'Crisis Indicator Data'!E111</f>
        <v>PHL</v>
      </c>
      <c r="F114" s="190">
        <f>IF('Crisis Indicator Data'!F111="x","x",IF(LOG('Crisis Indicator Data'!F111)&lt;F$4,0,IF(LOG('Crisis Indicator Data'!F111)&gt;F$3,5,ROUND(5-(F$3-LOG('Crisis Indicator Data'!F111))/(F$3-F$4)*5,1))))</f>
        <v>3.7</v>
      </c>
      <c r="G114" s="188">
        <f>IF('Crisis Indicator Data'!F111="x","x",IF(B114="Regional crisis",('Crisis Indicator Data'!F111/VLOOKUP('Impact of the crisis'!$C114,'Regional Crises'!$B$1:$R$66,4,FALSE)),'Crisis Indicator Data'!F111/VLOOKUP('Impact of the crisis'!$E114,'Country Indicator Data'!$B$4:$P$194,15,FALSE)))</f>
        <v>0.57391421001442133</v>
      </c>
      <c r="H114" s="167">
        <f t="shared" si="16"/>
        <v>2.8</v>
      </c>
      <c r="I114" s="167">
        <f t="shared" si="26"/>
        <v>3.25</v>
      </c>
      <c r="J114" s="167">
        <f>IF('Crisis Indicator Data'!G111="x","x",IF(LOG('Crisis Indicator Data'!G111)&lt;J$4,0,IF(LOG('Crisis Indicator Data'!G111)&gt;J$3,5,ROUND(5-(J$3-LOG('Crisis Indicator Data'!G111))/(J$3-J$4)*5,1))))</f>
        <v>5</v>
      </c>
      <c r="K114" s="188">
        <f>IF('Crisis Indicator Data'!G111="x","x",IF(B114="Regional crisis",('Crisis Indicator Data'!G111/VLOOKUP('Impact of the crisis'!$C114,'Regional Crises'!$B$1:$R$66,5,FALSE)),'Crisis Indicator Data'!G111/VLOOKUP('Impact of the crisis'!$E114,'Country Indicator Data'!$B$4:$P$194,14,FALSE)))</f>
        <v>0.33937749433050435</v>
      </c>
      <c r="L114" s="167">
        <f t="shared" si="17"/>
        <v>1.7</v>
      </c>
      <c r="M114" s="167">
        <f t="shared" si="27"/>
        <v>3.35</v>
      </c>
      <c r="N114" s="167">
        <f t="shared" si="18"/>
        <v>3.3</v>
      </c>
      <c r="O114" s="167">
        <f>IF('Crisis Indicator Data'!H111="x","x",IF('Crisis Indicator Data'!H111=0,0,IF(LOG('Crisis Indicator Data'!H111)&lt;O$4,0,IF(LOG('Crisis Indicator Data'!H111)&gt;O$3,5,ROUND(5-(O$3-LOG('Crisis Indicator Data'!H111))/(O$3-O$4)*5,1)))))</f>
        <v>1.4</v>
      </c>
      <c r="P114" s="185">
        <f>IF('Crisis Indicator Data'!H111="x","x",'Crisis Indicator Data'!H111/'Crisis Indicator Data'!G111)</f>
        <v>6.7405894368252114E-3</v>
      </c>
      <c r="Q114" s="167">
        <f t="shared" si="19"/>
        <v>0</v>
      </c>
      <c r="R114" s="167">
        <f t="shared" si="28"/>
        <v>0.7</v>
      </c>
      <c r="S114" s="167">
        <f>IF('Crisis Indicator Data'!I111="x","x",IF('Crisis Indicator Data'!I111=0,0,IF(LOG('Crisis Indicator Data'!I111)&lt;S$4,0,IF(LOG('Crisis Indicator Data'!I111)&gt;S$3,5,ROUND(5-(S$3-LOG('Crisis Indicator Data'!I111))/(S$3-S$4)*5,1)))))</f>
        <v>3.4</v>
      </c>
      <c r="T114" s="185">
        <f>IF('Crisis Indicator Data'!H111="x","x",IF('Crisis Indicator Data'!I111="x","x",'Crisis Indicator Data'!I111/'Crisis Indicator Data'!H111))</f>
        <v>1</v>
      </c>
      <c r="U114" s="167">
        <f t="shared" si="20"/>
        <v>5</v>
      </c>
      <c r="V114" s="167">
        <f t="shared" si="21"/>
        <v>4.2</v>
      </c>
      <c r="W114" s="167">
        <f>IF('Crisis Indicator Data'!L111="x","x",IF('Crisis Indicator Data'!L111=0,0,IF(LOG('Crisis Indicator Data'!L111)&lt;W$4,0,IF(LOG('Crisis Indicator Data'!L111)&gt;W$3,5,ROUND(5-(W$3-LOG('Crisis Indicator Data'!L111))/(W$3-W$4)*5,1)))))</f>
        <v>3.6</v>
      </c>
      <c r="X114" s="186">
        <f>IF(OR('Crisis Indicator Data'!L111="x",'Crisis Indicator Data'!H111="x"),"x",'Crisis Indicator Data'!L111/'Crisis Indicator Data'!H111)</f>
        <v>1.4675324675324675E-3</v>
      </c>
      <c r="Y114" s="167">
        <f t="shared" si="22"/>
        <v>5</v>
      </c>
      <c r="Z114" s="167">
        <f t="shared" si="23"/>
        <v>4.3</v>
      </c>
      <c r="AA114" s="167">
        <f t="shared" si="24"/>
        <v>4.3</v>
      </c>
      <c r="AB114" s="187">
        <f t="shared" si="25"/>
        <v>3</v>
      </c>
    </row>
    <row r="115" spans="1:28" x14ac:dyDescent="0.3">
      <c r="A115" s="194" t="str">
        <f>'Crisis Indicator Data'!A112</f>
        <v>Mindanao conflict</v>
      </c>
      <c r="B115" s="195" t="str">
        <f>'Crisis Indicator Data'!B112</f>
        <v>Conflict</v>
      </c>
      <c r="C115" s="195" t="str">
        <f>'Crisis Indicator Data'!C112</f>
        <v>PHL003</v>
      </c>
      <c r="D115" s="195" t="str">
        <f>'Crisis Indicator Data'!D112</f>
        <v>Philippines</v>
      </c>
      <c r="E115" s="196" t="str">
        <f>'Crisis Indicator Data'!E112</f>
        <v>PHL</v>
      </c>
      <c r="F115" s="190">
        <f>IF('Crisis Indicator Data'!F112="x","x",IF(LOG('Crisis Indicator Data'!F112)&lt;F$4,0,IF(LOG('Crisis Indicator Data'!F112)&gt;F$3,5,ROUND(5-(F$3-LOG('Crisis Indicator Data'!F112))/(F$3-F$4)*5,1))))</f>
        <v>3.6</v>
      </c>
      <c r="G115" s="188">
        <f>IF('Crisis Indicator Data'!F112="x","x",IF(B115="Regional crisis",('Crisis Indicator Data'!F112/VLOOKUP('Impact of the crisis'!$C115,'Regional Crises'!$B$1:$R$66,4,FALSE)),'Crisis Indicator Data'!F112/VLOOKUP('Impact of the crisis'!$E115,'Country Indicator Data'!$B$4:$P$194,15,FALSE)))</f>
        <v>0.46401046382935907</v>
      </c>
      <c r="H115" s="167">
        <f t="shared" si="16"/>
        <v>2.2999999999999998</v>
      </c>
      <c r="I115" s="167">
        <f t="shared" si="26"/>
        <v>2.95</v>
      </c>
      <c r="J115" s="167">
        <f>IF('Crisis Indicator Data'!G112="x","x",IF(LOG('Crisis Indicator Data'!G112)&lt;J$4,0,IF(LOG('Crisis Indicator Data'!G112)&gt;J$3,5,ROUND(5-(J$3-LOG('Crisis Indicator Data'!G112))/(J$3-J$4)*5,1))))</f>
        <v>4.5999999999999996</v>
      </c>
      <c r="K115" s="188">
        <f>IF('Crisis Indicator Data'!G112="x","x",IF(B115="Regional crisis",('Crisis Indicator Data'!G112/VLOOKUP('Impact of the crisis'!$C115,'Regional Crises'!$B$1:$R$66,5,FALSE)),'Crisis Indicator Data'!G112/VLOOKUP('Impact of the crisis'!$E115,'Country Indicator Data'!$B$4:$P$194,14,FALSE)))</f>
        <v>0.23901999425623149</v>
      </c>
      <c r="L115" s="167">
        <f t="shared" si="17"/>
        <v>1.2</v>
      </c>
      <c r="M115" s="167">
        <f t="shared" si="27"/>
        <v>2.9</v>
      </c>
      <c r="N115" s="167">
        <f t="shared" si="18"/>
        <v>2.9</v>
      </c>
      <c r="O115" s="167">
        <f>IF('Crisis Indicator Data'!H112="x","x",IF('Crisis Indicator Data'!H112=0,0,IF(LOG('Crisis Indicator Data'!H112)&lt;O$4,0,IF(LOG('Crisis Indicator Data'!H112)&gt;O$3,5,ROUND(5-(O$3-LOG('Crisis Indicator Data'!H112))/(O$3-O$4)*5,1)))))</f>
        <v>1.1000000000000001</v>
      </c>
      <c r="P115" s="185">
        <f>IF('Crisis Indicator Data'!H112="x","x",'Crisis Indicator Data'!H112/'Crisis Indicator Data'!G112)</f>
        <v>6.2976466688763671E-3</v>
      </c>
      <c r="Q115" s="167">
        <f t="shared" si="19"/>
        <v>0</v>
      </c>
      <c r="R115" s="167">
        <f t="shared" si="28"/>
        <v>0.55000000000000004</v>
      </c>
      <c r="S115" s="167">
        <f>IF('Crisis Indicator Data'!I112="x","x",IF('Crisis Indicator Data'!I112=0,0,IF(LOG('Crisis Indicator Data'!I112)&lt;S$4,0,IF(LOG('Crisis Indicator Data'!I112)&gt;S$3,5,ROUND(5-(S$3-LOG('Crisis Indicator Data'!I112))/(S$3-S$4)*5,1)))))</f>
        <v>3.1</v>
      </c>
      <c r="T115" s="185">
        <f>IF('Crisis Indicator Data'!H112="x","x",IF('Crisis Indicator Data'!I112="x","x",'Crisis Indicator Data'!I112/'Crisis Indicator Data'!H112))</f>
        <v>1</v>
      </c>
      <c r="U115" s="167">
        <f t="shared" si="20"/>
        <v>5</v>
      </c>
      <c r="V115" s="167">
        <f t="shared" si="21"/>
        <v>4.0999999999999996</v>
      </c>
      <c r="W115" s="167">
        <f>IF('Crisis Indicator Data'!L112="x","x",IF('Crisis Indicator Data'!L112=0,0,IF(LOG('Crisis Indicator Data'!L112)&lt;W$4,0,IF(LOG('Crisis Indicator Data'!L112)&gt;W$3,5,ROUND(5-(W$3-LOG('Crisis Indicator Data'!L112))/(W$3-W$4)*5,1)))))</f>
        <v>3.6</v>
      </c>
      <c r="X115" s="186">
        <f>IF(OR('Crisis Indicator Data'!L112="x",'Crisis Indicator Data'!H112="x"),"x",'Crisis Indicator Data'!L112/'Crisis Indicator Data'!H112)</f>
        <v>2.2302631578947369E-3</v>
      </c>
      <c r="Y115" s="167">
        <f t="shared" si="22"/>
        <v>5</v>
      </c>
      <c r="Z115" s="167">
        <f t="shared" si="23"/>
        <v>4.3</v>
      </c>
      <c r="AA115" s="167">
        <f t="shared" si="24"/>
        <v>4.2</v>
      </c>
      <c r="AB115" s="187">
        <f t="shared" si="25"/>
        <v>2.8</v>
      </c>
    </row>
    <row r="116" spans="1:28" x14ac:dyDescent="0.3">
      <c r="A116" s="194" t="str">
        <f>'Crisis Indicator Data'!A113</f>
        <v>Mindanao Earthquake</v>
      </c>
      <c r="B116" s="195" t="str">
        <f>'Crisis Indicator Data'!B113</f>
        <v>Earthquake</v>
      </c>
      <c r="C116" s="195" t="str">
        <f>'Crisis Indicator Data'!C113</f>
        <v>PHL004</v>
      </c>
      <c r="D116" s="195" t="str">
        <f>'Crisis Indicator Data'!D113</f>
        <v>Philippines</v>
      </c>
      <c r="E116" s="196" t="str">
        <f>'Crisis Indicator Data'!E113</f>
        <v>PHL</v>
      </c>
      <c r="F116" s="190">
        <f>IF('Crisis Indicator Data'!F113="x","x",IF(LOG('Crisis Indicator Data'!F113)&lt;F$4,0,IF(LOG('Crisis Indicator Data'!F113)&gt;F$3,5,ROUND(5-(F$3-LOG('Crisis Indicator Data'!F113))/(F$3-F$4)*5,1))))</f>
        <v>3.6</v>
      </c>
      <c r="G116" s="188">
        <f>IF('Crisis Indicator Data'!F113="x","x",IF(B116="Regional crisis",('Crisis Indicator Data'!F113/VLOOKUP('Impact of the crisis'!$C116,'Regional Crises'!$B$1:$R$66,4,FALSE)),'Crisis Indicator Data'!F113/VLOOKUP('Impact of the crisis'!$E116,'Country Indicator Data'!$B$4:$P$194,15,FALSE)))</f>
        <v>0.46401046382935907</v>
      </c>
      <c r="H116" s="167">
        <f t="shared" si="16"/>
        <v>2.2999999999999998</v>
      </c>
      <c r="I116" s="167">
        <f t="shared" si="26"/>
        <v>2.95</v>
      </c>
      <c r="J116" s="167">
        <f>IF('Crisis Indicator Data'!G113="x","x",IF(LOG('Crisis Indicator Data'!G113)&lt;J$4,0,IF(LOG('Crisis Indicator Data'!G113)&gt;J$3,5,ROUND(5-(J$3-LOG('Crisis Indicator Data'!G113))/(J$3-J$4)*5,1))))</f>
        <v>3.4</v>
      </c>
      <c r="K116" s="188">
        <f>IF('Crisis Indicator Data'!G113="x","x",IF(B116="Regional crisis",('Crisis Indicator Data'!G113/VLOOKUP('Impact of the crisis'!$C116,'Regional Crises'!$B$1:$R$66,5,FALSE)),'Crisis Indicator Data'!G113/VLOOKUP('Impact of the crisis'!$E116,'Country Indicator Data'!$B$4:$P$194,14,FALSE)))</f>
        <v>0.10035750007427287</v>
      </c>
      <c r="L116" s="167">
        <f t="shared" si="17"/>
        <v>0.5</v>
      </c>
      <c r="M116" s="167">
        <f t="shared" si="27"/>
        <v>1.95</v>
      </c>
      <c r="N116" s="167">
        <f t="shared" si="18"/>
        <v>2.5</v>
      </c>
      <c r="O116" s="167">
        <f>IF('Crisis Indicator Data'!H113="x","x",IF('Crisis Indicator Data'!H113=0,0,IF(LOG('Crisis Indicator Data'!H113)&lt;O$4,0,IF(LOG('Crisis Indicator Data'!H113)&gt;O$3,5,ROUND(5-(O$3-LOG('Crisis Indicator Data'!H113))/(O$3-O$4)*5,1)))))</f>
        <v>0.7</v>
      </c>
      <c r="P116" s="185">
        <f>IF('Crisis Indicator Data'!H113="x","x",'Crisis Indicator Data'!H113/'Crisis Indicator Data'!G113)</f>
        <v>7.7955397671205838E-3</v>
      </c>
      <c r="Q116" s="167">
        <f t="shared" si="19"/>
        <v>0</v>
      </c>
      <c r="R116" s="167">
        <f t="shared" si="28"/>
        <v>0.35</v>
      </c>
      <c r="S116" s="167">
        <f>IF('Crisis Indicator Data'!I113="x","x",IF('Crisis Indicator Data'!I113=0,0,IF(LOG('Crisis Indicator Data'!I113)&lt;S$4,0,IF(LOG('Crisis Indicator Data'!I113)&gt;S$3,5,ROUND(5-(S$3-LOG('Crisis Indicator Data'!I113))/(S$3-S$4)*5,1)))))</f>
        <v>2.7</v>
      </c>
      <c r="T116" s="185">
        <f>IF('Crisis Indicator Data'!H113="x","x",IF('Crisis Indicator Data'!I113="x","x",'Crisis Indicator Data'!I113/'Crisis Indicator Data'!H113))</f>
        <v>1</v>
      </c>
      <c r="U116" s="167">
        <f t="shared" si="20"/>
        <v>5</v>
      </c>
      <c r="V116" s="167">
        <f t="shared" si="21"/>
        <v>3.9</v>
      </c>
      <c r="W116" s="167">
        <f>IF('Crisis Indicator Data'!L113="x","x",IF('Crisis Indicator Data'!L113=0,0,IF(LOG('Crisis Indicator Data'!L113)&lt;W$4,0,IF(LOG('Crisis Indicator Data'!L113)&gt;W$3,5,ROUND(5-(W$3-LOG('Crisis Indicator Data'!L113))/(W$3-W$4)*5,1)))))</f>
        <v>0</v>
      </c>
      <c r="X116" s="186">
        <f>IF(OR('Crisis Indicator Data'!L113="x",'Crisis Indicator Data'!H113="x"),"x",'Crisis Indicator Data'!L113/'Crisis Indicator Data'!H113)</f>
        <v>0</v>
      </c>
      <c r="Y116" s="167">
        <f t="shared" si="22"/>
        <v>0</v>
      </c>
      <c r="Z116" s="167">
        <f t="shared" si="23"/>
        <v>0</v>
      </c>
      <c r="AA116" s="167">
        <f t="shared" si="24"/>
        <v>2.4</v>
      </c>
      <c r="AB116" s="187">
        <f t="shared" si="25"/>
        <v>1.5</v>
      </c>
    </row>
    <row r="117" spans="1:28" x14ac:dyDescent="0.3">
      <c r="A117" s="194" t="str">
        <f>'Crisis Indicator Data'!A114</f>
        <v>Burundi and DRC refugees in Rwanda</v>
      </c>
      <c r="B117" s="195" t="str">
        <f>'Crisis Indicator Data'!B114</f>
        <v>International displacement</v>
      </c>
      <c r="C117" s="195" t="str">
        <f>'Crisis Indicator Data'!C114</f>
        <v>RWA002</v>
      </c>
      <c r="D117" s="195" t="str">
        <f>'Crisis Indicator Data'!D114</f>
        <v>Rwanda</v>
      </c>
      <c r="E117" s="196" t="str">
        <f>'Crisis Indicator Data'!E114</f>
        <v>RWA</v>
      </c>
      <c r="F117" s="190">
        <f>IF('Crisis Indicator Data'!F114="x","x",IF(LOG('Crisis Indicator Data'!F114)&lt;F$4,0,IF(LOG('Crisis Indicator Data'!F114)&gt;F$3,5,ROUND(5-(F$3-LOG('Crisis Indicator Data'!F114))/(F$3-F$4)*5,1))))</f>
        <v>1.7</v>
      </c>
      <c r="G117" s="188">
        <f>IF('Crisis Indicator Data'!F114="x","x",IF(B117="Regional crisis",('Crisis Indicator Data'!F114/VLOOKUP('Impact of the crisis'!$C117,'Regional Crises'!$B$1:$R$66,4,FALSE)),'Crisis Indicator Data'!F114/VLOOKUP('Impact of the crisis'!$E117,'Country Indicator Data'!$B$4:$P$194,15,FALSE)))</f>
        <v>0.43153627888123225</v>
      </c>
      <c r="H117" s="167">
        <f t="shared" si="16"/>
        <v>2.1</v>
      </c>
      <c r="I117" s="167">
        <f t="shared" si="26"/>
        <v>1.9</v>
      </c>
      <c r="J117" s="167">
        <f>IF('Crisis Indicator Data'!G114="x","x",IF(LOG('Crisis Indicator Data'!G114)&lt;J$4,0,IF(LOG('Crisis Indicator Data'!G114)&gt;J$3,5,ROUND(5-(J$3-LOG('Crisis Indicator Data'!G114))/(J$3-J$4)*5,1))))</f>
        <v>2.2000000000000002</v>
      </c>
      <c r="K117" s="188">
        <f>IF('Crisis Indicator Data'!G114="x","x",IF(B117="Regional crisis",('Crisis Indicator Data'!G114/VLOOKUP('Impact of the crisis'!$C117,'Regional Crises'!$B$1:$R$66,5,FALSE)),'Crisis Indicator Data'!G114/VLOOKUP('Impact of the crisis'!$E117,'Country Indicator Data'!$B$4:$P$194,14,FALSE)))</f>
        <v>0.47365697132801987</v>
      </c>
      <c r="L117" s="167">
        <f t="shared" si="17"/>
        <v>2.2999999999999998</v>
      </c>
      <c r="M117" s="167">
        <f t="shared" si="27"/>
        <v>2.25</v>
      </c>
      <c r="N117" s="167">
        <f t="shared" si="18"/>
        <v>2.1</v>
      </c>
      <c r="O117" s="167">
        <f>IF('Crisis Indicator Data'!H114="x","x",IF('Crisis Indicator Data'!H114=0,0,IF(LOG('Crisis Indicator Data'!H114)&lt;O$4,0,IF(LOG('Crisis Indicator Data'!H114)&gt;O$3,5,ROUND(5-(O$3-LOG('Crisis Indicator Data'!H114))/(O$3-O$4)*5,1)))))</f>
        <v>1.1000000000000001</v>
      </c>
      <c r="P117" s="185">
        <f>IF('Crisis Indicator Data'!H114="x","x",'Crisis Indicator Data'!H114/'Crisis Indicator Data'!G114)</f>
        <v>3.2561188811188808E-2</v>
      </c>
      <c r="Q117" s="167">
        <f t="shared" si="19"/>
        <v>0.1</v>
      </c>
      <c r="R117" s="167">
        <f t="shared" si="28"/>
        <v>0.60000000000000009</v>
      </c>
      <c r="S117" s="167">
        <f>IF('Crisis Indicator Data'!I114="x","x",IF('Crisis Indicator Data'!I114=0,0,IF(LOG('Crisis Indicator Data'!I114)&lt;S$4,0,IF(LOG('Crisis Indicator Data'!I114)&gt;S$3,5,ROUND(5-(S$3-LOG('Crisis Indicator Data'!I114))/(S$3-S$4)*5,1)))))</f>
        <v>3.1</v>
      </c>
      <c r="T117" s="185">
        <f>IF('Crisis Indicator Data'!H114="x","x",IF('Crisis Indicator Data'!I114="x","x",'Crisis Indicator Data'!I114/'Crisis Indicator Data'!H114))</f>
        <v>1</v>
      </c>
      <c r="U117" s="167">
        <f t="shared" si="20"/>
        <v>5</v>
      </c>
      <c r="V117" s="167">
        <f t="shared" si="21"/>
        <v>4.0999999999999996</v>
      </c>
      <c r="W117" s="167" t="str">
        <f>IF('Crisis Indicator Data'!L114="x","x",IF('Crisis Indicator Data'!L114=0,0,IF(LOG('Crisis Indicator Data'!L114)&lt;W$4,0,IF(LOG('Crisis Indicator Data'!L114)&gt;W$3,5,ROUND(5-(W$3-LOG('Crisis Indicator Data'!L114))/(W$3-W$4)*5,1)))))</f>
        <v>x</v>
      </c>
      <c r="X117" s="186" t="str">
        <f>IF(OR('Crisis Indicator Data'!L114="x",'Crisis Indicator Data'!H114="x"),"x",'Crisis Indicator Data'!L114/'Crisis Indicator Data'!H114)</f>
        <v>x</v>
      </c>
      <c r="Y117" s="167" t="str">
        <f t="shared" si="22"/>
        <v>x</v>
      </c>
      <c r="Z117" s="167" t="str">
        <f t="shared" si="23"/>
        <v>x</v>
      </c>
      <c r="AA117" s="167">
        <f t="shared" si="24"/>
        <v>4.0999999999999996</v>
      </c>
      <c r="AB117" s="187">
        <f t="shared" si="25"/>
        <v>2.8</v>
      </c>
    </row>
    <row r="118" spans="1:28" x14ac:dyDescent="0.3">
      <c r="A118" s="194" t="str">
        <f>'Crisis Indicator Data'!A115</f>
        <v>Drought in Senegal</v>
      </c>
      <c r="B118" s="195" t="str">
        <f>'Crisis Indicator Data'!B115</f>
        <v>Drought</v>
      </c>
      <c r="C118" s="195" t="str">
        <f>'Crisis Indicator Data'!C115</f>
        <v>SEN002</v>
      </c>
      <c r="D118" s="195" t="str">
        <f>'Crisis Indicator Data'!D115</f>
        <v>Senegal</v>
      </c>
      <c r="E118" s="196" t="str">
        <f>'Crisis Indicator Data'!E115</f>
        <v>SEN</v>
      </c>
      <c r="F118" s="190">
        <f>IF('Crisis Indicator Data'!F115="x","x",IF(LOG('Crisis Indicator Data'!F115)&lt;F$4,0,IF(LOG('Crisis Indicator Data'!F115)&gt;F$3,5,ROUND(5-(F$3-LOG('Crisis Indicator Data'!F115))/(F$3-F$4)*5,1))))</f>
        <v>3.8</v>
      </c>
      <c r="G118" s="188">
        <f>IF('Crisis Indicator Data'!F115="x","x",IF(B118="Regional crisis",('Crisis Indicator Data'!F115/VLOOKUP('Impact of the crisis'!$C118,'Regional Crises'!$B$1:$R$66,4,FALSE)),'Crisis Indicator Data'!F115/VLOOKUP('Impact of the crisis'!$E118,'Country Indicator Data'!$B$4:$P$194,15,FALSE)))</f>
        <v>1</v>
      </c>
      <c r="H118" s="167">
        <f t="shared" si="16"/>
        <v>5</v>
      </c>
      <c r="I118" s="167">
        <f t="shared" ref="I118:I143" si="29">IF(AND(H118="x",F118="x"),"x",AVERAGE(F118,H118))</f>
        <v>4.4000000000000004</v>
      </c>
      <c r="J118" s="167">
        <f>IF('Crisis Indicator Data'!G115="x","x",IF(LOG('Crisis Indicator Data'!G115)&lt;J$4,0,IF(LOG('Crisis Indicator Data'!G115)&gt;J$3,5,ROUND(5-(J$3-LOG('Crisis Indicator Data'!G115))/(J$3-J$4)*5,1))))</f>
        <v>4</v>
      </c>
      <c r="K118" s="188">
        <f>IF('Crisis Indicator Data'!G115="x","x",IF(B118="Regional crisis",('Crisis Indicator Data'!G115/VLOOKUP('Impact of the crisis'!$C118,'Regional Crises'!$B$1:$R$66,5,FALSE)),'Crisis Indicator Data'!G115/VLOOKUP('Impact of the crisis'!$E118,'Country Indicator Data'!$B$4:$P$194,14,FALSE)))</f>
        <v>1</v>
      </c>
      <c r="L118" s="167">
        <f t="shared" si="17"/>
        <v>5</v>
      </c>
      <c r="M118" s="167">
        <f t="shared" ref="M118:M143" si="30">IF(AND(L118="x",J118="x"),"x",AVERAGE(J118,L118))</f>
        <v>4.5</v>
      </c>
      <c r="N118" s="167">
        <f t="shared" si="18"/>
        <v>4.5</v>
      </c>
      <c r="O118" s="167">
        <f>IF('Crisis Indicator Data'!H115="x","x",IF('Crisis Indicator Data'!H115=0,0,IF(LOG('Crisis Indicator Data'!H115)&lt;O$4,0,IF(LOG('Crisis Indicator Data'!H115)&gt;O$3,5,ROUND(5-(O$3-LOG('Crisis Indicator Data'!H115))/(O$3-O$4)*5,1)))))</f>
        <v>3.3</v>
      </c>
      <c r="P118" s="185">
        <f>IF('Crisis Indicator Data'!H115="x","x",'Crisis Indicator Data'!H115/'Crisis Indicator Data'!G115)</f>
        <v>0.17947617003005581</v>
      </c>
      <c r="Q118" s="167">
        <f t="shared" si="19"/>
        <v>0.9</v>
      </c>
      <c r="R118" s="167">
        <f t="shared" ref="R118:R143" si="31">IF(AND(Q118="x",O118="x"),"x",AVERAGE(O118,Q118))</f>
        <v>2.1</v>
      </c>
      <c r="S118" s="167" t="str">
        <f>IF('Crisis Indicator Data'!I115="x","x",IF('Crisis Indicator Data'!I115=0,0,IF(LOG('Crisis Indicator Data'!I115)&lt;S$4,0,IF(LOG('Crisis Indicator Data'!I115)&gt;S$3,5,ROUND(5-(S$3-LOG('Crisis Indicator Data'!I115))/(S$3-S$4)*5,1)))))</f>
        <v>x</v>
      </c>
      <c r="T118" s="185" t="str">
        <f>IF('Crisis Indicator Data'!H115="x","x",IF('Crisis Indicator Data'!I115="x","x",'Crisis Indicator Data'!I115/'Crisis Indicator Data'!H115))</f>
        <v>x</v>
      </c>
      <c r="U118" s="167" t="str">
        <f t="shared" si="20"/>
        <v>x</v>
      </c>
      <c r="V118" s="167" t="str">
        <f t="shared" si="21"/>
        <v>x</v>
      </c>
      <c r="W118" s="167">
        <f>IF('Crisis Indicator Data'!L115="x","x",IF('Crisis Indicator Data'!L115=0,0,IF(LOG('Crisis Indicator Data'!L115)&lt;W$4,0,IF(LOG('Crisis Indicator Data'!L115)&gt;W$3,5,ROUND(5-(W$3-LOG('Crisis Indicator Data'!L115))/(W$3-W$4)*5,1)))))</f>
        <v>0</v>
      </c>
      <c r="X118" s="186">
        <f>IF(OR('Crisis Indicator Data'!L115="x",'Crisis Indicator Data'!H115="x"),"x",'Crisis Indicator Data'!L115/'Crisis Indicator Data'!H115)</f>
        <v>0</v>
      </c>
      <c r="Y118" s="167">
        <f t="shared" si="22"/>
        <v>0</v>
      </c>
      <c r="Z118" s="167">
        <f t="shared" si="23"/>
        <v>0</v>
      </c>
      <c r="AA118" s="167">
        <f t="shared" si="24"/>
        <v>0</v>
      </c>
      <c r="AB118" s="187">
        <f t="shared" si="25"/>
        <v>1.2</v>
      </c>
    </row>
    <row r="119" spans="1:28" x14ac:dyDescent="0.3">
      <c r="A119" s="194" t="str">
        <f>'Crisis Indicator Data'!A116</f>
        <v>Complex crisis in Somalia</v>
      </c>
      <c r="B119" s="195" t="str">
        <f>'Crisis Indicator Data'!B116</f>
        <v>Complex crisis</v>
      </c>
      <c r="C119" s="195" t="str">
        <f>'Crisis Indicator Data'!C116</f>
        <v>SOM001</v>
      </c>
      <c r="D119" s="195" t="str">
        <f>'Crisis Indicator Data'!D116</f>
        <v>Somalia</v>
      </c>
      <c r="E119" s="196" t="str">
        <f>'Crisis Indicator Data'!E116</f>
        <v>SOM</v>
      </c>
      <c r="F119" s="190">
        <f>IF('Crisis Indicator Data'!F116="x","x",IF(LOG('Crisis Indicator Data'!F116)&lt;F$4,0,IF(LOG('Crisis Indicator Data'!F116)&gt;F$3,5,ROUND(5-(F$3-LOG('Crisis Indicator Data'!F116))/(F$3-F$4)*5,1))))</f>
        <v>4.7</v>
      </c>
      <c r="G119" s="188">
        <f>IF('Crisis Indicator Data'!F116="x","x",IF(B119="Regional crisis",('Crisis Indicator Data'!F116/VLOOKUP('Impact of the crisis'!$C119,'Regional Crises'!$B$1:$R$66,4,FALSE)),'Crisis Indicator Data'!F116/VLOOKUP('Impact of the crisis'!$E119,'Country Indicator Data'!$B$4:$P$194,15,FALSE)))</f>
        <v>1</v>
      </c>
      <c r="H119" s="167">
        <f t="shared" si="16"/>
        <v>5</v>
      </c>
      <c r="I119" s="167">
        <f t="shared" si="29"/>
        <v>4.8499999999999996</v>
      </c>
      <c r="J119" s="167">
        <f>IF('Crisis Indicator Data'!G116="x","x",IF(LOG('Crisis Indicator Data'!G116)&lt;J$4,0,IF(LOG('Crisis Indicator Data'!G116)&gt;J$3,5,ROUND(5-(J$3-LOG('Crisis Indicator Data'!G116))/(J$3-J$4)*5,1))))</f>
        <v>3.6</v>
      </c>
      <c r="K119" s="188">
        <f>IF('Crisis Indicator Data'!G116="x","x",IF(B119="Regional crisis",('Crisis Indicator Data'!G116/VLOOKUP('Impact of the crisis'!$C119,'Regional Crises'!$B$1:$R$66,5,FALSE)),'Crisis Indicator Data'!G116/VLOOKUP('Impact of the crisis'!$E119,'Country Indicator Data'!$B$4:$P$194,14,FALSE)))</f>
        <v>1</v>
      </c>
      <c r="L119" s="167">
        <f t="shared" si="17"/>
        <v>5</v>
      </c>
      <c r="M119" s="167">
        <f t="shared" si="30"/>
        <v>4.3</v>
      </c>
      <c r="N119" s="167">
        <f t="shared" si="18"/>
        <v>4.5999999999999996</v>
      </c>
      <c r="O119" s="167">
        <f>IF('Crisis Indicator Data'!H116="x","x",IF('Crisis Indicator Data'!H116=0,0,IF(LOG('Crisis Indicator Data'!H116)&lt;O$4,0,IF(LOG('Crisis Indicator Data'!H116)&gt;O$3,5,ROUND(5-(O$3-LOG('Crisis Indicator Data'!H116))/(O$3-O$4)*5,1)))))</f>
        <v>4.3</v>
      </c>
      <c r="P119" s="185">
        <f>IF('Crisis Indicator Data'!H116="x","x",'Crisis Indicator Data'!H116/'Crisis Indicator Data'!G116)</f>
        <v>1</v>
      </c>
      <c r="Q119" s="167">
        <f t="shared" si="19"/>
        <v>5</v>
      </c>
      <c r="R119" s="167">
        <f t="shared" si="31"/>
        <v>4.6500000000000004</v>
      </c>
      <c r="S119" s="167">
        <f>IF('Crisis Indicator Data'!I116="x","x",IF('Crisis Indicator Data'!I116=0,0,IF(LOG('Crisis Indicator Data'!I116)&lt;S$4,0,IF(LOG('Crisis Indicator Data'!I116)&gt;S$3,5,ROUND(5-(S$3-LOG('Crisis Indicator Data'!I116))/(S$3-S$4)*5,1)))))</f>
        <v>5</v>
      </c>
      <c r="T119" s="185">
        <f>IF('Crisis Indicator Data'!H116="x","x",IF('Crisis Indicator Data'!I116="x","x",'Crisis Indicator Data'!I116/'Crisis Indicator Data'!H116))</f>
        <v>0.3202439024390244</v>
      </c>
      <c r="U119" s="167">
        <f t="shared" si="20"/>
        <v>5</v>
      </c>
      <c r="V119" s="167">
        <f t="shared" si="21"/>
        <v>5</v>
      </c>
      <c r="W119" s="167">
        <f>IF('Crisis Indicator Data'!L116="x","x",IF('Crisis Indicator Data'!L116=0,0,IF(LOG('Crisis Indicator Data'!L116)&lt;W$4,0,IF(LOG('Crisis Indicator Data'!L116)&gt;W$3,5,ROUND(5-(W$3-LOG('Crisis Indicator Data'!L116))/(W$3-W$4)*5,1)))))</f>
        <v>4.5999999999999996</v>
      </c>
      <c r="X119" s="186">
        <f>IF(OR('Crisis Indicator Data'!L116="x",'Crisis Indicator Data'!H116="x"),"x",'Crisis Indicator Data'!L116/'Crisis Indicator Data'!H116)</f>
        <v>1.324390243902439E-4</v>
      </c>
      <c r="Y119" s="167">
        <f t="shared" si="22"/>
        <v>5</v>
      </c>
      <c r="Z119" s="167">
        <f t="shared" si="23"/>
        <v>4.8</v>
      </c>
      <c r="AA119" s="167">
        <f t="shared" si="24"/>
        <v>4.9000000000000004</v>
      </c>
      <c r="AB119" s="187">
        <f t="shared" si="25"/>
        <v>4.8</v>
      </c>
    </row>
    <row r="120" spans="1:28" x14ac:dyDescent="0.3">
      <c r="A120" s="194" t="str">
        <f>'Crisis Indicator Data'!A117</f>
        <v>Mixed Migration Flows in Somalia</v>
      </c>
      <c r="B120" s="195" t="str">
        <f>'Crisis Indicator Data'!B117</f>
        <v>International displacement</v>
      </c>
      <c r="C120" s="195" t="str">
        <f>'Crisis Indicator Data'!C117</f>
        <v>SOM002</v>
      </c>
      <c r="D120" s="195" t="str">
        <f>'Crisis Indicator Data'!D117</f>
        <v>Somalia</v>
      </c>
      <c r="E120" s="196" t="str">
        <f>'Crisis Indicator Data'!E117</f>
        <v>SOM</v>
      </c>
      <c r="F120" s="190">
        <f>IF('Crisis Indicator Data'!F117="x","x",IF(LOG('Crisis Indicator Data'!F117)&lt;F$4,0,IF(LOG('Crisis Indicator Data'!F117)&gt;F$3,5,ROUND(5-(F$3-LOG('Crisis Indicator Data'!F117))/(F$3-F$4)*5,1))))</f>
        <v>2.4</v>
      </c>
      <c r="G120" s="188">
        <f>IF('Crisis Indicator Data'!F117="x","x",IF(B120="Regional crisis",('Crisis Indicator Data'!F117/VLOOKUP('Impact of the crisis'!$C120,'Regional Crises'!$B$1:$R$66,4,FALSE)),'Crisis Indicator Data'!F117/VLOOKUP('Impact of the crisis'!$E120,'Country Indicator Data'!$B$4:$P$194,15,FALSE)))</f>
        <v>4.4983581470972679E-2</v>
      </c>
      <c r="H120" s="167">
        <f t="shared" si="16"/>
        <v>0.1</v>
      </c>
      <c r="I120" s="167">
        <f t="shared" si="29"/>
        <v>1.25</v>
      </c>
      <c r="J120" s="167">
        <f>IF('Crisis Indicator Data'!G117="x","x",IF(LOG('Crisis Indicator Data'!G117)&lt;J$4,0,IF(LOG('Crisis Indicator Data'!G117)&gt;J$3,5,ROUND(5-(J$3-LOG('Crisis Indicator Data'!G117))/(J$3-J$4)*5,1))))</f>
        <v>0.3</v>
      </c>
      <c r="K120" s="188">
        <f>IF('Crisis Indicator Data'!G117="x","x",IF(B120="Regional crisis",('Crisis Indicator Data'!G117/VLOOKUP('Impact of the crisis'!$C120,'Regional Crises'!$B$1:$R$66,5,FALSE)),'Crisis Indicator Data'!G117/VLOOKUP('Impact of the crisis'!$E120,'Country Indicator Data'!$B$4:$P$194,14,FALSE)))</f>
        <v>0.10252032520325204</v>
      </c>
      <c r="L120" s="167">
        <f t="shared" si="17"/>
        <v>0.5</v>
      </c>
      <c r="M120" s="167">
        <f t="shared" si="30"/>
        <v>0.4</v>
      </c>
      <c r="N120" s="167">
        <f t="shared" si="18"/>
        <v>0.8</v>
      </c>
      <c r="O120" s="167">
        <f>IF('Crisis Indicator Data'!H117="x","x",IF('Crisis Indicator Data'!H117=0,0,IF(LOG('Crisis Indicator Data'!H117)&lt;O$4,0,IF(LOG('Crisis Indicator Data'!H117)&gt;O$3,5,ROUND(5-(O$3-LOG('Crisis Indicator Data'!H117))/(O$3-O$4)*5,1)))))</f>
        <v>0.1</v>
      </c>
      <c r="P120" s="185">
        <f>IF('Crisis Indicator Data'!H117="x","x",'Crisis Indicator Data'!H117/'Crisis Indicator Data'!G117)</f>
        <v>2.8548770816812053E-2</v>
      </c>
      <c r="Q120" s="167">
        <f t="shared" si="19"/>
        <v>0.1</v>
      </c>
      <c r="R120" s="167">
        <f t="shared" si="31"/>
        <v>0.1</v>
      </c>
      <c r="S120" s="167">
        <f>IF('Crisis Indicator Data'!I117="x","x",IF('Crisis Indicator Data'!I117=0,0,IF(LOG('Crisis Indicator Data'!I117)&lt;S$4,0,IF(LOG('Crisis Indicator Data'!I117)&gt;S$3,5,ROUND(5-(S$3-LOG('Crisis Indicator Data'!I117))/(S$3-S$4)*5,1)))))</f>
        <v>2.2000000000000002</v>
      </c>
      <c r="T120" s="185">
        <f>IF('Crisis Indicator Data'!H117="x","x",IF('Crisis Indicator Data'!I117="x","x",'Crisis Indicator Data'!I117/'Crisis Indicator Data'!H117))</f>
        <v>1</v>
      </c>
      <c r="U120" s="167">
        <f t="shared" si="20"/>
        <v>5</v>
      </c>
      <c r="V120" s="167">
        <f t="shared" si="21"/>
        <v>3.6</v>
      </c>
      <c r="W120" s="167" t="str">
        <f>IF('Crisis Indicator Data'!L117="x","x",IF('Crisis Indicator Data'!L117=0,0,IF(LOG('Crisis Indicator Data'!L117)&lt;W$4,0,IF(LOG('Crisis Indicator Data'!L117)&gt;W$3,5,ROUND(5-(W$3-LOG('Crisis Indicator Data'!L117))/(W$3-W$4)*5,1)))))</f>
        <v>x</v>
      </c>
      <c r="X120" s="186" t="str">
        <f>IF(OR('Crisis Indicator Data'!L117="x",'Crisis Indicator Data'!H117="x"),"x",'Crisis Indicator Data'!L117/'Crisis Indicator Data'!H117)</f>
        <v>x</v>
      </c>
      <c r="Y120" s="167" t="str">
        <f t="shared" si="22"/>
        <v>x</v>
      </c>
      <c r="Z120" s="167" t="str">
        <f t="shared" si="23"/>
        <v>x</v>
      </c>
      <c r="AA120" s="167">
        <f t="shared" si="24"/>
        <v>3.6</v>
      </c>
      <c r="AB120" s="187">
        <f t="shared" si="25"/>
        <v>2.2000000000000002</v>
      </c>
    </row>
    <row r="121" spans="1:28" x14ac:dyDescent="0.3">
      <c r="A121" s="194" t="str">
        <f>'Crisis Indicator Data'!A118</f>
        <v>Floods in Somalia</v>
      </c>
      <c r="B121" s="195" t="str">
        <f>'Crisis Indicator Data'!B118</f>
        <v>Flood</v>
      </c>
      <c r="C121" s="195" t="str">
        <f>'Crisis Indicator Data'!C118</f>
        <v>SOM004</v>
      </c>
      <c r="D121" s="195" t="str">
        <f>'Crisis Indicator Data'!D118</f>
        <v>Somalia</v>
      </c>
      <c r="E121" s="196" t="str">
        <f>'Crisis Indicator Data'!E118</f>
        <v>SOM</v>
      </c>
      <c r="F121" s="190">
        <f>IF('Crisis Indicator Data'!F118="x","x",IF(LOG('Crisis Indicator Data'!F118)&lt;F$4,0,IF(LOG('Crisis Indicator Data'!F118)&gt;F$3,5,ROUND(5-(F$3-LOG('Crisis Indicator Data'!F118))/(F$3-F$4)*5,1))))</f>
        <v>4</v>
      </c>
      <c r="G121" s="188">
        <f>IF('Crisis Indicator Data'!F118="x","x",IF(B121="Regional crisis",('Crisis Indicator Data'!F118/VLOOKUP('Impact of the crisis'!$C121,'Regional Crises'!$B$1:$R$66,4,FALSE)),'Crisis Indicator Data'!F118/VLOOKUP('Impact of the crisis'!$E121,'Country Indicator Data'!$B$4:$P$194,15,FALSE)))</f>
        <v>0.40655306532342911</v>
      </c>
      <c r="H121" s="167">
        <f t="shared" si="16"/>
        <v>2</v>
      </c>
      <c r="I121" s="167">
        <f t="shared" si="29"/>
        <v>3</v>
      </c>
      <c r="J121" s="167">
        <f>IF('Crisis Indicator Data'!G118="x","x",IF(LOG('Crisis Indicator Data'!G118)&lt;J$4,0,IF(LOG('Crisis Indicator Data'!G118)&gt;J$3,5,ROUND(5-(J$3-LOG('Crisis Indicator Data'!G118))/(J$3-J$4)*5,1))))</f>
        <v>2.4</v>
      </c>
      <c r="K121" s="188">
        <f>IF('Crisis Indicator Data'!G118="x","x",IF(B121="Regional crisis",('Crisis Indicator Data'!G118/VLOOKUP('Impact of the crisis'!$C121,'Regional Crises'!$B$1:$R$66,5,FALSE)),'Crisis Indicator Data'!G118/VLOOKUP('Impact of the crisis'!$E121,'Country Indicator Data'!$B$4:$P$194,14,FALSE)))</f>
        <v>0.43089430894308944</v>
      </c>
      <c r="L121" s="167">
        <f t="shared" si="17"/>
        <v>2.1</v>
      </c>
      <c r="M121" s="167">
        <f t="shared" si="30"/>
        <v>2.25</v>
      </c>
      <c r="N121" s="167">
        <f t="shared" si="18"/>
        <v>2.6</v>
      </c>
      <c r="O121" s="167">
        <f>IF('Crisis Indicator Data'!H118="x","x",IF('Crisis Indicator Data'!H118=0,0,IF(LOG('Crisis Indicator Data'!H118)&lt;O$4,0,IF(LOG('Crisis Indicator Data'!H118)&gt;O$3,5,ROUND(5-(O$3-LOG('Crisis Indicator Data'!H118))/(O$3-O$4)*5,1)))))</f>
        <v>2</v>
      </c>
      <c r="P121" s="185">
        <f>IF('Crisis Indicator Data'!H118="x","x",'Crisis Indicator Data'!H118/'Crisis Indicator Data'!G118)</f>
        <v>0.10113207547169811</v>
      </c>
      <c r="Q121" s="167">
        <f t="shared" si="19"/>
        <v>0.5</v>
      </c>
      <c r="R121" s="167">
        <f t="shared" si="31"/>
        <v>1.25</v>
      </c>
      <c r="S121" s="167">
        <f>IF('Crisis Indicator Data'!I118="x","x",IF('Crisis Indicator Data'!I118=0,0,IF(LOG('Crisis Indicator Data'!I118)&lt;S$4,0,IF(LOG('Crisis Indicator Data'!I118)&gt;S$3,5,ROUND(5-(S$3-LOG('Crisis Indicator Data'!I118))/(S$3-S$4)*5,1)))))</f>
        <v>3.5</v>
      </c>
      <c r="T121" s="185">
        <f>IF('Crisis Indicator Data'!H118="x","x",IF('Crisis Indicator Data'!I118="x","x",'Crisis Indicator Data'!I118/'Crisis Indicator Data'!H118))</f>
        <v>0.53171641791044777</v>
      </c>
      <c r="U121" s="167">
        <f t="shared" si="20"/>
        <v>5</v>
      </c>
      <c r="V121" s="167">
        <f t="shared" si="21"/>
        <v>4.3</v>
      </c>
      <c r="W121" s="167">
        <f>IF('Crisis Indicator Data'!L118="x","x",IF('Crisis Indicator Data'!L118=0,0,IF(LOG('Crisis Indicator Data'!L118)&lt;W$4,0,IF(LOG('Crisis Indicator Data'!L118)&gt;W$3,5,ROUND(5-(W$3-LOG('Crisis Indicator Data'!L118))/(W$3-W$4)*5,1)))))</f>
        <v>1.8</v>
      </c>
      <c r="X121" s="186">
        <f>IF(OR('Crisis Indicator Data'!L118="x",'Crisis Indicator Data'!H118="x"),"x",'Crisis Indicator Data'!L118/'Crisis Indicator Data'!H118)</f>
        <v>3.1716417910447763E-5</v>
      </c>
      <c r="Y121" s="167">
        <f t="shared" si="22"/>
        <v>1.6</v>
      </c>
      <c r="Z121" s="167">
        <f t="shared" si="23"/>
        <v>1.7</v>
      </c>
      <c r="AA121" s="167">
        <f t="shared" si="24"/>
        <v>3.3</v>
      </c>
      <c r="AB121" s="187">
        <f t="shared" si="25"/>
        <v>2.4</v>
      </c>
    </row>
    <row r="122" spans="1:28" x14ac:dyDescent="0.3">
      <c r="A122" s="194" t="str">
        <f>'Crisis Indicator Data'!A119</f>
        <v>Complex crisis in South Sudan</v>
      </c>
      <c r="B122" s="195" t="str">
        <f>'Crisis Indicator Data'!B119</f>
        <v>Complex crisis</v>
      </c>
      <c r="C122" s="195" t="str">
        <f>'Crisis Indicator Data'!C119</f>
        <v>SSD001</v>
      </c>
      <c r="D122" s="195" t="str">
        <f>'Crisis Indicator Data'!D119</f>
        <v>South Sudan</v>
      </c>
      <c r="E122" s="196" t="str">
        <f>'Crisis Indicator Data'!E119</f>
        <v>SSD</v>
      </c>
      <c r="F122" s="190">
        <f>IF('Crisis Indicator Data'!F119="x","x",IF(LOG('Crisis Indicator Data'!F119)&lt;F$4,0,IF(LOG('Crisis Indicator Data'!F119)&gt;F$3,5,ROUND(5-(F$3-LOG('Crisis Indicator Data'!F119))/(F$3-F$4)*5,1))))</f>
        <v>4.7</v>
      </c>
      <c r="G122" s="188">
        <f>IF('Crisis Indicator Data'!F119="x","x",IF(B122="Regional crisis",('Crisis Indicator Data'!F119/VLOOKUP('Impact of the crisis'!$C122,'Regional Crises'!$B$1:$R$66,4,FALSE)),'Crisis Indicator Data'!F119/VLOOKUP('Impact of the crisis'!$E122,'Country Indicator Data'!$B$4:$P$194,15,FALSE)))</f>
        <v>0.99948939128923264</v>
      </c>
      <c r="H122" s="167">
        <f t="shared" si="16"/>
        <v>5</v>
      </c>
      <c r="I122" s="167">
        <f t="shared" si="29"/>
        <v>4.8499999999999996</v>
      </c>
      <c r="J122" s="167">
        <f>IF('Crisis Indicator Data'!G119="x","x",IF(LOG('Crisis Indicator Data'!G119)&lt;J$4,0,IF(LOG('Crisis Indicator Data'!G119)&gt;J$3,5,ROUND(5-(J$3-LOG('Crisis Indicator Data'!G119))/(J$3-J$4)*5,1))))</f>
        <v>3.6</v>
      </c>
      <c r="K122" s="188">
        <f>IF('Crisis Indicator Data'!G119="x","x",IF(B122="Regional crisis",('Crisis Indicator Data'!G119/VLOOKUP('Impact of the crisis'!$C122,'Regional Crises'!$B$1:$R$66,5,FALSE)),'Crisis Indicator Data'!G119/VLOOKUP('Impact of the crisis'!$E122,'Country Indicator Data'!$B$4:$P$194,14,FALSE)))</f>
        <v>1</v>
      </c>
      <c r="L122" s="167">
        <f t="shared" si="17"/>
        <v>5</v>
      </c>
      <c r="M122" s="167">
        <f t="shared" si="30"/>
        <v>4.3</v>
      </c>
      <c r="N122" s="167">
        <f t="shared" si="18"/>
        <v>4.5999999999999996</v>
      </c>
      <c r="O122" s="167">
        <f>IF('Crisis Indicator Data'!H119="x","x",IF('Crisis Indicator Data'!H119=0,0,IF(LOG('Crisis Indicator Data'!H119)&lt;O$4,0,IF(LOG('Crisis Indicator Data'!H119)&gt;O$3,5,ROUND(5-(O$3-LOG('Crisis Indicator Data'!H119))/(O$3-O$4)*5,1)))))</f>
        <v>4.3</v>
      </c>
      <c r="P122" s="185">
        <f>IF('Crisis Indicator Data'!H119="x","x",'Crisis Indicator Data'!H119/'Crisis Indicator Data'!G119)</f>
        <v>1</v>
      </c>
      <c r="Q122" s="167">
        <f t="shared" si="19"/>
        <v>5</v>
      </c>
      <c r="R122" s="167">
        <f t="shared" si="31"/>
        <v>4.6500000000000004</v>
      </c>
      <c r="S122" s="167">
        <f>IF('Crisis Indicator Data'!I119="x","x",IF('Crisis Indicator Data'!I119=0,0,IF(LOG('Crisis Indicator Data'!I119)&lt;S$4,0,IF(LOG('Crisis Indicator Data'!I119)&gt;S$3,5,ROUND(5-(S$3-LOG('Crisis Indicator Data'!I119))/(S$3-S$4)*5,1)))))</f>
        <v>5</v>
      </c>
      <c r="T122" s="185">
        <f>IF('Crisis Indicator Data'!H119="x","x",IF('Crisis Indicator Data'!I119="x","x",'Crisis Indicator Data'!I119/'Crisis Indicator Data'!H119))</f>
        <v>0.32973898160034232</v>
      </c>
      <c r="U122" s="167">
        <f t="shared" si="20"/>
        <v>5</v>
      </c>
      <c r="V122" s="167">
        <f t="shared" si="21"/>
        <v>5</v>
      </c>
      <c r="W122" s="167">
        <f>IF('Crisis Indicator Data'!L119="x","x",IF('Crisis Indicator Data'!L119=0,0,IF(LOG('Crisis Indicator Data'!L119)&lt;W$4,0,IF(LOG('Crisis Indicator Data'!L119)&gt;W$3,5,ROUND(5-(W$3-LOG('Crisis Indicator Data'!L119))/(W$3-W$4)*5,1)))))</f>
        <v>4.5</v>
      </c>
      <c r="X122" s="186">
        <f>IF(OR('Crisis Indicator Data'!L119="x",'Crisis Indicator Data'!H119="x"),"x",'Crisis Indicator Data'!L119/'Crisis Indicator Data'!H119)</f>
        <v>1.2785622593068036E-4</v>
      </c>
      <c r="Y122" s="167">
        <f t="shared" si="22"/>
        <v>5</v>
      </c>
      <c r="Z122" s="167">
        <f t="shared" si="23"/>
        <v>4.8</v>
      </c>
      <c r="AA122" s="167">
        <f t="shared" si="24"/>
        <v>4.9000000000000004</v>
      </c>
      <c r="AB122" s="187">
        <f t="shared" si="25"/>
        <v>4.8</v>
      </c>
    </row>
    <row r="123" spans="1:28" x14ac:dyDescent="0.3">
      <c r="A123" s="194" t="str">
        <f>'Crisis Indicator Data'!A120</f>
        <v>Complex crisis in Sudan</v>
      </c>
      <c r="B123" s="195" t="str">
        <f>'Crisis Indicator Data'!B120</f>
        <v>Complex crisis</v>
      </c>
      <c r="C123" s="195" t="str">
        <f>'Crisis Indicator Data'!C120</f>
        <v>SDN001</v>
      </c>
      <c r="D123" s="195" t="str">
        <f>'Crisis Indicator Data'!D120</f>
        <v>Sudan</v>
      </c>
      <c r="E123" s="196" t="str">
        <f>'Crisis Indicator Data'!E120</f>
        <v>SDN</v>
      </c>
      <c r="F123" s="190">
        <f>IF('Crisis Indicator Data'!F120="x","x",IF(LOG('Crisis Indicator Data'!F120)&lt;F$4,0,IF(LOG('Crisis Indicator Data'!F120)&gt;F$3,5,ROUND(5-(F$3-LOG('Crisis Indicator Data'!F120))/(F$3-F$4)*5,1))))</f>
        <v>5</v>
      </c>
      <c r="G123" s="188">
        <f>IF('Crisis Indicator Data'!F120="x","x",IF(B123="Regional crisis",('Crisis Indicator Data'!F120/VLOOKUP('Impact of the crisis'!$C123,'Regional Crises'!$B$1:$R$66,4,FALSE)),'Crisis Indicator Data'!F120/VLOOKUP('Impact of the crisis'!$E123,'Country Indicator Data'!$B$4:$P$194,15,FALSE)))</f>
        <v>0.77469991582491582</v>
      </c>
      <c r="H123" s="167">
        <f t="shared" si="16"/>
        <v>3.9</v>
      </c>
      <c r="I123" s="167">
        <f t="shared" si="29"/>
        <v>4.45</v>
      </c>
      <c r="J123" s="167">
        <f>IF('Crisis Indicator Data'!G120="x","x",IF(LOG('Crisis Indicator Data'!G120)&lt;J$4,0,IF(LOG('Crisis Indicator Data'!G120)&gt;J$3,5,ROUND(5-(J$3-LOG('Crisis Indicator Data'!G120))/(J$3-J$4)*5,1))))</f>
        <v>5</v>
      </c>
      <c r="K123" s="188">
        <f>IF('Crisis Indicator Data'!G120="x","x",IF(B123="Regional crisis",('Crisis Indicator Data'!G120/VLOOKUP('Impact of the crisis'!$C123,'Regional Crises'!$B$1:$R$66,5,FALSE)),'Crisis Indicator Data'!G120/VLOOKUP('Impact of the crisis'!$E123,'Country Indicator Data'!$B$4:$P$194,14,FALSE)))</f>
        <v>1</v>
      </c>
      <c r="L123" s="167">
        <f t="shared" si="17"/>
        <v>5</v>
      </c>
      <c r="M123" s="167">
        <f t="shared" si="30"/>
        <v>5</v>
      </c>
      <c r="N123" s="167">
        <f t="shared" si="18"/>
        <v>4.8</v>
      </c>
      <c r="O123" s="167">
        <f>IF('Crisis Indicator Data'!H120="x","x",IF('Crisis Indicator Data'!H120=0,0,IF(LOG('Crisis Indicator Data'!H120)&lt;O$4,0,IF(LOG('Crisis Indicator Data'!H120)&gt;O$3,5,ROUND(5-(O$3-LOG('Crisis Indicator Data'!H120))/(O$3-O$4)*5,1)))))</f>
        <v>4.9000000000000004</v>
      </c>
      <c r="P123" s="185">
        <f>IF('Crisis Indicator Data'!H120="x","x",'Crisis Indicator Data'!H120/'Crisis Indicator Data'!G120)</f>
        <v>0.61860465116279073</v>
      </c>
      <c r="Q123" s="167">
        <f t="shared" si="19"/>
        <v>3.1</v>
      </c>
      <c r="R123" s="167">
        <f t="shared" si="31"/>
        <v>4</v>
      </c>
      <c r="S123" s="167">
        <f>IF('Crisis Indicator Data'!I120="x","x",IF('Crisis Indicator Data'!I120=0,0,IF(LOG('Crisis Indicator Data'!I120)&lt;S$4,0,IF(LOG('Crisis Indicator Data'!I120)&gt;S$3,5,ROUND(5-(S$3-LOG('Crisis Indicator Data'!I120))/(S$3-S$4)*5,1)))))</f>
        <v>5</v>
      </c>
      <c r="T123" s="185">
        <f>IF('Crisis Indicator Data'!H120="x","x",IF('Crisis Indicator Data'!I120="x","x",'Crisis Indicator Data'!I120/'Crisis Indicator Data'!H120))</f>
        <v>0.12030075187969924</v>
      </c>
      <c r="U123" s="167">
        <f t="shared" si="20"/>
        <v>4</v>
      </c>
      <c r="V123" s="167">
        <f t="shared" si="21"/>
        <v>4.5</v>
      </c>
      <c r="W123" s="167">
        <f>IF('Crisis Indicator Data'!L120="x","x",IF('Crisis Indicator Data'!L120=0,0,IF(LOG('Crisis Indicator Data'!L120)&lt;W$4,0,IF(LOG('Crisis Indicator Data'!L120)&gt;W$3,5,ROUND(5-(W$3-LOG('Crisis Indicator Data'!L120))/(W$3-W$4)*5,1)))))</f>
        <v>4</v>
      </c>
      <c r="X123" s="186">
        <f>IF(OR('Crisis Indicator Data'!L120="x",'Crisis Indicator Data'!H120="x"),"x",'Crisis Indicator Data'!L120/'Crisis Indicator Data'!H120)</f>
        <v>2.5451127819548871E-5</v>
      </c>
      <c r="Y123" s="167">
        <f t="shared" si="22"/>
        <v>1.3</v>
      </c>
      <c r="Z123" s="167">
        <f t="shared" si="23"/>
        <v>2.7</v>
      </c>
      <c r="AA123" s="167">
        <f t="shared" si="24"/>
        <v>3.8</v>
      </c>
      <c r="AB123" s="187">
        <f t="shared" si="25"/>
        <v>3.9</v>
      </c>
    </row>
    <row r="124" spans="1:28" x14ac:dyDescent="0.3">
      <c r="A124" s="194" t="str">
        <f>'Crisis Indicator Data'!A121</f>
        <v>Refugees in Sudan</v>
      </c>
      <c r="B124" s="195" t="str">
        <f>'Crisis Indicator Data'!B121</f>
        <v>International displacement</v>
      </c>
      <c r="C124" s="195" t="str">
        <f>'Crisis Indicator Data'!C121</f>
        <v>SDN005</v>
      </c>
      <c r="D124" s="195" t="str">
        <f>'Crisis Indicator Data'!D121</f>
        <v>Sudan</v>
      </c>
      <c r="E124" s="196" t="str">
        <f>'Crisis Indicator Data'!E121</f>
        <v>SDN</v>
      </c>
      <c r="F124" s="190">
        <f>IF('Crisis Indicator Data'!F121="x","x",IF(LOG('Crisis Indicator Data'!F121)&lt;F$4,0,IF(LOG('Crisis Indicator Data'!F121)&gt;F$3,5,ROUND(5-(F$3-LOG('Crisis Indicator Data'!F121))/(F$3-F$4)*5,1))))</f>
        <v>2</v>
      </c>
      <c r="G124" s="188">
        <f>IF('Crisis Indicator Data'!F121="x","x",IF(B124="Regional crisis",('Crisis Indicator Data'!F121/VLOOKUP('Impact of the crisis'!$C124,'Regional Crises'!$B$1:$R$66,4,FALSE)),'Crisis Indicator Data'!F121/VLOOKUP('Impact of the crisis'!$E124,'Country Indicator Data'!$B$4:$P$194,15,FALSE)))</f>
        <v>6.313131313131313E-3</v>
      </c>
      <c r="H124" s="167">
        <f t="shared" si="16"/>
        <v>0</v>
      </c>
      <c r="I124" s="167">
        <f t="shared" si="29"/>
        <v>1</v>
      </c>
      <c r="J124" s="167">
        <f>IF('Crisis Indicator Data'!G121="x","x",IF(LOG('Crisis Indicator Data'!G121)&lt;J$4,0,IF(LOG('Crisis Indicator Data'!G121)&gt;J$3,5,ROUND(5-(J$3-LOG('Crisis Indicator Data'!G121))/(J$3-J$4)*5,1))))</f>
        <v>0.4</v>
      </c>
      <c r="K124" s="188">
        <f>IF('Crisis Indicator Data'!G121="x","x",IF(B124="Regional crisis",('Crisis Indicator Data'!G121/VLOOKUP('Impact of the crisis'!$C124,'Regional Crises'!$B$1:$R$66,5,FALSE)),'Crisis Indicator Data'!G121/VLOOKUP('Impact of the crisis'!$E124,'Country Indicator Data'!$B$4:$P$194,14,FALSE)))</f>
        <v>3.0837209302325582E-2</v>
      </c>
      <c r="L124" s="167">
        <f t="shared" si="17"/>
        <v>0.1</v>
      </c>
      <c r="M124" s="167">
        <f t="shared" si="30"/>
        <v>0.25</v>
      </c>
      <c r="N124" s="167">
        <f t="shared" si="18"/>
        <v>0.6</v>
      </c>
      <c r="O124" s="167">
        <f>IF('Crisis Indicator Data'!H121="x","x",IF('Crisis Indicator Data'!H121=0,0,IF(LOG('Crisis Indicator Data'!H121)&lt;O$4,0,IF(LOG('Crisis Indicator Data'!H121)&gt;O$3,5,ROUND(5-(O$3-LOG('Crisis Indicator Data'!H121))/(O$3-O$4)*5,1)))))</f>
        <v>2.7</v>
      </c>
      <c r="P124" s="185">
        <f>IF('Crisis Indicator Data'!H121="x","x",'Crisis Indicator Data'!H121/'Crisis Indicator Data'!G121)</f>
        <v>1</v>
      </c>
      <c r="Q124" s="167">
        <f t="shared" si="19"/>
        <v>5</v>
      </c>
      <c r="R124" s="167">
        <f t="shared" si="31"/>
        <v>3.85</v>
      </c>
      <c r="S124" s="167">
        <f>IF('Crisis Indicator Data'!I121="x","x",IF('Crisis Indicator Data'!I121=0,0,IF(LOG('Crisis Indicator Data'!I121)&lt;S$4,0,IF(LOG('Crisis Indicator Data'!I121)&gt;S$3,5,ROUND(5-(S$3-LOG('Crisis Indicator Data'!I121))/(S$3-S$4)*5,1)))))</f>
        <v>4.3</v>
      </c>
      <c r="T124" s="185">
        <f>IF('Crisis Indicator Data'!H121="x","x",IF('Crisis Indicator Data'!I121="x","x",'Crisis Indicator Data'!I121/'Crisis Indicator Data'!H121))</f>
        <v>0.82956259426847667</v>
      </c>
      <c r="U124" s="167">
        <f t="shared" si="20"/>
        <v>5</v>
      </c>
      <c r="V124" s="167">
        <f t="shared" si="21"/>
        <v>4.7</v>
      </c>
      <c r="W124" s="167" t="str">
        <f>IF('Crisis Indicator Data'!L121="x","x",IF('Crisis Indicator Data'!L121=0,0,IF(LOG('Crisis Indicator Data'!L121)&lt;W$4,0,IF(LOG('Crisis Indicator Data'!L121)&gt;W$3,5,ROUND(5-(W$3-LOG('Crisis Indicator Data'!L121))/(W$3-W$4)*5,1)))))</f>
        <v>x</v>
      </c>
      <c r="X124" s="186" t="str">
        <f>IF(OR('Crisis Indicator Data'!L121="x",'Crisis Indicator Data'!H121="x"),"x",'Crisis Indicator Data'!L121/'Crisis Indicator Data'!H121)</f>
        <v>x</v>
      </c>
      <c r="Y124" s="167" t="str">
        <f t="shared" si="22"/>
        <v>x</v>
      </c>
      <c r="Z124" s="167" t="str">
        <f t="shared" si="23"/>
        <v>x</v>
      </c>
      <c r="AA124" s="167">
        <f t="shared" si="24"/>
        <v>4.7</v>
      </c>
      <c r="AB124" s="187">
        <f t="shared" si="25"/>
        <v>4.3</v>
      </c>
    </row>
    <row r="125" spans="1:28" x14ac:dyDescent="0.3">
      <c r="A125" s="194" t="str">
        <f>'Crisis Indicator Data'!A122</f>
        <v xml:space="preserve">Floods in Sudan </v>
      </c>
      <c r="B125" s="195" t="str">
        <f>'Crisis Indicator Data'!B122</f>
        <v>Flood</v>
      </c>
      <c r="C125" s="195" t="str">
        <f>'Crisis Indicator Data'!C122</f>
        <v>SDN006</v>
      </c>
      <c r="D125" s="195" t="str">
        <f>'Crisis Indicator Data'!D122</f>
        <v>Sudan</v>
      </c>
      <c r="E125" s="196" t="str">
        <f>'Crisis Indicator Data'!E122</f>
        <v>SDN</v>
      </c>
      <c r="F125" s="190">
        <f>IF('Crisis Indicator Data'!F122="x","x",IF(LOG('Crisis Indicator Data'!F122)&lt;F$4,0,IF(LOG('Crisis Indicator Data'!F122)&gt;F$3,5,ROUND(5-(F$3-LOG('Crisis Indicator Data'!F122))/(F$3-F$4)*5,1))))</f>
        <v>5</v>
      </c>
      <c r="G125" s="188">
        <f>IF('Crisis Indicator Data'!F122="x","x",IF(B125="Regional crisis",('Crisis Indicator Data'!F122/VLOOKUP('Impact of the crisis'!$C125,'Regional Crises'!$B$1:$R$66,4,FALSE)),'Crisis Indicator Data'!F122/VLOOKUP('Impact of the crisis'!$E125,'Country Indicator Data'!$B$4:$P$194,15,FALSE)))</f>
        <v>0.77469991582491582</v>
      </c>
      <c r="H125" s="167">
        <f t="shared" si="16"/>
        <v>3.9</v>
      </c>
      <c r="I125" s="167">
        <f t="shared" si="29"/>
        <v>4.45</v>
      </c>
      <c r="J125" s="167">
        <f>IF('Crisis Indicator Data'!G122="x","x",IF(LOG('Crisis Indicator Data'!G122)&lt;J$4,0,IF(LOG('Crisis Indicator Data'!G122)&gt;J$3,5,ROUND(5-(J$3-LOG('Crisis Indicator Data'!G122))/(J$3-J$4)*5,1))))</f>
        <v>5</v>
      </c>
      <c r="K125" s="188">
        <f>IF('Crisis Indicator Data'!G122="x","x",IF(B125="Regional crisis",('Crisis Indicator Data'!G122/VLOOKUP('Impact of the crisis'!$C125,'Regional Crises'!$B$1:$R$66,5,FALSE)),'Crisis Indicator Data'!G122/VLOOKUP('Impact of the crisis'!$E125,'Country Indicator Data'!$B$4:$P$194,14,FALSE)))</f>
        <v>1</v>
      </c>
      <c r="L125" s="167">
        <f t="shared" si="17"/>
        <v>5</v>
      </c>
      <c r="M125" s="167">
        <f t="shared" si="30"/>
        <v>5</v>
      </c>
      <c r="N125" s="167">
        <f t="shared" si="18"/>
        <v>4.8</v>
      </c>
      <c r="O125" s="167">
        <f>IF('Crisis Indicator Data'!H122="x","x",IF('Crisis Indicator Data'!H122=0,0,IF(LOG('Crisis Indicator Data'!H122)&lt;O$4,0,IF(LOG('Crisis Indicator Data'!H122)&gt;O$3,5,ROUND(5-(O$3-LOG('Crisis Indicator Data'!H122))/(O$3-O$4)*5,1)))))</f>
        <v>2.4</v>
      </c>
      <c r="P125" s="185">
        <f>IF('Crisis Indicator Data'!H122="x","x",'Crisis Indicator Data'!H122/'Crisis Indicator Data'!G122)</f>
        <v>2.0348837209302327E-2</v>
      </c>
      <c r="Q125" s="167">
        <f t="shared" si="19"/>
        <v>0.1</v>
      </c>
      <c r="R125" s="167">
        <f t="shared" si="31"/>
        <v>1.25</v>
      </c>
      <c r="S125" s="167">
        <f>IF('Crisis Indicator Data'!I122="x","x",IF('Crisis Indicator Data'!I122=0,0,IF(LOG('Crisis Indicator Data'!I122)&lt;S$4,0,IF(LOG('Crisis Indicator Data'!I122)&gt;S$3,5,ROUND(5-(S$3-LOG('Crisis Indicator Data'!I122))/(S$3-S$4)*5,1)))))</f>
        <v>3.8</v>
      </c>
      <c r="T125" s="185">
        <f>IF('Crisis Indicator Data'!H122="x","x",IF('Crisis Indicator Data'!I122="x","x",'Crisis Indicator Data'!I122/'Crisis Indicator Data'!H122))</f>
        <v>0.5485714285714286</v>
      </c>
      <c r="U125" s="167">
        <f t="shared" si="20"/>
        <v>5</v>
      </c>
      <c r="V125" s="167">
        <f t="shared" si="21"/>
        <v>4.4000000000000004</v>
      </c>
      <c r="W125" s="167">
        <f>IF('Crisis Indicator Data'!L122="x","x",IF('Crisis Indicator Data'!L122=0,0,IF(LOG('Crisis Indicator Data'!L122)&lt;W$4,0,IF(LOG('Crisis Indicator Data'!L122)&gt;W$3,5,ROUND(5-(W$3-LOG('Crisis Indicator Data'!L122))/(W$3-W$4)*5,1)))))</f>
        <v>3.1</v>
      </c>
      <c r="X125" s="186">
        <f>IF(OR('Crisis Indicator Data'!L122="x",'Crisis Indicator Data'!H122="x"),"x",'Crisis Indicator Data'!L122/'Crisis Indicator Data'!H122)</f>
        <v>1.7714285714285713E-4</v>
      </c>
      <c r="Y125" s="167">
        <f t="shared" si="22"/>
        <v>5</v>
      </c>
      <c r="Z125" s="167">
        <f t="shared" si="23"/>
        <v>4.0999999999999996</v>
      </c>
      <c r="AA125" s="167">
        <f t="shared" si="24"/>
        <v>4.3</v>
      </c>
      <c r="AB125" s="187">
        <f t="shared" si="25"/>
        <v>3.1</v>
      </c>
    </row>
    <row r="126" spans="1:28" x14ac:dyDescent="0.3">
      <c r="A126" s="194" t="str">
        <f>'Crisis Indicator Data'!A123</f>
        <v>Syrian conflict</v>
      </c>
      <c r="B126" s="195" t="str">
        <f>'Crisis Indicator Data'!B123</f>
        <v>Complex crisis</v>
      </c>
      <c r="C126" s="195" t="str">
        <f>'Crisis Indicator Data'!C123</f>
        <v>SYR001</v>
      </c>
      <c r="D126" s="195" t="str">
        <f>'Crisis Indicator Data'!D123</f>
        <v>Syria</v>
      </c>
      <c r="E126" s="196" t="str">
        <f>'Crisis Indicator Data'!E123</f>
        <v>SYR</v>
      </c>
      <c r="F126" s="190">
        <f>IF('Crisis Indicator Data'!F123="x","x",IF(LOG('Crisis Indicator Data'!F123)&lt;F$4,0,IF(LOG('Crisis Indicator Data'!F123)&gt;F$3,5,ROUND(5-(F$3-LOG('Crisis Indicator Data'!F123))/(F$3-F$4)*5,1))))</f>
        <v>3.8</v>
      </c>
      <c r="G126" s="188">
        <f>IF('Crisis Indicator Data'!F123="x","x",IF(B126="Regional crisis",('Crisis Indicator Data'!F123/VLOOKUP('Impact of the crisis'!$C126,'Regional Crises'!$B$1:$R$66,4,FALSE)),'Crisis Indicator Data'!F123/VLOOKUP('Impact of the crisis'!$E126,'Country Indicator Data'!$B$4:$P$194,15,FALSE)))</f>
        <v>1</v>
      </c>
      <c r="H126" s="167">
        <f t="shared" si="16"/>
        <v>5</v>
      </c>
      <c r="I126" s="167">
        <f t="shared" si="29"/>
        <v>4.4000000000000004</v>
      </c>
      <c r="J126" s="167">
        <f>IF('Crisis Indicator Data'!G123="x","x",IF(LOG('Crisis Indicator Data'!G123)&lt;J$4,0,IF(LOG('Crisis Indicator Data'!G123)&gt;J$3,5,ROUND(5-(J$3-LOG('Crisis Indicator Data'!G123))/(J$3-J$4)*5,1))))</f>
        <v>4.0999999999999996</v>
      </c>
      <c r="K126" s="188">
        <f>IF('Crisis Indicator Data'!G123="x","x",IF(B126="Regional crisis",('Crisis Indicator Data'!G123/VLOOKUP('Impact of the crisis'!$C126,'Regional Crises'!$B$1:$R$66,5,FALSE)),'Crisis Indicator Data'!G123/VLOOKUP('Impact of the crisis'!$E126,'Country Indicator Data'!$B$4:$P$194,14,FALSE)))</f>
        <v>1</v>
      </c>
      <c r="L126" s="167">
        <f t="shared" si="17"/>
        <v>5</v>
      </c>
      <c r="M126" s="167">
        <f t="shared" si="30"/>
        <v>4.55</v>
      </c>
      <c r="N126" s="167">
        <f t="shared" si="18"/>
        <v>4.5</v>
      </c>
      <c r="O126" s="167">
        <f>IF('Crisis Indicator Data'!H123="x","x",IF('Crisis Indicator Data'!H123=0,0,IF(LOG('Crisis Indicator Data'!H123)&lt;O$4,0,IF(LOG('Crisis Indicator Data'!H123)&gt;O$3,5,ROUND(5-(O$3-LOG('Crisis Indicator Data'!H123))/(O$3-O$4)*5,1)))))</f>
        <v>4.5999999999999996</v>
      </c>
      <c r="P126" s="185">
        <f>IF('Crisis Indicator Data'!H123="x","x",'Crisis Indicator Data'!H123/'Crisis Indicator Data'!G123)</f>
        <v>1</v>
      </c>
      <c r="Q126" s="167">
        <f t="shared" si="19"/>
        <v>5</v>
      </c>
      <c r="R126" s="167">
        <f t="shared" si="31"/>
        <v>4.8</v>
      </c>
      <c r="S126" s="167">
        <f>IF('Crisis Indicator Data'!I123="x","x",IF('Crisis Indicator Data'!I123=0,0,IF(LOG('Crisis Indicator Data'!I123)&lt;S$4,0,IF(LOG('Crisis Indicator Data'!I123)&gt;S$3,5,ROUND(5-(S$3-LOG('Crisis Indicator Data'!I123))/(S$3-S$4)*5,1)))))</f>
        <v>5</v>
      </c>
      <c r="T126" s="185">
        <f>IF('Crisis Indicator Data'!H123="x","x",IF('Crisis Indicator Data'!I123="x","x",'Crisis Indicator Data'!I123/'Crisis Indicator Data'!H123))</f>
        <v>0.71880492091388404</v>
      </c>
      <c r="U126" s="167">
        <f t="shared" si="20"/>
        <v>5</v>
      </c>
      <c r="V126" s="167">
        <f t="shared" si="21"/>
        <v>5</v>
      </c>
      <c r="W126" s="167">
        <f>IF('Crisis Indicator Data'!L123="x","x",IF('Crisis Indicator Data'!L123=0,0,IF(LOG('Crisis Indicator Data'!L123)&lt;W$4,0,IF(LOG('Crisis Indicator Data'!L123)&gt;W$3,5,ROUND(5-(W$3-LOG('Crisis Indicator Data'!L123))/(W$3-W$4)*5,1)))))</f>
        <v>4.9000000000000004</v>
      </c>
      <c r="X126" s="186">
        <f>IF(OR('Crisis Indicator Data'!L123="x",'Crisis Indicator Data'!H123="x"),"x",'Crisis Indicator Data'!L123/'Crisis Indicator Data'!H123)</f>
        <v>1.6912712360867018E-4</v>
      </c>
      <c r="Y126" s="167">
        <f t="shared" si="22"/>
        <v>5</v>
      </c>
      <c r="Z126" s="167">
        <f t="shared" si="23"/>
        <v>5</v>
      </c>
      <c r="AA126" s="167">
        <f t="shared" si="24"/>
        <v>5</v>
      </c>
      <c r="AB126" s="187">
        <f t="shared" si="25"/>
        <v>4.9000000000000004</v>
      </c>
    </row>
    <row r="127" spans="1:28" x14ac:dyDescent="0.3">
      <c r="A127" s="194" t="str">
        <f>'Crisis Indicator Data'!A124</f>
        <v>Syrian Regional Crisis</v>
      </c>
      <c r="B127" s="195" t="str">
        <f>'Crisis Indicator Data'!B124</f>
        <v>Regional crisis</v>
      </c>
      <c r="C127" s="195" t="str">
        <f>'Crisis Indicator Data'!C124</f>
        <v>REG004</v>
      </c>
      <c r="D127" s="195" t="str">
        <f>'Crisis Indicator Data'!D124</f>
        <v>Syria, Turkey, Iraq, Egypt, Jordan, Lebanon</v>
      </c>
      <c r="E127" s="196" t="str">
        <f>'Crisis Indicator Data'!E124</f>
        <v>SYR, TUR, IRQ, EGY, JOR, LBN</v>
      </c>
      <c r="F127" s="190">
        <f>IF('Crisis Indicator Data'!F124="x","x",IF(LOG('Crisis Indicator Data'!F124)&lt;F$4,0,IF(LOG('Crisis Indicator Data'!F124)&gt;F$3,5,ROUND(5-(F$3-LOG('Crisis Indicator Data'!F124))/(F$3-F$4)*5,1))))</f>
        <v>4.5</v>
      </c>
      <c r="G127" s="188">
        <f>IF('Crisis Indicator Data'!F124="x","x",IF(B127="Regional crisis",('Crisis Indicator Data'!F124/VLOOKUP('Impact of the crisis'!$C127,'Regional Crises'!$B$1:$R$66,4,FALSE)),'Crisis Indicator Data'!F124/VLOOKUP('Impact of the crisis'!$E127,'Country Indicator Data'!$B$4:$P$194,15,FALSE)))</f>
        <v>0.2003973344506938</v>
      </c>
      <c r="H127" s="167">
        <f t="shared" si="16"/>
        <v>0.9</v>
      </c>
      <c r="I127" s="167">
        <f t="shared" si="29"/>
        <v>2.7</v>
      </c>
      <c r="J127" s="167">
        <f>IF('Crisis Indicator Data'!G124="x","x",IF(LOG('Crisis Indicator Data'!G124)&lt;J$4,0,IF(LOG('Crisis Indicator Data'!G124)&gt;J$3,5,ROUND(5-(J$3-LOG('Crisis Indicator Data'!G124))/(J$3-J$4)*5,1))))</f>
        <v>5</v>
      </c>
      <c r="K127" s="188">
        <f>IF('Crisis Indicator Data'!G124="x","x",IF(B127="Regional crisis",('Crisis Indicator Data'!G124/VLOOKUP('Impact of the crisis'!$C127,'Regional Crises'!$B$1:$R$66,5,FALSE)),'Crisis Indicator Data'!G124/VLOOKUP('Impact of the crisis'!$E127,'Country Indicator Data'!$B$4:$P$194,14,FALSE)))</f>
        <v>0.37632656274602427</v>
      </c>
      <c r="L127" s="167">
        <f t="shared" si="17"/>
        <v>1.9</v>
      </c>
      <c r="M127" s="167">
        <f t="shared" si="30"/>
        <v>3.45</v>
      </c>
      <c r="N127" s="167">
        <f t="shared" si="18"/>
        <v>3.1</v>
      </c>
      <c r="O127" s="167">
        <f>IF('Crisis Indicator Data'!H124="x","x",IF('Crisis Indicator Data'!H124=0,0,IF(LOG('Crisis Indicator Data'!H124)&lt;O$4,0,IF(LOG('Crisis Indicator Data'!H124)&gt;O$3,5,ROUND(5-(O$3-LOG('Crisis Indicator Data'!H124))/(O$3-O$4)*5,1)))))</f>
        <v>4.9000000000000004</v>
      </c>
      <c r="P127" s="185">
        <f>IF('Crisis Indicator Data'!H124="x","x",'Crisis Indicator Data'!H124/'Crisis Indicator Data'!G124)</f>
        <v>0.30007740423840507</v>
      </c>
      <c r="Q127" s="167">
        <f t="shared" si="19"/>
        <v>1.5</v>
      </c>
      <c r="R127" s="167">
        <f t="shared" si="31"/>
        <v>3.2</v>
      </c>
      <c r="S127" s="167">
        <f>IF('Crisis Indicator Data'!I124="x","x",IF('Crisis Indicator Data'!I124=0,0,IF(LOG('Crisis Indicator Data'!I124)&lt;S$4,0,IF(LOG('Crisis Indicator Data'!I124)&gt;S$3,5,ROUND(5-(S$3-LOG('Crisis Indicator Data'!I124))/(S$3-S$4)*5,1)))))</f>
        <v>5</v>
      </c>
      <c r="T127" s="185">
        <f>IF('Crisis Indicator Data'!H124="x","x",IF('Crisis Indicator Data'!I124="x","x",'Crisis Indicator Data'!I124/'Crisis Indicator Data'!H124))</f>
        <v>0.42746095928611266</v>
      </c>
      <c r="U127" s="167">
        <f t="shared" si="20"/>
        <v>5</v>
      </c>
      <c r="V127" s="167">
        <f t="shared" si="21"/>
        <v>5</v>
      </c>
      <c r="W127" s="167">
        <f>IF('Crisis Indicator Data'!L124="x","x",IF('Crisis Indicator Data'!L124=0,0,IF(LOG('Crisis Indicator Data'!L124)&lt;W$4,0,IF(LOG('Crisis Indicator Data'!L124)&gt;W$3,5,ROUND(5-(W$3-LOG('Crisis Indicator Data'!L124))/(W$3-W$4)*5,1)))))</f>
        <v>5</v>
      </c>
      <c r="X127" s="186">
        <f>IF(OR('Crisis Indicator Data'!L124="x",'Crisis Indicator Data'!H124="x"),"x",'Crisis Indicator Data'!L124/'Crisis Indicator Data'!H124)</f>
        <v>1.0586307863915226E-4</v>
      </c>
      <c r="Y127" s="167">
        <f t="shared" si="22"/>
        <v>5</v>
      </c>
      <c r="Z127" s="167">
        <f t="shared" si="23"/>
        <v>5</v>
      </c>
      <c r="AA127" s="167">
        <f t="shared" si="24"/>
        <v>5</v>
      </c>
      <c r="AB127" s="187">
        <f t="shared" si="25"/>
        <v>4.3</v>
      </c>
    </row>
    <row r="128" spans="1:28" x14ac:dyDescent="0.3">
      <c r="A128" s="194" t="str">
        <f>'Crisis Indicator Data'!A125</f>
        <v>International Displacement in Tanzania</v>
      </c>
      <c r="B128" s="195" t="str">
        <f>'Crisis Indicator Data'!B125</f>
        <v>International displacement</v>
      </c>
      <c r="C128" s="195" t="str">
        <f>'Crisis Indicator Data'!C125</f>
        <v>TZA002</v>
      </c>
      <c r="D128" s="195" t="str">
        <f>'Crisis Indicator Data'!D125</f>
        <v>Tanzania</v>
      </c>
      <c r="E128" s="196" t="str">
        <f>'Crisis Indicator Data'!E125</f>
        <v>TZA</v>
      </c>
      <c r="F128" s="190">
        <f>IF('Crisis Indicator Data'!F125="x","x",IF(LOG('Crisis Indicator Data'!F125)&lt;F$4,0,IF(LOG('Crisis Indicator Data'!F125)&gt;F$3,5,ROUND(5-(F$3-LOG('Crisis Indicator Data'!F125))/(F$3-F$4)*5,1))))</f>
        <v>3.8</v>
      </c>
      <c r="G128" s="188">
        <f>IF('Crisis Indicator Data'!F125="x","x",IF(B128="Regional crisis",('Crisis Indicator Data'!F125/VLOOKUP('Impact of the crisis'!$C128,'Regional Crises'!$B$1:$R$66,4,FALSE)),'Crisis Indicator Data'!F125/VLOOKUP('Impact of the crisis'!$E128,'Country Indicator Data'!$B$4:$P$194,15,FALSE)))</f>
        <v>0.21110860239331677</v>
      </c>
      <c r="H128" s="167">
        <f t="shared" si="16"/>
        <v>1</v>
      </c>
      <c r="I128" s="167">
        <f t="shared" si="29"/>
        <v>2.4</v>
      </c>
      <c r="J128" s="167">
        <f>IF('Crisis Indicator Data'!G125="x","x",IF(LOG('Crisis Indicator Data'!G125)&lt;J$4,0,IF(LOG('Crisis Indicator Data'!G125)&gt;J$3,5,ROUND(5-(J$3-LOG('Crisis Indicator Data'!G125))/(J$3-J$4)*5,1))))</f>
        <v>3.5</v>
      </c>
      <c r="K128" s="188">
        <f>IF('Crisis Indicator Data'!G125="x","x",IF(B128="Regional crisis",('Crisis Indicator Data'!G125/VLOOKUP('Impact of the crisis'!$C128,'Regional Crises'!$B$1:$R$66,5,FALSE)),'Crisis Indicator Data'!G125/VLOOKUP('Impact of the crisis'!$E128,'Country Indicator Data'!$B$4:$P$194,14,FALSE)))</f>
        <v>0.19627618308766487</v>
      </c>
      <c r="L128" s="167">
        <f t="shared" si="17"/>
        <v>0.9</v>
      </c>
      <c r="M128" s="167">
        <f t="shared" si="30"/>
        <v>2.2000000000000002</v>
      </c>
      <c r="N128" s="167">
        <f t="shared" si="18"/>
        <v>2.2999999999999998</v>
      </c>
      <c r="O128" s="167">
        <f>IF('Crisis Indicator Data'!H125="x","x",IF('Crisis Indicator Data'!H125=0,0,IF(LOG('Crisis Indicator Data'!H125)&lt;O$4,0,IF(LOG('Crisis Indicator Data'!H125)&gt;O$3,5,ROUND(5-(O$3-LOG('Crisis Indicator Data'!H125))/(O$3-O$4)*5,1)))))</f>
        <v>1.6</v>
      </c>
      <c r="P128" s="185">
        <f>IF('Crisis Indicator Data'!H125="x","x",'Crisis Indicator Data'!H125/'Crisis Indicator Data'!G125)</f>
        <v>2.4242424242424242E-2</v>
      </c>
      <c r="Q128" s="167">
        <f t="shared" si="19"/>
        <v>0.1</v>
      </c>
      <c r="R128" s="167">
        <f t="shared" si="31"/>
        <v>0.85000000000000009</v>
      </c>
      <c r="S128" s="167">
        <f>IF('Crisis Indicator Data'!I125="x","x",IF('Crisis Indicator Data'!I125=0,0,IF(LOG('Crisis Indicator Data'!I125)&lt;S$4,0,IF(LOG('Crisis Indicator Data'!I125)&gt;S$3,5,ROUND(5-(S$3-LOG('Crisis Indicator Data'!I125))/(S$3-S$4)*5,1)))))</f>
        <v>3.5</v>
      </c>
      <c r="T128" s="185">
        <f>IF('Crisis Indicator Data'!H125="x","x",IF('Crisis Indicator Data'!I125="x","x",'Crisis Indicator Data'!I125/'Crisis Indicator Data'!H125))</f>
        <v>1</v>
      </c>
      <c r="U128" s="167">
        <f t="shared" si="20"/>
        <v>5</v>
      </c>
      <c r="V128" s="167">
        <f t="shared" si="21"/>
        <v>4.3</v>
      </c>
      <c r="W128" s="167">
        <f>IF('Crisis Indicator Data'!L125="x","x",IF('Crisis Indicator Data'!L125=0,0,IF(LOG('Crisis Indicator Data'!L125)&lt;W$4,0,IF(LOG('Crisis Indicator Data'!L125)&gt;W$3,5,ROUND(5-(W$3-LOG('Crisis Indicator Data'!L125))/(W$3-W$4)*5,1)))))</f>
        <v>0</v>
      </c>
      <c r="X128" s="186">
        <f>IF(OR('Crisis Indicator Data'!L125="x",'Crisis Indicator Data'!H125="x"),"x",'Crisis Indicator Data'!L125/'Crisis Indicator Data'!H125)</f>
        <v>0</v>
      </c>
      <c r="Y128" s="167">
        <f t="shared" si="22"/>
        <v>0</v>
      </c>
      <c r="Z128" s="167">
        <f t="shared" si="23"/>
        <v>0</v>
      </c>
      <c r="AA128" s="167">
        <f t="shared" si="24"/>
        <v>2.8</v>
      </c>
      <c r="AB128" s="187">
        <f t="shared" si="25"/>
        <v>1.9</v>
      </c>
    </row>
    <row r="129" spans="1:28" x14ac:dyDescent="0.3">
      <c r="A129" s="194" t="str">
        <f>'Crisis Indicator Data'!A126</f>
        <v>Multiple situations in Thailand</v>
      </c>
      <c r="B129" s="195" t="str">
        <f>'Crisis Indicator Data'!B126</f>
        <v>Multiple crises country</v>
      </c>
      <c r="C129" s="195" t="str">
        <f>'Crisis Indicator Data'!C126</f>
        <v>THA001</v>
      </c>
      <c r="D129" s="195" t="str">
        <f>'Crisis Indicator Data'!D126</f>
        <v>Thailand</v>
      </c>
      <c r="E129" s="196" t="str">
        <f>'Crisis Indicator Data'!E126</f>
        <v>THA</v>
      </c>
      <c r="F129" s="190">
        <f>IF('Crisis Indicator Data'!F126="x","x",IF(LOG('Crisis Indicator Data'!F126)&lt;F$4,0,IF(LOG('Crisis Indicator Data'!F126)&gt;F$3,5,ROUND(5-(F$3-LOG('Crisis Indicator Data'!F126))/(F$3-F$4)*5,1))))</f>
        <v>2.5</v>
      </c>
      <c r="G129" s="188">
        <f>IF('Crisis Indicator Data'!F126="x","x",IF(B129="Regional crisis",('Crisis Indicator Data'!F126/VLOOKUP('Impact of the crisis'!$C129,'Regional Crises'!$B$1:$R$66,4,FALSE)),'Crisis Indicator Data'!F126/VLOOKUP('Impact of the crisis'!$E129,'Country Indicator Data'!$B$4:$P$194,15,FALSE)))</f>
        <v>5.9390475444811998E-2</v>
      </c>
      <c r="H129" s="167">
        <f t="shared" si="16"/>
        <v>0.2</v>
      </c>
      <c r="I129" s="167">
        <f t="shared" si="29"/>
        <v>1.35</v>
      </c>
      <c r="J129" s="167">
        <f>IF('Crisis Indicator Data'!G126="x","x",IF(LOG('Crisis Indicator Data'!G126)&lt;J$4,0,IF(LOG('Crisis Indicator Data'!G126)&gt;J$3,5,ROUND(5-(J$3-LOG('Crisis Indicator Data'!G126))/(J$3-J$4)*5,1))))</f>
        <v>1.8</v>
      </c>
      <c r="K129" s="188">
        <f>IF('Crisis Indicator Data'!G126="x","x",IF(B129="Regional crisis",('Crisis Indicator Data'!G126/VLOOKUP('Impact of the crisis'!$C129,'Regional Crises'!$B$1:$R$66,5,FALSE)),'Crisis Indicator Data'!G126/VLOOKUP('Impact of the crisis'!$E129,'Country Indicator Data'!$B$4:$P$194,14,FALSE)))</f>
        <v>5.3658094071755792E-2</v>
      </c>
      <c r="L129" s="167">
        <f t="shared" si="17"/>
        <v>0.2</v>
      </c>
      <c r="M129" s="167">
        <f t="shared" si="30"/>
        <v>1</v>
      </c>
      <c r="N129" s="167">
        <f t="shared" si="18"/>
        <v>1.2</v>
      </c>
      <c r="O129" s="167">
        <f>IF('Crisis Indicator Data'!H126="x","x",IF('Crisis Indicator Data'!H126=0,0,IF(LOG('Crisis Indicator Data'!H126)&lt;O$4,0,IF(LOG('Crisis Indicator Data'!H126)&gt;O$3,5,ROUND(5-(O$3-LOG('Crisis Indicator Data'!H126))/(O$3-O$4)*5,1)))))</f>
        <v>3.4</v>
      </c>
      <c r="P129" s="185">
        <f>IF('Crisis Indicator Data'!H126="x","x",'Crisis Indicator Data'!H126/'Crisis Indicator Data'!G126)</f>
        <v>1</v>
      </c>
      <c r="Q129" s="167">
        <f t="shared" si="19"/>
        <v>5</v>
      </c>
      <c r="R129" s="167">
        <f t="shared" si="31"/>
        <v>4.2</v>
      </c>
      <c r="S129" s="167">
        <f>IF('Crisis Indicator Data'!I126="x","x",IF('Crisis Indicator Data'!I126=0,0,IF(LOG('Crisis Indicator Data'!I126)&lt;S$4,0,IF(LOG('Crisis Indicator Data'!I126)&gt;S$3,5,ROUND(5-(S$3-LOG('Crisis Indicator Data'!I126))/(S$3-S$4)*5,1)))))</f>
        <v>2.8</v>
      </c>
      <c r="T129" s="185">
        <f>IF('Crisis Indicator Data'!H126="x","x",IF('Crisis Indicator Data'!I126="x","x",'Crisis Indicator Data'!I126/'Crisis Indicator Data'!H126))</f>
        <v>2.5922795153564385E-2</v>
      </c>
      <c r="U129" s="167">
        <f t="shared" si="20"/>
        <v>0.9</v>
      </c>
      <c r="V129" s="167">
        <f t="shared" si="21"/>
        <v>1.9</v>
      </c>
      <c r="W129" s="167">
        <f>IF('Crisis Indicator Data'!L126="x","x",IF('Crisis Indicator Data'!L126=0,0,IF(LOG('Crisis Indicator Data'!L126)&lt;W$4,0,IF(LOG('Crisis Indicator Data'!L126)&gt;W$3,5,ROUND(5-(W$3-LOG('Crisis Indicator Data'!L126))/(W$3-W$4)*5,1)))))</f>
        <v>2.4</v>
      </c>
      <c r="X129" s="186">
        <f>IF(OR('Crisis Indicator Data'!L126="x",'Crisis Indicator Data'!H126="x"),"x",'Crisis Indicator Data'!L126/'Crisis Indicator Data'!H126)</f>
        <v>1.3806706114398423E-5</v>
      </c>
      <c r="Y129" s="167">
        <f t="shared" si="22"/>
        <v>0.7</v>
      </c>
      <c r="Z129" s="167">
        <f t="shared" si="23"/>
        <v>1.6</v>
      </c>
      <c r="AA129" s="167">
        <f t="shared" si="24"/>
        <v>1.8</v>
      </c>
      <c r="AB129" s="187">
        <f t="shared" si="25"/>
        <v>3.2</v>
      </c>
    </row>
    <row r="130" spans="1:28" x14ac:dyDescent="0.3">
      <c r="A130" s="194" t="str">
        <f>'Crisis Indicator Data'!A127</f>
        <v xml:space="preserve">Conflict in southern Thailand </v>
      </c>
      <c r="B130" s="195" t="str">
        <f>'Crisis Indicator Data'!B127</f>
        <v>Conflict</v>
      </c>
      <c r="C130" s="195" t="str">
        <f>'Crisis Indicator Data'!C127</f>
        <v>THA002</v>
      </c>
      <c r="D130" s="195" t="str">
        <f>'Crisis Indicator Data'!D127</f>
        <v>Thailand</v>
      </c>
      <c r="E130" s="196" t="str">
        <f>'Crisis Indicator Data'!E127</f>
        <v>THA</v>
      </c>
      <c r="F130" s="190">
        <f>IF('Crisis Indicator Data'!F127="x","x",IF(LOG('Crisis Indicator Data'!F127)&lt;F$4,0,IF(LOG('Crisis Indicator Data'!F127)&gt;F$3,5,ROUND(5-(F$3-LOG('Crisis Indicator Data'!F127))/(F$3-F$4)*5,1))))</f>
        <v>2.1</v>
      </c>
      <c r="G130" s="188">
        <f>IF('Crisis Indicator Data'!F127="x","x",IF(B130="Regional crisis",('Crisis Indicator Data'!F127/VLOOKUP('Impact of the crisis'!$C130,'Regional Crises'!$B$1:$R$66,4,FALSE)),'Crisis Indicator Data'!F127/VLOOKUP('Impact of the crisis'!$E130,'Country Indicator Data'!$B$4:$P$194,15,FALSE)))</f>
        <v>3.5878564857405704E-2</v>
      </c>
      <c r="H130" s="167">
        <f t="shared" si="16"/>
        <v>0.1</v>
      </c>
      <c r="I130" s="167">
        <f t="shared" si="29"/>
        <v>1.1000000000000001</v>
      </c>
      <c r="J130" s="167">
        <f>IF('Crisis Indicator Data'!G127="x","x",IF(LOG('Crisis Indicator Data'!G127)&lt;J$4,0,IF(LOG('Crisis Indicator Data'!G127)&gt;J$3,5,ROUND(5-(J$3-LOG('Crisis Indicator Data'!G127))/(J$3-J$4)*5,1))))</f>
        <v>1.8</v>
      </c>
      <c r="K130" s="188">
        <f>IF('Crisis Indicator Data'!G127="x","x",IF(B130="Regional crisis",('Crisis Indicator Data'!G127/VLOOKUP('Impact of the crisis'!$C130,'Regional Crises'!$B$1:$R$66,5,FALSE)),'Crisis Indicator Data'!G127/VLOOKUP('Impact of the crisis'!$E130,'Country Indicator Data'!$B$4:$P$194,14,FALSE)))</f>
        <v>5.2282245505813341E-2</v>
      </c>
      <c r="L130" s="167">
        <f t="shared" si="17"/>
        <v>0.2</v>
      </c>
      <c r="M130" s="167">
        <f t="shared" si="30"/>
        <v>1</v>
      </c>
      <c r="N130" s="167">
        <f t="shared" si="18"/>
        <v>1.1000000000000001</v>
      </c>
      <c r="O130" s="167">
        <f>IF('Crisis Indicator Data'!H127="x","x",IF('Crisis Indicator Data'!H127=0,0,IF(LOG('Crisis Indicator Data'!H127)&lt;O$4,0,IF(LOG('Crisis Indicator Data'!H127)&gt;O$3,5,ROUND(5-(O$3-LOG('Crisis Indicator Data'!H127))/(O$3-O$4)*5,1)))))</f>
        <v>3.4</v>
      </c>
      <c r="P130" s="185">
        <f>IF('Crisis Indicator Data'!H127="x","x",'Crisis Indicator Data'!H127/'Crisis Indicator Data'!G127)</f>
        <v>1</v>
      </c>
      <c r="Q130" s="167">
        <f t="shared" si="19"/>
        <v>5</v>
      </c>
      <c r="R130" s="167">
        <f t="shared" si="31"/>
        <v>4.2</v>
      </c>
      <c r="S130" s="167" t="str">
        <f>IF('Crisis Indicator Data'!I127="x","x",IF('Crisis Indicator Data'!I127=0,0,IF(LOG('Crisis Indicator Data'!I127)&lt;S$4,0,IF(LOG('Crisis Indicator Data'!I127)&gt;S$3,5,ROUND(5-(S$3-LOG('Crisis Indicator Data'!I127))/(S$3-S$4)*5,1)))))</f>
        <v>x</v>
      </c>
      <c r="T130" s="185" t="str">
        <f>IF('Crisis Indicator Data'!H127="x","x",IF('Crisis Indicator Data'!I127="x","x",'Crisis Indicator Data'!I127/'Crisis Indicator Data'!H127))</f>
        <v>x</v>
      </c>
      <c r="U130" s="167" t="str">
        <f t="shared" si="20"/>
        <v>x</v>
      </c>
      <c r="V130" s="167" t="str">
        <f t="shared" si="21"/>
        <v>x</v>
      </c>
      <c r="W130" s="167">
        <f>IF('Crisis Indicator Data'!L127="x","x",IF('Crisis Indicator Data'!L127=0,0,IF(LOG('Crisis Indicator Data'!L127)&lt;W$4,0,IF(LOG('Crisis Indicator Data'!L127)&gt;W$3,5,ROUND(5-(W$3-LOG('Crisis Indicator Data'!L127))/(W$3-W$4)*5,1)))))</f>
        <v>2.4</v>
      </c>
      <c r="X130" s="186">
        <f>IF(OR('Crisis Indicator Data'!L127="x",'Crisis Indicator Data'!H127="x"),"x",'Crisis Indicator Data'!L127/'Crisis Indicator Data'!H127)</f>
        <v>1.4170040485829959E-5</v>
      </c>
      <c r="Y130" s="167">
        <f t="shared" si="22"/>
        <v>0.7</v>
      </c>
      <c r="Z130" s="167">
        <f t="shared" si="23"/>
        <v>1.6</v>
      </c>
      <c r="AA130" s="167">
        <f t="shared" si="24"/>
        <v>1.6</v>
      </c>
      <c r="AB130" s="187">
        <f t="shared" si="25"/>
        <v>3.2</v>
      </c>
    </row>
    <row r="131" spans="1:28" x14ac:dyDescent="0.3">
      <c r="A131" s="194" t="str">
        <f>'Crisis Indicator Data'!A128</f>
        <v>Myanmar refugees in Thailand</v>
      </c>
      <c r="B131" s="195" t="str">
        <f>'Crisis Indicator Data'!B128</f>
        <v>International displacement</v>
      </c>
      <c r="C131" s="195" t="str">
        <f>'Crisis Indicator Data'!C128</f>
        <v>THA003</v>
      </c>
      <c r="D131" s="195" t="str">
        <f>'Crisis Indicator Data'!D128</f>
        <v>Thailand</v>
      </c>
      <c r="E131" s="196" t="str">
        <f>'Crisis Indicator Data'!E128</f>
        <v>THA</v>
      </c>
      <c r="F131" s="190">
        <f>IF('Crisis Indicator Data'!F128="x","x",IF(LOG('Crisis Indicator Data'!F128)&lt;F$4,0,IF(LOG('Crisis Indicator Data'!F128)&gt;F$3,5,ROUND(5-(F$3-LOG('Crisis Indicator Data'!F128))/(F$3-F$4)*5,1))))</f>
        <v>0</v>
      </c>
      <c r="G131" s="188">
        <f>IF('Crisis Indicator Data'!F128="x","x",IF(B131="Regional crisis",('Crisis Indicator Data'!F128/VLOOKUP('Impact of the crisis'!$C131,'Regional Crises'!$B$1:$R$66,4,FALSE)),'Crisis Indicator Data'!F128/VLOOKUP('Impact of the crisis'!$E131,'Country Indicator Data'!$B$4:$P$194,15,FALSE)))</f>
        <v>1.7616316623930788E-5</v>
      </c>
      <c r="H131" s="167">
        <f t="shared" si="16"/>
        <v>0</v>
      </c>
      <c r="I131" s="167">
        <f t="shared" si="29"/>
        <v>0</v>
      </c>
      <c r="J131" s="167">
        <f>IF('Crisis Indicator Data'!G128="x","x",IF(LOG('Crisis Indicator Data'!G128)&lt;J$4,0,IF(LOG('Crisis Indicator Data'!G128)&gt;J$3,5,ROUND(5-(J$3-LOG('Crisis Indicator Data'!G128))/(J$3-J$4)*5,1))))</f>
        <v>0</v>
      </c>
      <c r="K131" s="188">
        <f>IF('Crisis Indicator Data'!G128="x","x",IF(B131="Regional crisis",('Crisis Indicator Data'!G128/VLOOKUP('Impact of the crisis'!$C131,'Regional Crises'!$B$1:$R$66,5,FALSE)),'Crisis Indicator Data'!G128/VLOOKUP('Impact of the crisis'!$E131,'Country Indicator Data'!$B$4:$P$194,14,FALSE)))</f>
        <v>1.3909677809528129E-3</v>
      </c>
      <c r="L131" s="167">
        <f t="shared" si="17"/>
        <v>0</v>
      </c>
      <c r="M131" s="167">
        <f t="shared" si="30"/>
        <v>0</v>
      </c>
      <c r="N131" s="167">
        <f t="shared" si="18"/>
        <v>0</v>
      </c>
      <c r="O131" s="167">
        <f>IF('Crisis Indicator Data'!H128="x","x",IF('Crisis Indicator Data'!H128=0,0,IF(LOG('Crisis Indicator Data'!H128)&lt;O$4,0,IF(LOG('Crisis Indicator Data'!H128)&gt;O$3,5,ROUND(5-(O$3-LOG('Crisis Indicator Data'!H128))/(O$3-O$4)*5,1)))))</f>
        <v>0.8</v>
      </c>
      <c r="P131" s="185">
        <f>IF('Crisis Indicator Data'!H128="x","x",'Crisis Indicator Data'!H128/'Crisis Indicator Data'!G128)</f>
        <v>1</v>
      </c>
      <c r="Q131" s="167">
        <f t="shared" si="19"/>
        <v>5</v>
      </c>
      <c r="R131" s="167">
        <f t="shared" si="31"/>
        <v>2.9</v>
      </c>
      <c r="S131" s="167">
        <f>IF('Crisis Indicator Data'!I128="x","x",IF('Crisis Indicator Data'!I128=0,0,IF(LOG('Crisis Indicator Data'!I128)&lt;S$4,0,IF(LOG('Crisis Indicator Data'!I128)&gt;S$3,5,ROUND(5-(S$3-LOG('Crisis Indicator Data'!I128))/(S$3-S$4)*5,1)))))</f>
        <v>2.8</v>
      </c>
      <c r="T131" s="185">
        <f>IF('Crisis Indicator Data'!H128="x","x",IF('Crisis Indicator Data'!I128="x","x",'Crisis Indicator Data'!I128/'Crisis Indicator Data'!H128))</f>
        <v>1</v>
      </c>
      <c r="U131" s="167">
        <f t="shared" si="20"/>
        <v>5</v>
      </c>
      <c r="V131" s="167">
        <f t="shared" si="21"/>
        <v>3.9</v>
      </c>
      <c r="W131" s="167" t="str">
        <f>IF('Crisis Indicator Data'!L128="x","x",IF('Crisis Indicator Data'!L128=0,0,IF(LOG('Crisis Indicator Data'!L128)&lt;W$4,0,IF(LOG('Crisis Indicator Data'!L128)&gt;W$3,5,ROUND(5-(W$3-LOG('Crisis Indicator Data'!L128))/(W$3-W$4)*5,1)))))</f>
        <v>x</v>
      </c>
      <c r="X131" s="186" t="str">
        <f>IF(OR('Crisis Indicator Data'!L128="x",'Crisis Indicator Data'!H128="x"),"x",'Crisis Indicator Data'!L128/'Crisis Indicator Data'!H128)</f>
        <v>x</v>
      </c>
      <c r="Y131" s="167" t="str">
        <f t="shared" si="22"/>
        <v>x</v>
      </c>
      <c r="Z131" s="167" t="str">
        <f t="shared" si="23"/>
        <v>x</v>
      </c>
      <c r="AA131" s="167">
        <f t="shared" si="24"/>
        <v>3.9</v>
      </c>
      <c r="AB131" s="187">
        <f t="shared" si="25"/>
        <v>3.4</v>
      </c>
    </row>
    <row r="132" spans="1:28" x14ac:dyDescent="0.3">
      <c r="A132" s="194" t="str">
        <f>'Crisis Indicator Data'!A129</f>
        <v>Venezuelan refugees in Trinidad and Tobago</v>
      </c>
      <c r="B132" s="195" t="str">
        <f>'Crisis Indicator Data'!B129</f>
        <v>International displacement</v>
      </c>
      <c r="C132" s="195" t="str">
        <f>'Crisis Indicator Data'!C129</f>
        <v>TTO002</v>
      </c>
      <c r="D132" s="195" t="str">
        <f>'Crisis Indicator Data'!D129</f>
        <v>Trinidad and Tobago</v>
      </c>
      <c r="E132" s="196" t="str">
        <f>'Crisis Indicator Data'!E129</f>
        <v>TTO</v>
      </c>
      <c r="F132" s="190">
        <f>IF('Crisis Indicator Data'!F129="x","x",IF(LOG('Crisis Indicator Data'!F129)&lt;F$4,0,IF(LOG('Crisis Indicator Data'!F129)&gt;F$3,5,ROUND(5-(F$3-LOG('Crisis Indicator Data'!F129))/(F$3-F$4)*5,1))))</f>
        <v>1.2</v>
      </c>
      <c r="G132" s="188">
        <f>IF('Crisis Indicator Data'!F129="x","x",IF(B132="Regional crisis",('Crisis Indicator Data'!F129/VLOOKUP('Impact of the crisis'!$C132,'Regional Crises'!$B$1:$R$66,4,FALSE)),'Crisis Indicator Data'!F129/VLOOKUP('Impact of the crisis'!$E132,'Country Indicator Data'!$B$4:$P$194,15,FALSE)))</f>
        <v>1</v>
      </c>
      <c r="H132" s="167">
        <f t="shared" si="16"/>
        <v>5</v>
      </c>
      <c r="I132" s="167">
        <f t="shared" si="29"/>
        <v>3.1</v>
      </c>
      <c r="J132" s="167">
        <f>IF('Crisis Indicator Data'!G129="x","x",IF(LOG('Crisis Indicator Data'!G129)&lt;J$4,0,IF(LOG('Crisis Indicator Data'!G129)&gt;J$3,5,ROUND(5-(J$3-LOG('Crisis Indicator Data'!G129))/(J$3-J$4)*5,1))))</f>
        <v>0.5</v>
      </c>
      <c r="K132" s="188">
        <f>IF('Crisis Indicator Data'!G129="x","x",IF(B132="Regional crisis",('Crisis Indicator Data'!G129/VLOOKUP('Impact of the crisis'!$C132,'Regional Crises'!$B$1:$R$66,5,FALSE)),'Crisis Indicator Data'!G129/VLOOKUP('Impact of the crisis'!$E132,'Country Indicator Data'!$B$4:$P$194,14,FALSE)))</f>
        <v>0.99656357388316152</v>
      </c>
      <c r="L132" s="167">
        <f t="shared" si="17"/>
        <v>5</v>
      </c>
      <c r="M132" s="167">
        <f t="shared" si="30"/>
        <v>2.75</v>
      </c>
      <c r="N132" s="167">
        <f t="shared" si="18"/>
        <v>2.9</v>
      </c>
      <c r="O132" s="167">
        <f>IF('Crisis Indicator Data'!H129="x","x",IF('Crisis Indicator Data'!H129=0,0,IF(LOG('Crisis Indicator Data'!H129)&lt;O$4,0,IF(LOG('Crisis Indicator Data'!H129)&gt;O$3,5,ROUND(5-(O$3-LOG('Crisis Indicator Data'!H129))/(O$3-O$4)*5,1)))))</f>
        <v>0.5</v>
      </c>
      <c r="P132" s="185">
        <f>IF('Crisis Indicator Data'!H129="x","x",'Crisis Indicator Data'!H129/'Crisis Indicator Data'!G129)</f>
        <v>4.1379310344827586E-2</v>
      </c>
      <c r="Q132" s="167">
        <f t="shared" si="19"/>
        <v>0.2</v>
      </c>
      <c r="R132" s="167">
        <f t="shared" si="31"/>
        <v>0.35</v>
      </c>
      <c r="S132" s="167">
        <f>IF('Crisis Indicator Data'!I129="x","x",IF('Crisis Indicator Data'!I129=0,0,IF(LOG('Crisis Indicator Data'!I129)&lt;S$4,0,IF(LOG('Crisis Indicator Data'!I129)&gt;S$3,5,ROUND(5-(S$3-LOG('Crisis Indicator Data'!I129))/(S$3-S$4)*5,1)))))</f>
        <v>2.5</v>
      </c>
      <c r="T132" s="185">
        <f>IF('Crisis Indicator Data'!H129="x","x",IF('Crisis Indicator Data'!I129="x","x",'Crisis Indicator Data'!I129/'Crisis Indicator Data'!H129))</f>
        <v>1</v>
      </c>
      <c r="U132" s="167">
        <f t="shared" si="20"/>
        <v>5</v>
      </c>
      <c r="V132" s="167">
        <f t="shared" si="21"/>
        <v>3.8</v>
      </c>
      <c r="W132" s="167">
        <f>IF('Crisis Indicator Data'!L129="x","x",IF('Crisis Indicator Data'!L129=0,0,IF(LOG('Crisis Indicator Data'!L129)&lt;W$4,0,IF(LOG('Crisis Indicator Data'!L129)&gt;W$3,5,ROUND(5-(W$3-LOG('Crisis Indicator Data'!L129))/(W$3-W$4)*5,1)))))</f>
        <v>0</v>
      </c>
      <c r="X132" s="186">
        <f>IF(OR('Crisis Indicator Data'!L129="x",'Crisis Indicator Data'!H129="x"),"x",'Crisis Indicator Data'!L129/'Crisis Indicator Data'!H129)</f>
        <v>0</v>
      </c>
      <c r="Y132" s="167">
        <f t="shared" si="22"/>
        <v>0</v>
      </c>
      <c r="Z132" s="167">
        <f t="shared" si="23"/>
        <v>0</v>
      </c>
      <c r="AA132" s="167">
        <f t="shared" si="24"/>
        <v>2.2999999999999998</v>
      </c>
      <c r="AB132" s="187">
        <f t="shared" si="25"/>
        <v>1.4</v>
      </c>
    </row>
    <row r="133" spans="1:28" x14ac:dyDescent="0.3">
      <c r="A133" s="194" t="str">
        <f>'Crisis Indicator Data'!A130</f>
        <v>Mixed migration flows in Tunisia</v>
      </c>
      <c r="B133" s="195" t="str">
        <f>'Crisis Indicator Data'!B130</f>
        <v>International displacement</v>
      </c>
      <c r="C133" s="195" t="str">
        <f>'Crisis Indicator Data'!C130</f>
        <v>TUN002</v>
      </c>
      <c r="D133" s="195" t="str">
        <f>'Crisis Indicator Data'!D130</f>
        <v>Tunisia</v>
      </c>
      <c r="E133" s="196" t="str">
        <f>'Crisis Indicator Data'!E130</f>
        <v>TUN</v>
      </c>
      <c r="F133" s="190">
        <f>IF('Crisis Indicator Data'!F130="x","x",IF(LOG('Crisis Indicator Data'!F130)&lt;F$4,0,IF(LOG('Crisis Indicator Data'!F130)&gt;F$3,5,ROUND(5-(F$3-LOG('Crisis Indicator Data'!F130))/(F$3-F$4)*5,1))))</f>
        <v>3.7</v>
      </c>
      <c r="G133" s="188">
        <f>IF('Crisis Indicator Data'!F130="x","x",IF(B133="Regional crisis",('Crisis Indicator Data'!F130/VLOOKUP('Impact of the crisis'!$C133,'Regional Crises'!$B$1:$R$66,4,FALSE)),'Crisis Indicator Data'!F130/VLOOKUP('Impact of the crisis'!$E133,'Country Indicator Data'!$B$4:$P$194,15,FALSE)))</f>
        <v>1</v>
      </c>
      <c r="H133" s="167">
        <f t="shared" si="16"/>
        <v>5</v>
      </c>
      <c r="I133" s="167">
        <f t="shared" si="29"/>
        <v>4.3499999999999996</v>
      </c>
      <c r="J133" s="167">
        <f>IF('Crisis Indicator Data'!G130="x","x",IF(LOG('Crisis Indicator Data'!G130)&lt;J$4,0,IF(LOG('Crisis Indicator Data'!G130)&gt;J$3,5,ROUND(5-(J$3-LOG('Crisis Indicator Data'!G130))/(J$3-J$4)*5,1))))</f>
        <v>3.6</v>
      </c>
      <c r="K133" s="188">
        <f>IF('Crisis Indicator Data'!G130="x","x",IF(B133="Regional crisis",('Crisis Indicator Data'!G130/VLOOKUP('Impact of the crisis'!$C133,'Regional Crises'!$B$1:$R$66,5,FALSE)),'Crisis Indicator Data'!G130/VLOOKUP('Impact of the crisis'!$E133,'Country Indicator Data'!$B$4:$P$194,14,FALSE)))</f>
        <v>1</v>
      </c>
      <c r="L133" s="167">
        <f t="shared" si="17"/>
        <v>5</v>
      </c>
      <c r="M133" s="167">
        <f t="shared" si="30"/>
        <v>4.3</v>
      </c>
      <c r="N133" s="167">
        <f t="shared" si="18"/>
        <v>4.3</v>
      </c>
      <c r="O133" s="167" t="str">
        <f>IF('Crisis Indicator Data'!H130="x","x",IF('Crisis Indicator Data'!H130=0,0,IF(LOG('Crisis Indicator Data'!H130)&lt;O$4,0,IF(LOG('Crisis Indicator Data'!H130)&gt;O$3,5,ROUND(5-(O$3-LOG('Crisis Indicator Data'!H130))/(O$3-O$4)*5,1)))))</f>
        <v>x</v>
      </c>
      <c r="P133" s="185" t="str">
        <f>IF('Crisis Indicator Data'!H130="x","x",'Crisis Indicator Data'!H130/'Crisis Indicator Data'!G130)</f>
        <v>x</v>
      </c>
      <c r="Q133" s="167" t="str">
        <f t="shared" si="19"/>
        <v>x</v>
      </c>
      <c r="R133" s="167" t="str">
        <f t="shared" si="31"/>
        <v>x</v>
      </c>
      <c r="S133" s="167" t="str">
        <f>IF('Crisis Indicator Data'!I130="x","x",IF('Crisis Indicator Data'!I130=0,0,IF(LOG('Crisis Indicator Data'!I130)&lt;S$4,0,IF(LOG('Crisis Indicator Data'!I130)&gt;S$3,5,ROUND(5-(S$3-LOG('Crisis Indicator Data'!I130))/(S$3-S$4)*5,1)))))</f>
        <v>x</v>
      </c>
      <c r="T133" s="185" t="str">
        <f>IF('Crisis Indicator Data'!H130="x","x",IF('Crisis Indicator Data'!I130="x","x",'Crisis Indicator Data'!I130/'Crisis Indicator Data'!H130))</f>
        <v>x</v>
      </c>
      <c r="U133" s="167" t="str">
        <f t="shared" si="20"/>
        <v>x</v>
      </c>
      <c r="V133" s="167" t="str">
        <f t="shared" si="21"/>
        <v>x</v>
      </c>
      <c r="W133" s="167">
        <f>IF('Crisis Indicator Data'!L130="x","x",IF('Crisis Indicator Data'!L130=0,0,IF(LOG('Crisis Indicator Data'!L130)&lt;W$4,0,IF(LOG('Crisis Indicator Data'!L130)&gt;W$3,5,ROUND(5-(W$3-LOG('Crisis Indicator Data'!L130))/(W$3-W$4)*5,1)))))</f>
        <v>3</v>
      </c>
      <c r="X133" s="186" t="str">
        <f>IF(OR('Crisis Indicator Data'!L130="x",'Crisis Indicator Data'!H130="x"),"x",'Crisis Indicator Data'!L130/'Crisis Indicator Data'!H130)</f>
        <v>x</v>
      </c>
      <c r="Y133" s="167" t="str">
        <f t="shared" si="22"/>
        <v>x</v>
      </c>
      <c r="Z133" s="167">
        <f t="shared" si="23"/>
        <v>3</v>
      </c>
      <c r="AA133" s="167">
        <f t="shared" si="24"/>
        <v>3</v>
      </c>
      <c r="AB133" s="187">
        <f t="shared" si="25"/>
        <v>3</v>
      </c>
    </row>
    <row r="134" spans="1:28" x14ac:dyDescent="0.3">
      <c r="A134" s="194" t="str">
        <f>'Crisis Indicator Data'!A131</f>
        <v>Complex situation in Turkey</v>
      </c>
      <c r="B134" s="195" t="str">
        <f>'Crisis Indicator Data'!B131</f>
        <v>Multiple crises country</v>
      </c>
      <c r="C134" s="195" t="str">
        <f>'Crisis Indicator Data'!C131</f>
        <v>TUR001</v>
      </c>
      <c r="D134" s="195" t="str">
        <f>'Crisis Indicator Data'!D131</f>
        <v>Turkey</v>
      </c>
      <c r="E134" s="196" t="str">
        <f>'Crisis Indicator Data'!E131</f>
        <v>TUR</v>
      </c>
      <c r="F134" s="190">
        <f>IF('Crisis Indicator Data'!F131="x","x",IF(LOG('Crisis Indicator Data'!F131)&lt;F$4,0,IF(LOG('Crisis Indicator Data'!F131)&gt;F$3,5,ROUND(5-(F$3-LOG('Crisis Indicator Data'!F131))/(F$3-F$4)*5,1))))</f>
        <v>4.3</v>
      </c>
      <c r="G134" s="188">
        <f>IF('Crisis Indicator Data'!F131="x","x",IF(B134="Regional crisis",('Crisis Indicator Data'!F131/VLOOKUP('Impact of the crisis'!$C134,'Regional Crises'!$B$1:$R$66,4,FALSE)),'Crisis Indicator Data'!F131/VLOOKUP('Impact of the crisis'!$E134,'Country Indicator Data'!$B$4:$P$194,15,FALSE)))</f>
        <v>0.49234437327027275</v>
      </c>
      <c r="H134" s="167">
        <f t="shared" si="16"/>
        <v>2.4</v>
      </c>
      <c r="I134" s="167">
        <f t="shared" si="29"/>
        <v>3.3499999999999996</v>
      </c>
      <c r="J134" s="167">
        <f>IF('Crisis Indicator Data'!G131="x","x",IF(LOG('Crisis Indicator Data'!G131)&lt;J$4,0,IF(LOG('Crisis Indicator Data'!G131)&gt;J$3,5,ROUND(5-(J$3-LOG('Crisis Indicator Data'!G131))/(J$3-J$4)*5,1))))</f>
        <v>5</v>
      </c>
      <c r="K134" s="188">
        <f>IF('Crisis Indicator Data'!G131="x","x",IF(B134="Regional crisis",('Crisis Indicator Data'!G131/VLOOKUP('Impact of the crisis'!$C134,'Regional Crises'!$B$1:$R$66,5,FALSE)),'Crisis Indicator Data'!G131/VLOOKUP('Impact of the crisis'!$E134,'Country Indicator Data'!$B$4:$P$194,14,FALSE)))</f>
        <v>0.64258659954452835</v>
      </c>
      <c r="L134" s="167">
        <f t="shared" si="17"/>
        <v>3.2</v>
      </c>
      <c r="M134" s="167">
        <f t="shared" si="30"/>
        <v>4.0999999999999996</v>
      </c>
      <c r="N134" s="167">
        <f t="shared" si="18"/>
        <v>3.8</v>
      </c>
      <c r="O134" s="167">
        <f>IF('Crisis Indicator Data'!H131="x","x",IF('Crisis Indicator Data'!H131=0,0,IF(LOG('Crisis Indicator Data'!H131)&lt;O$4,0,IF(LOG('Crisis Indicator Data'!H131)&gt;O$3,5,ROUND(5-(O$3-LOG('Crisis Indicator Data'!H131))/(O$3-O$4)*5,1)))))</f>
        <v>3.5</v>
      </c>
      <c r="P134" s="185">
        <f>IF('Crisis Indicator Data'!H131="x","x",'Crisis Indicator Data'!H131/'Crisis Indicator Data'!G131)</f>
        <v>7.3809479397884764E-2</v>
      </c>
      <c r="Q134" s="167">
        <f t="shared" si="19"/>
        <v>0.3</v>
      </c>
      <c r="R134" s="167">
        <f t="shared" si="31"/>
        <v>1.9</v>
      </c>
      <c r="S134" s="167">
        <f>IF('Crisis Indicator Data'!I131="x","x",IF('Crisis Indicator Data'!I131=0,0,IF(LOG('Crisis Indicator Data'!I131)&lt;S$4,0,IF(LOG('Crisis Indicator Data'!I131)&gt;S$3,5,ROUND(5-(S$3-LOG('Crisis Indicator Data'!I131))/(S$3-S$4)*5,1)))))</f>
        <v>5</v>
      </c>
      <c r="T134" s="185">
        <f>IF('Crisis Indicator Data'!H131="x","x",IF('Crisis Indicator Data'!I131="x","x",'Crisis Indicator Data'!I131/'Crisis Indicator Data'!H131))</f>
        <v>1</v>
      </c>
      <c r="U134" s="167">
        <f t="shared" si="20"/>
        <v>5</v>
      </c>
      <c r="V134" s="167">
        <f t="shared" si="21"/>
        <v>5</v>
      </c>
      <c r="W134" s="167">
        <f>IF('Crisis Indicator Data'!L131="x","x",IF('Crisis Indicator Data'!L131=0,0,IF(LOG('Crisis Indicator Data'!L131)&lt;W$4,0,IF(LOG('Crisis Indicator Data'!L131)&gt;W$3,5,ROUND(5-(W$3-LOG('Crisis Indicator Data'!L131))/(W$3-W$4)*5,1)))))</f>
        <v>3.8</v>
      </c>
      <c r="X134" s="186">
        <f>IF(OR('Crisis Indicator Data'!L131="x",'Crisis Indicator Data'!H131="x"),"x",'Crisis Indicator Data'!L131/'Crisis Indicator Data'!H131)</f>
        <v>1.2458933535506697E-4</v>
      </c>
      <c r="Y134" s="167">
        <f t="shared" si="22"/>
        <v>5</v>
      </c>
      <c r="Z134" s="167">
        <f t="shared" si="23"/>
        <v>4.4000000000000004</v>
      </c>
      <c r="AA134" s="167">
        <f t="shared" si="24"/>
        <v>4.7</v>
      </c>
      <c r="AB134" s="187">
        <f t="shared" si="25"/>
        <v>3.7</v>
      </c>
    </row>
    <row r="135" spans="1:28" x14ac:dyDescent="0.3">
      <c r="A135" s="194" t="str">
        <f>'Crisis Indicator Data'!A132</f>
        <v>Syrian Refugees in Turkey</v>
      </c>
      <c r="B135" s="195" t="str">
        <f>'Crisis Indicator Data'!B132</f>
        <v>International displacement</v>
      </c>
      <c r="C135" s="195" t="str">
        <f>'Crisis Indicator Data'!C132</f>
        <v>TUR002</v>
      </c>
      <c r="D135" s="195" t="str">
        <f>'Crisis Indicator Data'!D132</f>
        <v>Turkey</v>
      </c>
      <c r="E135" s="196" t="str">
        <f>'Crisis Indicator Data'!E132</f>
        <v>TUR</v>
      </c>
      <c r="F135" s="190">
        <f>IF('Crisis Indicator Data'!F132="x","x",IF(LOG('Crisis Indicator Data'!F132)&lt;F$4,0,IF(LOG('Crisis Indicator Data'!F132)&gt;F$3,5,ROUND(5-(F$3-LOG('Crisis Indicator Data'!F132))/(F$3-F$4)*5,1))))</f>
        <v>3.5</v>
      </c>
      <c r="G135" s="188">
        <f>IF('Crisis Indicator Data'!F132="x","x",IF(B135="Regional crisis",('Crisis Indicator Data'!F132/VLOOKUP('Impact of the crisis'!$C135,'Regional Crises'!$B$1:$R$66,4,FALSE)),'Crisis Indicator Data'!F132/VLOOKUP('Impact of the crisis'!$E135,'Country Indicator Data'!$B$4:$P$194,15,FALSE)))</f>
        <v>0.1715473669165703</v>
      </c>
      <c r="H135" s="167">
        <f t="shared" ref="H135:H144" si="32">IF(G135="x","x",IF(G135&lt;H$4,0,IF(G135&gt;H$3,5,ROUND(5-(H$3-G135)/(H$3-H$4)*5,1))))</f>
        <v>0.8</v>
      </c>
      <c r="I135" s="167">
        <f t="shared" si="29"/>
        <v>2.15</v>
      </c>
      <c r="J135" s="167">
        <f>IF('Crisis Indicator Data'!G132="x","x",IF(LOG('Crisis Indicator Data'!G132)&lt;J$4,0,IF(LOG('Crisis Indicator Data'!G132)&gt;J$3,5,ROUND(5-(J$3-LOG('Crisis Indicator Data'!G132))/(J$3-J$4)*5,1))))</f>
        <v>5</v>
      </c>
      <c r="K135" s="188">
        <f>IF('Crisis Indicator Data'!G132="x","x",IF(B135="Regional crisis",('Crisis Indicator Data'!G132/VLOOKUP('Impact of the crisis'!$C135,'Regional Crises'!$B$1:$R$66,5,FALSE)),'Crisis Indicator Data'!G132/VLOOKUP('Impact of the crisis'!$E135,'Country Indicator Data'!$B$4:$P$194,14,FALSE)))</f>
        <v>0.4333932638139758</v>
      </c>
      <c r="L135" s="167">
        <f t="shared" ref="L135:L144" si="33">IF(K135="x","x",IF(K135&lt;L$4,0,IF(K135&gt;L$3,5,ROUND(5-(L$3-K135)/(L$3-L$4)*5,1))))</f>
        <v>2.1</v>
      </c>
      <c r="M135" s="167">
        <f t="shared" si="30"/>
        <v>3.55</v>
      </c>
      <c r="N135" s="167">
        <f t="shared" ref="N135:N144" si="34">IF(AND(M135="x",I135="x"),"x",IF(OR(M135="x",I135="x"),AVERAGE(I135,M135),ROUND((5-GEOMEAN(((5-I135)/5*4+1),((5-M135)/5*4+1)))/4*5,1)))</f>
        <v>2.9</v>
      </c>
      <c r="O135" s="167">
        <f>IF('Crisis Indicator Data'!H132="x","x",IF('Crisis Indicator Data'!H132=0,0,IF(LOG('Crisis Indicator Data'!H132)&lt;O$4,0,IF(LOG('Crisis Indicator Data'!H132)&gt;O$3,5,ROUND(5-(O$3-LOG('Crisis Indicator Data'!H132))/(O$3-O$4)*5,1)))))</f>
        <v>3.4</v>
      </c>
      <c r="P135" s="185">
        <f>IF('Crisis Indicator Data'!H132="x","x",'Crisis Indicator Data'!H132/'Crisis Indicator Data'!G132)</f>
        <v>0.10030975164555561</v>
      </c>
      <c r="Q135" s="167">
        <f t="shared" ref="Q135:Q144" si="35">IF(P135="x","x",IF(P135&lt;Q$4,0,IF(P135&gt;Q$3,5,ROUND(5-(Q$3-P135)/(Q$3-Q$4)*5,1))))</f>
        <v>0.5</v>
      </c>
      <c r="R135" s="167">
        <f t="shared" si="31"/>
        <v>1.95</v>
      </c>
      <c r="S135" s="167">
        <f>IF('Crisis Indicator Data'!I132="x","x",IF('Crisis Indicator Data'!I132=0,0,IF(LOG('Crisis Indicator Data'!I132)&lt;S$4,0,IF(LOG('Crisis Indicator Data'!I132)&gt;S$3,5,ROUND(5-(S$3-LOG('Crisis Indicator Data'!I132))/(S$3-S$4)*5,1)))))</f>
        <v>5</v>
      </c>
      <c r="T135" s="185">
        <f>IF('Crisis Indicator Data'!H132="x","x",IF('Crisis Indicator Data'!I132="x","x",'Crisis Indicator Data'!I132/'Crisis Indicator Data'!H132))</f>
        <v>1</v>
      </c>
      <c r="U135" s="167">
        <f t="shared" ref="U135:U144" si="36">IF(T135="x","x",IF(T135&lt;U$4,0,IF(T135&gt;U$3,5,ROUND(5-(U$3-T135)/(U$3-U$4)*5,1))))</f>
        <v>5</v>
      </c>
      <c r="V135" s="167">
        <f t="shared" ref="V135:V144" si="37">IF(AND(U135="x",S135="x"),"x",ROUND(AVERAGE(S135,U135),1))</f>
        <v>5</v>
      </c>
      <c r="W135" s="167" t="str">
        <f>IF('Crisis Indicator Data'!L132="x","x",IF('Crisis Indicator Data'!L132=0,0,IF(LOG('Crisis Indicator Data'!L132)&lt;W$4,0,IF(LOG('Crisis Indicator Data'!L132)&gt;W$3,5,ROUND(5-(W$3-LOG('Crisis Indicator Data'!L132))/(W$3-W$4)*5,1)))))</f>
        <v>x</v>
      </c>
      <c r="X135" s="186" t="str">
        <f>IF(OR('Crisis Indicator Data'!L132="x",'Crisis Indicator Data'!H132="x"),"x",'Crisis Indicator Data'!L132/'Crisis Indicator Data'!H132)</f>
        <v>x</v>
      </c>
      <c r="Y135" s="167" t="str">
        <f t="shared" ref="Y135:Y144" si="38">IF(X135="x","x",IF(X135&lt;Y$4,0,IF(X135&gt;Y$3,5,ROUND(5-(Y$3-X135)/(Y$3-Y$4)*5,1))))</f>
        <v>x</v>
      </c>
      <c r="Z135" s="167" t="str">
        <f t="shared" ref="Z135:Z144" si="39">IF(AND(Y135="x",W135="x"),"x",ROUND(AVERAGE(W135,Y135),1))</f>
        <v>x</v>
      </c>
      <c r="AA135" s="167">
        <f t="shared" ref="AA135:AA144" si="40">IF(AND(V135="x",Z135="x"),"x",IF(OR(V135="x",Z135="x"),AVERAGE(V135,Z135),ROUND((5-GEOMEAN(((5-V135)/5*4+1),((5-Z135)/5*4+1)))/4*5,1)))</f>
        <v>5</v>
      </c>
      <c r="AB135" s="187">
        <f t="shared" ref="AB135:AB144" si="41">IF(AND(R135="x",AA135="x"),"x",IF(OR(R135="x",AA135="x"),AVERAGE(R135,AA135),ROUND((5-GEOMEAN(((5-R135)/5*4+1),((5-AA135)/5*4+1)))/4*5,1)))</f>
        <v>3.9</v>
      </c>
    </row>
    <row r="136" spans="1:28" x14ac:dyDescent="0.3">
      <c r="A136" s="194" t="str">
        <f>'Crisis Indicator Data'!A133</f>
        <v>Mixed Migration Flows in Turkey</v>
      </c>
      <c r="B136" s="195" t="str">
        <f>'Crisis Indicator Data'!B133</f>
        <v>International displacement</v>
      </c>
      <c r="C136" s="195" t="str">
        <f>'Crisis Indicator Data'!C133</f>
        <v>TUR003</v>
      </c>
      <c r="D136" s="195" t="str">
        <f>'Crisis Indicator Data'!D133</f>
        <v>Turkey</v>
      </c>
      <c r="E136" s="196" t="str">
        <f>'Crisis Indicator Data'!E133</f>
        <v>TUR</v>
      </c>
      <c r="F136" s="190">
        <f>IF('Crisis Indicator Data'!F133="x","x",IF(LOG('Crisis Indicator Data'!F133)&lt;F$4,0,IF(LOG('Crisis Indicator Data'!F133)&gt;F$3,5,ROUND(5-(F$3-LOG('Crisis Indicator Data'!F133))/(F$3-F$4)*5,1))))</f>
        <v>3.7</v>
      </c>
      <c r="G136" s="188">
        <f>IF('Crisis Indicator Data'!F133="x","x",IF(B136="Regional crisis",('Crisis Indicator Data'!F133/VLOOKUP('Impact of the crisis'!$C136,'Regional Crises'!$B$1:$R$66,4,FALSE)),'Crisis Indicator Data'!F133/VLOOKUP('Impact of the crisis'!$E136,'Country Indicator Data'!$B$4:$P$194,15,FALSE)))</f>
        <v>0.23063550017540896</v>
      </c>
      <c r="H136" s="167">
        <f t="shared" si="32"/>
        <v>1.1000000000000001</v>
      </c>
      <c r="I136" s="167">
        <f t="shared" si="29"/>
        <v>2.4000000000000004</v>
      </c>
      <c r="J136" s="167">
        <f>IF('Crisis Indicator Data'!G133="x","x",IF(LOG('Crisis Indicator Data'!G133)&lt;J$4,0,IF(LOG('Crisis Indicator Data'!G133)&gt;J$3,5,ROUND(5-(J$3-LOG('Crisis Indicator Data'!G133))/(J$3-J$4)*5,1))))</f>
        <v>5</v>
      </c>
      <c r="K136" s="188">
        <f>IF('Crisis Indicator Data'!G133="x","x",IF(B136="Regional crisis",('Crisis Indicator Data'!G133/VLOOKUP('Impact of the crisis'!$C136,'Regional Crises'!$B$1:$R$66,5,FALSE)),'Crisis Indicator Data'!G133/VLOOKUP('Impact of the crisis'!$E136,'Country Indicator Data'!$B$4:$P$194,14,FALSE)))</f>
        <v>0.45098885293060048</v>
      </c>
      <c r="L136" s="167">
        <f t="shared" si="33"/>
        <v>2.2000000000000002</v>
      </c>
      <c r="M136" s="167">
        <f t="shared" si="30"/>
        <v>3.6</v>
      </c>
      <c r="N136" s="167">
        <f t="shared" si="34"/>
        <v>3.1</v>
      </c>
      <c r="O136" s="167">
        <f>IF('Crisis Indicator Data'!H133="x","x",IF('Crisis Indicator Data'!H133=0,0,IF(LOG('Crisis Indicator Data'!H133)&lt;O$4,0,IF(LOG('Crisis Indicator Data'!H133)&gt;O$3,5,ROUND(5-(O$3-LOG('Crisis Indicator Data'!H133))/(O$3-O$4)*5,1)))))</f>
        <v>3.5</v>
      </c>
      <c r="P136" s="185">
        <f>IF('Crisis Indicator Data'!H133="x","x",'Crisis Indicator Data'!H133/'Crisis Indicator Data'!G133)</f>
        <v>0.10516664008929995</v>
      </c>
      <c r="Q136" s="167">
        <f t="shared" si="35"/>
        <v>0.5</v>
      </c>
      <c r="R136" s="167">
        <f t="shared" si="31"/>
        <v>2</v>
      </c>
      <c r="S136" s="167">
        <f>IF('Crisis Indicator Data'!I133="x","x",IF('Crisis Indicator Data'!I133=0,0,IF(LOG('Crisis Indicator Data'!I133)&lt;S$4,0,IF(LOG('Crisis Indicator Data'!I133)&gt;S$3,5,ROUND(5-(S$3-LOG('Crisis Indicator Data'!I133))/(S$3-S$4)*5,1)))))</f>
        <v>5</v>
      </c>
      <c r="T136" s="185">
        <f>IF('Crisis Indicator Data'!H133="x","x",IF('Crisis Indicator Data'!I133="x","x",'Crisis Indicator Data'!I133/'Crisis Indicator Data'!H133))</f>
        <v>1</v>
      </c>
      <c r="U136" s="167">
        <f t="shared" si="36"/>
        <v>5</v>
      </c>
      <c r="V136" s="167">
        <f t="shared" si="37"/>
        <v>5</v>
      </c>
      <c r="W136" s="167">
        <f>IF('Crisis Indicator Data'!L133="x","x",IF('Crisis Indicator Data'!L133=0,0,IF(LOG('Crisis Indicator Data'!L133)&lt;W$4,0,IF(LOG('Crisis Indicator Data'!L133)&gt;W$3,5,ROUND(5-(W$3-LOG('Crisis Indicator Data'!L133))/(W$3-W$4)*5,1)))))</f>
        <v>2.7</v>
      </c>
      <c r="X136" s="186">
        <f>IF(OR('Crisis Indicator Data'!L133="x",'Crisis Indicator Data'!H133="x"),"x",'Crisis Indicator Data'!L133/'Crisis Indicator Data'!H133)</f>
        <v>2.0470053070507962E-5</v>
      </c>
      <c r="Y136" s="167">
        <f t="shared" si="38"/>
        <v>1</v>
      </c>
      <c r="Z136" s="167">
        <f t="shared" si="39"/>
        <v>1.9</v>
      </c>
      <c r="AA136" s="167">
        <f t="shared" si="40"/>
        <v>3.9</v>
      </c>
      <c r="AB136" s="187">
        <f t="shared" si="41"/>
        <v>3.1</v>
      </c>
    </row>
    <row r="137" spans="1:28" x14ac:dyDescent="0.3">
      <c r="A137" s="194" t="str">
        <f>'Crisis Indicator Data'!A134</f>
        <v>Kurdish Conflict</v>
      </c>
      <c r="B137" s="195" t="str">
        <f>'Crisis Indicator Data'!B134</f>
        <v>Conflict</v>
      </c>
      <c r="C137" s="195" t="str">
        <f>'Crisis Indicator Data'!C134</f>
        <v>TUR004</v>
      </c>
      <c r="D137" s="195" t="str">
        <f>'Crisis Indicator Data'!D134</f>
        <v>Turkey</v>
      </c>
      <c r="E137" s="196" t="str">
        <f>'Crisis Indicator Data'!E134</f>
        <v>TUR</v>
      </c>
      <c r="F137" s="190">
        <f>IF('Crisis Indicator Data'!F134="x","x",IF(LOG('Crisis Indicator Data'!F134)&lt;F$4,0,IF(LOG('Crisis Indicator Data'!F134)&gt;F$3,5,ROUND(5-(F$3-LOG('Crisis Indicator Data'!F134))/(F$3-F$4)*5,1))))</f>
        <v>3.8</v>
      </c>
      <c r="G137" s="188">
        <f>IF('Crisis Indicator Data'!F134="x","x",IF(B137="Regional crisis",('Crisis Indicator Data'!F134/VLOOKUP('Impact of the crisis'!$C137,'Regional Crises'!$B$1:$R$66,4,FALSE)),'Crisis Indicator Data'!F134/VLOOKUP('Impact of the crisis'!$E137,'Country Indicator Data'!$B$4:$P$194,15,FALSE)))</f>
        <v>0.25413120590413574</v>
      </c>
      <c r="H137" s="167">
        <f t="shared" si="32"/>
        <v>1.2</v>
      </c>
      <c r="I137" s="167">
        <f t="shared" si="29"/>
        <v>2.5</v>
      </c>
      <c r="J137" s="167">
        <f>IF('Crisis Indicator Data'!G134="x","x",IF(LOG('Crisis Indicator Data'!G134)&lt;J$4,0,IF(LOG('Crisis Indicator Data'!G134)&gt;J$3,5,ROUND(5-(J$3-LOG('Crisis Indicator Data'!G134))/(J$3-J$4)*5,1))))</f>
        <v>3.7</v>
      </c>
      <c r="K137" s="188">
        <f>IF('Crisis Indicator Data'!G134="x","x",IF(B137="Regional crisis",('Crisis Indicator Data'!G134/VLOOKUP('Impact of the crisis'!$C137,'Regional Crises'!$B$1:$R$66,5,FALSE)),'Crisis Indicator Data'!G134/VLOOKUP('Impact of the crisis'!$E137,'Country Indicator Data'!$B$4:$P$194,14,FALSE)))</f>
        <v>0.15550761117104159</v>
      </c>
      <c r="L137" s="167">
        <f t="shared" si="33"/>
        <v>0.7</v>
      </c>
      <c r="M137" s="167">
        <f t="shared" si="30"/>
        <v>2.2000000000000002</v>
      </c>
      <c r="N137" s="167">
        <f t="shared" si="34"/>
        <v>2.4</v>
      </c>
      <c r="O137" s="167" t="str">
        <f>IF('Crisis Indicator Data'!H134="x","x",IF('Crisis Indicator Data'!H134=0,0,IF(LOG('Crisis Indicator Data'!H134)&lt;O$4,0,IF(LOG('Crisis Indicator Data'!H134)&gt;O$3,5,ROUND(5-(O$3-LOG('Crisis Indicator Data'!H134))/(O$3-O$4)*5,1)))))</f>
        <v>x</v>
      </c>
      <c r="P137" s="185" t="str">
        <f>IF('Crisis Indicator Data'!H134="x","x",'Crisis Indicator Data'!H134/'Crisis Indicator Data'!G134)</f>
        <v>x</v>
      </c>
      <c r="Q137" s="167" t="str">
        <f t="shared" si="35"/>
        <v>x</v>
      </c>
      <c r="R137" s="167" t="str">
        <f t="shared" si="31"/>
        <v>x</v>
      </c>
      <c r="S137" s="167" t="str">
        <f>IF('Crisis Indicator Data'!I134="x","x",IF('Crisis Indicator Data'!I134=0,0,IF(LOG('Crisis Indicator Data'!I134)&lt;S$4,0,IF(LOG('Crisis Indicator Data'!I134)&gt;S$3,5,ROUND(5-(S$3-LOG('Crisis Indicator Data'!I134))/(S$3-S$4)*5,1)))))</f>
        <v>x</v>
      </c>
      <c r="T137" s="185" t="str">
        <f>IF('Crisis Indicator Data'!H134="x","x",IF('Crisis Indicator Data'!I134="x","x",'Crisis Indicator Data'!I134/'Crisis Indicator Data'!H134))</f>
        <v>x</v>
      </c>
      <c r="U137" s="167" t="str">
        <f t="shared" si="36"/>
        <v>x</v>
      </c>
      <c r="V137" s="167" t="str">
        <f t="shared" si="37"/>
        <v>x</v>
      </c>
      <c r="W137" s="167">
        <f>IF('Crisis Indicator Data'!L134="x","x",IF('Crisis Indicator Data'!L134=0,0,IF(LOG('Crisis Indicator Data'!L134)&lt;W$4,0,IF(LOG('Crisis Indicator Data'!L134)&gt;W$3,5,ROUND(5-(W$3-LOG('Crisis Indicator Data'!L134))/(W$3-W$4)*5,1)))))</f>
        <v>3.7</v>
      </c>
      <c r="X137" s="186" t="str">
        <f>IF(OR('Crisis Indicator Data'!L134="x",'Crisis Indicator Data'!H134="x"),"x",'Crisis Indicator Data'!L134/'Crisis Indicator Data'!H134)</f>
        <v>x</v>
      </c>
      <c r="Y137" s="167" t="str">
        <f t="shared" si="38"/>
        <v>x</v>
      </c>
      <c r="Z137" s="167">
        <f t="shared" si="39"/>
        <v>3.7</v>
      </c>
      <c r="AA137" s="167">
        <f t="shared" si="40"/>
        <v>3.7</v>
      </c>
      <c r="AB137" s="187">
        <f t="shared" si="41"/>
        <v>3.7</v>
      </c>
    </row>
    <row r="138" spans="1:28" x14ac:dyDescent="0.3">
      <c r="A138" s="194" t="str">
        <f>'Crisis Indicator Data'!A135</f>
        <v xml:space="preserve">Eastern Mediterranean Route </v>
      </c>
      <c r="B138" s="195" t="str">
        <f>'Crisis Indicator Data'!B135</f>
        <v>Regional crisis</v>
      </c>
      <c r="C138" s="195" t="str">
        <f>'Crisis Indicator Data'!C135</f>
        <v>REG006</v>
      </c>
      <c r="D138" s="195" t="str">
        <f>'Crisis Indicator Data'!D135</f>
        <v>Turkey, Greece</v>
      </c>
      <c r="E138" s="196" t="str">
        <f>'Crisis Indicator Data'!E135</f>
        <v>TUR, GRC</v>
      </c>
      <c r="F138" s="190" t="str">
        <f>IF('Crisis Indicator Data'!F135="x","x",IF(LOG('Crisis Indicator Data'!F135)&lt;F$4,0,IF(LOG('Crisis Indicator Data'!F135)&gt;F$3,5,ROUND(5-(F$3-LOG('Crisis Indicator Data'!F135))/(F$3-F$4)*5,1))))</f>
        <v>x</v>
      </c>
      <c r="G138" s="188" t="str">
        <f>IF('Crisis Indicator Data'!F135="x","x",IF(B138="Regional crisis",('Crisis Indicator Data'!F135/VLOOKUP('Impact of the crisis'!$C138,'Regional Crises'!$B$1:$R$66,4,FALSE)),'Crisis Indicator Data'!F135/VLOOKUP('Impact of the crisis'!$E138,'Country Indicator Data'!$B$4:$P$194,15,FALSE)))</f>
        <v>x</v>
      </c>
      <c r="H138" s="167" t="str">
        <f t="shared" si="32"/>
        <v>x</v>
      </c>
      <c r="I138" s="167" t="str">
        <f t="shared" si="29"/>
        <v>x</v>
      </c>
      <c r="J138" s="167" t="str">
        <f>IF('Crisis Indicator Data'!G135="x","x",IF(LOG('Crisis Indicator Data'!G135)&lt;J$4,0,IF(LOG('Crisis Indicator Data'!G135)&gt;J$3,5,ROUND(5-(J$3-LOG('Crisis Indicator Data'!G135))/(J$3-J$4)*5,1))))</f>
        <v>x</v>
      </c>
      <c r="K138" s="188" t="str">
        <f>IF('Crisis Indicator Data'!G135="x","x",IF(B138="Regional crisis",('Crisis Indicator Data'!G135/VLOOKUP('Impact of the crisis'!$C138,'Regional Crises'!$B$1:$R$66,5,FALSE)),'Crisis Indicator Data'!G135/VLOOKUP('Impact of the crisis'!$E138,'Country Indicator Data'!$B$4:$P$194,14,FALSE)))</f>
        <v>x</v>
      </c>
      <c r="L138" s="167" t="str">
        <f t="shared" si="33"/>
        <v>x</v>
      </c>
      <c r="M138" s="167" t="str">
        <f t="shared" si="30"/>
        <v>x</v>
      </c>
      <c r="N138" s="167" t="str">
        <f t="shared" si="34"/>
        <v>x</v>
      </c>
      <c r="O138" s="167" t="str">
        <f>IF('Crisis Indicator Data'!H135="x","x",IF('Crisis Indicator Data'!H135=0,0,IF(LOG('Crisis Indicator Data'!H135)&lt;O$4,0,IF(LOG('Crisis Indicator Data'!H135)&gt;O$3,5,ROUND(5-(O$3-LOG('Crisis Indicator Data'!H135))/(O$3-O$4)*5,1)))))</f>
        <v>x</v>
      </c>
      <c r="P138" s="185" t="str">
        <f>IF('Crisis Indicator Data'!H135="x","x",'Crisis Indicator Data'!H135/'Crisis Indicator Data'!G135)</f>
        <v>x</v>
      </c>
      <c r="Q138" s="167" t="str">
        <f t="shared" si="35"/>
        <v>x</v>
      </c>
      <c r="R138" s="167" t="str">
        <f t="shared" si="31"/>
        <v>x</v>
      </c>
      <c r="S138" s="167" t="str">
        <f>IF('Crisis Indicator Data'!I135="x","x",IF('Crisis Indicator Data'!I135=0,0,IF(LOG('Crisis Indicator Data'!I135)&lt;S$4,0,IF(LOG('Crisis Indicator Data'!I135)&gt;S$3,5,ROUND(5-(S$3-LOG('Crisis Indicator Data'!I135))/(S$3-S$4)*5,1)))))</f>
        <v>x</v>
      </c>
      <c r="T138" s="185" t="str">
        <f>IF('Crisis Indicator Data'!H135="x","x",IF('Crisis Indicator Data'!I135="x","x",'Crisis Indicator Data'!I135/'Crisis Indicator Data'!H135))</f>
        <v>x</v>
      </c>
      <c r="U138" s="167" t="str">
        <f t="shared" si="36"/>
        <v>x</v>
      </c>
      <c r="V138" s="167" t="str">
        <f t="shared" si="37"/>
        <v>x</v>
      </c>
      <c r="W138" s="167">
        <f>IF('Crisis Indicator Data'!L135="x","x",IF('Crisis Indicator Data'!L135=0,0,IF(LOG('Crisis Indicator Data'!L135)&lt;W$4,0,IF(LOG('Crisis Indicator Data'!L135)&gt;W$3,5,ROUND(5-(W$3-LOG('Crisis Indicator Data'!L135))/(W$3-W$4)*5,1)))))</f>
        <v>2</v>
      </c>
      <c r="X138" s="186" t="str">
        <f>IF(OR('Crisis Indicator Data'!L135="x",'Crisis Indicator Data'!H135="x"),"x",'Crisis Indicator Data'!L135/'Crisis Indicator Data'!H135)</f>
        <v>x</v>
      </c>
      <c r="Y138" s="167" t="str">
        <f t="shared" si="38"/>
        <v>x</v>
      </c>
      <c r="Z138" s="167">
        <f t="shared" si="39"/>
        <v>2</v>
      </c>
      <c r="AA138" s="167">
        <f t="shared" si="40"/>
        <v>2</v>
      </c>
      <c r="AB138" s="187">
        <f t="shared" si="41"/>
        <v>2</v>
      </c>
    </row>
    <row r="139" spans="1:28" x14ac:dyDescent="0.3">
      <c r="A139" s="194" t="str">
        <f>'Crisis Indicator Data'!A136</f>
        <v>Multiple crises in Uganda</v>
      </c>
      <c r="B139" s="195" t="str">
        <f>'Crisis Indicator Data'!B136</f>
        <v>Multiple crises country</v>
      </c>
      <c r="C139" s="195" t="str">
        <f>'Crisis Indicator Data'!C136</f>
        <v>UGA001</v>
      </c>
      <c r="D139" s="195" t="str">
        <f>'Crisis Indicator Data'!D136</f>
        <v>Uganda</v>
      </c>
      <c r="E139" s="196" t="str">
        <f>'Crisis Indicator Data'!E136</f>
        <v>UGA</v>
      </c>
      <c r="F139" s="190">
        <f>IF('Crisis Indicator Data'!F136="x","x",IF(LOG('Crisis Indicator Data'!F136)&lt;F$4,0,IF(LOG('Crisis Indicator Data'!F136)&gt;F$3,5,ROUND(5-(F$3-LOG('Crisis Indicator Data'!F136))/(F$3-F$4)*5,1))))</f>
        <v>3.3</v>
      </c>
      <c r="G139" s="188">
        <f>IF('Crisis Indicator Data'!F136="x","x",IF(B139="Regional crisis",('Crisis Indicator Data'!F136/VLOOKUP('Impact of the crisis'!$C139,'Regional Crises'!$B$1:$R$66,4,FALSE)),'Crisis Indicator Data'!F136/VLOOKUP('Impact of the crisis'!$E139,'Country Indicator Data'!$B$4:$P$194,15,FALSE)))</f>
        <v>0.49856872132455615</v>
      </c>
      <c r="H139" s="167">
        <f t="shared" si="32"/>
        <v>2.4</v>
      </c>
      <c r="I139" s="167">
        <f t="shared" si="29"/>
        <v>2.8499999999999996</v>
      </c>
      <c r="J139" s="167">
        <f>IF('Crisis Indicator Data'!G136="x","x",IF(LOG('Crisis Indicator Data'!G136)&lt;J$4,0,IF(LOG('Crisis Indicator Data'!G136)&gt;J$3,5,ROUND(5-(J$3-LOG('Crisis Indicator Data'!G136))/(J$3-J$4)*5,1))))</f>
        <v>3.9</v>
      </c>
      <c r="K139" s="188">
        <f>IF('Crisis Indicator Data'!G136="x","x",IF(B139="Regional crisis",('Crisis Indicator Data'!G136/VLOOKUP('Impact of the crisis'!$C139,'Regional Crises'!$B$1:$R$66,5,FALSE)),'Crisis Indicator Data'!G136/VLOOKUP('Impact of the crisis'!$E139,'Country Indicator Data'!$B$4:$P$194,14,FALSE)))</f>
        <v>0.35979519809116667</v>
      </c>
      <c r="L139" s="167">
        <f t="shared" si="33"/>
        <v>1.8</v>
      </c>
      <c r="M139" s="167">
        <f t="shared" si="30"/>
        <v>2.85</v>
      </c>
      <c r="N139" s="167">
        <f t="shared" si="34"/>
        <v>2.9</v>
      </c>
      <c r="O139" s="167">
        <f>IF('Crisis Indicator Data'!H136="x","x",IF('Crisis Indicator Data'!H136=0,0,IF(LOG('Crisis Indicator Data'!H136)&lt;O$4,0,IF(LOG('Crisis Indicator Data'!H136)&gt;O$3,5,ROUND(5-(O$3-LOG('Crisis Indicator Data'!H136))/(O$3-O$4)*5,1)))))</f>
        <v>3.6</v>
      </c>
      <c r="P139" s="185">
        <f>IF('Crisis Indicator Data'!H136="x","x",'Crisis Indicator Data'!H136/'Crisis Indicator Data'!G136)</f>
        <v>0.32564244266371928</v>
      </c>
      <c r="Q139" s="167">
        <f t="shared" si="35"/>
        <v>1.6</v>
      </c>
      <c r="R139" s="167">
        <f t="shared" si="31"/>
        <v>2.6</v>
      </c>
      <c r="S139" s="167">
        <f>IF('Crisis Indicator Data'!I136="x","x",IF('Crisis Indicator Data'!I136=0,0,IF(LOG('Crisis Indicator Data'!I136)&lt;S$4,0,IF(LOG('Crisis Indicator Data'!I136)&gt;S$3,5,ROUND(5-(S$3-LOG('Crisis Indicator Data'!I136))/(S$3-S$4)*5,1)))))</f>
        <v>4.5</v>
      </c>
      <c r="T139" s="185">
        <f>IF('Crisis Indicator Data'!H136="x","x",IF('Crisis Indicator Data'!I136="x","x",'Crisis Indicator Data'!I136/'Crisis Indicator Data'!H136))</f>
        <v>0.32435299109036914</v>
      </c>
      <c r="U139" s="167">
        <f t="shared" si="36"/>
        <v>5</v>
      </c>
      <c r="V139" s="167">
        <f t="shared" si="37"/>
        <v>4.8</v>
      </c>
      <c r="W139" s="167">
        <f>IF('Crisis Indicator Data'!L136="x","x",IF('Crisis Indicator Data'!L136=0,0,IF(LOG('Crisis Indicator Data'!L136)&lt;W$4,0,IF(LOG('Crisis Indicator Data'!L136)&gt;W$3,5,ROUND(5-(W$3-LOG('Crisis Indicator Data'!L136))/(W$3-W$4)*5,1)))))</f>
        <v>2.9</v>
      </c>
      <c r="X139" s="186">
        <f>IF(OR('Crisis Indicator Data'!L136="x",'Crisis Indicator Data'!H136="x"),"x",'Crisis Indicator Data'!L136/'Crisis Indicator Data'!H136)</f>
        <v>2.3334747560458209E-5</v>
      </c>
      <c r="Y139" s="167">
        <f t="shared" si="38"/>
        <v>1.2</v>
      </c>
      <c r="Z139" s="167">
        <f t="shared" si="39"/>
        <v>2.1</v>
      </c>
      <c r="AA139" s="167">
        <f t="shared" si="40"/>
        <v>3.8</v>
      </c>
      <c r="AB139" s="187">
        <f t="shared" si="41"/>
        <v>3.3</v>
      </c>
    </row>
    <row r="140" spans="1:28" x14ac:dyDescent="0.3">
      <c r="A140" s="194" t="str">
        <f>'Crisis Indicator Data'!A137</f>
        <v>International Displacement in Uganda</v>
      </c>
      <c r="B140" s="195" t="str">
        <f>'Crisis Indicator Data'!B137</f>
        <v>International displacement</v>
      </c>
      <c r="C140" s="195" t="str">
        <f>'Crisis Indicator Data'!C137</f>
        <v>UGA005</v>
      </c>
      <c r="D140" s="195" t="str">
        <f>'Crisis Indicator Data'!D137</f>
        <v>Uganda</v>
      </c>
      <c r="E140" s="196" t="str">
        <f>'Crisis Indicator Data'!E137</f>
        <v>UGA</v>
      </c>
      <c r="F140" s="190">
        <f>IF('Crisis Indicator Data'!F137="x","x",IF(LOG('Crisis Indicator Data'!F137)&lt;F$4,0,IF(LOG('Crisis Indicator Data'!F137)&gt;F$3,5,ROUND(5-(F$3-LOG('Crisis Indicator Data'!F137))/(F$3-F$4)*5,1))))</f>
        <v>3</v>
      </c>
      <c r="G140" s="188">
        <f>IF('Crisis Indicator Data'!F137="x","x",IF(B140="Regional crisis",('Crisis Indicator Data'!F137/VLOOKUP('Impact of the crisis'!$C140,'Regional Crises'!$B$1:$R$66,4,FALSE)),'Crisis Indicator Data'!F137/VLOOKUP('Impact of the crisis'!$E140,'Country Indicator Data'!$B$4:$P$194,15,FALSE)))</f>
        <v>0.3324456413325354</v>
      </c>
      <c r="H140" s="167">
        <f t="shared" si="32"/>
        <v>1.6</v>
      </c>
      <c r="I140" s="167">
        <f t="shared" si="29"/>
        <v>2.2999999999999998</v>
      </c>
      <c r="J140" s="167">
        <f>IF('Crisis Indicator Data'!G137="x","x",IF(LOG('Crisis Indicator Data'!G137)&lt;J$4,0,IF(LOG('Crisis Indicator Data'!G137)&gt;J$3,5,ROUND(5-(J$3-LOG('Crisis Indicator Data'!G137))/(J$3-J$4)*5,1))))</f>
        <v>2.9</v>
      </c>
      <c r="K140" s="188">
        <f>IF('Crisis Indicator Data'!G137="x","x",IF(B140="Regional crisis",('Crisis Indicator Data'!G137/VLOOKUP('Impact of the crisis'!$C140,'Regional Crises'!$B$1:$R$66,5,FALSE)),'Crisis Indicator Data'!G137/VLOOKUP('Impact of the crisis'!$E140,'Country Indicator Data'!$B$4:$P$194,14,FALSE)))</f>
        <v>0.18491822836407018</v>
      </c>
      <c r="L140" s="167">
        <f t="shared" si="33"/>
        <v>0.9</v>
      </c>
      <c r="M140" s="167">
        <f t="shared" si="30"/>
        <v>1.9</v>
      </c>
      <c r="N140" s="167">
        <f t="shared" si="34"/>
        <v>2.1</v>
      </c>
      <c r="O140" s="167">
        <f>IF('Crisis Indicator Data'!H137="x","x",IF('Crisis Indicator Data'!H137=0,0,IF(LOG('Crisis Indicator Data'!H137)&lt;O$4,0,IF(LOG('Crisis Indicator Data'!H137)&gt;O$3,5,ROUND(5-(O$3-LOG('Crisis Indicator Data'!H137))/(O$3-O$4)*5,1)))))</f>
        <v>2.8</v>
      </c>
      <c r="P140" s="185">
        <f>IF('Crisis Indicator Data'!H137="x","x",'Crisis Indicator Data'!H137/'Crisis Indicator Data'!G137)</f>
        <v>0.19206989247311829</v>
      </c>
      <c r="Q140" s="167">
        <f t="shared" si="35"/>
        <v>0.9</v>
      </c>
      <c r="R140" s="167">
        <f t="shared" si="31"/>
        <v>1.8499999999999999</v>
      </c>
      <c r="S140" s="167">
        <f>IF('Crisis Indicator Data'!I137="x","x",IF('Crisis Indicator Data'!I137=0,0,IF(LOG('Crisis Indicator Data'!I137)&lt;S$4,0,IF(LOG('Crisis Indicator Data'!I137)&gt;S$3,5,ROUND(5-(S$3-LOG('Crisis Indicator Data'!I137))/(S$3-S$4)*5,1)))))</f>
        <v>4.5</v>
      </c>
      <c r="T140" s="185">
        <f>IF('Crisis Indicator Data'!H137="x","x",IF('Crisis Indicator Data'!I137="x","x",'Crisis Indicator Data'!I137/'Crisis Indicator Data'!H137))</f>
        <v>1</v>
      </c>
      <c r="U140" s="167">
        <f t="shared" si="36"/>
        <v>5</v>
      </c>
      <c r="V140" s="167">
        <f t="shared" si="37"/>
        <v>4.8</v>
      </c>
      <c r="W140" s="167" t="str">
        <f>IF('Crisis Indicator Data'!L137="x","x",IF('Crisis Indicator Data'!L137=0,0,IF(LOG('Crisis Indicator Data'!L137)&lt;W$4,0,IF(LOG('Crisis Indicator Data'!L137)&gt;W$3,5,ROUND(5-(W$3-LOG('Crisis Indicator Data'!L137))/(W$3-W$4)*5,1)))))</f>
        <v>x</v>
      </c>
      <c r="X140" s="186" t="str">
        <f>IF(OR('Crisis Indicator Data'!L137="x",'Crisis Indicator Data'!H137="x"),"x",'Crisis Indicator Data'!L137/'Crisis Indicator Data'!H137)</f>
        <v>x</v>
      </c>
      <c r="Y140" s="167" t="str">
        <f t="shared" si="38"/>
        <v>x</v>
      </c>
      <c r="Z140" s="167" t="str">
        <f t="shared" si="39"/>
        <v>x</v>
      </c>
      <c r="AA140" s="167">
        <f t="shared" si="40"/>
        <v>4.8</v>
      </c>
      <c r="AB140" s="187">
        <f t="shared" si="41"/>
        <v>3.7</v>
      </c>
    </row>
    <row r="141" spans="1:28" x14ac:dyDescent="0.3">
      <c r="A141" s="194" t="str">
        <f>'Crisis Indicator Data'!A138</f>
        <v>Floods and Landslides in Uganda</v>
      </c>
      <c r="B141" s="195" t="str">
        <f>'Crisis Indicator Data'!B138</f>
        <v>Flood</v>
      </c>
      <c r="C141" s="195" t="str">
        <f>'Crisis Indicator Data'!C138</f>
        <v>UGA006</v>
      </c>
      <c r="D141" s="195" t="str">
        <f>'Crisis Indicator Data'!D138</f>
        <v>Uganda</v>
      </c>
      <c r="E141" s="196" t="str">
        <f>'Crisis Indicator Data'!E138</f>
        <v>UGA</v>
      </c>
      <c r="F141" s="190">
        <f>IF('Crisis Indicator Data'!F138="x","x",IF(LOG('Crisis Indicator Data'!F138)&lt;F$4,0,IF(LOG('Crisis Indicator Data'!F138)&gt;F$3,5,ROUND(5-(F$3-LOG('Crisis Indicator Data'!F138))/(F$3-F$4)*5,1))))</f>
        <v>2.6</v>
      </c>
      <c r="G141" s="188">
        <f>IF('Crisis Indicator Data'!F138="x","x",IF(B141="Regional crisis",('Crisis Indicator Data'!F138/VLOOKUP('Impact of the crisis'!$C141,'Regional Crises'!$B$1:$R$66,4,FALSE)),'Crisis Indicator Data'!F138/VLOOKUP('Impact of the crisis'!$E141,'Country Indicator Data'!$B$4:$P$194,15,FALSE)))</f>
        <v>0.17936864153201676</v>
      </c>
      <c r="H141" s="167">
        <f t="shared" si="32"/>
        <v>0.8</v>
      </c>
      <c r="I141" s="167">
        <f t="shared" si="29"/>
        <v>1.7000000000000002</v>
      </c>
      <c r="J141" s="167">
        <f>IF('Crisis Indicator Data'!G138="x","x",IF(LOG('Crisis Indicator Data'!G138)&lt;J$4,0,IF(LOG('Crisis Indicator Data'!G138)&gt;J$3,5,ROUND(5-(J$3-LOG('Crisis Indicator Data'!G138))/(J$3-J$4)*5,1))))</f>
        <v>2.9</v>
      </c>
      <c r="K141" s="188">
        <f>IF('Crisis Indicator Data'!G138="x","x",IF(B141="Regional crisis",('Crisis Indicator Data'!G138/VLOOKUP('Impact of the crisis'!$C141,'Regional Crises'!$B$1:$R$66,5,FALSE)),'Crisis Indicator Data'!G138/VLOOKUP('Impact of the crisis'!$E141,'Country Indicator Data'!$B$4:$P$194,14,FALSE)))</f>
        <v>0.18797534423621812</v>
      </c>
      <c r="L141" s="167">
        <f t="shared" si="33"/>
        <v>0.9</v>
      </c>
      <c r="M141" s="167">
        <f t="shared" si="30"/>
        <v>1.9</v>
      </c>
      <c r="N141" s="167">
        <f t="shared" si="34"/>
        <v>1.8</v>
      </c>
      <c r="O141" s="167">
        <f>IF('Crisis Indicator Data'!H138="x","x",IF('Crisis Indicator Data'!H138=0,0,IF(LOG('Crisis Indicator Data'!H138)&lt;O$4,0,IF(LOG('Crisis Indicator Data'!H138)&gt;O$3,5,ROUND(5-(O$3-LOG('Crisis Indicator Data'!H138))/(O$3-O$4)*5,1)))))</f>
        <v>3.4</v>
      </c>
      <c r="P141" s="185">
        <f>IF('Crisis Indicator Data'!H138="x","x",'Crisis Indicator Data'!H138/'Crisis Indicator Data'!G138)</f>
        <v>0.45365595663096653</v>
      </c>
      <c r="Q141" s="167">
        <f t="shared" si="35"/>
        <v>2.2000000000000002</v>
      </c>
      <c r="R141" s="167">
        <f t="shared" si="31"/>
        <v>2.8</v>
      </c>
      <c r="S141" s="167">
        <f>IF('Crisis Indicator Data'!I138="x","x",IF('Crisis Indicator Data'!I138=0,0,IF(LOG('Crisis Indicator Data'!I138)&lt;S$4,0,IF(LOG('Crisis Indicator Data'!I138)&gt;S$3,5,ROUND(5-(S$3-LOG('Crisis Indicator Data'!I138))/(S$3-S$4)*5,1)))))</f>
        <v>2.9</v>
      </c>
      <c r="T141" s="185">
        <f>IF('Crisis Indicator Data'!H138="x","x",IF('Crisis Indicator Data'!I138="x","x",'Crisis Indicator Data'!I138/'Crisis Indicator Data'!H138))</f>
        <v>2.9146021568055961E-2</v>
      </c>
      <c r="U141" s="167">
        <f t="shared" si="36"/>
        <v>1</v>
      </c>
      <c r="V141" s="167">
        <f t="shared" si="37"/>
        <v>2</v>
      </c>
      <c r="W141" s="167">
        <f>IF('Crisis Indicator Data'!L138="x","x",IF('Crisis Indicator Data'!L138=0,0,IF(LOG('Crisis Indicator Data'!L138)&lt;W$4,0,IF(LOG('Crisis Indicator Data'!L138)&gt;W$3,5,ROUND(5-(W$3-LOG('Crisis Indicator Data'!L138))/(W$3-W$4)*5,1)))))</f>
        <v>1.6</v>
      </c>
      <c r="X141" s="186">
        <f>IF(OR('Crisis Indicator Data'!L138="x",'Crisis Indicator Data'!H138="x"),"x",'Crisis Indicator Data'!L138/'Crisis Indicator Data'!H138)</f>
        <v>4.0804430195278347E-6</v>
      </c>
      <c r="Y141" s="167">
        <f t="shared" si="38"/>
        <v>0.2</v>
      </c>
      <c r="Z141" s="167">
        <f t="shared" si="39"/>
        <v>0.9</v>
      </c>
      <c r="AA141" s="167">
        <f t="shared" si="40"/>
        <v>1.5</v>
      </c>
      <c r="AB141" s="187">
        <f t="shared" si="41"/>
        <v>2.2000000000000002</v>
      </c>
    </row>
    <row r="142" spans="1:28" x14ac:dyDescent="0.3">
      <c r="A142" s="194" t="str">
        <f>'Crisis Indicator Data'!A139</f>
        <v>Conflict in Ukraine</v>
      </c>
      <c r="B142" s="195" t="str">
        <f>'Crisis Indicator Data'!B139</f>
        <v>Conflict</v>
      </c>
      <c r="C142" s="195" t="str">
        <f>'Crisis Indicator Data'!C139</f>
        <v>UKR002</v>
      </c>
      <c r="D142" s="195" t="str">
        <f>'Crisis Indicator Data'!D139</f>
        <v>Ukraine</v>
      </c>
      <c r="E142" s="196" t="str">
        <f>'Crisis Indicator Data'!E139</f>
        <v>UKR</v>
      </c>
      <c r="F142" s="190">
        <f>IF('Crisis Indicator Data'!F139="x","x",IF(LOG('Crisis Indicator Data'!F139)&lt;F$4,0,IF(LOG('Crisis Indicator Data'!F139)&gt;F$3,5,ROUND(5-(F$3-LOG('Crisis Indicator Data'!F139))/(F$3-F$4)*5,1))))</f>
        <v>2.9</v>
      </c>
      <c r="G142" s="188">
        <f>IF('Crisis Indicator Data'!F139="x","x",IF(B142="Regional crisis",('Crisis Indicator Data'!F139/VLOOKUP('Impact of the crisis'!$C142,'Regional Crises'!$B$1:$R$66,4,FALSE)),'Crisis Indicator Data'!F139/VLOOKUP('Impact of the crisis'!$E142,'Country Indicator Data'!$B$4:$P$194,15,FALSE)))</f>
        <v>9.1846916052408981E-2</v>
      </c>
      <c r="H142" s="167">
        <f t="shared" si="32"/>
        <v>0.4</v>
      </c>
      <c r="I142" s="167">
        <f t="shared" si="29"/>
        <v>1.65</v>
      </c>
      <c r="J142" s="167">
        <f>IF('Crisis Indicator Data'!G139="x","x",IF(LOG('Crisis Indicator Data'!G139)&lt;J$4,0,IF(LOG('Crisis Indicator Data'!G139)&gt;J$3,5,ROUND(5-(J$3-LOG('Crisis Indicator Data'!G139))/(J$3-J$4)*5,1))))</f>
        <v>2.7</v>
      </c>
      <c r="K142" s="188">
        <f>IF('Crisis Indicator Data'!G139="x","x",IF(B142="Regional crisis",('Crisis Indicator Data'!G139/VLOOKUP('Impact of the crisis'!$C142,'Regional Crises'!$B$1:$R$66,5,FALSE)),'Crisis Indicator Data'!G139/VLOOKUP('Impact of the crisis'!$E142,'Country Indicator Data'!$B$4:$P$194,14,FALSE)))</f>
        <v>0.14995008794029566</v>
      </c>
      <c r="L142" s="167">
        <f t="shared" si="33"/>
        <v>0.7</v>
      </c>
      <c r="M142" s="167">
        <f t="shared" si="30"/>
        <v>1.7000000000000002</v>
      </c>
      <c r="N142" s="167">
        <f t="shared" si="34"/>
        <v>1.7</v>
      </c>
      <c r="O142" s="167">
        <f>IF('Crisis Indicator Data'!H139="x","x",IF('Crisis Indicator Data'!H139=0,0,IF(LOG('Crisis Indicator Data'!H139)&lt;O$4,0,IF(LOG('Crisis Indicator Data'!H139)&gt;O$3,5,ROUND(5-(O$3-LOG('Crisis Indicator Data'!H139))/(O$3-O$4)*5,1)))))</f>
        <v>3.7</v>
      </c>
      <c r="P142" s="185">
        <f>IF('Crisis Indicator Data'!H139="x","x",'Crisis Indicator Data'!H139/'Crisis Indicator Data'!G139)</f>
        <v>0.85592011412268187</v>
      </c>
      <c r="Q142" s="167">
        <f t="shared" si="35"/>
        <v>4.3</v>
      </c>
      <c r="R142" s="167">
        <f t="shared" si="31"/>
        <v>4</v>
      </c>
      <c r="S142" s="167">
        <f>IF('Crisis Indicator Data'!I139="x","x",IF('Crisis Indicator Data'!I139=0,0,IF(LOG('Crisis Indicator Data'!I139)&lt;S$4,0,IF(LOG('Crisis Indicator Data'!I139)&gt;S$3,5,ROUND(5-(S$3-LOG('Crisis Indicator Data'!I139))/(S$3-S$4)*5,1)))))</f>
        <v>4.5</v>
      </c>
      <c r="T142" s="185">
        <f>IF('Crisis Indicator Data'!H139="x","x",IF('Crisis Indicator Data'!I139="x","x",'Crisis Indicator Data'!I139/'Crisis Indicator Data'!H139))</f>
        <v>0.26666666666666666</v>
      </c>
      <c r="U142" s="167">
        <f t="shared" si="36"/>
        <v>5</v>
      </c>
      <c r="V142" s="167">
        <f t="shared" si="37"/>
        <v>4.8</v>
      </c>
      <c r="W142" s="167">
        <f>IF('Crisis Indicator Data'!L139="x","x",IF('Crisis Indicator Data'!L139=0,0,IF(LOG('Crisis Indicator Data'!L139)&lt;W$4,0,IF(LOG('Crisis Indicator Data'!L139)&gt;W$3,5,ROUND(5-(W$3-LOG('Crisis Indicator Data'!L139))/(W$3-W$4)*5,1)))))</f>
        <v>1.6</v>
      </c>
      <c r="X142" s="186">
        <f>IF(OR('Crisis Indicator Data'!L139="x",'Crisis Indicator Data'!H139="x"),"x",'Crisis Indicator Data'!L139/'Crisis Indicator Data'!H139)</f>
        <v>2.4074074074074075E-6</v>
      </c>
      <c r="Y142" s="167">
        <f t="shared" si="38"/>
        <v>0.1</v>
      </c>
      <c r="Z142" s="167">
        <f t="shared" si="39"/>
        <v>0.9</v>
      </c>
      <c r="AA142" s="167">
        <f t="shared" si="40"/>
        <v>3.5</v>
      </c>
      <c r="AB142" s="187">
        <f t="shared" si="41"/>
        <v>3.8</v>
      </c>
    </row>
    <row r="143" spans="1:28" x14ac:dyDescent="0.3">
      <c r="A143" s="194" t="str">
        <f>'Crisis Indicator Data'!A140</f>
        <v>Cyclone Harold in Vanuatu</v>
      </c>
      <c r="B143" s="195" t="str">
        <f>'Crisis Indicator Data'!B140</f>
        <v>Tropical cyclone</v>
      </c>
      <c r="C143" s="195" t="str">
        <f>'Crisis Indicator Data'!C140</f>
        <v>VUT002</v>
      </c>
      <c r="D143" s="195" t="str">
        <f>'Crisis Indicator Data'!D140</f>
        <v>Vanuatu</v>
      </c>
      <c r="E143" s="196" t="str">
        <f>'Crisis Indicator Data'!E140</f>
        <v>VUT</v>
      </c>
      <c r="F143" s="190">
        <f>IF('Crisis Indicator Data'!F140="x","x",IF(LOG('Crisis Indicator Data'!F140)&lt;F$4,0,IF(LOG('Crisis Indicator Data'!F140)&gt;F$3,5,ROUND(5-(F$3-LOG('Crisis Indicator Data'!F140))/(F$3-F$4)*5,1))))</f>
        <v>1.7</v>
      </c>
      <c r="G143" s="188">
        <f>IF('Crisis Indicator Data'!F140="x","x",IF(B143="Regional crisis",('Crisis Indicator Data'!F140/VLOOKUP('Impact of the crisis'!$C143,'Regional Crises'!$B$1:$R$66,4,FALSE)),'Crisis Indicator Data'!F140/VLOOKUP('Impact of the crisis'!$E143,'Country Indicator Data'!$B$4:$P$194,15,FALSE)))</f>
        <v>0.86644790812141104</v>
      </c>
      <c r="H143" s="167">
        <f t="shared" si="32"/>
        <v>4.3</v>
      </c>
      <c r="I143" s="167">
        <f t="shared" si="29"/>
        <v>3</v>
      </c>
      <c r="J143" s="167">
        <f>IF('Crisis Indicator Data'!G140="x","x",IF(LOG('Crisis Indicator Data'!G140)&lt;J$4,0,IF(LOG('Crisis Indicator Data'!G140)&gt;J$3,5,ROUND(5-(J$3-LOG('Crisis Indicator Data'!G140))/(J$3-J$4)*5,1))))</f>
        <v>0</v>
      </c>
      <c r="K143" s="188">
        <f>IF('Crisis Indicator Data'!G140="x","x",IF(B143="Regional crisis",('Crisis Indicator Data'!G140/VLOOKUP('Impact of the crisis'!$C143,'Regional Crises'!$B$1:$R$66,5,FALSE)),'Crisis Indicator Data'!G140/VLOOKUP('Impact of the crisis'!$E143,'Country Indicator Data'!$B$4:$P$194,14,FALSE)))</f>
        <v>0.84926470588235292</v>
      </c>
      <c r="L143" s="167">
        <f t="shared" si="33"/>
        <v>4.2</v>
      </c>
      <c r="M143" s="167">
        <f t="shared" si="30"/>
        <v>2.1</v>
      </c>
      <c r="N143" s="167">
        <f t="shared" si="34"/>
        <v>2.6</v>
      </c>
      <c r="O143" s="167">
        <f>IF('Crisis Indicator Data'!H140="x","x",IF('Crisis Indicator Data'!H140=0,0,IF(LOG('Crisis Indicator Data'!H140)&lt;O$4,0,IF(LOG('Crisis Indicator Data'!H140)&gt;O$3,5,ROUND(5-(O$3-LOG('Crisis Indicator Data'!H140))/(O$3-O$4)*5,1)))))</f>
        <v>1.2</v>
      </c>
      <c r="P143" s="185">
        <f>IF('Crisis Indicator Data'!H140="x","x",'Crisis Indicator Data'!H140/'Crisis Indicator Data'!G140)</f>
        <v>0.67965367965367962</v>
      </c>
      <c r="Q143" s="167">
        <f t="shared" si="35"/>
        <v>3.4</v>
      </c>
      <c r="R143" s="167">
        <f t="shared" si="31"/>
        <v>2.2999999999999998</v>
      </c>
      <c r="S143" s="167">
        <f>IF('Crisis Indicator Data'!I140="x","x",IF('Crisis Indicator Data'!I140=0,0,IF(LOG('Crisis Indicator Data'!I140)&lt;S$4,0,IF(LOG('Crisis Indicator Data'!I140)&gt;S$3,5,ROUND(5-(S$3-LOG('Crisis Indicator Data'!I140))/(S$3-S$4)*5,1)))))</f>
        <v>1.8</v>
      </c>
      <c r="T143" s="185">
        <f>IF('Crisis Indicator Data'!H140="x","x",IF('Crisis Indicator Data'!I140="x","x",'Crisis Indicator Data'!I140/'Crisis Indicator Data'!H140))</f>
        <v>0.11464968152866242</v>
      </c>
      <c r="U143" s="167">
        <f t="shared" si="36"/>
        <v>3.8</v>
      </c>
      <c r="V143" s="167">
        <f t="shared" si="37"/>
        <v>2.8</v>
      </c>
      <c r="W143" s="167">
        <f>IF('Crisis Indicator Data'!L140="x","x",IF('Crisis Indicator Data'!L140=0,0,IF(LOG('Crisis Indicator Data'!L140)&lt;W$4,0,IF(LOG('Crisis Indicator Data'!L140)&gt;W$3,5,ROUND(5-(W$3-LOG('Crisis Indicator Data'!L140))/(W$3-W$4)*5,1)))))</f>
        <v>0.9</v>
      </c>
      <c r="X143" s="186">
        <f>IF(OR('Crisis Indicator Data'!L140="x",'Crisis Indicator Data'!H140="x"),"x",'Crisis Indicator Data'!L140/'Crisis Indicator Data'!H140)</f>
        <v>2.5477707006369428E-5</v>
      </c>
      <c r="Y143" s="167">
        <f t="shared" si="38"/>
        <v>1.3</v>
      </c>
      <c r="Z143" s="167">
        <f t="shared" si="39"/>
        <v>1.1000000000000001</v>
      </c>
      <c r="AA143" s="167">
        <f t="shared" si="40"/>
        <v>2</v>
      </c>
      <c r="AB143" s="187">
        <f t="shared" si="41"/>
        <v>2.2000000000000002</v>
      </c>
    </row>
    <row r="144" spans="1:28" x14ac:dyDescent="0.3">
      <c r="A144" s="197" t="str">
        <f>'Crisis Indicator Data'!A141</f>
        <v>Complex crisis in Venezuela</v>
      </c>
      <c r="B144" s="198" t="str">
        <f>'Crisis Indicator Data'!B141</f>
        <v>Complex crisis</v>
      </c>
      <c r="C144" s="198" t="str">
        <f>'Crisis Indicator Data'!C141</f>
        <v>VEN001</v>
      </c>
      <c r="D144" s="198" t="str">
        <f>'Crisis Indicator Data'!D141</f>
        <v>Venezuela</v>
      </c>
      <c r="E144" s="199" t="str">
        <f>'Crisis Indicator Data'!E141</f>
        <v>VEN</v>
      </c>
      <c r="F144" s="190">
        <f>IF('Crisis Indicator Data'!F141="x","x",IF(LOG('Crisis Indicator Data'!F141)&lt;F$4,0,IF(LOG('Crisis Indicator Data'!F141)&gt;F$3,5,ROUND(5-(F$3-LOG('Crisis Indicator Data'!F141))/(F$3-F$4)*5,1))))</f>
        <v>4.9000000000000004</v>
      </c>
      <c r="G144" s="189">
        <f>IF('Crisis Indicator Data'!F141="x","x",IF(B144="Regional crisis",('Crisis Indicator Data'!F141/VLOOKUP('Impact of the crisis'!$C144,'Regional Crises'!$B$1:$R$66,4,FALSE)),'Crisis Indicator Data'!F141/VLOOKUP('Impact of the crisis'!$E144,'Country Indicator Data'!$B$4:$P$194,15,FALSE)))</f>
        <v>1</v>
      </c>
      <c r="H144" s="167">
        <f t="shared" si="32"/>
        <v>5</v>
      </c>
      <c r="I144" s="167">
        <f>IF(AND(H144="x",F144="x"),"x",AVERAGE(F144,H144))</f>
        <v>4.95</v>
      </c>
      <c r="J144" s="167">
        <f>IF('Crisis Indicator Data'!G141="x","x",IF(LOG('Crisis Indicator Data'!G141)&lt;J$4,0,IF(LOG('Crisis Indicator Data'!G141)&gt;J$3,5,ROUND(5-(J$3-LOG('Crisis Indicator Data'!G141))/(J$3-J$4)*5,1))))</f>
        <v>4.8</v>
      </c>
      <c r="K144" s="189">
        <f>IF('Crisis Indicator Data'!G141="x","x",IF(B144="Regional crisis",('Crisis Indicator Data'!G141/VLOOKUP('Impact of the crisis'!$C144,'Regional Crises'!$B$1:$R$66,5,FALSE)),'Crisis Indicator Data'!G141/VLOOKUP('Impact of the crisis'!$E144,'Country Indicator Data'!$B$4:$P$194,14,FALSE)))</f>
        <v>1</v>
      </c>
      <c r="L144" s="167">
        <f t="shared" si="33"/>
        <v>5</v>
      </c>
      <c r="M144" s="167">
        <f>IF(AND(L144="x",J144="x"),"x",AVERAGE(J144,L144))</f>
        <v>4.9000000000000004</v>
      </c>
      <c r="N144" s="167">
        <f t="shared" si="34"/>
        <v>4.9000000000000004</v>
      </c>
      <c r="O144" s="167">
        <f>IF('Crisis Indicator Data'!H141="x","x",IF('Crisis Indicator Data'!H141=0,0,IF(LOG('Crisis Indicator Data'!H141)&lt;O$4,0,IF(LOG('Crisis Indicator Data'!H141)&gt;O$3,5,ROUND(5-(O$3-LOG('Crisis Indicator Data'!H141))/(O$3-O$4)*5,1)))))</f>
        <v>4.9000000000000004</v>
      </c>
      <c r="P144" s="185">
        <f>IF('Crisis Indicator Data'!H141="x","x",'Crisis Indicator Data'!H141/'Crisis Indicator Data'!G141)</f>
        <v>1</v>
      </c>
      <c r="Q144" s="167">
        <f t="shared" si="35"/>
        <v>5</v>
      </c>
      <c r="R144" s="167">
        <f>IF(AND(Q144="x",O144="x"),"x",AVERAGE(O144,Q144))</f>
        <v>4.95</v>
      </c>
      <c r="S144" s="167">
        <f>IF('Crisis Indicator Data'!I141="x","x",IF('Crisis Indicator Data'!I141=0,0,IF(LOG('Crisis Indicator Data'!I141)&lt;S$4,0,IF(LOG('Crisis Indicator Data'!I141)&gt;S$3,5,ROUND(5-(S$3-LOG('Crisis Indicator Data'!I141))/(S$3-S$4)*5,1)))))</f>
        <v>5</v>
      </c>
      <c r="T144" s="185">
        <f>IF('Crisis Indicator Data'!H141="x","x",IF('Crisis Indicator Data'!I141="x","x",'Crisis Indicator Data'!I141/'Crisis Indicator Data'!H141))</f>
        <v>0.20062123150009137</v>
      </c>
      <c r="U144" s="167">
        <f t="shared" si="36"/>
        <v>5</v>
      </c>
      <c r="V144" s="167">
        <f t="shared" si="37"/>
        <v>5</v>
      </c>
      <c r="W144" s="167">
        <f>IF('Crisis Indicator Data'!L141="x","x",IF('Crisis Indicator Data'!L141=0,0,IF(LOG('Crisis Indicator Data'!L141)&lt;W$4,0,IF(LOG('Crisis Indicator Data'!L141)&gt;W$3,5,ROUND(5-(W$3-LOG('Crisis Indicator Data'!L141))/(W$3-W$4)*5,1)))))</f>
        <v>5</v>
      </c>
      <c r="X144" s="186">
        <f>IF(OR('Crisis Indicator Data'!L141="x",'Crisis Indicator Data'!H141="x"),"x",'Crisis Indicator Data'!L141/'Crisis Indicator Data'!H141)</f>
        <v>3.0158962177964551E-4</v>
      </c>
      <c r="Y144" s="167">
        <f t="shared" si="38"/>
        <v>5</v>
      </c>
      <c r="Z144" s="167">
        <f t="shared" si="39"/>
        <v>5</v>
      </c>
      <c r="AA144" s="167">
        <f t="shared" si="40"/>
        <v>5</v>
      </c>
      <c r="AB144" s="187">
        <f t="shared" si="41"/>
        <v>5</v>
      </c>
    </row>
    <row r="145" spans="1:28" x14ac:dyDescent="0.3">
      <c r="A145" s="197" t="str">
        <f>'Crisis Indicator Data'!A142</f>
        <v>Venezuela Regional Crisis</v>
      </c>
      <c r="B145" s="198" t="str">
        <f>'Crisis Indicator Data'!B142</f>
        <v>Regional crisis</v>
      </c>
      <c r="C145" s="198" t="str">
        <f>'Crisis Indicator Data'!C142</f>
        <v>REG002</v>
      </c>
      <c r="D145" s="198" t="str">
        <f>'Crisis Indicator Data'!D142</f>
        <v>Venezuela, Brazil, Colombia, Ecuador, Peru, Trinidad and Tobago</v>
      </c>
      <c r="E145" s="199" t="str">
        <f>'Crisis Indicator Data'!E142</f>
        <v>VEN, BRA, COL, ECU, PER, TTO</v>
      </c>
      <c r="F145" s="190">
        <f>IF('Crisis Indicator Data'!F142="x","x",IF(LOG('Crisis Indicator Data'!F142)&lt;F$4,0,IF(LOG('Crisis Indicator Data'!F142)&gt;F$3,5,ROUND(5-(F$3-LOG('Crisis Indicator Data'!F142))/(F$3-F$4)*5,1))))</f>
        <v>5</v>
      </c>
      <c r="G145" s="189">
        <f>IF('Crisis Indicator Data'!F142="x","x",IF(B145="Regional crisis",('Crisis Indicator Data'!F142/VLOOKUP('Impact of the crisis'!$C145,'Regional Crises'!$B$1:$R$66,4,FALSE)),'Crisis Indicator Data'!F142/VLOOKUP('Impact of the crisis'!$E145,'Country Indicator Data'!$B$4:$P$194,15,FALSE)))</f>
        <v>0.12274879283154846</v>
      </c>
      <c r="H145" s="167">
        <f t="shared" ref="H145:H147" si="42">IF(G145="x","x",IF(G145&lt;H$4,0,IF(G145&gt;H$3,5,ROUND(5-(H$3-G145)/(H$3-H$4)*5,1))))</f>
        <v>0.5</v>
      </c>
      <c r="I145" s="167">
        <f t="shared" ref="I145:I147" si="43">IF(AND(H145="x",F145="x"),"x",AVERAGE(F145,H145))</f>
        <v>2.75</v>
      </c>
      <c r="J145" s="167">
        <f>IF('Crisis Indicator Data'!G142="x","x",IF(LOG('Crisis Indicator Data'!G142)&lt;J$4,0,IF(LOG('Crisis Indicator Data'!G142)&gt;J$3,5,ROUND(5-(J$3-LOG('Crisis Indicator Data'!G142))/(J$3-J$4)*5,1))))</f>
        <v>5</v>
      </c>
      <c r="K145" s="189">
        <f>IF('Crisis Indicator Data'!G142="x","x",IF(B145="Regional crisis",('Crisis Indicator Data'!G142/VLOOKUP('Impact of the crisis'!$C145,'Regional Crises'!$B$1:$R$66,5,FALSE)),'Crisis Indicator Data'!G142/VLOOKUP('Impact of the crisis'!$E145,'Country Indicator Data'!$B$4:$P$194,14,FALSE)))</f>
        <v>0.23339731056461402</v>
      </c>
      <c r="L145" s="167">
        <f t="shared" ref="L145:L147" si="44">IF(K145="x","x",IF(K145&lt;L$4,0,IF(K145&gt;L$3,5,ROUND(5-(L$3-K145)/(L$3-L$4)*5,1))))</f>
        <v>1.1000000000000001</v>
      </c>
      <c r="M145" s="167">
        <f t="shared" ref="M145:M147" si="45">IF(AND(L145="x",J145="x"),"x",AVERAGE(J145,L145))</f>
        <v>3.05</v>
      </c>
      <c r="N145" s="167">
        <f t="shared" ref="N145:N147" si="46">IF(AND(M145="x",I145="x"),"x",IF(OR(M145="x",I145="x"),AVERAGE(I145,M145),ROUND((5-GEOMEAN(((5-I145)/5*4+1),((5-M145)/5*4+1)))/4*5,1)))</f>
        <v>2.9</v>
      </c>
      <c r="O145" s="167">
        <f>IF('Crisis Indicator Data'!H142="x","x",IF('Crisis Indicator Data'!H142=0,0,IF(LOG('Crisis Indicator Data'!H142)&lt;O$4,0,IF(LOG('Crisis Indicator Data'!H142)&gt;O$3,5,ROUND(5-(O$3-LOG('Crisis Indicator Data'!H142))/(O$3-O$4)*5,1)))))</f>
        <v>5</v>
      </c>
      <c r="P145" s="185">
        <f>IF('Crisis Indicator Data'!H142="x","x",'Crisis Indicator Data'!H142/'Crisis Indicator Data'!G142)</f>
        <v>0.43940053797873702</v>
      </c>
      <c r="Q145" s="167">
        <f t="shared" ref="Q145:Q147" si="47">IF(P145="x","x",IF(P145&lt;Q$4,0,IF(P145&gt;Q$3,5,ROUND(5-(Q$3-P145)/(Q$3-Q$4)*5,1))))</f>
        <v>2.2000000000000002</v>
      </c>
      <c r="R145" s="167">
        <f t="shared" ref="R145:R147" si="48">IF(AND(Q145="x",O145="x"),"x",AVERAGE(O145,Q145))</f>
        <v>3.6</v>
      </c>
      <c r="S145" s="167">
        <f>IF('Crisis Indicator Data'!I142="x","x",IF('Crisis Indicator Data'!I142=0,0,IF(LOG('Crisis Indicator Data'!I142)&lt;S$4,0,IF(LOG('Crisis Indicator Data'!I142)&gt;S$3,5,ROUND(5-(S$3-LOG('Crisis Indicator Data'!I142))/(S$3-S$4)*5,1)))))</f>
        <v>5</v>
      </c>
      <c r="T145" s="185">
        <f>IF('Crisis Indicator Data'!H142="x","x",IF('Crisis Indicator Data'!I142="x","x",'Crisis Indicator Data'!I142/'Crisis Indicator Data'!H142))</f>
        <v>0.1486124067164179</v>
      </c>
      <c r="U145" s="167">
        <f t="shared" ref="U145:U147" si="49">IF(T145="x","x",IF(T145&lt;U$4,0,IF(T145&gt;U$3,5,ROUND(5-(U$3-T145)/(U$3-U$4)*5,1))))</f>
        <v>5</v>
      </c>
      <c r="V145" s="167">
        <f t="shared" ref="V145:V147" si="50">IF(AND(U145="x",S145="x"),"x",ROUND(AVERAGE(S145,U145),1))</f>
        <v>5</v>
      </c>
      <c r="W145" s="167" t="str">
        <f>IF('Crisis Indicator Data'!L142="x","x",IF('Crisis Indicator Data'!L142=0,0,IF(LOG('Crisis Indicator Data'!L142)&lt;W$4,0,IF(LOG('Crisis Indicator Data'!L142)&gt;W$3,5,ROUND(5-(W$3-LOG('Crisis Indicator Data'!L142))/(W$3-W$4)*5,1)))))</f>
        <v>x</v>
      </c>
      <c r="X145" s="186" t="str">
        <f>IF(OR('Crisis Indicator Data'!L142="x",'Crisis Indicator Data'!H142="x"),"x",'Crisis Indicator Data'!L142/'Crisis Indicator Data'!H142)</f>
        <v>x</v>
      </c>
      <c r="Y145" s="167" t="str">
        <f t="shared" ref="Y145:Y147" si="51">IF(X145="x","x",IF(X145&lt;Y$4,0,IF(X145&gt;Y$3,5,ROUND(5-(Y$3-X145)/(Y$3-Y$4)*5,1))))</f>
        <v>x</v>
      </c>
      <c r="Z145" s="167" t="str">
        <f t="shared" ref="Z145:Z147" si="52">IF(AND(Y145="x",W145="x"),"x",ROUND(AVERAGE(W145,Y145),1))</f>
        <v>x</v>
      </c>
      <c r="AA145" s="167">
        <f t="shared" ref="AA145:AA147" si="53">IF(AND(V145="x",Z145="x"),"x",IF(OR(V145="x",Z145="x"),AVERAGE(V145,Z145),ROUND((5-GEOMEAN(((5-V145)/5*4+1),((5-Z145)/5*4+1)))/4*5,1)))</f>
        <v>5</v>
      </c>
      <c r="AB145" s="187">
        <f t="shared" ref="AB145:AB147" si="54">IF(AND(R145="x",AA145="x"),"x",IF(OR(R145="x",AA145="x"),AVERAGE(R145,AA145),ROUND((5-GEOMEAN(((5-R145)/5*4+1),((5-AA145)/5*4+1)))/4*5,1)))</f>
        <v>4.4000000000000004</v>
      </c>
    </row>
    <row r="146" spans="1:28" x14ac:dyDescent="0.3">
      <c r="A146" s="197" t="str">
        <f>'Crisis Indicator Data'!A143</f>
        <v>Floods in central Vietnam</v>
      </c>
      <c r="B146" s="198" t="str">
        <f>'Crisis Indicator Data'!B143</f>
        <v>Flood</v>
      </c>
      <c r="C146" s="198" t="str">
        <f>'Crisis Indicator Data'!C143</f>
        <v>VNM002</v>
      </c>
      <c r="D146" s="198" t="str">
        <f>'Crisis Indicator Data'!D143</f>
        <v>Vietnam</v>
      </c>
      <c r="E146" s="199" t="str">
        <f>'Crisis Indicator Data'!E143</f>
        <v>VNM</v>
      </c>
      <c r="F146" s="190">
        <f>IF('Crisis Indicator Data'!F143="x","x",IF(LOG('Crisis Indicator Data'!F143)&lt;F$4,0,IF(LOG('Crisis Indicator Data'!F143)&gt;F$3,5,ROUND(5-(F$3-LOG('Crisis Indicator Data'!F143))/(F$3-F$4)*5,1))))</f>
        <v>3.1</v>
      </c>
      <c r="G146" s="189">
        <f>IF('Crisis Indicator Data'!F143="x","x",IF(B146="Regional crisis",('Crisis Indicator Data'!F143/VLOOKUP('Impact of the crisis'!$C146,'Regional Crises'!$B$1:$R$66,4,FALSE)),'Crisis Indicator Data'!F143/VLOOKUP('Impact of the crisis'!$E146,'Country Indicator Data'!$B$4:$P$194,15,FALSE)))</f>
        <v>0.2304866643016093</v>
      </c>
      <c r="H146" s="167">
        <f t="shared" si="42"/>
        <v>1.1000000000000001</v>
      </c>
      <c r="I146" s="167">
        <f t="shared" si="43"/>
        <v>2.1</v>
      </c>
      <c r="J146" s="167">
        <f>IF('Crisis Indicator Data'!G143="x","x",IF(LOG('Crisis Indicator Data'!G143)&lt;J$4,0,IF(LOG('Crisis Indicator Data'!G143)&gt;J$3,5,ROUND(5-(J$3-LOG('Crisis Indicator Data'!G143))/(J$3-J$4)*5,1))))</f>
        <v>3</v>
      </c>
      <c r="K146" s="189">
        <f>IF('Crisis Indicator Data'!G143="x","x",IF(B146="Regional crisis",('Crisis Indicator Data'!G143/VLOOKUP('Impact of the crisis'!$C146,'Regional Crises'!$B$1:$R$66,5,FALSE)),'Crisis Indicator Data'!G143/VLOOKUP('Impact of the crisis'!$E146,'Country Indicator Data'!$B$4:$P$194,14,FALSE)))</f>
        <v>7.9805978193275576E-2</v>
      </c>
      <c r="L146" s="167">
        <f t="shared" si="44"/>
        <v>0.4</v>
      </c>
      <c r="M146" s="167">
        <f t="shared" si="45"/>
        <v>1.7</v>
      </c>
      <c r="N146" s="167">
        <f t="shared" si="46"/>
        <v>1.9</v>
      </c>
      <c r="O146" s="167">
        <f>IF('Crisis Indicator Data'!H143="x","x",IF('Crisis Indicator Data'!H143=0,0,IF(LOG('Crisis Indicator Data'!H143)&lt;O$4,0,IF(LOG('Crisis Indicator Data'!H143)&gt;O$3,5,ROUND(5-(O$3-LOG('Crisis Indicator Data'!H143))/(O$3-O$4)*5,1)))))</f>
        <v>2.8</v>
      </c>
      <c r="P146" s="185">
        <f>IF('Crisis Indicator Data'!H143="x","x",'Crisis Indicator Data'!H143/'Crisis Indicator Data'!G143)</f>
        <v>0.19480519480519481</v>
      </c>
      <c r="Q146" s="167">
        <f t="shared" si="47"/>
        <v>0.9</v>
      </c>
      <c r="R146" s="167">
        <f t="shared" si="48"/>
        <v>1.8499999999999999</v>
      </c>
      <c r="S146" s="167">
        <f>IF('Crisis Indicator Data'!I143="x","x",IF('Crisis Indicator Data'!I143=0,0,IF(LOG('Crisis Indicator Data'!I143)&lt;S$4,0,IF(LOG('Crisis Indicator Data'!I143)&gt;S$3,5,ROUND(5-(S$3-LOG('Crisis Indicator Data'!I143))/(S$3-S$4)*5,1)))))</f>
        <v>3.7</v>
      </c>
      <c r="T146" s="185">
        <f>IF('Crisis Indicator Data'!H143="x","x",IF('Crisis Indicator Data'!I143="x","x",'Crisis Indicator Data'!I143/'Crisis Indicator Data'!H143))</f>
        <v>0.25</v>
      </c>
      <c r="U146" s="167">
        <f t="shared" si="49"/>
        <v>5</v>
      </c>
      <c r="V146" s="167">
        <f t="shared" si="50"/>
        <v>4.4000000000000004</v>
      </c>
      <c r="W146" s="167">
        <f>IF('Crisis Indicator Data'!L143="x","x",IF('Crisis Indicator Data'!L143=0,0,IF(LOG('Crisis Indicator Data'!L143)&lt;W$4,0,IF(LOG('Crisis Indicator Data'!L143)&gt;W$3,5,ROUND(5-(W$3-LOG('Crisis Indicator Data'!L143))/(W$3-W$4)*5,1)))))</f>
        <v>3.3</v>
      </c>
      <c r="X146" s="186">
        <f>IF(OR('Crisis Indicator Data'!L143="x",'Crisis Indicator Data'!H143="x"),"x",'Crisis Indicator Data'!L143/'Crisis Indicator Data'!H143)</f>
        <v>1.4266666666666667E-4</v>
      </c>
      <c r="Y146" s="167">
        <f t="shared" si="51"/>
        <v>5</v>
      </c>
      <c r="Z146" s="167">
        <f t="shared" si="52"/>
        <v>4.2</v>
      </c>
      <c r="AA146" s="167">
        <f t="shared" si="53"/>
        <v>4.3</v>
      </c>
      <c r="AB146" s="187">
        <f t="shared" si="54"/>
        <v>3.3</v>
      </c>
    </row>
    <row r="147" spans="1:28" x14ac:dyDescent="0.3">
      <c r="A147" s="197" t="str">
        <f>'Crisis Indicator Data'!A144</f>
        <v>Conflict in Yemen</v>
      </c>
      <c r="B147" s="198" t="str">
        <f>'Crisis Indicator Data'!B144</f>
        <v>Complex crisis</v>
      </c>
      <c r="C147" s="198" t="str">
        <f>'Crisis Indicator Data'!C144</f>
        <v>YEM001</v>
      </c>
      <c r="D147" s="198" t="str">
        <f>'Crisis Indicator Data'!D144</f>
        <v>Yemen</v>
      </c>
      <c r="E147" s="199" t="str">
        <f>'Crisis Indicator Data'!E144</f>
        <v>YEM</v>
      </c>
      <c r="F147" s="190">
        <f>IF('Crisis Indicator Data'!F144="x","x",IF(LOG('Crisis Indicator Data'!F144)&lt;F$4,0,IF(LOG('Crisis Indicator Data'!F144)&gt;F$3,5,ROUND(5-(F$3-LOG('Crisis Indicator Data'!F144))/(F$3-F$4)*5,1))))</f>
        <v>4.5</v>
      </c>
      <c r="G147" s="189">
        <f>IF('Crisis Indicator Data'!F144="x","x",IF(B147="Regional crisis",('Crisis Indicator Data'!F144/VLOOKUP('Impact of the crisis'!$C147,'Regional Crises'!$B$1:$R$66,4,FALSE)),'Crisis Indicator Data'!F144/VLOOKUP('Impact of the crisis'!$E147,'Country Indicator Data'!$B$4:$P$194,15,FALSE)))</f>
        <v>1</v>
      </c>
      <c r="H147" s="167">
        <f t="shared" si="42"/>
        <v>5</v>
      </c>
      <c r="I147" s="167">
        <f t="shared" si="43"/>
        <v>4.75</v>
      </c>
      <c r="J147" s="167">
        <f>IF('Crisis Indicator Data'!G144="x","x",IF(LOG('Crisis Indicator Data'!G144)&lt;J$4,0,IF(LOG('Crisis Indicator Data'!G144)&gt;J$3,5,ROUND(5-(J$3-LOG('Crisis Indicator Data'!G144))/(J$3-J$4)*5,1))))</f>
        <v>4.9000000000000004</v>
      </c>
      <c r="K147" s="189">
        <f>IF('Crisis Indicator Data'!G144="x","x",IF(B147="Regional crisis",('Crisis Indicator Data'!G144/VLOOKUP('Impact of the crisis'!$C147,'Regional Crises'!$B$1:$R$66,5,FALSE)),'Crisis Indicator Data'!G144/VLOOKUP('Impact of the crisis'!$E147,'Country Indicator Data'!$B$4:$P$194,14,FALSE)))</f>
        <v>1</v>
      </c>
      <c r="L147" s="167">
        <f t="shared" si="44"/>
        <v>5</v>
      </c>
      <c r="M147" s="167">
        <f t="shared" si="45"/>
        <v>4.95</v>
      </c>
      <c r="N147" s="167">
        <f t="shared" si="46"/>
        <v>4.9000000000000004</v>
      </c>
      <c r="O147" s="167">
        <f>IF('Crisis Indicator Data'!H144="x","x",IF('Crisis Indicator Data'!H144=0,0,IF(LOG('Crisis Indicator Data'!H144)&lt;O$4,0,IF(LOG('Crisis Indicator Data'!H144)&gt;O$3,5,ROUND(5-(O$3-LOG('Crisis Indicator Data'!H144))/(O$3-O$4)*5,1)))))</f>
        <v>5</v>
      </c>
      <c r="P147" s="185">
        <f>IF('Crisis Indicator Data'!H144="x","x",'Crisis Indicator Data'!H144/'Crisis Indicator Data'!G144)</f>
        <v>1</v>
      </c>
      <c r="Q147" s="167">
        <f t="shared" si="47"/>
        <v>5</v>
      </c>
      <c r="R147" s="167">
        <f t="shared" si="48"/>
        <v>5</v>
      </c>
      <c r="S147" s="167">
        <f>IF('Crisis Indicator Data'!I144="x","x",IF('Crisis Indicator Data'!I144=0,0,IF(LOG('Crisis Indicator Data'!I144)&lt;S$4,0,IF(LOG('Crisis Indicator Data'!I144)&gt;S$3,5,ROUND(5-(S$3-LOG('Crisis Indicator Data'!I144))/(S$3-S$4)*5,1)))))</f>
        <v>5</v>
      </c>
      <c r="T147" s="185">
        <f>IF('Crisis Indicator Data'!H144="x","x",IF('Crisis Indicator Data'!I144="x","x",'Crisis Indicator Data'!I144/'Crisis Indicator Data'!H144))</f>
        <v>0.11967213114754098</v>
      </c>
      <c r="U147" s="167">
        <f t="shared" si="49"/>
        <v>4</v>
      </c>
      <c r="V147" s="167">
        <f t="shared" si="50"/>
        <v>4.5</v>
      </c>
      <c r="W147" s="167">
        <f>IF('Crisis Indicator Data'!L144="x","x",IF('Crisis Indicator Data'!L144=0,0,IF(LOG('Crisis Indicator Data'!L144)&lt;W$4,0,IF(LOG('Crisis Indicator Data'!L144)&gt;W$3,5,ROUND(5-(W$3-LOG('Crisis Indicator Data'!L144))/(W$3-W$4)*5,1)))))</f>
        <v>5</v>
      </c>
      <c r="X147" s="186">
        <f>IF(OR('Crisis Indicator Data'!L144="x",'Crisis Indicator Data'!H144="x"),"x",'Crisis Indicator Data'!L144/'Crisis Indicator Data'!H144)</f>
        <v>4.0016393442622952E-4</v>
      </c>
      <c r="Y147" s="167">
        <f t="shared" si="51"/>
        <v>5</v>
      </c>
      <c r="Z147" s="167">
        <f t="shared" si="52"/>
        <v>5</v>
      </c>
      <c r="AA147" s="167">
        <f t="shared" si="53"/>
        <v>4.8</v>
      </c>
      <c r="AB147" s="187">
        <f t="shared" si="54"/>
        <v>4.9000000000000004</v>
      </c>
    </row>
    <row r="148" spans="1:28" x14ac:dyDescent="0.3">
      <c r="A148" s="197" t="str">
        <f>'Crisis Indicator Data'!A145</f>
        <v>Mixed migration flows in Yemen</v>
      </c>
      <c r="B148" s="198" t="str">
        <f>'Crisis Indicator Data'!B145</f>
        <v>International displacement</v>
      </c>
      <c r="C148" s="198" t="str">
        <f>'Crisis Indicator Data'!C145</f>
        <v>YEM002</v>
      </c>
      <c r="D148" s="198" t="str">
        <f>'Crisis Indicator Data'!D145</f>
        <v>Yemen</v>
      </c>
      <c r="E148" s="199" t="str">
        <f>'Crisis Indicator Data'!E145</f>
        <v>YEM</v>
      </c>
      <c r="F148" s="190">
        <f>IF('Crisis Indicator Data'!F145="x","x",IF(LOG('Crisis Indicator Data'!F145)&lt;F$4,0,IF(LOG('Crisis Indicator Data'!F145)&gt;F$3,5,ROUND(5-(F$3-LOG('Crisis Indicator Data'!F145))/(F$3-F$4)*5,1))))</f>
        <v>0.2</v>
      </c>
      <c r="G148" s="189">
        <f>IF('Crisis Indicator Data'!F145="x","x",IF(B148="Regional crisis",('Crisis Indicator Data'!F145/VLOOKUP('Impact of the crisis'!$C148,'Regional Crises'!$B$1:$R$66,4,FALSE)),'Crisis Indicator Data'!F145/VLOOKUP('Impact of the crisis'!$E148,'Country Indicator Data'!$B$4:$P$194,15,FALSE)))</f>
        <v>2.348618292706025E-3</v>
      </c>
      <c r="H148" s="167">
        <f t="shared" ref="H148:H151" si="55">IF(G148="x","x",IF(G148&lt;H$4,0,IF(G148&gt;H$3,5,ROUND(5-(H$3-G148)/(H$3-H$4)*5,1))))</f>
        <v>0</v>
      </c>
      <c r="I148" s="167">
        <f t="shared" ref="I148:I151" si="56">IF(AND(H148="x",F148="x"),"x",AVERAGE(F148,H148))</f>
        <v>0.1</v>
      </c>
      <c r="J148" s="167">
        <f>IF('Crisis Indicator Data'!G145="x","x",IF(LOG('Crisis Indicator Data'!G145)&lt;J$4,0,IF(LOG('Crisis Indicator Data'!G145)&gt;J$3,5,ROUND(5-(J$3-LOG('Crisis Indicator Data'!G145))/(J$3-J$4)*5,1))))</f>
        <v>2</v>
      </c>
      <c r="K148" s="189">
        <f>IF('Crisis Indicator Data'!G145="x","x",IF(B148="Regional crisis",('Crisis Indicator Data'!G145/VLOOKUP('Impact of the crisis'!$C148,'Regional Crises'!$B$1:$R$66,5,FALSE)),'Crisis Indicator Data'!G145/VLOOKUP('Impact of the crisis'!$E148,'Country Indicator Data'!$B$4:$P$194,14,FALSE)))</f>
        <v>0.13354098360655739</v>
      </c>
      <c r="L148" s="167">
        <f t="shared" ref="L148:L151" si="57">IF(K148="x","x",IF(K148&lt;L$4,0,IF(K148&gt;L$3,5,ROUND(5-(L$3-K148)/(L$3-L$4)*5,1))))</f>
        <v>0.6</v>
      </c>
      <c r="M148" s="167">
        <f t="shared" ref="M148:M151" si="58">IF(AND(L148="x",J148="x"),"x",AVERAGE(J148,L148))</f>
        <v>1.3</v>
      </c>
      <c r="N148" s="167">
        <f t="shared" ref="N148:N151" si="59">IF(AND(M148="x",I148="x"),"x",IF(OR(M148="x",I148="x"),AVERAGE(I148,M148),ROUND((5-GEOMEAN(((5-I148)/5*4+1),((5-M148)/5*4+1)))/4*5,1)))</f>
        <v>0.7</v>
      </c>
      <c r="O148" s="167">
        <f>IF('Crisis Indicator Data'!H145="x","x",IF('Crisis Indicator Data'!H145=0,0,IF(LOG('Crisis Indicator Data'!H145)&lt;O$4,0,IF(LOG('Crisis Indicator Data'!H145)&gt;O$3,5,ROUND(5-(O$3-LOG('Crisis Indicator Data'!H145))/(O$3-O$4)*5,1)))))</f>
        <v>1.9</v>
      </c>
      <c r="P148" s="185">
        <f>IF('Crisis Indicator Data'!H145="x","x",'Crisis Indicator Data'!H145/'Crisis Indicator Data'!G145)</f>
        <v>0.10360913331696538</v>
      </c>
      <c r="Q148" s="167">
        <f t="shared" ref="Q148:Q151" si="60">IF(P148="x","x",IF(P148&lt;Q$4,0,IF(P148&gt;Q$3,5,ROUND(5-(Q$3-P148)/(Q$3-Q$4)*5,1))))</f>
        <v>0.5</v>
      </c>
      <c r="R148" s="167">
        <f t="shared" ref="R148:R151" si="61">IF(AND(Q148="x",O148="x"),"x",AVERAGE(O148,Q148))</f>
        <v>1.2</v>
      </c>
      <c r="S148" s="167">
        <f>IF('Crisis Indicator Data'!I145="x","x",IF('Crisis Indicator Data'!I145=0,0,IF(LOG('Crisis Indicator Data'!I145)&lt;S$4,0,IF(LOG('Crisis Indicator Data'!I145)&gt;S$3,5,ROUND(5-(S$3-LOG('Crisis Indicator Data'!I145))/(S$3-S$4)*5,1)))))</f>
        <v>3.8</v>
      </c>
      <c r="T148" s="185">
        <f>IF('Crisis Indicator Data'!H145="x","x",IF('Crisis Indicator Data'!I145="x","x",'Crisis Indicator Data'!I145/'Crisis Indicator Data'!H145))</f>
        <v>1</v>
      </c>
      <c r="U148" s="167">
        <f t="shared" ref="U148:U151" si="62">IF(T148="x","x",IF(T148&lt;U$4,0,IF(T148&gt;U$3,5,ROUND(5-(U$3-T148)/(U$3-U$4)*5,1))))</f>
        <v>5</v>
      </c>
      <c r="V148" s="167">
        <f t="shared" ref="V148:V151" si="63">IF(AND(U148="x",S148="x"),"x",ROUND(AVERAGE(S148,U148),1))</f>
        <v>4.4000000000000004</v>
      </c>
      <c r="W148" s="167">
        <f>IF('Crisis Indicator Data'!L145="x","x",IF('Crisis Indicator Data'!L145=0,0,IF(LOG('Crisis Indicator Data'!L145)&lt;W$4,0,IF(LOG('Crisis Indicator Data'!L145)&gt;W$3,5,ROUND(5-(W$3-LOG('Crisis Indicator Data'!L145))/(W$3-W$4)*5,1)))))</f>
        <v>1.8</v>
      </c>
      <c r="X148" s="186">
        <f>IF(OR('Crisis Indicator Data'!L145="x",'Crisis Indicator Data'!H145="x"),"x",'Crisis Indicator Data'!L145/'Crisis Indicator Data'!H145)</f>
        <v>4.0284360189573462E-5</v>
      </c>
      <c r="Y148" s="167">
        <f t="shared" ref="Y148:Y151" si="64">IF(X148="x","x",IF(X148&lt;Y$4,0,IF(X148&gt;Y$3,5,ROUND(5-(Y$3-X148)/(Y$3-Y$4)*5,1))))</f>
        <v>2</v>
      </c>
      <c r="Z148" s="167">
        <f t="shared" ref="Z148:Z151" si="65">IF(AND(Y148="x",W148="x"),"x",ROUND(AVERAGE(W148,Y148),1))</f>
        <v>1.9</v>
      </c>
      <c r="AA148" s="167">
        <f t="shared" ref="AA148:AA151" si="66">IF(AND(V148="x",Z148="x"),"x",IF(OR(V148="x",Z148="x"),AVERAGE(V148,Z148),ROUND((5-GEOMEAN(((5-V148)/5*4+1),((5-Z148)/5*4+1)))/4*5,1)))</f>
        <v>3.4</v>
      </c>
      <c r="AB148" s="187">
        <f t="shared" ref="AB148:AB151" si="67">IF(AND(R148="x",AA148="x"),"x",IF(OR(R148="x",AA148="x"),AVERAGE(R148,AA148),ROUND((5-GEOMEAN(((5-R148)/5*4+1),((5-AA148)/5*4+1)))/4*5,1)))</f>
        <v>2.5</v>
      </c>
    </row>
    <row r="149" spans="1:28" x14ac:dyDescent="0.3">
      <c r="A149" s="197" t="str">
        <f>'Crisis Indicator Data'!A146</f>
        <v>Drought in Zambia</v>
      </c>
      <c r="B149" s="198" t="str">
        <f>'Crisis Indicator Data'!B146</f>
        <v>Drought</v>
      </c>
      <c r="C149" s="198" t="str">
        <f>'Crisis Indicator Data'!C146</f>
        <v>ZMB002</v>
      </c>
      <c r="D149" s="198" t="str">
        <f>'Crisis Indicator Data'!D146</f>
        <v>Zambia</v>
      </c>
      <c r="E149" s="199" t="str">
        <f>'Crisis Indicator Data'!E146</f>
        <v>ZMB</v>
      </c>
      <c r="F149" s="190">
        <f>IF('Crisis Indicator Data'!F146="x","x",IF(LOG('Crisis Indicator Data'!F146)&lt;F$4,0,IF(LOG('Crisis Indicator Data'!F146)&gt;F$3,5,ROUND(5-(F$3-LOG('Crisis Indicator Data'!F146))/(F$3-F$4)*5,1))))</f>
        <v>4.7</v>
      </c>
      <c r="G149" s="189">
        <f>IF('Crisis Indicator Data'!F146="x","x",IF(B149="Regional crisis",('Crisis Indicator Data'!F146/VLOOKUP('Impact of the crisis'!$C149,'Regional Crises'!$B$1:$R$66,4,FALSE)),'Crisis Indicator Data'!F146/VLOOKUP('Impact of the crisis'!$E149,'Country Indicator Data'!$B$4:$P$194,15,FALSE)))</f>
        <v>0.84328548944699278</v>
      </c>
      <c r="H149" s="167">
        <f t="shared" si="55"/>
        <v>4.2</v>
      </c>
      <c r="I149" s="167">
        <f t="shared" si="56"/>
        <v>4.45</v>
      </c>
      <c r="J149" s="167">
        <f>IF('Crisis Indicator Data'!G146="x","x",IF(LOG('Crisis Indicator Data'!G146)&lt;J$4,0,IF(LOG('Crisis Indicator Data'!G146)&gt;J$3,5,ROUND(5-(J$3-LOG('Crisis Indicator Data'!G146))/(J$3-J$4)*5,1))))</f>
        <v>3.3</v>
      </c>
      <c r="K149" s="189">
        <f>IF('Crisis Indicator Data'!G146="x","x",IF(B149="Regional crisis",('Crisis Indicator Data'!G146/VLOOKUP('Impact of the crisis'!$C149,'Regional Crises'!$B$1:$R$66,5,FALSE)),'Crisis Indicator Data'!G146/VLOOKUP('Impact of the crisis'!$E149,'Country Indicator Data'!$B$4:$P$194,14,FALSE)))</f>
        <v>0.57499848365378781</v>
      </c>
      <c r="L149" s="167">
        <f t="shared" si="57"/>
        <v>2.9</v>
      </c>
      <c r="M149" s="167">
        <f t="shared" si="58"/>
        <v>3.0999999999999996</v>
      </c>
      <c r="N149" s="167">
        <f t="shared" si="59"/>
        <v>3.9</v>
      </c>
      <c r="O149" s="167">
        <f>IF('Crisis Indicator Data'!H146="x","x",IF('Crisis Indicator Data'!H146=0,0,IF(LOG('Crisis Indicator Data'!H146)&lt;O$4,0,IF(LOG('Crisis Indicator Data'!H146)&gt;O$3,5,ROUND(5-(O$3-LOG('Crisis Indicator Data'!H146))/(O$3-O$4)*5,1)))))</f>
        <v>3.3</v>
      </c>
      <c r="P149" s="185">
        <f>IF('Crisis Indicator Data'!H146="x","x",'Crisis Indicator Data'!H146/'Crisis Indicator Data'!G146)</f>
        <v>0.329957805907173</v>
      </c>
      <c r="Q149" s="167">
        <f t="shared" si="60"/>
        <v>1.6</v>
      </c>
      <c r="R149" s="167">
        <f t="shared" si="61"/>
        <v>2.4500000000000002</v>
      </c>
      <c r="S149" s="167">
        <f>IF('Crisis Indicator Data'!I146="x","x",IF('Crisis Indicator Data'!I146=0,0,IF(LOG('Crisis Indicator Data'!I146)&lt;S$4,0,IF(LOG('Crisis Indicator Data'!I146)&gt;S$3,5,ROUND(5-(S$3-LOG('Crisis Indicator Data'!I146))/(S$3-S$4)*5,1)))))</f>
        <v>0</v>
      </c>
      <c r="T149" s="185">
        <f>IF('Crisis Indicator Data'!H146="x","x",IF('Crisis Indicator Data'!I146="x","x",'Crisis Indicator Data'!I146/'Crisis Indicator Data'!H146))</f>
        <v>0</v>
      </c>
      <c r="U149" s="167">
        <f t="shared" si="62"/>
        <v>0</v>
      </c>
      <c r="V149" s="167">
        <f t="shared" si="63"/>
        <v>0</v>
      </c>
      <c r="W149" s="167" t="str">
        <f>IF('Crisis Indicator Data'!L146="x","x",IF('Crisis Indicator Data'!L146=0,0,IF(LOG('Crisis Indicator Data'!L146)&lt;W$4,0,IF(LOG('Crisis Indicator Data'!L146)&gt;W$3,5,ROUND(5-(W$3-LOG('Crisis Indicator Data'!L146))/(W$3-W$4)*5,1)))))</f>
        <v>x</v>
      </c>
      <c r="X149" s="186" t="str">
        <f>IF(OR('Crisis Indicator Data'!L146="x",'Crisis Indicator Data'!H146="x"),"x",'Crisis Indicator Data'!L146/'Crisis Indicator Data'!H146)</f>
        <v>x</v>
      </c>
      <c r="Y149" s="167" t="str">
        <f t="shared" si="64"/>
        <v>x</v>
      </c>
      <c r="Z149" s="167" t="str">
        <f t="shared" si="65"/>
        <v>x</v>
      </c>
      <c r="AA149" s="167">
        <f t="shared" si="66"/>
        <v>0</v>
      </c>
      <c r="AB149" s="187">
        <f t="shared" si="67"/>
        <v>1.4</v>
      </c>
    </row>
    <row r="150" spans="1:28" x14ac:dyDescent="0.3">
      <c r="A150" s="197" t="str">
        <f>'Crisis Indicator Data'!A147</f>
        <v>Complex crisis in Zimbabwe</v>
      </c>
      <c r="B150" s="198" t="str">
        <f>'Crisis Indicator Data'!B147</f>
        <v>Complex crisis</v>
      </c>
      <c r="C150" s="198" t="str">
        <f>'Crisis Indicator Data'!C147</f>
        <v>ZWE001</v>
      </c>
      <c r="D150" s="198" t="str">
        <f>'Crisis Indicator Data'!D147</f>
        <v>Zimbabwe</v>
      </c>
      <c r="E150" s="199" t="str">
        <f>'Crisis Indicator Data'!E147</f>
        <v>ZWE</v>
      </c>
      <c r="F150" s="190">
        <f>IF('Crisis Indicator Data'!F147="x","x",IF(LOG('Crisis Indicator Data'!F147)&lt;F$4,0,IF(LOG('Crisis Indicator Data'!F147)&gt;F$3,5,ROUND(5-(F$3-LOG('Crisis Indicator Data'!F147))/(F$3-F$4)*5,1))))</f>
        <v>4.3</v>
      </c>
      <c r="G150" s="189">
        <f>IF('Crisis Indicator Data'!F147="x","x",IF(B150="Regional crisis",('Crisis Indicator Data'!F147/VLOOKUP('Impact of the crisis'!$C150,'Regional Crises'!$B$1:$R$66,4,FALSE)),'Crisis Indicator Data'!F147/VLOOKUP('Impact of the crisis'!$E150,'Country Indicator Data'!$B$4:$P$194,15,FALSE)))</f>
        <v>0.99999224505622331</v>
      </c>
      <c r="H150" s="167">
        <f t="shared" si="55"/>
        <v>5</v>
      </c>
      <c r="I150" s="167">
        <f t="shared" si="56"/>
        <v>4.6500000000000004</v>
      </c>
      <c r="J150" s="167">
        <f>IF('Crisis Indicator Data'!G147="x","x",IF(LOG('Crisis Indicator Data'!G147)&lt;J$4,0,IF(LOG('Crisis Indicator Data'!G147)&gt;J$3,5,ROUND(5-(J$3-LOG('Crisis Indicator Data'!G147))/(J$3-J$4)*5,1))))</f>
        <v>4</v>
      </c>
      <c r="K150" s="189">
        <f>IF('Crisis Indicator Data'!G147="x","x",IF(B150="Regional crisis",('Crisis Indicator Data'!G147/VLOOKUP('Impact of the crisis'!$C150,'Regional Crises'!$B$1:$R$66,5,FALSE)),'Crisis Indicator Data'!G147/VLOOKUP('Impact of the crisis'!$E150,'Country Indicator Data'!$B$4:$P$194,14,FALSE)))</f>
        <v>1</v>
      </c>
      <c r="L150" s="167">
        <f t="shared" si="57"/>
        <v>5</v>
      </c>
      <c r="M150" s="167">
        <f t="shared" si="58"/>
        <v>4.5</v>
      </c>
      <c r="N150" s="167">
        <f t="shared" si="59"/>
        <v>4.5999999999999996</v>
      </c>
      <c r="O150" s="167">
        <f>IF('Crisis Indicator Data'!H147="x","x",IF('Crisis Indicator Data'!H147=0,0,IF(LOG('Crisis Indicator Data'!H147)&lt;O$4,0,IF(LOG('Crisis Indicator Data'!H147)&gt;O$3,5,ROUND(5-(O$3-LOG('Crisis Indicator Data'!H147))/(O$3-O$4)*5,1)))))</f>
        <v>3.9</v>
      </c>
      <c r="P150" s="185">
        <f>IF('Crisis Indicator Data'!H147="x","x",'Crisis Indicator Data'!H147/'Crisis Indicator Data'!G147)</f>
        <v>0.45416207097904365</v>
      </c>
      <c r="Q150" s="167">
        <f t="shared" si="60"/>
        <v>2.2000000000000002</v>
      </c>
      <c r="R150" s="167">
        <f t="shared" si="61"/>
        <v>3.05</v>
      </c>
      <c r="S150" s="167">
        <f>IF('Crisis Indicator Data'!I147="x","x",IF('Crisis Indicator Data'!I147=0,0,IF(LOG('Crisis Indicator Data'!I147)&lt;S$4,0,IF(LOG('Crisis Indicator Data'!I147)&gt;S$3,5,ROUND(5-(S$3-LOG('Crisis Indicator Data'!I147))/(S$3-S$4)*5,1)))))</f>
        <v>1.9</v>
      </c>
      <c r="T150" s="185">
        <f>IF('Crisis Indicator Data'!H147="x","x",IF('Crisis Indicator Data'!I147="x","x",'Crisis Indicator Data'!I147/'Crisis Indicator Data'!H147))</f>
        <v>3.0000000000000001E-3</v>
      </c>
      <c r="U150" s="167">
        <f t="shared" si="62"/>
        <v>0.1</v>
      </c>
      <c r="V150" s="167">
        <f t="shared" si="63"/>
        <v>1</v>
      </c>
      <c r="W150" s="167">
        <f>IF('Crisis Indicator Data'!L147="x","x",IF('Crisis Indicator Data'!L147=0,0,IF(LOG('Crisis Indicator Data'!L147)&lt;W$4,0,IF(LOG('Crisis Indicator Data'!L147)&gt;W$3,5,ROUND(5-(W$3-LOG('Crisis Indicator Data'!L147))/(W$3-W$4)*5,1)))))</f>
        <v>1.6</v>
      </c>
      <c r="X150" s="186">
        <f>IF(OR('Crisis Indicator Data'!L147="x",'Crisis Indicator Data'!H147="x"),"x",'Crisis Indicator Data'!L147/'Crisis Indicator Data'!H147)</f>
        <v>1.9999999999999999E-6</v>
      </c>
      <c r="Y150" s="167">
        <f t="shared" si="64"/>
        <v>0.1</v>
      </c>
      <c r="Z150" s="167">
        <f t="shared" si="65"/>
        <v>0.9</v>
      </c>
      <c r="AA150" s="167">
        <f t="shared" si="66"/>
        <v>1</v>
      </c>
      <c r="AB150" s="187">
        <f t="shared" si="67"/>
        <v>2.2000000000000002</v>
      </c>
    </row>
    <row r="151" spans="1:28" x14ac:dyDescent="0.3">
      <c r="A151" s="197" t="str">
        <f>'Crisis Indicator Data'!A148</f>
        <v>Malaria Outbreak in Zimbabwe</v>
      </c>
      <c r="B151" s="198" t="str">
        <f>'Crisis Indicator Data'!B148</f>
        <v>Epidemic</v>
      </c>
      <c r="C151" s="198" t="str">
        <f>'Crisis Indicator Data'!C148</f>
        <v>ZWE003</v>
      </c>
      <c r="D151" s="198" t="str">
        <f>'Crisis Indicator Data'!D148</f>
        <v>Zimbabwe</v>
      </c>
      <c r="E151" s="199" t="str">
        <f>'Crisis Indicator Data'!E148</f>
        <v>ZWE</v>
      </c>
      <c r="F151" s="190">
        <f>IF('Crisis Indicator Data'!F148="x","x",IF(LOG('Crisis Indicator Data'!F148)&lt;F$4,0,IF(LOG('Crisis Indicator Data'!F148)&gt;F$3,5,ROUND(5-(F$3-LOG('Crisis Indicator Data'!F148))/(F$3-F$4)*5,1))))</f>
        <v>3.5</v>
      </c>
      <c r="G151" s="189">
        <f>IF('Crisis Indicator Data'!F148="x","x",IF(B151="Regional crisis",('Crisis Indicator Data'!F148/VLOOKUP('Impact of the crisis'!$C151,'Regional Crises'!$B$1:$R$66,4,FALSE)),'Crisis Indicator Data'!F148/VLOOKUP('Impact of the crisis'!$E151,'Country Indicator Data'!$B$4:$P$194,15,FALSE)))</f>
        <v>0.32378182758175006</v>
      </c>
      <c r="H151" s="167">
        <f t="shared" si="55"/>
        <v>1.5</v>
      </c>
      <c r="I151" s="167">
        <f t="shared" si="56"/>
        <v>2.5</v>
      </c>
      <c r="J151" s="167">
        <f>IF('Crisis Indicator Data'!G148="x","x",IF(LOG('Crisis Indicator Data'!G148)&lt;J$4,0,IF(LOG('Crisis Indicator Data'!G148)&gt;J$3,5,ROUND(5-(J$3-LOG('Crisis Indicator Data'!G148))/(J$3-J$4)*5,1))))</f>
        <v>2.2999999999999998</v>
      </c>
      <c r="K151" s="189">
        <f>IF('Crisis Indicator Data'!G148="x","x",IF(B151="Regional crisis",('Crisis Indicator Data'!G148/VLOOKUP('Impact of the crisis'!$C151,'Regional Crises'!$B$1:$R$66,5,FALSE)),'Crisis Indicator Data'!G148/VLOOKUP('Impact of the crisis'!$E151,'Country Indicator Data'!$B$4:$P$194,14,FALSE)))</f>
        <v>0.3101926944786868</v>
      </c>
      <c r="L151" s="167">
        <f t="shared" si="57"/>
        <v>1.5</v>
      </c>
      <c r="M151" s="167">
        <f t="shared" si="58"/>
        <v>1.9</v>
      </c>
      <c r="N151" s="167">
        <f t="shared" si="59"/>
        <v>2.2000000000000002</v>
      </c>
      <c r="O151" s="167">
        <f>IF('Crisis Indicator Data'!H148="x","x",IF('Crisis Indicator Data'!H148=0,0,IF(LOG('Crisis Indicator Data'!H148)&lt;O$4,0,IF(LOG('Crisis Indicator Data'!H148)&gt;O$3,5,ROUND(5-(O$3-LOG('Crisis Indicator Data'!H148))/(O$3-O$4)*5,1)))))</f>
        <v>1.8</v>
      </c>
      <c r="P151" s="185">
        <f>IF('Crisis Indicator Data'!H148="x","x",'Crisis Indicator Data'!H148/'Crisis Indicator Data'!G148)</f>
        <v>7.4670571010248904E-2</v>
      </c>
      <c r="Q151" s="167">
        <f t="shared" si="60"/>
        <v>0.3</v>
      </c>
      <c r="R151" s="167">
        <f t="shared" si="61"/>
        <v>1.05</v>
      </c>
      <c r="S151" s="167" t="str">
        <f>IF('Crisis Indicator Data'!I148="x","x",IF('Crisis Indicator Data'!I148=0,0,IF(LOG('Crisis Indicator Data'!I148)&lt;S$4,0,IF(LOG('Crisis Indicator Data'!I148)&gt;S$3,5,ROUND(5-(S$3-LOG('Crisis Indicator Data'!I148))/(S$3-S$4)*5,1)))))</f>
        <v>x</v>
      </c>
      <c r="T151" s="185" t="str">
        <f>IF('Crisis Indicator Data'!H148="x","x",IF('Crisis Indicator Data'!I148="x","x",'Crisis Indicator Data'!I148/'Crisis Indicator Data'!H148))</f>
        <v>x</v>
      </c>
      <c r="U151" s="167" t="str">
        <f t="shared" si="62"/>
        <v>x</v>
      </c>
      <c r="V151" s="167" t="str">
        <f t="shared" si="63"/>
        <v>x</v>
      </c>
      <c r="W151" s="167">
        <f>IF('Crisis Indicator Data'!L148="x","x",IF('Crisis Indicator Data'!L148=0,0,IF(LOG('Crisis Indicator Data'!L148)&lt;W$4,0,IF(LOG('Crisis Indicator Data'!L148)&gt;W$3,5,ROUND(5-(W$3-LOG('Crisis Indicator Data'!L148))/(W$3-W$4)*5,1)))))</f>
        <v>3.7</v>
      </c>
      <c r="X151" s="186">
        <f>IF(OR('Crisis Indicator Data'!L148="x",'Crisis Indicator Data'!H148="x"),"x",'Crisis Indicator Data'!L148/'Crisis Indicator Data'!H148)</f>
        <v>1.0112044817927172E-3</v>
      </c>
      <c r="Y151" s="167">
        <f t="shared" si="64"/>
        <v>5</v>
      </c>
      <c r="Z151" s="167">
        <f t="shared" si="65"/>
        <v>4.4000000000000004</v>
      </c>
      <c r="AA151" s="167">
        <f t="shared" si="66"/>
        <v>4.4000000000000004</v>
      </c>
      <c r="AB151" s="187">
        <f t="shared" si="67"/>
        <v>3.1</v>
      </c>
    </row>
    <row r="152" spans="1:28" x14ac:dyDescent="0.3">
      <c r="A152"/>
      <c r="B152"/>
      <c r="C152"/>
      <c r="D152"/>
      <c r="E152"/>
      <c r="F152"/>
      <c r="G152"/>
      <c r="H152"/>
      <c r="I152"/>
      <c r="J152"/>
      <c r="K152"/>
      <c r="L152"/>
      <c r="M152"/>
      <c r="N152"/>
      <c r="O152"/>
      <c r="P152"/>
      <c r="Q152"/>
      <c r="R152"/>
      <c r="S152"/>
      <c r="T152"/>
      <c r="U152"/>
      <c r="V152"/>
      <c r="W152"/>
      <c r="X152"/>
      <c r="Y152"/>
      <c r="Z152"/>
      <c r="AA152"/>
      <c r="AB152"/>
    </row>
    <row r="153" spans="1:28" x14ac:dyDescent="0.3">
      <c r="A153"/>
      <c r="B153"/>
      <c r="C153"/>
      <c r="D153"/>
      <c r="E153"/>
      <c r="F153"/>
      <c r="G153"/>
      <c r="H153"/>
      <c r="I153"/>
      <c r="J153"/>
      <c r="K153"/>
      <c r="L153"/>
      <c r="M153"/>
      <c r="N153"/>
      <c r="O153"/>
      <c r="P153"/>
      <c r="Q153"/>
      <c r="R153"/>
      <c r="S153"/>
      <c r="T153"/>
      <c r="U153"/>
      <c r="V153"/>
      <c r="W153"/>
      <c r="X153"/>
      <c r="Y153"/>
      <c r="Z153"/>
      <c r="AA153"/>
      <c r="AB153"/>
    </row>
    <row r="154" spans="1:28" x14ac:dyDescent="0.3">
      <c r="A154"/>
      <c r="B154"/>
      <c r="C154"/>
      <c r="D154"/>
      <c r="E154"/>
      <c r="F154"/>
      <c r="G154"/>
      <c r="H154"/>
      <c r="I154"/>
      <c r="J154"/>
      <c r="K154"/>
      <c r="L154"/>
      <c r="M154"/>
      <c r="N154"/>
      <c r="O154"/>
      <c r="P154"/>
      <c r="Q154"/>
      <c r="R154"/>
      <c r="S154"/>
      <c r="T154"/>
      <c r="U154"/>
      <c r="V154"/>
      <c r="W154"/>
      <c r="X154"/>
      <c r="Y154"/>
      <c r="Z154"/>
      <c r="AA154"/>
      <c r="AB154"/>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xmlns:xlrd2="http://schemas.microsoft.com/office/spreadsheetml/2017/richdata2" ref="C3:E182">
    <sortCondition ref="C3:C182"/>
  </sortState>
  <mergeCells count="1">
    <mergeCell ref="A1:AB1"/>
  </mergeCells>
  <conditionalFormatting sqref="K6:K151">
    <cfRule type="cellIs" priority="100" stopIfTrue="1" operator="equal">
      <formula>"x"</formula>
    </cfRule>
  </conditionalFormatting>
  <conditionalFormatting sqref="P6:P151">
    <cfRule type="cellIs" priority="98" stopIfTrue="1" operator="equal">
      <formula>"x"</formula>
    </cfRule>
  </conditionalFormatting>
  <conditionalFormatting sqref="T6:T151">
    <cfRule type="cellIs" priority="96" stopIfTrue="1" operator="equal">
      <formula>"x"</formula>
    </cfRule>
  </conditionalFormatting>
  <conditionalFormatting sqref="F6:F151">
    <cfRule type="cellIs" dxfId="229" priority="91" stopIfTrue="1" operator="between">
      <formula>4</formula>
      <formula>5</formula>
    </cfRule>
    <cfRule type="cellIs" dxfId="228" priority="92" stopIfTrue="1" operator="between">
      <formula>3</formula>
      <formula>4</formula>
    </cfRule>
    <cfRule type="cellIs" dxfId="227" priority="93" stopIfTrue="1" operator="between">
      <formula>2</formula>
      <formula>3</formula>
    </cfRule>
    <cfRule type="cellIs" dxfId="226" priority="94" stopIfTrue="1" operator="between">
      <formula>1</formula>
      <formula>2</formula>
    </cfRule>
    <cfRule type="cellIs" dxfId="225" priority="95" stopIfTrue="1" operator="between">
      <formula>0</formula>
      <formula>1</formula>
    </cfRule>
  </conditionalFormatting>
  <conditionalFormatting sqref="H6:H151">
    <cfRule type="cellIs" dxfId="224" priority="86" stopIfTrue="1" operator="between">
      <formula>4</formula>
      <formula>5</formula>
    </cfRule>
    <cfRule type="cellIs" dxfId="223" priority="87" stopIfTrue="1" operator="between">
      <formula>3</formula>
      <formula>4</formula>
    </cfRule>
    <cfRule type="cellIs" dxfId="222" priority="88" stopIfTrue="1" operator="between">
      <formula>2</formula>
      <formula>3</formula>
    </cfRule>
    <cfRule type="cellIs" dxfId="221" priority="89" stopIfTrue="1" operator="between">
      <formula>1</formula>
      <formula>2</formula>
    </cfRule>
    <cfRule type="cellIs" dxfId="220" priority="90" stopIfTrue="1" operator="between">
      <formula>0</formula>
      <formula>1</formula>
    </cfRule>
  </conditionalFormatting>
  <conditionalFormatting sqref="I7:I151">
    <cfRule type="cellIs" dxfId="219" priority="81" stopIfTrue="1" operator="between">
      <formula>4</formula>
      <formula>5</formula>
    </cfRule>
    <cfRule type="cellIs" dxfId="218" priority="82" stopIfTrue="1" operator="between">
      <formula>3</formula>
      <formula>4</formula>
    </cfRule>
    <cfRule type="cellIs" dxfId="217" priority="83" stopIfTrue="1" operator="between">
      <formula>2</formula>
      <formula>3</formula>
    </cfRule>
    <cfRule type="cellIs" dxfId="216" priority="84" stopIfTrue="1" operator="between">
      <formula>1</formula>
      <formula>2</formula>
    </cfRule>
    <cfRule type="cellIs" dxfId="215" priority="85" stopIfTrue="1" operator="between">
      <formula>0</formula>
      <formula>1</formula>
    </cfRule>
  </conditionalFormatting>
  <conditionalFormatting sqref="J6:J151">
    <cfRule type="cellIs" dxfId="214" priority="76" stopIfTrue="1" operator="between">
      <formula>4</formula>
      <formula>5</formula>
    </cfRule>
    <cfRule type="cellIs" dxfId="213" priority="77" stopIfTrue="1" operator="between">
      <formula>3</formula>
      <formula>4</formula>
    </cfRule>
    <cfRule type="cellIs" dxfId="212" priority="78" stopIfTrue="1" operator="between">
      <formula>2</formula>
      <formula>3</formula>
    </cfRule>
    <cfRule type="cellIs" dxfId="211" priority="79" stopIfTrue="1" operator="between">
      <formula>1</formula>
      <formula>2</formula>
    </cfRule>
    <cfRule type="cellIs" dxfId="210" priority="80" stopIfTrue="1" operator="between">
      <formula>0</formula>
      <formula>1</formula>
    </cfRule>
  </conditionalFormatting>
  <conditionalFormatting sqref="I6">
    <cfRule type="cellIs" dxfId="209" priority="71" stopIfTrue="1" operator="between">
      <formula>4</formula>
      <formula>5</formula>
    </cfRule>
    <cfRule type="cellIs" dxfId="208" priority="72" stopIfTrue="1" operator="between">
      <formula>3</formula>
      <formula>4</formula>
    </cfRule>
    <cfRule type="cellIs" dxfId="207" priority="73" stopIfTrue="1" operator="between">
      <formula>2</formula>
      <formula>3</formula>
    </cfRule>
    <cfRule type="cellIs" dxfId="206" priority="74" stopIfTrue="1" operator="between">
      <formula>1</formula>
      <formula>2</formula>
    </cfRule>
    <cfRule type="cellIs" dxfId="205" priority="75" stopIfTrue="1" operator="between">
      <formula>0</formula>
      <formula>1</formula>
    </cfRule>
  </conditionalFormatting>
  <conditionalFormatting sqref="L6:L151">
    <cfRule type="cellIs" dxfId="204" priority="66" stopIfTrue="1" operator="between">
      <formula>4</formula>
      <formula>5</formula>
    </cfRule>
    <cfRule type="cellIs" dxfId="203" priority="67" stopIfTrue="1" operator="between">
      <formula>3</formula>
      <formula>4</formula>
    </cfRule>
    <cfRule type="cellIs" dxfId="202" priority="68" stopIfTrue="1" operator="between">
      <formula>2</formula>
      <formula>3</formula>
    </cfRule>
    <cfRule type="cellIs" dxfId="201" priority="69" stopIfTrue="1" operator="between">
      <formula>1</formula>
      <formula>2</formula>
    </cfRule>
    <cfRule type="cellIs" dxfId="200" priority="70" stopIfTrue="1" operator="between">
      <formula>0</formula>
      <formula>1</formula>
    </cfRule>
  </conditionalFormatting>
  <conditionalFormatting sqref="M6:M151">
    <cfRule type="cellIs" dxfId="199" priority="61" stopIfTrue="1" operator="between">
      <formula>4</formula>
      <formula>5</formula>
    </cfRule>
    <cfRule type="cellIs" dxfId="198" priority="62" stopIfTrue="1" operator="between">
      <formula>3</formula>
      <formula>4</formula>
    </cfRule>
    <cfRule type="cellIs" dxfId="197" priority="63" stopIfTrue="1" operator="between">
      <formula>2</formula>
      <formula>3</formula>
    </cfRule>
    <cfRule type="cellIs" dxfId="196" priority="64" stopIfTrue="1" operator="between">
      <formula>1</formula>
      <formula>2</formula>
    </cfRule>
    <cfRule type="cellIs" dxfId="195" priority="65" stopIfTrue="1" operator="between">
      <formula>0</formula>
      <formula>1</formula>
    </cfRule>
  </conditionalFormatting>
  <conditionalFormatting sqref="N6:N151">
    <cfRule type="cellIs" dxfId="194" priority="56" stopIfTrue="1" operator="between">
      <formula>4</formula>
      <formula>5</formula>
    </cfRule>
    <cfRule type="cellIs" dxfId="193" priority="57" stopIfTrue="1" operator="between">
      <formula>3</formula>
      <formula>4</formula>
    </cfRule>
    <cfRule type="cellIs" dxfId="192" priority="58" stopIfTrue="1" operator="between">
      <formula>2</formula>
      <formula>3</formula>
    </cfRule>
    <cfRule type="cellIs" dxfId="191" priority="59" stopIfTrue="1" operator="between">
      <formula>1</formula>
      <formula>2</formula>
    </cfRule>
    <cfRule type="cellIs" dxfId="190" priority="60" stopIfTrue="1" operator="between">
      <formula>0</formula>
      <formula>1</formula>
    </cfRule>
  </conditionalFormatting>
  <conditionalFormatting sqref="O6:O151">
    <cfRule type="cellIs" dxfId="189" priority="51" stopIfTrue="1" operator="between">
      <formula>4</formula>
      <formula>5</formula>
    </cfRule>
    <cfRule type="cellIs" dxfId="188" priority="52" stopIfTrue="1" operator="between">
      <formula>3</formula>
      <formula>4</formula>
    </cfRule>
    <cfRule type="cellIs" dxfId="187" priority="53" stopIfTrue="1" operator="between">
      <formula>2</formula>
      <formula>3</formula>
    </cfRule>
    <cfRule type="cellIs" dxfId="186" priority="54" stopIfTrue="1" operator="between">
      <formula>1</formula>
      <formula>2</formula>
    </cfRule>
    <cfRule type="cellIs" dxfId="185" priority="55" stopIfTrue="1" operator="between">
      <formula>0</formula>
      <formula>1</formula>
    </cfRule>
  </conditionalFormatting>
  <conditionalFormatting sqref="Q6:Q151">
    <cfRule type="cellIs" dxfId="184" priority="46" stopIfTrue="1" operator="between">
      <formula>4</formula>
      <formula>5</formula>
    </cfRule>
    <cfRule type="cellIs" dxfId="183" priority="47" stopIfTrue="1" operator="between">
      <formula>3</formula>
      <formula>4</formula>
    </cfRule>
    <cfRule type="cellIs" dxfId="182" priority="48" stopIfTrue="1" operator="between">
      <formula>2</formula>
      <formula>3</formula>
    </cfRule>
    <cfRule type="cellIs" dxfId="181" priority="49" stopIfTrue="1" operator="between">
      <formula>1</formula>
      <formula>2</formula>
    </cfRule>
    <cfRule type="cellIs" dxfId="180" priority="50" stopIfTrue="1" operator="between">
      <formula>0</formula>
      <formula>1</formula>
    </cfRule>
  </conditionalFormatting>
  <conditionalFormatting sqref="R6:R151">
    <cfRule type="cellIs" dxfId="179" priority="41" stopIfTrue="1" operator="between">
      <formula>4</formula>
      <formula>5</formula>
    </cfRule>
    <cfRule type="cellIs" dxfId="178" priority="42" stopIfTrue="1" operator="between">
      <formula>3</formula>
      <formula>4</formula>
    </cfRule>
    <cfRule type="cellIs" dxfId="177" priority="43" stopIfTrue="1" operator="between">
      <formula>2</formula>
      <formula>3</formula>
    </cfRule>
    <cfRule type="cellIs" dxfId="176" priority="44" stopIfTrue="1" operator="between">
      <formula>1</formula>
      <formula>2</formula>
    </cfRule>
    <cfRule type="cellIs" dxfId="175" priority="45" stopIfTrue="1" operator="between">
      <formula>0</formula>
      <formula>1</formula>
    </cfRule>
  </conditionalFormatting>
  <conditionalFormatting sqref="S6:S151">
    <cfRule type="cellIs" dxfId="174" priority="36" stopIfTrue="1" operator="between">
      <formula>4</formula>
      <formula>5</formula>
    </cfRule>
    <cfRule type="cellIs" dxfId="173" priority="37" stopIfTrue="1" operator="between">
      <formula>3</formula>
      <formula>4</formula>
    </cfRule>
    <cfRule type="cellIs" dxfId="172" priority="38" stopIfTrue="1" operator="between">
      <formula>2</formula>
      <formula>3</formula>
    </cfRule>
    <cfRule type="cellIs" dxfId="171" priority="39" stopIfTrue="1" operator="between">
      <formula>1</formula>
      <formula>2</formula>
    </cfRule>
    <cfRule type="cellIs" dxfId="170" priority="40" stopIfTrue="1" operator="between">
      <formula>0</formula>
      <formula>1</formula>
    </cfRule>
  </conditionalFormatting>
  <conditionalFormatting sqref="U6:U151">
    <cfRule type="cellIs" dxfId="169" priority="31" stopIfTrue="1" operator="between">
      <formula>4</formula>
      <formula>5</formula>
    </cfRule>
    <cfRule type="cellIs" dxfId="168" priority="32" stopIfTrue="1" operator="between">
      <formula>3</formula>
      <formula>4</formula>
    </cfRule>
    <cfRule type="cellIs" dxfId="167" priority="33" stopIfTrue="1" operator="between">
      <formula>2</formula>
      <formula>3</formula>
    </cfRule>
    <cfRule type="cellIs" dxfId="166" priority="34" stopIfTrue="1" operator="between">
      <formula>1</formula>
      <formula>2</formula>
    </cfRule>
    <cfRule type="cellIs" dxfId="165" priority="35" stopIfTrue="1" operator="between">
      <formula>0</formula>
      <formula>1</formula>
    </cfRule>
  </conditionalFormatting>
  <conditionalFormatting sqref="V6:V151">
    <cfRule type="cellIs" dxfId="164" priority="26" stopIfTrue="1" operator="between">
      <formula>4</formula>
      <formula>5</formula>
    </cfRule>
    <cfRule type="cellIs" dxfId="163" priority="27" stopIfTrue="1" operator="between">
      <formula>3</formula>
      <formula>4</formula>
    </cfRule>
    <cfRule type="cellIs" dxfId="162" priority="28" stopIfTrue="1" operator="between">
      <formula>2</formula>
      <formula>3</formula>
    </cfRule>
    <cfRule type="cellIs" dxfId="161" priority="29" stopIfTrue="1" operator="between">
      <formula>1</formula>
      <formula>2</formula>
    </cfRule>
    <cfRule type="cellIs" dxfId="160" priority="30" stopIfTrue="1" operator="between">
      <formula>0</formula>
      <formula>1</formula>
    </cfRule>
  </conditionalFormatting>
  <conditionalFormatting sqref="W6:W151">
    <cfRule type="cellIs" dxfId="159" priority="21" stopIfTrue="1" operator="between">
      <formula>4</formula>
      <formula>5</formula>
    </cfRule>
    <cfRule type="cellIs" dxfId="158" priority="22" stopIfTrue="1" operator="between">
      <formula>3</formula>
      <formula>4</formula>
    </cfRule>
    <cfRule type="cellIs" dxfId="157" priority="23" stopIfTrue="1" operator="between">
      <formula>2</formula>
      <formula>3</formula>
    </cfRule>
    <cfRule type="cellIs" dxfId="156" priority="24" stopIfTrue="1" operator="between">
      <formula>1</formula>
      <formula>2</formula>
    </cfRule>
    <cfRule type="cellIs" dxfId="155" priority="25" stopIfTrue="1" operator="between">
      <formula>0</formula>
      <formula>1</formula>
    </cfRule>
  </conditionalFormatting>
  <conditionalFormatting sqref="AB6:AB151">
    <cfRule type="cellIs" dxfId="154" priority="1" stopIfTrue="1" operator="between">
      <formula>4</formula>
      <formula>5</formula>
    </cfRule>
    <cfRule type="cellIs" dxfId="153" priority="2" stopIfTrue="1" operator="between">
      <formula>3</formula>
      <formula>4</formula>
    </cfRule>
    <cfRule type="cellIs" dxfId="152" priority="3" stopIfTrue="1" operator="between">
      <formula>2</formula>
      <formula>3</formula>
    </cfRule>
    <cfRule type="cellIs" dxfId="151" priority="4" stopIfTrue="1" operator="between">
      <formula>1</formula>
      <formula>2</formula>
    </cfRule>
    <cfRule type="cellIs" dxfId="150" priority="5" stopIfTrue="1" operator="between">
      <formula>0</formula>
      <formula>1</formula>
    </cfRule>
  </conditionalFormatting>
  <conditionalFormatting sqref="Y6:Y151">
    <cfRule type="cellIs" dxfId="149" priority="16" stopIfTrue="1" operator="between">
      <formula>4</formula>
      <formula>5</formula>
    </cfRule>
    <cfRule type="cellIs" dxfId="148" priority="17" stopIfTrue="1" operator="between">
      <formula>3</formula>
      <formula>4</formula>
    </cfRule>
    <cfRule type="cellIs" dxfId="147" priority="18" stopIfTrue="1" operator="between">
      <formula>2</formula>
      <formula>3</formula>
    </cfRule>
    <cfRule type="cellIs" dxfId="146" priority="19" stopIfTrue="1" operator="between">
      <formula>1</formula>
      <formula>2</formula>
    </cfRule>
    <cfRule type="cellIs" dxfId="145" priority="20" stopIfTrue="1" operator="between">
      <formula>0</formula>
      <formula>1</formula>
    </cfRule>
  </conditionalFormatting>
  <conditionalFormatting sqref="Z6:Z151">
    <cfRule type="cellIs" dxfId="144" priority="11" stopIfTrue="1" operator="between">
      <formula>4</formula>
      <formula>5</formula>
    </cfRule>
    <cfRule type="cellIs" dxfId="143" priority="12" stopIfTrue="1" operator="between">
      <formula>3</formula>
      <formula>4</formula>
    </cfRule>
    <cfRule type="cellIs" dxfId="142" priority="13" stopIfTrue="1" operator="between">
      <formula>2</formula>
      <formula>3</formula>
    </cfRule>
    <cfRule type="cellIs" dxfId="141" priority="14" stopIfTrue="1" operator="between">
      <formula>1</formula>
      <formula>2</formula>
    </cfRule>
    <cfRule type="cellIs" dxfId="140" priority="15" stopIfTrue="1" operator="between">
      <formula>0</formula>
      <formula>1</formula>
    </cfRule>
  </conditionalFormatting>
  <conditionalFormatting sqref="AA6:AA151">
    <cfRule type="cellIs" dxfId="139" priority="6" stopIfTrue="1" operator="between">
      <formula>4</formula>
      <formula>5</formula>
    </cfRule>
    <cfRule type="cellIs" dxfId="138" priority="7" stopIfTrue="1" operator="between">
      <formula>3</formula>
      <formula>4</formula>
    </cfRule>
    <cfRule type="cellIs" dxfId="137" priority="8" stopIfTrue="1" operator="between">
      <formula>2</formula>
      <formula>3</formula>
    </cfRule>
    <cfRule type="cellIs" dxfId="136" priority="9" stopIfTrue="1" operator="between">
      <formula>1</formula>
      <formula>2</formula>
    </cfRule>
    <cfRule type="cellIs" dxfId="13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showGridLines="0" zoomScale="80" zoomScaleNormal="80" zoomScalePageLayoutView="80" workbookViewId="0">
      <pane xSplit="5" ySplit="5" topLeftCell="F144" activePane="bottomRight" state="frozen"/>
      <selection pane="topRight" activeCell="C1" sqref="C1"/>
      <selection pane="bottomLeft" activeCell="A5" sqref="A5"/>
      <selection pane="bottomRight" activeCell="A152" sqref="A152:R156"/>
    </sheetView>
  </sheetViews>
  <sheetFormatPr defaultColWidth="9.44140625" defaultRowHeight="14.4" x14ac:dyDescent="0.3"/>
  <cols>
    <col min="1" max="1" width="36.44140625" style="78" customWidth="1"/>
    <col min="2" max="2" width="26" style="78" bestFit="1" customWidth="1"/>
    <col min="3" max="3" width="10.44140625" style="78" bestFit="1" customWidth="1"/>
    <col min="4" max="4" width="13.44140625" style="78" customWidth="1"/>
    <col min="5" max="5" width="11" style="78" customWidth="1"/>
    <col min="6" max="18" width="10" style="292" customWidth="1"/>
    <col min="19" max="16384" width="9.44140625" style="78"/>
  </cols>
  <sheetData>
    <row r="1" spans="1:18" ht="15" thickBot="1" x14ac:dyDescent="0.35">
      <c r="A1" s="299"/>
      <c r="B1" s="299"/>
      <c r="C1" s="299"/>
      <c r="D1" s="299"/>
      <c r="E1" s="299"/>
      <c r="F1" s="299"/>
      <c r="G1" s="299"/>
      <c r="H1" s="299"/>
      <c r="I1" s="299"/>
      <c r="J1" s="299"/>
      <c r="K1" s="299"/>
      <c r="L1" s="299"/>
      <c r="M1" s="299"/>
      <c r="N1" s="299"/>
      <c r="O1" s="299"/>
      <c r="P1" s="299"/>
      <c r="Q1" s="299"/>
      <c r="R1" s="299"/>
    </row>
    <row r="2" spans="1:18" s="291" customFormat="1" ht="110.55" customHeight="1" thickBot="1" x14ac:dyDescent="0.3">
      <c r="A2" s="3"/>
      <c r="B2" s="3"/>
      <c r="C2" s="15"/>
      <c r="D2" s="15"/>
      <c r="E2" s="15"/>
      <c r="F2" s="119" t="s">
        <v>2945</v>
      </c>
      <c r="G2" s="119" t="s">
        <v>2944</v>
      </c>
      <c r="H2" s="119" t="s">
        <v>2943</v>
      </c>
      <c r="I2" s="119" t="s">
        <v>2946</v>
      </c>
      <c r="J2" s="120" t="s">
        <v>2947</v>
      </c>
      <c r="K2" s="118" t="s">
        <v>620</v>
      </c>
      <c r="L2" s="121" t="s">
        <v>2948</v>
      </c>
      <c r="M2" s="121" t="s">
        <v>2949</v>
      </c>
      <c r="N2" s="121" t="s">
        <v>2950</v>
      </c>
      <c r="O2" s="121" t="s">
        <v>2951</v>
      </c>
      <c r="P2" s="121" t="s">
        <v>2952</v>
      </c>
      <c r="Q2" s="118" t="s">
        <v>2954</v>
      </c>
      <c r="R2" s="117" t="s">
        <v>2955</v>
      </c>
    </row>
    <row r="3" spans="1:18" x14ac:dyDescent="0.3">
      <c r="A3" s="1"/>
      <c r="B3" s="1"/>
      <c r="C3" s="15"/>
      <c r="D3" s="15"/>
      <c r="E3" s="8" t="s">
        <v>370</v>
      </c>
      <c r="F3" s="99"/>
      <c r="G3" s="99"/>
      <c r="H3" s="99"/>
      <c r="I3" s="99"/>
      <c r="J3" s="99"/>
      <c r="K3" s="100">
        <v>7</v>
      </c>
      <c r="L3" s="26">
        <v>0.05</v>
      </c>
      <c r="M3" s="26">
        <v>0.05</v>
      </c>
      <c r="N3" s="26">
        <v>0.05</v>
      </c>
      <c r="O3" s="26">
        <v>0.05</v>
      </c>
      <c r="P3" s="26">
        <v>0.05</v>
      </c>
      <c r="Q3" s="99"/>
      <c r="R3" s="99"/>
    </row>
    <row r="4" spans="1:18" x14ac:dyDescent="0.3">
      <c r="A4" s="1"/>
      <c r="B4" s="1"/>
      <c r="C4" s="15"/>
      <c r="D4" s="15"/>
      <c r="E4" s="8" t="s">
        <v>369</v>
      </c>
      <c r="F4" s="99"/>
      <c r="G4" s="99"/>
      <c r="H4" s="99"/>
      <c r="I4" s="99"/>
      <c r="J4" s="99"/>
      <c r="K4" s="100">
        <v>4</v>
      </c>
      <c r="L4" s="99"/>
      <c r="M4" s="99"/>
      <c r="N4" s="99"/>
      <c r="O4" s="99"/>
      <c r="P4" s="99"/>
      <c r="Q4" s="99"/>
      <c r="R4" s="99"/>
    </row>
    <row r="5" spans="1:18" x14ac:dyDescent="0.3">
      <c r="A5" s="20" t="s">
        <v>399</v>
      </c>
      <c r="B5" s="20" t="s">
        <v>410</v>
      </c>
      <c r="C5" s="20" t="s">
        <v>400</v>
      </c>
      <c r="D5" s="20" t="s">
        <v>367</v>
      </c>
      <c r="E5" s="21" t="s">
        <v>371</v>
      </c>
      <c r="F5" s="22"/>
      <c r="G5" s="23"/>
      <c r="H5" s="22"/>
      <c r="I5" s="24"/>
      <c r="J5" s="22"/>
      <c r="K5" s="22"/>
      <c r="L5" s="22"/>
      <c r="M5" s="22"/>
      <c r="N5" s="22"/>
      <c r="O5" s="22"/>
      <c r="P5" s="22"/>
      <c r="Q5" s="22"/>
      <c r="R5" s="22"/>
    </row>
    <row r="6" spans="1:18" x14ac:dyDescent="0.3">
      <c r="A6" s="191" t="str">
        <f>'Crisis Indicator Data'!A3</f>
        <v>Complex crisis in Afghanistan</v>
      </c>
      <c r="B6" s="192" t="str">
        <f>'Crisis Indicator Data'!B3</f>
        <v>Complex crisis</v>
      </c>
      <c r="C6" s="192" t="str">
        <f>'Crisis Indicator Data'!C3</f>
        <v>AFG001</v>
      </c>
      <c r="D6" s="192" t="str">
        <f>'Crisis Indicator Data'!D3</f>
        <v>Afghanistan</v>
      </c>
      <c r="E6" s="192" t="str">
        <f>'Crisis Indicator Data'!E3</f>
        <v>AFG</v>
      </c>
      <c r="F6" s="204">
        <f>IF('Crisis Indicator Data'!Q3="x","x",('Crisis Indicator Data'!Q3/1000000))</f>
        <v>0</v>
      </c>
      <c r="G6" s="204">
        <f>IF('Crisis Indicator Data'!R3="x","x",('Crisis Indicator Data'!R3/1000000))</f>
        <v>21.7</v>
      </c>
      <c r="H6" s="204">
        <f>IF('Crisis Indicator Data'!S3="x","x",('Crisis Indicator Data'!S3/1000000))</f>
        <v>10.446999999999999</v>
      </c>
      <c r="I6" s="204">
        <f>IF('Crisis Indicator Data'!T3="x","x",('Crisis Indicator Data'!T3/1000000))</f>
        <v>3.5529999999999999</v>
      </c>
      <c r="J6" s="204">
        <f>IF('Crisis Indicator Data'!U3="x","x",('Crisis Indicator Data'!U3/1000000))</f>
        <v>0</v>
      </c>
      <c r="K6" s="190">
        <f>IF(H6="x","x",IF(SUM(H6:J6)=0,0,IF(LOG(SUM(H6:J6)*1000000)&lt;$K$4,0,IF(LOG(SUM(H6:J6)*1000000)&gt;$K$3,5,ROUND(5-(K$3-LOG(SUM(H6:J6)*1000000))/(K$3-K$4)*5,1)))))</f>
        <v>5</v>
      </c>
      <c r="L6" s="185">
        <f>IF(F6="x","x",(F6*1000000/VLOOKUP($C6,'Crisis Indicator Data'!$C$3:$H$198,5,FALSE)))</f>
        <v>0</v>
      </c>
      <c r="M6" s="185">
        <f>IF(G6="x","x",(G6*1000000/VLOOKUP($C6,'Crisis Indicator Data'!$C$3:$H$198,5,FALSE)))</f>
        <v>0.60784313725490191</v>
      </c>
      <c r="N6" s="185">
        <f>IF(H6="x","x",(H6*1000000/VLOOKUP($C6,'Crisis Indicator Data'!$C$3:$H$198,5,FALSE)))</f>
        <v>0.29263305322128852</v>
      </c>
      <c r="O6" s="185">
        <f>IF(I6="x","x",(I6*1000000/VLOOKUP($C6,'Crisis Indicator Data'!$C$3:$H$198,5,FALSE)))</f>
        <v>9.9523809523809528E-2</v>
      </c>
      <c r="P6" s="185">
        <f>IF(J6="x","x",(J6*1000000/VLOOKUP($C6,'Crisis Indicator Data'!$C$3:$H$198,5,FALSE)))</f>
        <v>0</v>
      </c>
      <c r="Q6" s="167">
        <f>IF(N6="x","x",IF(OR(L6&gt;=$L$3,M6&gt;=$M$3,N6&gt;=$N$3,O6&gt;=$O$3,P6&gt;=$P$3),(IF(P6&gt;=$P$3,5,IF((O6+P6)&gt;=$O$3,4,IF((O6+P6+N6)&gt;=$N$3,3,IF((O6+P6+N6+M6)&gt;=$M$3,2,1)))))))</f>
        <v>4</v>
      </c>
      <c r="R6" s="167">
        <f t="shared" ref="R6:R34" si="0">IF(Q6="x","x",(AVERAGE(K6,Q6)))</f>
        <v>4.5</v>
      </c>
    </row>
    <row r="7" spans="1:18" x14ac:dyDescent="0.3">
      <c r="A7" s="191" t="str">
        <f>'Crisis Indicator Data'!A4</f>
        <v>Mixed migration flows in Algeria</v>
      </c>
      <c r="B7" s="192" t="str">
        <f>'Crisis Indicator Data'!B4</f>
        <v>International displacement</v>
      </c>
      <c r="C7" s="192" t="str">
        <f>'Crisis Indicator Data'!C4</f>
        <v>DZA002</v>
      </c>
      <c r="D7" s="192" t="str">
        <f>'Crisis Indicator Data'!D4</f>
        <v>Algeria</v>
      </c>
      <c r="E7" s="192" t="str">
        <f>'Crisis Indicator Data'!E4</f>
        <v>DZA</v>
      </c>
      <c r="F7" s="204" t="str">
        <f>IF('Crisis Indicator Data'!Q4="x","x",('Crisis Indicator Data'!Q4/1000000))</f>
        <v>x</v>
      </c>
      <c r="G7" s="204" t="str">
        <f>IF('Crisis Indicator Data'!R4="x","x",('Crisis Indicator Data'!R4/1000000))</f>
        <v>x</v>
      </c>
      <c r="H7" s="204" t="str">
        <f>IF('Crisis Indicator Data'!S4="x","x",('Crisis Indicator Data'!S4/1000000))</f>
        <v>x</v>
      </c>
      <c r="I7" s="204" t="str">
        <f>IF('Crisis Indicator Data'!T4="x","x",('Crisis Indicator Data'!T4/1000000))</f>
        <v>x</v>
      </c>
      <c r="J7" s="204" t="str">
        <f>IF('Crisis Indicator Data'!U4="x","x",('Crisis Indicator Data'!U4/1000000))</f>
        <v>x</v>
      </c>
      <c r="K7" s="190" t="str">
        <f t="shared" ref="K7:K70" si="1">IF(H7="x","x",IF(SUM(H7:J7)=0,0,IF(LOG(SUM(H7:J7)*1000000)&lt;$K$4,0,IF(LOG(SUM(H7:J7)*1000000)&gt;$K$3,5,ROUND(5-(K$3-LOG(SUM(H7:J7)*1000000))/(K$3-K$4)*5,1)))))</f>
        <v>x</v>
      </c>
      <c r="L7" s="185" t="str">
        <f>IF(F7="x","x",(F7*1000000/VLOOKUP($C7,'Crisis Indicator Data'!$C$3:$H$198,5,FALSE)))</f>
        <v>x</v>
      </c>
      <c r="M7" s="185" t="str">
        <f>IF(G7="x","x",(G7*1000000/VLOOKUP($C7,'Crisis Indicator Data'!$C$3:$H$198,5,FALSE)))</f>
        <v>x</v>
      </c>
      <c r="N7" s="185" t="str">
        <f>IF(H7="x","x",(H7*1000000/VLOOKUP($C7,'Crisis Indicator Data'!$C$3:$H$198,5,FALSE)))</f>
        <v>x</v>
      </c>
      <c r="O7" s="185" t="str">
        <f>IF(I7="x","x",(I7*1000000/VLOOKUP($C7,'Crisis Indicator Data'!$C$3:$H$198,5,FALSE)))</f>
        <v>x</v>
      </c>
      <c r="P7" s="185" t="str">
        <f>IF(J7="x","x",(J7*1000000/VLOOKUP($C7,'Crisis Indicator Data'!$C$3:$H$198,5,FALSE)))</f>
        <v>x</v>
      </c>
      <c r="Q7" s="167" t="str">
        <f t="shared" ref="Q7:Q70" si="2">IF(N7="x","x",IF(OR(L7&gt;=$L$3,M7&gt;=$M$3,N7&gt;=$N$3,O7&gt;=$O$3,P7&gt;=$P$3),(IF(P7&gt;=$P$3,5,IF((O7+P7)&gt;=$O$3,4,IF((O7+P7+N7)&gt;=$N$3,3,IF((O7+P7+N7+M7)&gt;=$M$3,2,1)))))))</f>
        <v>x</v>
      </c>
      <c r="R7" s="167" t="str">
        <f t="shared" si="0"/>
        <v>x</v>
      </c>
    </row>
    <row r="8" spans="1:18" x14ac:dyDescent="0.3">
      <c r="A8" s="191" t="str">
        <f>'Crisis Indicator Data'!A5</f>
        <v>Sahrawi refugees in Algeria</v>
      </c>
      <c r="B8" s="192" t="str">
        <f>'Crisis Indicator Data'!B5</f>
        <v>International displacement</v>
      </c>
      <c r="C8" s="192" t="str">
        <f>'Crisis Indicator Data'!C5</f>
        <v>DZA003</v>
      </c>
      <c r="D8" s="192" t="str">
        <f>'Crisis Indicator Data'!D5</f>
        <v>Algeria</v>
      </c>
      <c r="E8" s="192" t="str">
        <f>'Crisis Indicator Data'!E5</f>
        <v>DZA</v>
      </c>
      <c r="F8" s="204">
        <f>IF('Crisis Indicator Data'!Q5="x","x",('Crisis Indicator Data'!Q5/1000000))</f>
        <v>4.9000000000000002E-2</v>
      </c>
      <c r="G8" s="204">
        <f>IF('Crisis Indicator Data'!R5="x","x",('Crisis Indicator Data'!R5/1000000))</f>
        <v>8.4000000000000005E-2</v>
      </c>
      <c r="H8" s="204">
        <f>IF('Crisis Indicator Data'!S5="x","x",('Crisis Indicator Data'!S5/1000000))</f>
        <v>0.09</v>
      </c>
      <c r="I8" s="204">
        <f>IF('Crisis Indicator Data'!T5="x","x",('Crisis Indicator Data'!T5/1000000))</f>
        <v>0</v>
      </c>
      <c r="J8" s="204">
        <f>IF('Crisis Indicator Data'!U5="x","x",('Crisis Indicator Data'!U5/1000000))</f>
        <v>0</v>
      </c>
      <c r="K8" s="190">
        <f t="shared" si="1"/>
        <v>1.6</v>
      </c>
      <c r="L8" s="185">
        <f>IF(F8="x","x",(F8*1000000/VLOOKUP($C8,'Crisis Indicator Data'!$C$3:$H$198,5,FALSE)))</f>
        <v>0.21973094170403587</v>
      </c>
      <c r="M8" s="185">
        <f>IF(G8="x","x",(G8*1000000/VLOOKUP($C8,'Crisis Indicator Data'!$C$3:$H$198,5,FALSE)))</f>
        <v>0.37668161434977576</v>
      </c>
      <c r="N8" s="185">
        <f>IF(H8="x","x",(H8*1000000/VLOOKUP($C8,'Crisis Indicator Data'!$C$3:$H$198,5,FALSE)))</f>
        <v>0.40358744394618834</v>
      </c>
      <c r="O8" s="185">
        <f>IF(I8="x","x",(I8*1000000/VLOOKUP($C8,'Crisis Indicator Data'!$C$3:$H$198,5,FALSE)))</f>
        <v>0</v>
      </c>
      <c r="P8" s="185">
        <f>IF(J8="x","x",(J8*1000000/VLOOKUP($C8,'Crisis Indicator Data'!$C$3:$H$198,5,FALSE)))</f>
        <v>0</v>
      </c>
      <c r="Q8" s="167">
        <f t="shared" si="2"/>
        <v>3</v>
      </c>
      <c r="R8" s="167">
        <f t="shared" si="0"/>
        <v>2.2999999999999998</v>
      </c>
    </row>
    <row r="9" spans="1:18" x14ac:dyDescent="0.3">
      <c r="A9" s="191" t="str">
        <f>'Crisis Indicator Data'!A6</f>
        <v>Multiple crises in Algeria</v>
      </c>
      <c r="B9" s="192" t="str">
        <f>'Crisis Indicator Data'!B6</f>
        <v>Multiple crises country</v>
      </c>
      <c r="C9" s="192" t="str">
        <f>'Crisis Indicator Data'!C6</f>
        <v>DZA004</v>
      </c>
      <c r="D9" s="192" t="str">
        <f>'Crisis Indicator Data'!D6</f>
        <v>Algeria</v>
      </c>
      <c r="E9" s="192" t="str">
        <f>'Crisis Indicator Data'!E6</f>
        <v>DZA</v>
      </c>
      <c r="F9" s="204" t="str">
        <f>IF('Crisis Indicator Data'!Q6="x","x",('Crisis Indicator Data'!Q6/1000000))</f>
        <v>x</v>
      </c>
      <c r="G9" s="204" t="str">
        <f>IF('Crisis Indicator Data'!R6="x","x",('Crisis Indicator Data'!R6/1000000))</f>
        <v>x</v>
      </c>
      <c r="H9" s="204" t="str">
        <f>IF('Crisis Indicator Data'!S6="x","x",('Crisis Indicator Data'!S6/1000000))</f>
        <v>x</v>
      </c>
      <c r="I9" s="204" t="str">
        <f>IF('Crisis Indicator Data'!T6="x","x",('Crisis Indicator Data'!T6/1000000))</f>
        <v>x</v>
      </c>
      <c r="J9" s="204" t="str">
        <f>IF('Crisis Indicator Data'!U6="x","x",('Crisis Indicator Data'!U6/1000000))</f>
        <v>x</v>
      </c>
      <c r="K9" s="190" t="str">
        <f t="shared" si="1"/>
        <v>x</v>
      </c>
      <c r="L9" s="185" t="str">
        <f>IF(F9="x","x",(F9*1000000/VLOOKUP($C9,'Crisis Indicator Data'!$C$3:$H$198,5,FALSE)))</f>
        <v>x</v>
      </c>
      <c r="M9" s="185" t="str">
        <f>IF(G9="x","x",(G9*1000000/VLOOKUP($C9,'Crisis Indicator Data'!$C$3:$H$198,5,FALSE)))</f>
        <v>x</v>
      </c>
      <c r="N9" s="185" t="str">
        <f>IF(H9="x","x",(H9*1000000/VLOOKUP($C9,'Crisis Indicator Data'!$C$3:$H$198,5,FALSE)))</f>
        <v>x</v>
      </c>
      <c r="O9" s="185" t="str">
        <f>IF(I9="x","x",(I9*1000000/VLOOKUP($C9,'Crisis Indicator Data'!$C$3:$H$198,5,FALSE)))</f>
        <v>x</v>
      </c>
      <c r="P9" s="185" t="str">
        <f>IF(J9="x","x",(J9*1000000/VLOOKUP($C9,'Crisis Indicator Data'!$C$3:$H$198,5,FALSE)))</f>
        <v>x</v>
      </c>
      <c r="Q9" s="167" t="str">
        <f t="shared" si="2"/>
        <v>x</v>
      </c>
      <c r="R9" s="167" t="str">
        <f t="shared" si="0"/>
        <v>x</v>
      </c>
    </row>
    <row r="10" spans="1:18" x14ac:dyDescent="0.3">
      <c r="A10" s="191" t="str">
        <f>'Crisis Indicator Data'!A7</f>
        <v>Western Mediterranean Route</v>
      </c>
      <c r="B10" s="192" t="str">
        <f>'Crisis Indicator Data'!B7</f>
        <v>Regional crisis</v>
      </c>
      <c r="C10" s="192" t="str">
        <f>'Crisis Indicator Data'!C7</f>
        <v>REG008</v>
      </c>
      <c r="D10" s="192" t="str">
        <f>'Crisis Indicator Data'!D7</f>
        <v>Algeria, Morocco, Spain</v>
      </c>
      <c r="E10" s="192" t="str">
        <f>'Crisis Indicator Data'!E7</f>
        <v>DZA, MAR, ESP</v>
      </c>
      <c r="F10" s="204" t="str">
        <f>IF('Crisis Indicator Data'!Q7="x","x",('Crisis Indicator Data'!Q7/1000000))</f>
        <v>x</v>
      </c>
      <c r="G10" s="204" t="str">
        <f>IF('Crisis Indicator Data'!R7="x","x",('Crisis Indicator Data'!R7/1000000))</f>
        <v>x</v>
      </c>
      <c r="H10" s="204" t="str">
        <f>IF('Crisis Indicator Data'!S7="x","x",('Crisis Indicator Data'!S7/1000000))</f>
        <v>x</v>
      </c>
      <c r="I10" s="204" t="str">
        <f>IF('Crisis Indicator Data'!T7="x","x",('Crisis Indicator Data'!T7/1000000))</f>
        <v>x</v>
      </c>
      <c r="J10" s="204" t="str">
        <f>IF('Crisis Indicator Data'!U7="x","x",('Crisis Indicator Data'!U7/1000000))</f>
        <v>x</v>
      </c>
      <c r="K10" s="190" t="str">
        <f t="shared" si="1"/>
        <v>x</v>
      </c>
      <c r="L10" s="185" t="str">
        <f>IF(F10="x","x",(F10*1000000/VLOOKUP($C10,'Crisis Indicator Data'!$C$3:$H$198,5,FALSE)))</f>
        <v>x</v>
      </c>
      <c r="M10" s="185" t="str">
        <f>IF(G10="x","x",(G10*1000000/VLOOKUP($C10,'Crisis Indicator Data'!$C$3:$H$198,5,FALSE)))</f>
        <v>x</v>
      </c>
      <c r="N10" s="185" t="str">
        <f>IF(H10="x","x",(H10*1000000/VLOOKUP($C10,'Crisis Indicator Data'!$C$3:$H$198,5,FALSE)))</f>
        <v>x</v>
      </c>
      <c r="O10" s="185" t="str">
        <f>IF(I10="x","x",(I10*1000000/VLOOKUP($C10,'Crisis Indicator Data'!$C$3:$H$198,5,FALSE)))</f>
        <v>x</v>
      </c>
      <c r="P10" s="185" t="str">
        <f>IF(J10="x","x",(J10*1000000/VLOOKUP($C10,'Crisis Indicator Data'!$C$3:$H$198,5,FALSE)))</f>
        <v>x</v>
      </c>
      <c r="Q10" s="167" t="str">
        <f t="shared" si="2"/>
        <v>x</v>
      </c>
      <c r="R10" s="167" t="str">
        <f t="shared" si="0"/>
        <v>x</v>
      </c>
    </row>
    <row r="11" spans="1:18" x14ac:dyDescent="0.3">
      <c r="A11" s="191" t="str">
        <f>'Crisis Indicator Data'!A8</f>
        <v>Central Mediterranean Route</v>
      </c>
      <c r="B11" s="192" t="str">
        <f>'Crisis Indicator Data'!B8</f>
        <v>Regional crisis</v>
      </c>
      <c r="C11" s="192" t="str">
        <f>'Crisis Indicator Data'!C8</f>
        <v>REG007</v>
      </c>
      <c r="D11" s="192" t="str">
        <f>'Crisis Indicator Data'!D8</f>
        <v>Algeria, Tunisia, Libya, Italy</v>
      </c>
      <c r="E11" s="192" t="str">
        <f>'Crisis Indicator Data'!E8</f>
        <v>DZA, TUN, LBY, ITA</v>
      </c>
      <c r="F11" s="204" t="str">
        <f>IF('Crisis Indicator Data'!Q8="x","x",('Crisis Indicator Data'!Q8/1000000))</f>
        <v>x</v>
      </c>
      <c r="G11" s="204" t="str">
        <f>IF('Crisis Indicator Data'!R8="x","x",('Crisis Indicator Data'!R8/1000000))</f>
        <v>x</v>
      </c>
      <c r="H11" s="204" t="str">
        <f>IF('Crisis Indicator Data'!S8="x","x",('Crisis Indicator Data'!S8/1000000))</f>
        <v>x</v>
      </c>
      <c r="I11" s="204" t="str">
        <f>IF('Crisis Indicator Data'!T8="x","x",('Crisis Indicator Data'!T8/1000000))</f>
        <v>x</v>
      </c>
      <c r="J11" s="204" t="str">
        <f>IF('Crisis Indicator Data'!U8="x","x",('Crisis Indicator Data'!U8/1000000))</f>
        <v>x</v>
      </c>
      <c r="K11" s="190" t="str">
        <f t="shared" si="1"/>
        <v>x</v>
      </c>
      <c r="L11" s="185" t="str">
        <f>IF(F11="x","x",(F11*1000000/VLOOKUP($C11,'Crisis Indicator Data'!$C$3:$H$198,5,FALSE)))</f>
        <v>x</v>
      </c>
      <c r="M11" s="185" t="str">
        <f>IF(G11="x","x",(G11*1000000/VLOOKUP($C11,'Crisis Indicator Data'!$C$3:$H$198,5,FALSE)))</f>
        <v>x</v>
      </c>
      <c r="N11" s="185" t="str">
        <f>IF(H11="x","x",(H11*1000000/VLOOKUP($C11,'Crisis Indicator Data'!$C$3:$H$198,5,FALSE)))</f>
        <v>x</v>
      </c>
      <c r="O11" s="185" t="str">
        <f>IF(I11="x","x",(I11*1000000/VLOOKUP($C11,'Crisis Indicator Data'!$C$3:$H$198,5,FALSE)))</f>
        <v>x</v>
      </c>
      <c r="P11" s="185" t="str">
        <f>IF(J11="x","x",(J11*1000000/VLOOKUP($C11,'Crisis Indicator Data'!$C$3:$H$198,5,FALSE)))</f>
        <v>x</v>
      </c>
      <c r="Q11" s="167" t="str">
        <f t="shared" si="2"/>
        <v>x</v>
      </c>
      <c r="R11" s="167" t="str">
        <f t="shared" si="0"/>
        <v>x</v>
      </c>
    </row>
    <row r="12" spans="1:18" x14ac:dyDescent="0.3">
      <c r="A12" s="191" t="str">
        <f>'Crisis Indicator Data'!A9</f>
        <v>Nagorno-Karabakh Conflict in Armenia</v>
      </c>
      <c r="B12" s="192" t="str">
        <f>'Crisis Indicator Data'!B9</f>
        <v>Conflict</v>
      </c>
      <c r="C12" s="192" t="str">
        <f>'Crisis Indicator Data'!C9</f>
        <v>ARM002</v>
      </c>
      <c r="D12" s="192" t="str">
        <f>'Crisis Indicator Data'!D9</f>
        <v>Armenia</v>
      </c>
      <c r="E12" s="192" t="str">
        <f>'Crisis Indicator Data'!E9</f>
        <v>ARM</v>
      </c>
      <c r="F12" s="204" t="str">
        <f>IF('Crisis Indicator Data'!Q9="x","x",('Crisis Indicator Data'!Q9/1000000))</f>
        <v>x</v>
      </c>
      <c r="G12" s="204" t="str">
        <f>IF('Crisis Indicator Data'!R9="x","x",('Crisis Indicator Data'!R9/1000000))</f>
        <v>x</v>
      </c>
      <c r="H12" s="204" t="str">
        <f>IF('Crisis Indicator Data'!S9="x","x",('Crisis Indicator Data'!S9/1000000))</f>
        <v>x</v>
      </c>
      <c r="I12" s="204" t="str">
        <f>IF('Crisis Indicator Data'!T9="x","x",('Crisis Indicator Data'!T9/1000000))</f>
        <v>x</v>
      </c>
      <c r="J12" s="204" t="str">
        <f>IF('Crisis Indicator Data'!U9="x","x",('Crisis Indicator Data'!U9/1000000))</f>
        <v>x</v>
      </c>
      <c r="K12" s="190" t="str">
        <f t="shared" si="1"/>
        <v>x</v>
      </c>
      <c r="L12" s="185" t="str">
        <f>IF(F12="x","x",(F12*1000000/VLOOKUP($C12,'Crisis Indicator Data'!$C$3:$H$198,5,FALSE)))</f>
        <v>x</v>
      </c>
      <c r="M12" s="185" t="str">
        <f>IF(G12="x","x",(G12*1000000/VLOOKUP($C12,'Crisis Indicator Data'!$C$3:$H$198,5,FALSE)))</f>
        <v>x</v>
      </c>
      <c r="N12" s="185" t="str">
        <f>IF(H12="x","x",(H12*1000000/VLOOKUP($C12,'Crisis Indicator Data'!$C$3:$H$198,5,FALSE)))</f>
        <v>x</v>
      </c>
      <c r="O12" s="185" t="str">
        <f>IF(I12="x","x",(I12*1000000/VLOOKUP($C12,'Crisis Indicator Data'!$C$3:$H$198,5,FALSE)))</f>
        <v>x</v>
      </c>
      <c r="P12" s="185" t="str">
        <f>IF(J12="x","x",(J12*1000000/VLOOKUP($C12,'Crisis Indicator Data'!$C$3:$H$198,5,FALSE)))</f>
        <v>x</v>
      </c>
      <c r="Q12" s="167" t="str">
        <f t="shared" si="2"/>
        <v>x</v>
      </c>
      <c r="R12" s="167" t="str">
        <f t="shared" si="0"/>
        <v>x</v>
      </c>
    </row>
    <row r="13" spans="1:18" x14ac:dyDescent="0.3">
      <c r="A13" s="191" t="str">
        <f>'Crisis Indicator Data'!A10</f>
        <v>Nagorno-Karabakh Conflict</v>
      </c>
      <c r="B13" s="192" t="str">
        <f>'Crisis Indicator Data'!B10</f>
        <v>Regional crisis</v>
      </c>
      <c r="C13" s="192" t="str">
        <f>'Crisis Indicator Data'!C10</f>
        <v>REG013</v>
      </c>
      <c r="D13" s="192" t="str">
        <f>'Crisis Indicator Data'!D10</f>
        <v>Armenia, Azerbaijan</v>
      </c>
      <c r="E13" s="192" t="str">
        <f>'Crisis Indicator Data'!E10</f>
        <v>ARM, AZE</v>
      </c>
      <c r="F13" s="204" t="str">
        <f>IF('Crisis Indicator Data'!Q10="x","x",('Crisis Indicator Data'!Q10/1000000))</f>
        <v>x</v>
      </c>
      <c r="G13" s="204" t="str">
        <f>IF('Crisis Indicator Data'!R10="x","x",('Crisis Indicator Data'!R10/1000000))</f>
        <v>x</v>
      </c>
      <c r="H13" s="204" t="str">
        <f>IF('Crisis Indicator Data'!S10="x","x",('Crisis Indicator Data'!S10/1000000))</f>
        <v>x</v>
      </c>
      <c r="I13" s="204" t="str">
        <f>IF('Crisis Indicator Data'!T10="x","x",('Crisis Indicator Data'!T10/1000000))</f>
        <v>x</v>
      </c>
      <c r="J13" s="204" t="str">
        <f>IF('Crisis Indicator Data'!U10="x","x",('Crisis Indicator Data'!U10/1000000))</f>
        <v>x</v>
      </c>
      <c r="K13" s="190" t="str">
        <f t="shared" si="1"/>
        <v>x</v>
      </c>
      <c r="L13" s="185" t="str">
        <f>IF(F13="x","x",(F13*1000000/VLOOKUP($C13,'Crisis Indicator Data'!$C$3:$H$198,5,FALSE)))</f>
        <v>x</v>
      </c>
      <c r="M13" s="185" t="str">
        <f>IF(G13="x","x",(G13*1000000/VLOOKUP($C13,'Crisis Indicator Data'!$C$3:$H$198,5,FALSE)))</f>
        <v>x</v>
      </c>
      <c r="N13" s="185" t="str">
        <f>IF(H13="x","x",(H13*1000000/VLOOKUP($C13,'Crisis Indicator Data'!$C$3:$H$198,5,FALSE)))</f>
        <v>x</v>
      </c>
      <c r="O13" s="185" t="str">
        <f>IF(I13="x","x",(I13*1000000/VLOOKUP($C13,'Crisis Indicator Data'!$C$3:$H$198,5,FALSE)))</f>
        <v>x</v>
      </c>
      <c r="P13" s="185" t="str">
        <f>IF(J13="x","x",(J13*1000000/VLOOKUP($C13,'Crisis Indicator Data'!$C$3:$H$198,5,FALSE)))</f>
        <v>x</v>
      </c>
      <c r="Q13" s="167" t="str">
        <f t="shared" si="2"/>
        <v>x</v>
      </c>
      <c r="R13" s="167" t="str">
        <f t="shared" si="0"/>
        <v>x</v>
      </c>
    </row>
    <row r="14" spans="1:18" x14ac:dyDescent="0.3">
      <c r="A14" s="191" t="str">
        <f>'Crisis Indicator Data'!A11</f>
        <v>Nagorno-Karabakh conflict in Azerbaijan</v>
      </c>
      <c r="B14" s="192" t="str">
        <f>'Crisis Indicator Data'!B11</f>
        <v>Conflict</v>
      </c>
      <c r="C14" s="192" t="str">
        <f>'Crisis Indicator Data'!C11</f>
        <v>AZE002</v>
      </c>
      <c r="D14" s="192" t="str">
        <f>'Crisis Indicator Data'!D11</f>
        <v>Azerbaijan</v>
      </c>
      <c r="E14" s="192" t="str">
        <f>'Crisis Indicator Data'!E11</f>
        <v>AZE</v>
      </c>
      <c r="F14" s="204" t="str">
        <f>IF('Crisis Indicator Data'!Q11="x","x",('Crisis Indicator Data'!Q11/1000000))</f>
        <v>x</v>
      </c>
      <c r="G14" s="204" t="str">
        <f>IF('Crisis Indicator Data'!R11="x","x",('Crisis Indicator Data'!R11/1000000))</f>
        <v>x</v>
      </c>
      <c r="H14" s="204" t="str">
        <f>IF('Crisis Indicator Data'!S11="x","x",('Crisis Indicator Data'!S11/1000000))</f>
        <v>x</v>
      </c>
      <c r="I14" s="204" t="str">
        <f>IF('Crisis Indicator Data'!T11="x","x",('Crisis Indicator Data'!T11/1000000))</f>
        <v>x</v>
      </c>
      <c r="J14" s="204" t="str">
        <f>IF('Crisis Indicator Data'!U11="x","x",('Crisis Indicator Data'!U11/1000000))</f>
        <v>x</v>
      </c>
      <c r="K14" s="190" t="str">
        <f t="shared" si="1"/>
        <v>x</v>
      </c>
      <c r="L14" s="185" t="str">
        <f>IF(F14="x","x",(F14*1000000/VLOOKUP($C14,'Crisis Indicator Data'!$C$3:$H$198,5,FALSE)))</f>
        <v>x</v>
      </c>
      <c r="M14" s="185" t="str">
        <f>IF(G14="x","x",(G14*1000000/VLOOKUP($C14,'Crisis Indicator Data'!$C$3:$H$198,5,FALSE)))</f>
        <v>x</v>
      </c>
      <c r="N14" s="185" t="str">
        <f>IF(H14="x","x",(H14*1000000/VLOOKUP($C14,'Crisis Indicator Data'!$C$3:$H$198,5,FALSE)))</f>
        <v>x</v>
      </c>
      <c r="O14" s="185" t="str">
        <f>IF(I14="x","x",(I14*1000000/VLOOKUP($C14,'Crisis Indicator Data'!$C$3:$H$198,5,FALSE)))</f>
        <v>x</v>
      </c>
      <c r="P14" s="185" t="str">
        <f>IF(J14="x","x",(J14*1000000/VLOOKUP($C14,'Crisis Indicator Data'!$C$3:$H$198,5,FALSE)))</f>
        <v>x</v>
      </c>
      <c r="Q14" s="167" t="str">
        <f t="shared" si="2"/>
        <v>x</v>
      </c>
      <c r="R14" s="167" t="str">
        <f t="shared" si="0"/>
        <v>x</v>
      </c>
    </row>
    <row r="15" spans="1:18" x14ac:dyDescent="0.3">
      <c r="A15" s="191" t="str">
        <f>'Crisis Indicator Data'!A12</f>
        <v>Mutliple crises in Bangladesh</v>
      </c>
      <c r="B15" s="192" t="str">
        <f>'Crisis Indicator Data'!B12</f>
        <v>Multiple crises country</v>
      </c>
      <c r="C15" s="192" t="str">
        <f>'Crisis Indicator Data'!C12</f>
        <v>BGD001</v>
      </c>
      <c r="D15" s="192" t="str">
        <f>'Crisis Indicator Data'!D12</f>
        <v>Bangladesh</v>
      </c>
      <c r="E15" s="192" t="str">
        <f>'Crisis Indicator Data'!E12</f>
        <v>BGD</v>
      </c>
      <c r="F15" s="204">
        <f>IF('Crisis Indicator Data'!Q12="x","x",('Crisis Indicator Data'!Q12/1000000))</f>
        <v>79.2</v>
      </c>
      <c r="G15" s="204">
        <f>IF('Crisis Indicator Data'!R12="x","x",('Crisis Indicator Data'!R12/1000000))</f>
        <v>17.827999999999999</v>
      </c>
      <c r="H15" s="204">
        <f>IF('Crisis Indicator Data'!S12="x","x",('Crisis Indicator Data'!S12/1000000))</f>
        <v>1.4490000000000001</v>
      </c>
      <c r="I15" s="204">
        <f>IF('Crisis Indicator Data'!T12="x","x",('Crisis Indicator Data'!T12/1000000))</f>
        <v>0.20699999999999999</v>
      </c>
      <c r="J15" s="204">
        <f>IF('Crisis Indicator Data'!U12="x","x",('Crisis Indicator Data'!U12/1000000))</f>
        <v>0</v>
      </c>
      <c r="K15" s="190">
        <f t="shared" si="1"/>
        <v>3.7</v>
      </c>
      <c r="L15" s="185">
        <f>IF(F15="x","x",(F15*1000000/VLOOKUP($C15,'Crisis Indicator Data'!$C$3:$H$198,5,FALSE)))</f>
        <v>0.8025617121316525</v>
      </c>
      <c r="M15" s="185">
        <f>IF(G15="x","x",(G15*1000000/VLOOKUP($C15,'Crisis Indicator Data'!$C$3:$H$198,5,FALSE)))</f>
        <v>0.18065745206923109</v>
      </c>
      <c r="N15" s="185">
        <f>IF(H15="x","x",(H15*1000000/VLOOKUP($C15,'Crisis Indicator Data'!$C$3:$H$198,5,FALSE)))</f>
        <v>1.4683231324226826E-2</v>
      </c>
      <c r="O15" s="185">
        <f>IF(I15="x","x",(I15*1000000/VLOOKUP($C15,'Crisis Indicator Data'!$C$3:$H$198,5,FALSE)))</f>
        <v>2.0976044748895464E-3</v>
      </c>
      <c r="P15" s="185">
        <f>IF(J15="x","x",(J15*1000000/VLOOKUP($C15,'Crisis Indicator Data'!$C$3:$H$198,5,FALSE)))</f>
        <v>0</v>
      </c>
      <c r="Q15" s="167">
        <f t="shared" si="2"/>
        <v>2</v>
      </c>
      <c r="R15" s="167">
        <f t="shared" si="0"/>
        <v>2.85</v>
      </c>
    </row>
    <row r="16" spans="1:18" x14ac:dyDescent="0.3">
      <c r="A16" s="191" t="str">
        <f>'Crisis Indicator Data'!A13</f>
        <v>Rohingya refugee crisis</v>
      </c>
      <c r="B16" s="192" t="str">
        <f>'Crisis Indicator Data'!B13</f>
        <v>International displacement</v>
      </c>
      <c r="C16" s="192" t="str">
        <f>'Crisis Indicator Data'!C13</f>
        <v>BGD002</v>
      </c>
      <c r="D16" s="192" t="str">
        <f>'Crisis Indicator Data'!D13</f>
        <v>Bangladesh</v>
      </c>
      <c r="E16" s="192" t="str">
        <f>'Crisis Indicator Data'!E13</f>
        <v>BGD</v>
      </c>
      <c r="F16" s="204">
        <f>IF('Crisis Indicator Data'!Q13="x","x",('Crisis Indicator Data'!Q13/1000000))</f>
        <v>0</v>
      </c>
      <c r="G16" s="204">
        <f>IF('Crisis Indicator Data'!R13="x","x",('Crisis Indicator Data'!R13/1000000))</f>
        <v>0.47199999999999998</v>
      </c>
      <c r="H16" s="204">
        <f>IF('Crisis Indicator Data'!S13="x","x",('Crisis Indicator Data'!S13/1000000))</f>
        <v>0.65400000000000003</v>
      </c>
      <c r="I16" s="204">
        <f>IF('Crisis Indicator Data'!T13="x","x",('Crisis Indicator Data'!T13/1000000))</f>
        <v>0.20699999999999999</v>
      </c>
      <c r="J16" s="204">
        <f>IF('Crisis Indicator Data'!U13="x","x",('Crisis Indicator Data'!U13/1000000))</f>
        <v>0</v>
      </c>
      <c r="K16" s="190">
        <f t="shared" si="1"/>
        <v>3.2</v>
      </c>
      <c r="L16" s="185">
        <f>IF(F16="x","x",(F16*1000000/VLOOKUP($C16,'Crisis Indicator Data'!$C$3:$H$198,5,FALSE)))</f>
        <v>0</v>
      </c>
      <c r="M16" s="185">
        <f>IF(G16="x","x",(G16*1000000/VLOOKUP($C16,'Crisis Indicator Data'!$C$3:$H$198,5,FALSE)))</f>
        <v>0.35408852213053266</v>
      </c>
      <c r="N16" s="185">
        <f>IF(H16="x","x",(H16*1000000/VLOOKUP($C16,'Crisis Indicator Data'!$C$3:$H$198,5,FALSE)))</f>
        <v>0.490622655663916</v>
      </c>
      <c r="O16" s="185">
        <f>IF(I16="x","x",(I16*1000000/VLOOKUP($C16,'Crisis Indicator Data'!$C$3:$H$198,5,FALSE)))</f>
        <v>0.15528882220555137</v>
      </c>
      <c r="P16" s="185">
        <f>IF(J16="x","x",(J16*1000000/VLOOKUP($C16,'Crisis Indicator Data'!$C$3:$H$198,5,FALSE)))</f>
        <v>0</v>
      </c>
      <c r="Q16" s="167">
        <f t="shared" si="2"/>
        <v>4</v>
      </c>
      <c r="R16" s="167">
        <f t="shared" si="0"/>
        <v>3.6</v>
      </c>
    </row>
    <row r="17" spans="1:18" x14ac:dyDescent="0.3">
      <c r="A17" s="191" t="str">
        <f>'Crisis Indicator Data'!A14</f>
        <v>Floods in Bangladesh</v>
      </c>
      <c r="B17" s="192" t="str">
        <f>'Crisis Indicator Data'!B14</f>
        <v>Flood</v>
      </c>
      <c r="C17" s="192" t="str">
        <f>'Crisis Indicator Data'!C14</f>
        <v>BGD003</v>
      </c>
      <c r="D17" s="192" t="str">
        <f>'Crisis Indicator Data'!D14</f>
        <v>Bangladesh</v>
      </c>
      <c r="E17" s="192" t="str">
        <f>'Crisis Indicator Data'!E14</f>
        <v>BGD</v>
      </c>
      <c r="F17" s="204">
        <f>IF('Crisis Indicator Data'!Q14="x","x",('Crisis Indicator Data'!Q14/1000000))</f>
        <v>64.768000000000001</v>
      </c>
      <c r="G17" s="204">
        <f>IF('Crisis Indicator Data'!R14="x","x",('Crisis Indicator Data'!R14/1000000))</f>
        <v>5.306</v>
      </c>
      <c r="H17" s="204">
        <f>IF('Crisis Indicator Data'!S14="x","x",('Crisis Indicator Data'!S14/1000000))</f>
        <v>9.4E-2</v>
      </c>
      <c r="I17" s="204">
        <f>IF('Crisis Indicator Data'!T14="x","x",('Crisis Indicator Data'!T14/1000000))</f>
        <v>0</v>
      </c>
      <c r="J17" s="204">
        <f>IF('Crisis Indicator Data'!U14="x","x",('Crisis Indicator Data'!U14/1000000))</f>
        <v>0</v>
      </c>
      <c r="K17" s="190">
        <f t="shared" si="1"/>
        <v>1.6</v>
      </c>
      <c r="L17" s="185">
        <f>IF(F17="x","x",(F17*1000000/VLOOKUP($C17,'Crisis Indicator Data'!$C$3:$H$198,5,FALSE)))</f>
        <v>0.92304184243529819</v>
      </c>
      <c r="M17" s="185">
        <f>IF(G17="x","x",(G17*1000000/VLOOKUP($C17,'Crisis Indicator Data'!$C$3:$H$198,5,FALSE)))</f>
        <v>7.5618515562649646E-2</v>
      </c>
      <c r="N17" s="185">
        <f>IF(H17="x","x",(H17*1000000/VLOOKUP($C17,'Crisis Indicator Data'!$C$3:$H$198,5,FALSE)))</f>
        <v>1.3396420020522176E-3</v>
      </c>
      <c r="O17" s="185">
        <f>IF(I17="x","x",(I17*1000000/VLOOKUP($C17,'Crisis Indicator Data'!$C$3:$H$198,5,FALSE)))</f>
        <v>0</v>
      </c>
      <c r="P17" s="185">
        <f>IF(J17="x","x",(J17*1000000/VLOOKUP($C17,'Crisis Indicator Data'!$C$3:$H$198,5,FALSE)))</f>
        <v>0</v>
      </c>
      <c r="Q17" s="167">
        <f t="shared" si="2"/>
        <v>2</v>
      </c>
      <c r="R17" s="167">
        <f t="shared" si="0"/>
        <v>1.8</v>
      </c>
    </row>
    <row r="18" spans="1:18" x14ac:dyDescent="0.3">
      <c r="A18" s="191" t="str">
        <f>'Crisis Indicator Data'!A15</f>
        <v>Cyclone Amphan Bangladesh</v>
      </c>
      <c r="B18" s="192" t="str">
        <f>'Crisis Indicator Data'!B15</f>
        <v>Tropical cyclone</v>
      </c>
      <c r="C18" s="192" t="str">
        <f>'Crisis Indicator Data'!C15</f>
        <v>BGD006</v>
      </c>
      <c r="D18" s="192" t="str">
        <f>'Crisis Indicator Data'!D15</f>
        <v>Bangladesh</v>
      </c>
      <c r="E18" s="192" t="str">
        <f>'Crisis Indicator Data'!E15</f>
        <v>BGD</v>
      </c>
      <c r="F18" s="204">
        <f>IF('Crisis Indicator Data'!Q15="x","x",('Crisis Indicator Data'!Q15/1000000))</f>
        <v>14.432</v>
      </c>
      <c r="G18" s="204">
        <f>IF('Crisis Indicator Data'!R15="x","x",('Crisis Indicator Data'!R15/1000000))</f>
        <v>12.051</v>
      </c>
      <c r="H18" s="204">
        <f>IF('Crisis Indicator Data'!S15="x","x",('Crisis Indicator Data'!S15/1000000))</f>
        <v>0.7</v>
      </c>
      <c r="I18" s="204">
        <f>IF('Crisis Indicator Data'!T15="x","x",('Crisis Indicator Data'!T15/1000000))</f>
        <v>0</v>
      </c>
      <c r="J18" s="204">
        <f>IF('Crisis Indicator Data'!U15="x","x",('Crisis Indicator Data'!U15/1000000))</f>
        <v>0</v>
      </c>
      <c r="K18" s="190">
        <f t="shared" si="1"/>
        <v>3.1</v>
      </c>
      <c r="L18" s="185">
        <f>IF(F18="x","x",(F18*1000000/VLOOKUP($C18,'Crisis Indicator Data'!$C$3:$H$198,5,FALSE)))</f>
        <v>0.53093959237730848</v>
      </c>
      <c r="M18" s="185">
        <f>IF(G18="x","x",(G18*1000000/VLOOKUP($C18,'Crisis Indicator Data'!$C$3:$H$198,5,FALSE)))</f>
        <v>0.44334486056949451</v>
      </c>
      <c r="N18" s="185">
        <f>IF(H18="x","x",(H18*1000000/VLOOKUP($C18,'Crisis Indicator Data'!$C$3:$H$198,5,FALSE)))</f>
        <v>2.575233610477522E-2</v>
      </c>
      <c r="O18" s="185">
        <f>IF(I18="x","x",(I18*1000000/VLOOKUP($C18,'Crisis Indicator Data'!$C$3:$H$198,5,FALSE)))</f>
        <v>0</v>
      </c>
      <c r="P18" s="185">
        <f>IF(J18="x","x",(J18*1000000/VLOOKUP($C18,'Crisis Indicator Data'!$C$3:$H$198,5,FALSE)))</f>
        <v>0</v>
      </c>
      <c r="Q18" s="167">
        <f t="shared" si="2"/>
        <v>2</v>
      </c>
      <c r="R18" s="167">
        <f t="shared" si="0"/>
        <v>2.5499999999999998</v>
      </c>
    </row>
    <row r="19" spans="1:18" x14ac:dyDescent="0.3">
      <c r="A19" s="191" t="str">
        <f>'Crisis Indicator Data'!A16</f>
        <v>Rohingya Regional Crisis</v>
      </c>
      <c r="B19" s="192" t="str">
        <f>'Crisis Indicator Data'!B16</f>
        <v>Regional crisis</v>
      </c>
      <c r="C19" s="192" t="str">
        <f>'Crisis Indicator Data'!C16</f>
        <v>REG011</v>
      </c>
      <c r="D19" s="192" t="str">
        <f>'Crisis Indicator Data'!D16</f>
        <v>Bangladesh, Myanmar</v>
      </c>
      <c r="E19" s="192" t="str">
        <f>'Crisis Indicator Data'!E16</f>
        <v>BGD, MMR</v>
      </c>
      <c r="F19" s="204">
        <f>IF('Crisis Indicator Data'!Q16="x","x",('Crisis Indicator Data'!Q16/1000000))</f>
        <v>2.3180000000000001</v>
      </c>
      <c r="G19" s="204">
        <f>IF('Crisis Indicator Data'!R16="x","x",('Crisis Indicator Data'!R16/1000000))</f>
        <v>1.2809999999999999</v>
      </c>
      <c r="H19" s="204">
        <f>IF('Crisis Indicator Data'!S16="x","x",('Crisis Indicator Data'!S16/1000000))</f>
        <v>0.90500000000000003</v>
      </c>
      <c r="I19" s="204">
        <f>IF('Crisis Indicator Data'!T16="x","x",('Crisis Indicator Data'!T16/1000000))</f>
        <v>0.71099999999999997</v>
      </c>
      <c r="J19" s="204">
        <f>IF('Crisis Indicator Data'!U16="x","x",('Crisis Indicator Data'!U16/1000000))</f>
        <v>0</v>
      </c>
      <c r="K19" s="190">
        <f t="shared" si="1"/>
        <v>3.7</v>
      </c>
      <c r="L19" s="185">
        <f>IF(F19="x","x",(F19*1000000/VLOOKUP($C19,'Crisis Indicator Data'!$C$3:$H$198,5,FALSE)))</f>
        <v>0.44448705656759346</v>
      </c>
      <c r="M19" s="185">
        <f>IF(G19="x","x",(G19*1000000/VLOOKUP($C19,'Crisis Indicator Data'!$C$3:$H$198,5,FALSE)))</f>
        <v>0.24563758389261744</v>
      </c>
      <c r="N19" s="185">
        <f>IF(H19="x","x",(H19*1000000/VLOOKUP($C19,'Crisis Indicator Data'!$C$3:$H$198,5,FALSE)))</f>
        <v>0.17353787152444872</v>
      </c>
      <c r="O19" s="185">
        <f>IF(I19="x","x",(I19*1000000/VLOOKUP($C19,'Crisis Indicator Data'!$C$3:$H$198,5,FALSE)))</f>
        <v>0.13633748801534037</v>
      </c>
      <c r="P19" s="185">
        <f>IF(J19="x","x",(J19*1000000/VLOOKUP($C19,'Crisis Indicator Data'!$C$3:$H$198,5,FALSE)))</f>
        <v>0</v>
      </c>
      <c r="Q19" s="167">
        <f t="shared" si="2"/>
        <v>4</v>
      </c>
      <c r="R19" s="167">
        <f t="shared" si="0"/>
        <v>3.85</v>
      </c>
    </row>
    <row r="20" spans="1:18" x14ac:dyDescent="0.3">
      <c r="A20" s="191" t="str">
        <f>'Crisis Indicator Data'!A17</f>
        <v>Venezuela displacement in Brazil</v>
      </c>
      <c r="B20" s="192" t="str">
        <f>'Crisis Indicator Data'!B17</f>
        <v>International displacement</v>
      </c>
      <c r="C20" s="192" t="str">
        <f>'Crisis Indicator Data'!C17</f>
        <v>BRA002</v>
      </c>
      <c r="D20" s="192" t="str">
        <f>'Crisis Indicator Data'!D17</f>
        <v>Brazil</v>
      </c>
      <c r="E20" s="192" t="str">
        <f>'Crisis Indicator Data'!E17</f>
        <v>BRA</v>
      </c>
      <c r="F20" s="204">
        <f>IF('Crisis Indicator Data'!Q17="x","x",('Crisis Indicator Data'!Q17/1000000))</f>
        <v>0.20699999999999999</v>
      </c>
      <c r="G20" s="204">
        <f>IF('Crisis Indicator Data'!R17="x","x",('Crisis Indicator Data'!R17/1000000))</f>
        <v>0.39900000000000002</v>
      </c>
      <c r="H20" s="204">
        <f>IF('Crisis Indicator Data'!S17="x","x",('Crisis Indicator Data'!S17/1000000))</f>
        <v>0.26400000000000001</v>
      </c>
      <c r="I20" s="204">
        <f>IF('Crisis Indicator Data'!T17="x","x",('Crisis Indicator Data'!T17/1000000))</f>
        <v>0</v>
      </c>
      <c r="J20" s="204">
        <f>IF('Crisis Indicator Data'!U17="x","x",('Crisis Indicator Data'!U17/1000000))</f>
        <v>0</v>
      </c>
      <c r="K20" s="190">
        <f t="shared" si="1"/>
        <v>2.4</v>
      </c>
      <c r="L20" s="185">
        <f>IF(F20="x","x",(F20*1000000/VLOOKUP($C20,'Crisis Indicator Data'!$C$3:$H$198,5,FALSE)))</f>
        <v>0.23793103448275862</v>
      </c>
      <c r="M20" s="185">
        <f>IF(G20="x","x",(G20*1000000/VLOOKUP($C20,'Crisis Indicator Data'!$C$3:$H$198,5,FALSE)))</f>
        <v>0.45862068965517239</v>
      </c>
      <c r="N20" s="185">
        <f>IF(H20="x","x",(H20*1000000/VLOOKUP($C20,'Crisis Indicator Data'!$C$3:$H$198,5,FALSE)))</f>
        <v>0.30344827586206896</v>
      </c>
      <c r="O20" s="185">
        <f>IF(I20="x","x",(I20*1000000/VLOOKUP($C20,'Crisis Indicator Data'!$C$3:$H$198,5,FALSE)))</f>
        <v>0</v>
      </c>
      <c r="P20" s="185">
        <f>IF(J20="x","x",(J20*1000000/VLOOKUP($C20,'Crisis Indicator Data'!$C$3:$H$198,5,FALSE)))</f>
        <v>0</v>
      </c>
      <c r="Q20" s="167">
        <f t="shared" si="2"/>
        <v>3</v>
      </c>
      <c r="R20" s="167">
        <f t="shared" si="0"/>
        <v>2.7</v>
      </c>
    </row>
    <row r="21" spans="1:18" x14ac:dyDescent="0.3">
      <c r="A21" s="191" t="str">
        <f>'Crisis Indicator Data'!A18</f>
        <v>Conflict in Burkina Faso</v>
      </c>
      <c r="B21" s="192" t="str">
        <f>'Crisis Indicator Data'!B18</f>
        <v>Conflict</v>
      </c>
      <c r="C21" s="192" t="str">
        <f>'Crisis Indicator Data'!C18</f>
        <v>BFA002</v>
      </c>
      <c r="D21" s="192" t="str">
        <f>'Crisis Indicator Data'!D18</f>
        <v>Burkina Faso</v>
      </c>
      <c r="E21" s="192" t="str">
        <f>'Crisis Indicator Data'!E18</f>
        <v>BFA</v>
      </c>
      <c r="F21" s="204">
        <f>IF('Crisis Indicator Data'!Q18="x","x",('Crisis Indicator Data'!Q18/1000000))</f>
        <v>3.4590000000000001</v>
      </c>
      <c r="G21" s="204">
        <f>IF('Crisis Indicator Data'!R18="x","x",('Crisis Indicator Data'!R18/1000000))</f>
        <v>3.1070000000000002</v>
      </c>
      <c r="H21" s="204">
        <f>IF('Crisis Indicator Data'!S18="x","x",('Crisis Indicator Data'!S18/1000000))</f>
        <v>0.49</v>
      </c>
      <c r="I21" s="204">
        <f>IF('Crisis Indicator Data'!T18="x","x",('Crisis Indicator Data'!T18/1000000))</f>
        <v>0.76400000000000001</v>
      </c>
      <c r="J21" s="204">
        <f>IF('Crisis Indicator Data'!U18="x","x",('Crisis Indicator Data'!U18/1000000))</f>
        <v>0.91600000000000004</v>
      </c>
      <c r="K21" s="190">
        <f t="shared" si="1"/>
        <v>3.9</v>
      </c>
      <c r="L21" s="185">
        <f>IF(F21="x","x",(F21*1000000/VLOOKUP($C21,'Crisis Indicator Data'!$C$3:$H$198,5,FALSE)))</f>
        <v>0.39594780219780218</v>
      </c>
      <c r="M21" s="185">
        <f>IF(G21="x","x",(G21*1000000/VLOOKUP($C21,'Crisis Indicator Data'!$C$3:$H$198,5,FALSE)))</f>
        <v>0.35565476190476192</v>
      </c>
      <c r="N21" s="185">
        <f>IF(H21="x","x",(H21*1000000/VLOOKUP($C21,'Crisis Indicator Data'!$C$3:$H$198,5,FALSE)))</f>
        <v>5.6089743589743592E-2</v>
      </c>
      <c r="O21" s="185">
        <f>IF(I21="x","x",(I21*1000000/VLOOKUP($C21,'Crisis Indicator Data'!$C$3:$H$198,5,FALSE)))</f>
        <v>8.7454212454212449E-2</v>
      </c>
      <c r="P21" s="185">
        <f>IF(J21="x","x",(J21*1000000/VLOOKUP($C21,'Crisis Indicator Data'!$C$3:$H$198,5,FALSE)))</f>
        <v>0.10485347985347986</v>
      </c>
      <c r="Q21" s="167">
        <f t="shared" si="2"/>
        <v>5</v>
      </c>
      <c r="R21" s="167">
        <f t="shared" si="0"/>
        <v>4.45</v>
      </c>
    </row>
    <row r="22" spans="1:18" x14ac:dyDescent="0.3">
      <c r="A22" s="191" t="str">
        <f>'Crisis Indicator Data'!A19</f>
        <v>Floods in Burkina Faso</v>
      </c>
      <c r="B22" s="192" t="str">
        <f>'Crisis Indicator Data'!B19</f>
        <v>Flood</v>
      </c>
      <c r="C22" s="192" t="str">
        <f>'Crisis Indicator Data'!C19</f>
        <v>BFA003</v>
      </c>
      <c r="D22" s="192" t="str">
        <f>'Crisis Indicator Data'!D19</f>
        <v>Burkina Faso</v>
      </c>
      <c r="E22" s="192" t="str">
        <f>'Crisis Indicator Data'!E19</f>
        <v>BFA</v>
      </c>
      <c r="F22" s="204">
        <f>IF('Crisis Indicator Data'!Q19="x","x",('Crisis Indicator Data'!Q19/1000000))</f>
        <v>21.032</v>
      </c>
      <c r="G22" s="204">
        <f>IF('Crisis Indicator Data'!R19="x","x",('Crisis Indicator Data'!R19/1000000))</f>
        <v>5.6000000000000001E-2</v>
      </c>
      <c r="H22" s="204">
        <f>IF('Crisis Indicator Data'!S19="x","x",('Crisis Indicator Data'!S19/1000000))</f>
        <v>0.05</v>
      </c>
      <c r="I22" s="204">
        <f>IF('Crisis Indicator Data'!T19="x","x",('Crisis Indicator Data'!T19/1000000))</f>
        <v>0</v>
      </c>
      <c r="J22" s="204">
        <f>IF('Crisis Indicator Data'!U19="x","x",('Crisis Indicator Data'!U19/1000000))</f>
        <v>0</v>
      </c>
      <c r="K22" s="190">
        <f t="shared" si="1"/>
        <v>1.2</v>
      </c>
      <c r="L22" s="185">
        <f>IF(F22="x","x",(F22*1000000/VLOOKUP($C22,'Crisis Indicator Data'!$C$3:$H$198,5,FALSE)))</f>
        <v>0.99498533446872928</v>
      </c>
      <c r="M22" s="185">
        <f>IF(G22="x","x",(G22*1000000/VLOOKUP($C22,'Crisis Indicator Data'!$C$3:$H$198,5,FALSE)))</f>
        <v>2.6492572618033875E-3</v>
      </c>
      <c r="N22" s="185">
        <f>IF(H22="x","x",(H22*1000000/VLOOKUP($C22,'Crisis Indicator Data'!$C$3:$H$198,5,FALSE)))</f>
        <v>2.3654082694673098E-3</v>
      </c>
      <c r="O22" s="185">
        <f>IF(I22="x","x",(I22*1000000/VLOOKUP($C22,'Crisis Indicator Data'!$C$3:$H$198,5,FALSE)))</f>
        <v>0</v>
      </c>
      <c r="P22" s="185">
        <f>IF(J22="x","x",(J22*1000000/VLOOKUP($C22,'Crisis Indicator Data'!$C$3:$H$198,5,FALSE)))</f>
        <v>0</v>
      </c>
      <c r="Q22" s="167">
        <f t="shared" si="2"/>
        <v>1</v>
      </c>
      <c r="R22" s="167">
        <f t="shared" si="0"/>
        <v>1.1000000000000001</v>
      </c>
    </row>
    <row r="23" spans="1:18" x14ac:dyDescent="0.3">
      <c r="A23" s="191" t="str">
        <f>'Crisis Indicator Data'!A20</f>
        <v>Multiple crises in Burkina Faso</v>
      </c>
      <c r="B23" s="192" t="str">
        <f>'Crisis Indicator Data'!B20</f>
        <v>Multiple crises country</v>
      </c>
      <c r="C23" s="192" t="str">
        <f>'Crisis Indicator Data'!C20</f>
        <v>BFA004</v>
      </c>
      <c r="D23" s="192" t="str">
        <f>'Crisis Indicator Data'!D20</f>
        <v>Burkina Faso</v>
      </c>
      <c r="E23" s="192" t="str">
        <f>'Crisis Indicator Data'!E20</f>
        <v>BFA</v>
      </c>
      <c r="F23" s="204">
        <f>IF('Crisis Indicator Data'!Q20="x","x",('Crisis Indicator Data'!Q20/1000000))</f>
        <v>15.755000000000001</v>
      </c>
      <c r="G23" s="204">
        <f>IF('Crisis Indicator Data'!R20="x","x",('Crisis Indicator Data'!R20/1000000))</f>
        <v>3.1629999999999998</v>
      </c>
      <c r="H23" s="204">
        <f>IF('Crisis Indicator Data'!S20="x","x",('Crisis Indicator Data'!S20/1000000))</f>
        <v>0.54</v>
      </c>
      <c r="I23" s="204">
        <f>IF('Crisis Indicator Data'!T20="x","x",('Crisis Indicator Data'!T20/1000000))</f>
        <v>0.76400000000000001</v>
      </c>
      <c r="J23" s="204">
        <f>IF('Crisis Indicator Data'!U20="x","x",('Crisis Indicator Data'!U20/1000000))</f>
        <v>0.91600000000000004</v>
      </c>
      <c r="K23" s="190">
        <f t="shared" si="1"/>
        <v>3.9</v>
      </c>
      <c r="L23" s="185">
        <f>IF(F23="x","x",(F23*1000000/VLOOKUP($C23,'Crisis Indicator Data'!$C$3:$H$198,5,FALSE)))</f>
        <v>0.74534014570914942</v>
      </c>
      <c r="M23" s="185">
        <f>IF(G23="x","x",(G23*1000000/VLOOKUP($C23,'Crisis Indicator Data'!$C$3:$H$198,5,FALSE)))</f>
        <v>0.14963572712650203</v>
      </c>
      <c r="N23" s="185">
        <f>IF(H23="x","x",(H23*1000000/VLOOKUP($C23,'Crisis Indicator Data'!$C$3:$H$198,5,FALSE)))</f>
        <v>2.5546409310246949E-2</v>
      </c>
      <c r="O23" s="185">
        <f>IF(I23="x","x",(I23*1000000/VLOOKUP($C23,'Crisis Indicator Data'!$C$3:$H$198,5,FALSE)))</f>
        <v>3.6143438357460499E-2</v>
      </c>
      <c r="P23" s="185">
        <f>IF(J23="x","x",(J23*1000000/VLOOKUP($C23,'Crisis Indicator Data'!$C$3:$H$198,5,FALSE)))</f>
        <v>4.333427949664112E-2</v>
      </c>
      <c r="Q23" s="167">
        <f t="shared" si="2"/>
        <v>4</v>
      </c>
      <c r="R23" s="167">
        <f t="shared" si="0"/>
        <v>3.95</v>
      </c>
    </row>
    <row r="24" spans="1:18" x14ac:dyDescent="0.3">
      <c r="A24" s="191" t="str">
        <f>'Crisis Indicator Data'!A21</f>
        <v>Complex in Burundi</v>
      </c>
      <c r="B24" s="192" t="str">
        <f>'Crisis Indicator Data'!B21</f>
        <v>Complex crisis</v>
      </c>
      <c r="C24" s="192" t="str">
        <f>'Crisis Indicator Data'!C21</f>
        <v>BDI001</v>
      </c>
      <c r="D24" s="192" t="str">
        <f>'Crisis Indicator Data'!D21</f>
        <v>Burundi</v>
      </c>
      <c r="E24" s="192" t="str">
        <f>'Crisis Indicator Data'!E21</f>
        <v>BDI</v>
      </c>
      <c r="F24" s="204">
        <f>IF('Crisis Indicator Data'!Q21="x","x",('Crisis Indicator Data'!Q21/1000000))</f>
        <v>6.3680000000000003</v>
      </c>
      <c r="G24" s="204">
        <f>IF('Crisis Indicator Data'!R21="x","x",('Crisis Indicator Data'!R21/1000000))</f>
        <v>3.9550000000000001</v>
      </c>
      <c r="H24" s="204">
        <f>IF('Crisis Indicator Data'!S21="x","x",('Crisis Indicator Data'!S21/1000000))</f>
        <v>1.206</v>
      </c>
      <c r="I24" s="204">
        <f>IF('Crisis Indicator Data'!T21="x","x",('Crisis Indicator Data'!T21/1000000))</f>
        <v>0.128</v>
      </c>
      <c r="J24" s="204">
        <f>IF('Crisis Indicator Data'!U21="x","x",('Crisis Indicator Data'!U21/1000000))</f>
        <v>0</v>
      </c>
      <c r="K24" s="190">
        <f t="shared" si="1"/>
        <v>3.5</v>
      </c>
      <c r="L24" s="185">
        <f>IF(F24="x","x",(F24*1000000/VLOOKUP($C24,'Crisis Indicator Data'!$C$3:$H$198,5,FALSE)))</f>
        <v>0.54628120442652484</v>
      </c>
      <c r="M24" s="185">
        <f>IF(G24="x","x",(G24*1000000/VLOOKUP($C24,'Crisis Indicator Data'!$C$3:$H$198,5,FALSE)))</f>
        <v>0.33928111864115984</v>
      </c>
      <c r="N24" s="185">
        <f>IF(H24="x","x",(H24*1000000/VLOOKUP($C24,'Crisis Indicator Data'!$C$3:$H$198,5,FALSE)))</f>
        <v>0.10345715021017414</v>
      </c>
      <c r="O24" s="185">
        <f>IF(I24="x","x",(I24*1000000/VLOOKUP($C24,'Crisis Indicator Data'!$C$3:$H$198,5,FALSE)))</f>
        <v>1.0980526722141202E-2</v>
      </c>
      <c r="P24" s="185">
        <f>IF(J24="x","x",(J24*1000000/VLOOKUP($C24,'Crisis Indicator Data'!$C$3:$H$198,5,FALSE)))</f>
        <v>0</v>
      </c>
      <c r="Q24" s="167">
        <f t="shared" si="2"/>
        <v>3</v>
      </c>
      <c r="R24" s="167">
        <f t="shared" si="0"/>
        <v>3.25</v>
      </c>
    </row>
    <row r="25" spans="1:18" x14ac:dyDescent="0.3">
      <c r="A25" s="191" t="str">
        <f>'Crisis Indicator Data'!A22</f>
        <v>Multiple crises in Cameroon</v>
      </c>
      <c r="B25" s="192" t="str">
        <f>'Crisis Indicator Data'!B22</f>
        <v>Multiple crises country</v>
      </c>
      <c r="C25" s="192" t="str">
        <f>'Crisis Indicator Data'!C22</f>
        <v>CMR001</v>
      </c>
      <c r="D25" s="192" t="str">
        <f>'Crisis Indicator Data'!D22</f>
        <v>Cameroon</v>
      </c>
      <c r="E25" s="192" t="str">
        <f>'Crisis Indicator Data'!E22</f>
        <v>CMR</v>
      </c>
      <c r="F25" s="204">
        <f>IF('Crisis Indicator Data'!Q22="x","x",('Crisis Indicator Data'!Q22/1000000))</f>
        <v>5.1239999999999997</v>
      </c>
      <c r="G25" s="204">
        <f>IF('Crisis Indicator Data'!R22="x","x",('Crisis Indicator Data'!R22/1000000))</f>
        <v>3.855</v>
      </c>
      <c r="H25" s="204">
        <f>IF('Crisis Indicator Data'!S22="x","x",('Crisis Indicator Data'!S22/1000000))</f>
        <v>1.5429999999999999</v>
      </c>
      <c r="I25" s="204">
        <f>IF('Crisis Indicator Data'!T22="x","x",('Crisis Indicator Data'!T22/1000000))</f>
        <v>0.185</v>
      </c>
      <c r="J25" s="204">
        <f>IF('Crisis Indicator Data'!U22="x","x",('Crisis Indicator Data'!U22/1000000))</f>
        <v>0</v>
      </c>
      <c r="K25" s="190">
        <f t="shared" si="1"/>
        <v>3.7</v>
      </c>
      <c r="L25" s="185">
        <f>IF(F25="x","x",(F25*1000000/VLOOKUP($C25,'Crisis Indicator Data'!$C$3:$H$198,5,FALSE)))</f>
        <v>0.49670414889492054</v>
      </c>
      <c r="M25" s="185">
        <f>IF(G25="x","x",(G25*1000000/VLOOKUP($C25,'Crisis Indicator Data'!$C$3:$H$198,5,FALSE)))</f>
        <v>0.37369135323768904</v>
      </c>
      <c r="N25" s="185">
        <f>IF(H25="x","x",(H25*1000000/VLOOKUP($C25,'Crisis Indicator Data'!$C$3:$H$198,5,FALSE)))</f>
        <v>0.14957347809228383</v>
      </c>
      <c r="O25" s="185">
        <f>IF(I25="x","x",(I25*1000000/VLOOKUP($C25,'Crisis Indicator Data'!$C$3:$H$198,5,FALSE)))</f>
        <v>1.7933307483520743E-2</v>
      </c>
      <c r="P25" s="185">
        <f>IF(J25="x","x",(J25*1000000/VLOOKUP($C25,'Crisis Indicator Data'!$C$3:$H$198,5,FALSE)))</f>
        <v>0</v>
      </c>
      <c r="Q25" s="167">
        <f t="shared" si="2"/>
        <v>3</v>
      </c>
      <c r="R25" s="167">
        <f t="shared" si="0"/>
        <v>3.35</v>
      </c>
    </row>
    <row r="26" spans="1:18" x14ac:dyDescent="0.3">
      <c r="A26" s="191" t="str">
        <f>'Crisis Indicator Data'!A23</f>
        <v>Boko Haram in Cameroon</v>
      </c>
      <c r="B26" s="192" t="str">
        <f>'Crisis Indicator Data'!B23</f>
        <v>Conflict</v>
      </c>
      <c r="C26" s="192" t="str">
        <f>'Crisis Indicator Data'!C23</f>
        <v>CMR002</v>
      </c>
      <c r="D26" s="192" t="str">
        <f>'Crisis Indicator Data'!D23</f>
        <v>Cameroon</v>
      </c>
      <c r="E26" s="192" t="str">
        <f>'Crisis Indicator Data'!E23</f>
        <v>CMR</v>
      </c>
      <c r="F26" s="204">
        <f>IF('Crisis Indicator Data'!Q23="x","x",('Crisis Indicator Data'!Q23/1000000))</f>
        <v>1.857</v>
      </c>
      <c r="G26" s="204">
        <f>IF('Crisis Indicator Data'!R23="x","x",('Crisis Indicator Data'!R23/1000000))</f>
        <v>1.879</v>
      </c>
      <c r="H26" s="204">
        <f>IF('Crisis Indicator Data'!S23="x","x",('Crisis Indicator Data'!S23/1000000))</f>
        <v>0.55300000000000005</v>
      </c>
      <c r="I26" s="204">
        <f>IF('Crisis Indicator Data'!T23="x","x",('Crisis Indicator Data'!T23/1000000))</f>
        <v>8.8999999999999996E-2</v>
      </c>
      <c r="J26" s="204">
        <f>IF('Crisis Indicator Data'!U23="x","x",('Crisis Indicator Data'!U23/1000000))</f>
        <v>0</v>
      </c>
      <c r="K26" s="190">
        <f t="shared" si="1"/>
        <v>3</v>
      </c>
      <c r="L26" s="185">
        <f>IF(F26="x","x",(F26*1000000/VLOOKUP($C26,'Crisis Indicator Data'!$C$3:$H$198,5,FALSE)))</f>
        <v>0.42416628597533118</v>
      </c>
      <c r="M26" s="185">
        <f>IF(G26="x","x",(G26*1000000/VLOOKUP($C26,'Crisis Indicator Data'!$C$3:$H$198,5,FALSE)))</f>
        <v>0.42919141160347191</v>
      </c>
      <c r="N26" s="185">
        <f>IF(H26="x","x",(H26*1000000/VLOOKUP($C26,'Crisis Indicator Data'!$C$3:$H$198,5,FALSE)))</f>
        <v>0.12631338510735496</v>
      </c>
      <c r="O26" s="185">
        <f>IF(I26="x","x",(I26*1000000/VLOOKUP($C26,'Crisis Indicator Data'!$C$3:$H$198,5,FALSE)))</f>
        <v>2.0328917313841937E-2</v>
      </c>
      <c r="P26" s="185">
        <f>IF(J26="x","x",(J26*1000000/VLOOKUP($C26,'Crisis Indicator Data'!$C$3:$H$198,5,FALSE)))</f>
        <v>0</v>
      </c>
      <c r="Q26" s="167">
        <f t="shared" si="2"/>
        <v>3</v>
      </c>
      <c r="R26" s="167">
        <f t="shared" si="0"/>
        <v>3</v>
      </c>
    </row>
    <row r="27" spans="1:18" x14ac:dyDescent="0.3">
      <c r="A27" s="191" t="str">
        <f>'Crisis Indicator Data'!A24</f>
        <v>Anglophone Crisis in Cameroon</v>
      </c>
      <c r="B27" s="192" t="str">
        <f>'Crisis Indicator Data'!B24</f>
        <v>Conflict</v>
      </c>
      <c r="C27" s="192" t="str">
        <f>'Crisis Indicator Data'!C24</f>
        <v>CMR003</v>
      </c>
      <c r="D27" s="192" t="str">
        <f>'Crisis Indicator Data'!D24</f>
        <v>Cameroon</v>
      </c>
      <c r="E27" s="192" t="str">
        <f>'Crisis Indicator Data'!E24</f>
        <v>CMR</v>
      </c>
      <c r="F27" s="204">
        <f>IF('Crisis Indicator Data'!Q24="x","x",('Crisis Indicator Data'!Q24/1000000))</f>
        <v>1.611</v>
      </c>
      <c r="G27" s="204">
        <f>IF('Crisis Indicator Data'!R24="x","x",('Crisis Indicator Data'!R24/1000000))</f>
        <v>1.976</v>
      </c>
      <c r="H27" s="204">
        <f>IF('Crisis Indicator Data'!S24="x","x",('Crisis Indicator Data'!S24/1000000))</f>
        <v>0.69</v>
      </c>
      <c r="I27" s="204">
        <f>IF('Crisis Indicator Data'!T24="x","x",('Crisis Indicator Data'!T24/1000000))</f>
        <v>9.7000000000000003E-2</v>
      </c>
      <c r="J27" s="204">
        <f>IF('Crisis Indicator Data'!U24="x","x",('Crisis Indicator Data'!U24/1000000))</f>
        <v>0</v>
      </c>
      <c r="K27" s="190">
        <f t="shared" si="1"/>
        <v>3.2</v>
      </c>
      <c r="L27" s="185">
        <f>IF(F27="x","x",(F27*1000000/VLOOKUP($C27,'Crisis Indicator Data'!$C$3:$H$198,5,FALSE)))</f>
        <v>0.36831275720164608</v>
      </c>
      <c r="M27" s="185">
        <f>IF(G27="x","x",(G27*1000000/VLOOKUP($C27,'Crisis Indicator Data'!$C$3:$H$198,5,FALSE)))</f>
        <v>0.45176040237768633</v>
      </c>
      <c r="N27" s="185">
        <f>IF(H27="x","x",(H27*1000000/VLOOKUP($C27,'Crisis Indicator Data'!$C$3:$H$198,5,FALSE)))</f>
        <v>0.15775034293552812</v>
      </c>
      <c r="O27" s="185">
        <f>IF(I27="x","x",(I27*1000000/VLOOKUP($C27,'Crisis Indicator Data'!$C$3:$H$198,5,FALSE)))</f>
        <v>2.217649748513946E-2</v>
      </c>
      <c r="P27" s="185">
        <f>IF(J27="x","x",(J27*1000000/VLOOKUP($C27,'Crisis Indicator Data'!$C$3:$H$198,5,FALSE)))</f>
        <v>0</v>
      </c>
      <c r="Q27" s="167">
        <f t="shared" si="2"/>
        <v>3</v>
      </c>
      <c r="R27" s="167">
        <f t="shared" si="0"/>
        <v>3.1</v>
      </c>
    </row>
    <row r="28" spans="1:18" x14ac:dyDescent="0.3">
      <c r="A28" s="191" t="str">
        <f>'Crisis Indicator Data'!A25</f>
        <v>CAR refugees in Cameroon</v>
      </c>
      <c r="B28" s="192" t="str">
        <f>'Crisis Indicator Data'!B25</f>
        <v>International displacement</v>
      </c>
      <c r="C28" s="192" t="str">
        <f>'Crisis Indicator Data'!C25</f>
        <v>CMR004</v>
      </c>
      <c r="D28" s="192" t="str">
        <f>'Crisis Indicator Data'!D25</f>
        <v>Cameroon</v>
      </c>
      <c r="E28" s="192" t="str">
        <f>'Crisis Indicator Data'!E25</f>
        <v>CMR</v>
      </c>
      <c r="F28" s="204">
        <f>IF('Crisis Indicator Data'!Q25="x","x",('Crisis Indicator Data'!Q25/1000000))</f>
        <v>1.2809999999999999</v>
      </c>
      <c r="G28" s="204">
        <f>IF('Crisis Indicator Data'!R25="x","x",('Crisis Indicator Data'!R25/1000000))</f>
        <v>0</v>
      </c>
      <c r="H28" s="204">
        <f>IF('Crisis Indicator Data'!S25="x","x",('Crisis Indicator Data'!S25/1000000))</f>
        <v>0.28399999999999997</v>
      </c>
      <c r="I28" s="204">
        <f>IF('Crisis Indicator Data'!T25="x","x",('Crisis Indicator Data'!T25/1000000))</f>
        <v>0</v>
      </c>
      <c r="J28" s="204">
        <f>IF('Crisis Indicator Data'!U25="x","x",('Crisis Indicator Data'!U25/1000000))</f>
        <v>0</v>
      </c>
      <c r="K28" s="190">
        <f t="shared" si="1"/>
        <v>2.4</v>
      </c>
      <c r="L28" s="185">
        <f>IF(F28="x","x",(F28*1000000/VLOOKUP($C28,'Crisis Indicator Data'!$C$3:$H$198,5,FALSE)))</f>
        <v>0.8185303514376997</v>
      </c>
      <c r="M28" s="185">
        <f>IF(G28="x","x",(G28*1000000/VLOOKUP($C28,'Crisis Indicator Data'!$C$3:$H$198,5,FALSE)))</f>
        <v>0</v>
      </c>
      <c r="N28" s="185">
        <f>IF(H28="x","x",(H28*1000000/VLOOKUP($C28,'Crisis Indicator Data'!$C$3:$H$198,5,FALSE)))</f>
        <v>0.18146964856230033</v>
      </c>
      <c r="O28" s="185">
        <f>IF(I28="x","x",(I28*1000000/VLOOKUP($C28,'Crisis Indicator Data'!$C$3:$H$198,5,FALSE)))</f>
        <v>0</v>
      </c>
      <c r="P28" s="185">
        <f>IF(J28="x","x",(J28*1000000/VLOOKUP($C28,'Crisis Indicator Data'!$C$3:$H$198,5,FALSE)))</f>
        <v>0</v>
      </c>
      <c r="Q28" s="167">
        <f t="shared" si="2"/>
        <v>3</v>
      </c>
      <c r="R28" s="167">
        <f t="shared" si="0"/>
        <v>2.7</v>
      </c>
    </row>
    <row r="29" spans="1:18" x14ac:dyDescent="0.3">
      <c r="A29" s="191" t="str">
        <f>'Crisis Indicator Data'!A26</f>
        <v>Complex crisis in CAR</v>
      </c>
      <c r="B29" s="192" t="str">
        <f>'Crisis Indicator Data'!B26</f>
        <v>Complex crisis</v>
      </c>
      <c r="C29" s="192" t="str">
        <f>'Crisis Indicator Data'!C26</f>
        <v>CAF001</v>
      </c>
      <c r="D29" s="192" t="str">
        <f>'Crisis Indicator Data'!D26</f>
        <v>CAR</v>
      </c>
      <c r="E29" s="192" t="str">
        <f>'Crisis Indicator Data'!E26</f>
        <v>CAF</v>
      </c>
      <c r="F29" s="204">
        <f>IF('Crisis Indicator Data'!Q26="x","x",('Crisis Indicator Data'!Q26/1000000))</f>
        <v>0</v>
      </c>
      <c r="G29" s="204">
        <f>IF('Crisis Indicator Data'!R26="x","x",('Crisis Indicator Data'!R26/1000000))</f>
        <v>2.1</v>
      </c>
      <c r="H29" s="204">
        <f>IF('Crisis Indicator Data'!S26="x","x",('Crisis Indicator Data'!S26/1000000))</f>
        <v>0.9</v>
      </c>
      <c r="I29" s="204">
        <f>IF('Crisis Indicator Data'!T26="x","x",('Crisis Indicator Data'!T26/1000000))</f>
        <v>1.9</v>
      </c>
      <c r="J29" s="204">
        <f>IF('Crisis Indicator Data'!U26="x","x",('Crisis Indicator Data'!U26/1000000))</f>
        <v>0</v>
      </c>
      <c r="K29" s="190">
        <f t="shared" si="1"/>
        <v>4.0999999999999996</v>
      </c>
      <c r="L29" s="185">
        <f>IF(F29="x","x",(F29*1000000/VLOOKUP($C29,'Crisis Indicator Data'!$C$3:$H$198,5,FALSE)))</f>
        <v>0</v>
      </c>
      <c r="M29" s="185">
        <f>IF(G29="x","x",(G29*1000000/VLOOKUP($C29,'Crisis Indicator Data'!$C$3:$H$198,5,FALSE)))</f>
        <v>0.42857142857142855</v>
      </c>
      <c r="N29" s="185">
        <f>IF(H29="x","x",(H29*1000000/VLOOKUP($C29,'Crisis Indicator Data'!$C$3:$H$198,5,FALSE)))</f>
        <v>0.18367346938775511</v>
      </c>
      <c r="O29" s="185">
        <f>IF(I29="x","x",(I29*1000000/VLOOKUP($C29,'Crisis Indicator Data'!$C$3:$H$198,5,FALSE)))</f>
        <v>0.38775510204081631</v>
      </c>
      <c r="P29" s="185">
        <f>IF(J29="x","x",(J29*1000000/VLOOKUP($C29,'Crisis Indicator Data'!$C$3:$H$198,5,FALSE)))</f>
        <v>0</v>
      </c>
      <c r="Q29" s="167">
        <f t="shared" si="2"/>
        <v>4</v>
      </c>
      <c r="R29" s="167">
        <f t="shared" si="0"/>
        <v>4.05</v>
      </c>
    </row>
    <row r="30" spans="1:18" x14ac:dyDescent="0.3">
      <c r="A30" s="191" t="str">
        <f>'Crisis Indicator Data'!A27</f>
        <v>Complex crisis in Chad</v>
      </c>
      <c r="B30" s="192" t="str">
        <f>'Crisis Indicator Data'!B27</f>
        <v>Multiple crises country</v>
      </c>
      <c r="C30" s="192" t="str">
        <f>'Crisis Indicator Data'!C27</f>
        <v>TCD001</v>
      </c>
      <c r="D30" s="192" t="str">
        <f>'Crisis Indicator Data'!D27</f>
        <v>Chad</v>
      </c>
      <c r="E30" s="192" t="str">
        <f>'Crisis Indicator Data'!E27</f>
        <v>TCD</v>
      </c>
      <c r="F30" s="204">
        <f>IF('Crisis Indicator Data'!Q27="x","x",('Crisis Indicator Data'!Q27/1000000))</f>
        <v>9.1690000000000005</v>
      </c>
      <c r="G30" s="204">
        <f>IF('Crisis Indicator Data'!R27="x","x",('Crisis Indicator Data'!R27/1000000))</f>
        <v>1.2070000000000001</v>
      </c>
      <c r="H30" s="204">
        <f>IF('Crisis Indicator Data'!S27="x","x",('Crisis Indicator Data'!S27/1000000))</f>
        <v>4.7359999999999998</v>
      </c>
      <c r="I30" s="204">
        <f>IF('Crisis Indicator Data'!T27="x","x",('Crisis Indicator Data'!T27/1000000))</f>
        <v>1.472</v>
      </c>
      <c r="J30" s="204">
        <f>IF('Crisis Indicator Data'!U27="x","x",('Crisis Indicator Data'!U27/1000000))</f>
        <v>0.192</v>
      </c>
      <c r="K30" s="190">
        <f t="shared" si="1"/>
        <v>4.7</v>
      </c>
      <c r="L30" s="185">
        <f>IF(F30="x","x",(F30*1000000/VLOOKUP($C30,'Crisis Indicator Data'!$C$3:$H$198,5,FALSE)))</f>
        <v>0.54632664005243403</v>
      </c>
      <c r="M30" s="185">
        <f>IF(G30="x","x",(G30*1000000/VLOOKUP($C30,'Crisis Indicator Data'!$C$3:$H$198,5,FALSE)))</f>
        <v>7.1918012274325205E-2</v>
      </c>
      <c r="N30" s="185">
        <f>IF(H30="x","x",(H30*1000000/VLOOKUP($C30,'Crisis Indicator Data'!$C$3:$H$198,5,FALSE)))</f>
        <v>0.28219031162485847</v>
      </c>
      <c r="O30" s="185">
        <f>IF(I30="x","x",(I30*1000000/VLOOKUP($C30,'Crisis Indicator Data'!$C$3:$H$198,5,FALSE)))</f>
        <v>8.7707799559077634E-2</v>
      </c>
      <c r="P30" s="185">
        <f>IF(J30="x","x",(J30*1000000/VLOOKUP($C30,'Crisis Indicator Data'!$C$3:$H$198,5,FALSE)))</f>
        <v>1.1440147768575343E-2</v>
      </c>
      <c r="Q30" s="167">
        <f t="shared" si="2"/>
        <v>4</v>
      </c>
      <c r="R30" s="167">
        <f t="shared" si="0"/>
        <v>4.3499999999999996</v>
      </c>
    </row>
    <row r="31" spans="1:18" x14ac:dyDescent="0.3">
      <c r="A31" s="191" t="str">
        <f>'Crisis Indicator Data'!A28</f>
        <v>Boko Haram in Chad</v>
      </c>
      <c r="B31" s="192" t="str">
        <f>'Crisis Indicator Data'!B28</f>
        <v>Conflict</v>
      </c>
      <c r="C31" s="192" t="str">
        <f>'Crisis Indicator Data'!C28</f>
        <v>TCD003</v>
      </c>
      <c r="D31" s="192" t="str">
        <f>'Crisis Indicator Data'!D28</f>
        <v>Chad</v>
      </c>
      <c r="E31" s="192" t="str">
        <f>'Crisis Indicator Data'!E28</f>
        <v>TCD</v>
      </c>
      <c r="F31" s="204">
        <f>IF('Crisis Indicator Data'!Q28="x","x",('Crisis Indicator Data'!Q28/1000000))</f>
        <v>0</v>
      </c>
      <c r="G31" s="204">
        <f>IF('Crisis Indicator Data'!R28="x","x",('Crisis Indicator Data'!R28/1000000))</f>
        <v>0.318</v>
      </c>
      <c r="H31" s="204">
        <f>IF('Crisis Indicator Data'!S28="x","x",('Crisis Indicator Data'!S28/1000000))</f>
        <v>9.8000000000000004E-2</v>
      </c>
      <c r="I31" s="204">
        <f>IF('Crisis Indicator Data'!T28="x","x",('Crisis Indicator Data'!T28/1000000))</f>
        <v>0.14699999999999999</v>
      </c>
      <c r="J31" s="204">
        <f>IF('Crisis Indicator Data'!U28="x","x",('Crisis Indicator Data'!U28/1000000))</f>
        <v>0.122</v>
      </c>
      <c r="K31" s="190">
        <f t="shared" si="1"/>
        <v>2.6</v>
      </c>
      <c r="L31" s="185">
        <f>IF(F31="x","x",(F31*1000000/VLOOKUP($C31,'Crisis Indicator Data'!$C$3:$H$198,5,FALSE)))</f>
        <v>0</v>
      </c>
      <c r="M31" s="185">
        <f>IF(G31="x","x",(G31*1000000/VLOOKUP($C31,'Crisis Indicator Data'!$C$3:$H$198,5,FALSE)))</f>
        <v>0.46423357664233578</v>
      </c>
      <c r="N31" s="185">
        <f>IF(H31="x","x",(H31*1000000/VLOOKUP($C31,'Crisis Indicator Data'!$C$3:$H$198,5,FALSE)))</f>
        <v>0.14306569343065692</v>
      </c>
      <c r="O31" s="185">
        <f>IF(I31="x","x",(I31*1000000/VLOOKUP($C31,'Crisis Indicator Data'!$C$3:$H$198,5,FALSE)))</f>
        <v>0.21459854014598539</v>
      </c>
      <c r="P31" s="185">
        <f>IF(J31="x","x",(J31*1000000/VLOOKUP($C31,'Crisis Indicator Data'!$C$3:$H$198,5,FALSE)))</f>
        <v>0.17810218978102191</v>
      </c>
      <c r="Q31" s="167">
        <f t="shared" si="2"/>
        <v>5</v>
      </c>
      <c r="R31" s="167">
        <f t="shared" si="0"/>
        <v>3.8</v>
      </c>
    </row>
    <row r="32" spans="1:18" x14ac:dyDescent="0.3">
      <c r="A32" s="191" t="str">
        <f>'Crisis Indicator Data'!A29</f>
        <v>CAR refugees in Chad</v>
      </c>
      <c r="B32" s="192" t="str">
        <f>'Crisis Indicator Data'!B29</f>
        <v>International displacement</v>
      </c>
      <c r="C32" s="192" t="str">
        <f>'Crisis Indicator Data'!C29</f>
        <v>TCD004</v>
      </c>
      <c r="D32" s="192" t="str">
        <f>'Crisis Indicator Data'!D29</f>
        <v>Chad</v>
      </c>
      <c r="E32" s="192" t="str">
        <f>'Crisis Indicator Data'!E29</f>
        <v>TCD</v>
      </c>
      <c r="F32" s="204">
        <f>IF('Crisis Indicator Data'!Q29="x","x",('Crisis Indicator Data'!Q29/1000000))</f>
        <v>3.452</v>
      </c>
      <c r="G32" s="204">
        <f>IF('Crisis Indicator Data'!R29="x","x",('Crisis Indicator Data'!R29/1000000))</f>
        <v>0</v>
      </c>
      <c r="H32" s="204">
        <f>IF('Crisis Indicator Data'!S29="x","x",('Crisis Indicator Data'!S29/1000000))</f>
        <v>0.74299999999999999</v>
      </c>
      <c r="I32" s="204">
        <f>IF('Crisis Indicator Data'!T29="x","x",('Crisis Indicator Data'!T29/1000000))</f>
        <v>0.26100000000000001</v>
      </c>
      <c r="J32" s="204">
        <f>IF('Crisis Indicator Data'!U29="x","x",('Crisis Indicator Data'!U29/1000000))</f>
        <v>0</v>
      </c>
      <c r="K32" s="190">
        <f t="shared" si="1"/>
        <v>3.3</v>
      </c>
      <c r="L32" s="185">
        <f>IF(F32="x","x",(F32*1000000/VLOOKUP($C32,'Crisis Indicator Data'!$C$3:$H$198,5,FALSE)))</f>
        <v>0.77468581687612204</v>
      </c>
      <c r="M32" s="185">
        <f>IF(G32="x","x",(G32*1000000/VLOOKUP($C32,'Crisis Indicator Data'!$C$3:$H$198,5,FALSE)))</f>
        <v>0</v>
      </c>
      <c r="N32" s="185">
        <f>IF(H32="x","x",(H32*1000000/VLOOKUP($C32,'Crisis Indicator Data'!$C$3:$H$198,5,FALSE)))</f>
        <v>0.16674147217235188</v>
      </c>
      <c r="O32" s="185">
        <f>IF(I32="x","x",(I32*1000000/VLOOKUP($C32,'Crisis Indicator Data'!$C$3:$H$198,5,FALSE)))</f>
        <v>5.8572710951526032E-2</v>
      </c>
      <c r="P32" s="185">
        <f>IF(J32="x","x",(J32*1000000/VLOOKUP($C32,'Crisis Indicator Data'!$C$3:$H$198,5,FALSE)))</f>
        <v>0</v>
      </c>
      <c r="Q32" s="167">
        <f t="shared" si="2"/>
        <v>4</v>
      </c>
      <c r="R32" s="167">
        <f t="shared" si="0"/>
        <v>3.65</v>
      </c>
    </row>
    <row r="33" spans="1:18" x14ac:dyDescent="0.3">
      <c r="A33" s="191" t="str">
        <f>'Crisis Indicator Data'!A30</f>
        <v>Darfur refugees in Chad</v>
      </c>
      <c r="B33" s="192" t="str">
        <f>'Crisis Indicator Data'!B30</f>
        <v>International displacement</v>
      </c>
      <c r="C33" s="192" t="str">
        <f>'Crisis Indicator Data'!C30</f>
        <v>TCD005</v>
      </c>
      <c r="D33" s="192" t="str">
        <f>'Crisis Indicator Data'!D30</f>
        <v>Chad</v>
      </c>
      <c r="E33" s="192" t="str">
        <f>'Crisis Indicator Data'!E30</f>
        <v>TCD</v>
      </c>
      <c r="F33" s="204">
        <f>IF('Crisis Indicator Data'!Q30="x","x",('Crisis Indicator Data'!Q30/1000000))</f>
        <v>1.454</v>
      </c>
      <c r="G33" s="204">
        <f>IF('Crisis Indicator Data'!R30="x","x",('Crisis Indicator Data'!R30/1000000))</f>
        <v>0</v>
      </c>
      <c r="H33" s="204">
        <f>IF('Crisis Indicator Data'!S30="x","x",('Crisis Indicator Data'!S30/1000000))</f>
        <v>0.69399999999999995</v>
      </c>
      <c r="I33" s="204">
        <f>IF('Crisis Indicator Data'!T30="x","x",('Crisis Indicator Data'!T30/1000000))</f>
        <v>0.42899999999999999</v>
      </c>
      <c r="J33" s="204">
        <f>IF('Crisis Indicator Data'!U30="x","x",('Crisis Indicator Data'!U30/1000000))</f>
        <v>0</v>
      </c>
      <c r="K33" s="190">
        <f t="shared" si="1"/>
        <v>3.4</v>
      </c>
      <c r="L33" s="185">
        <f>IF(F33="x","x",(F33*1000000/VLOOKUP($C33,'Crisis Indicator Data'!$C$3:$H$198,5,FALSE)))</f>
        <v>0.56422196352347687</v>
      </c>
      <c r="M33" s="185">
        <f>IF(G33="x","x",(G33*1000000/VLOOKUP($C33,'Crisis Indicator Data'!$C$3:$H$198,5,FALSE)))</f>
        <v>0</v>
      </c>
      <c r="N33" s="185">
        <f>IF(H33="x","x",(H33*1000000/VLOOKUP($C33,'Crisis Indicator Data'!$C$3:$H$198,5,FALSE)))</f>
        <v>0.26930539386883973</v>
      </c>
      <c r="O33" s="185">
        <f>IF(I33="x","x",(I33*1000000/VLOOKUP($C33,'Crisis Indicator Data'!$C$3:$H$198,5,FALSE)))</f>
        <v>0.16647264260768335</v>
      </c>
      <c r="P33" s="185">
        <f>IF(J33="x","x",(J33*1000000/VLOOKUP($C33,'Crisis Indicator Data'!$C$3:$H$198,5,FALSE)))</f>
        <v>0</v>
      </c>
      <c r="Q33" s="167">
        <f t="shared" si="2"/>
        <v>4</v>
      </c>
      <c r="R33" s="167">
        <f t="shared" si="0"/>
        <v>3.7</v>
      </c>
    </row>
    <row r="34" spans="1:18" x14ac:dyDescent="0.3">
      <c r="A34" s="191" t="str">
        <f>'Crisis Indicator Data'!A31</f>
        <v>Tibesti Conflict in Chad</v>
      </c>
      <c r="B34" s="192" t="str">
        <f>'Crisis Indicator Data'!B31</f>
        <v>Conflict</v>
      </c>
      <c r="C34" s="192" t="str">
        <f>'Crisis Indicator Data'!C31</f>
        <v>TCD006</v>
      </c>
      <c r="D34" s="192" t="str">
        <f>'Crisis Indicator Data'!D31</f>
        <v>Chad</v>
      </c>
      <c r="E34" s="192" t="str">
        <f>'Crisis Indicator Data'!E31</f>
        <v>TCD</v>
      </c>
      <c r="F34" s="204">
        <f>IF('Crisis Indicator Data'!Q31="x","x",('Crisis Indicator Data'!Q31/1000000))</f>
        <v>0</v>
      </c>
      <c r="G34" s="204">
        <f>IF('Crisis Indicator Data'!R31="x","x",('Crisis Indicator Data'!R31/1000000))</f>
        <v>0.02</v>
      </c>
      <c r="H34" s="204">
        <f>IF('Crisis Indicator Data'!S31="x","x",('Crisis Indicator Data'!S31/1000000))</f>
        <v>1.0999999999999999E-2</v>
      </c>
      <c r="I34" s="204">
        <f>IF('Crisis Indicator Data'!T31="x","x",('Crisis Indicator Data'!T31/1000000))</f>
        <v>6.0000000000000001E-3</v>
      </c>
      <c r="J34" s="204">
        <f>IF('Crisis Indicator Data'!U31="x","x",('Crisis Indicator Data'!U31/1000000))</f>
        <v>1E-3</v>
      </c>
      <c r="K34" s="190">
        <f t="shared" si="1"/>
        <v>0.4</v>
      </c>
      <c r="L34" s="185">
        <f>IF(F34="x","x",(F34*1000000/VLOOKUP($C34,'Crisis Indicator Data'!$C$3:$H$198,5,FALSE)))</f>
        <v>0</v>
      </c>
      <c r="M34" s="185">
        <f>IF(G34="x","x",(G34*1000000/VLOOKUP($C34,'Crisis Indicator Data'!$C$3:$H$198,5,FALSE)))</f>
        <v>0.52631578947368418</v>
      </c>
      <c r="N34" s="185">
        <f>IF(H34="x","x",(H34*1000000/VLOOKUP($C34,'Crisis Indicator Data'!$C$3:$H$198,5,FALSE)))</f>
        <v>0.28947368421052633</v>
      </c>
      <c r="O34" s="185">
        <f>IF(I34="x","x",(I34*1000000/VLOOKUP($C34,'Crisis Indicator Data'!$C$3:$H$198,5,FALSE)))</f>
        <v>0.15789473684210525</v>
      </c>
      <c r="P34" s="185">
        <f>IF(J34="x","x",(J34*1000000/VLOOKUP($C34,'Crisis Indicator Data'!$C$3:$H$198,5,FALSE)))</f>
        <v>2.6315789473684209E-2</v>
      </c>
      <c r="Q34" s="167">
        <f t="shared" si="2"/>
        <v>4</v>
      </c>
      <c r="R34" s="167">
        <f t="shared" si="0"/>
        <v>2.2000000000000002</v>
      </c>
    </row>
    <row r="35" spans="1:18" x14ac:dyDescent="0.3">
      <c r="A35" s="191" t="str">
        <f>'Crisis Indicator Data'!A32</f>
        <v>Floods in Chad</v>
      </c>
      <c r="B35" s="192" t="str">
        <f>'Crisis Indicator Data'!B32</f>
        <v>Flood</v>
      </c>
      <c r="C35" s="192" t="str">
        <f>'Crisis Indicator Data'!C32</f>
        <v>TCD008</v>
      </c>
      <c r="D35" s="192" t="str">
        <f>'Crisis Indicator Data'!D32</f>
        <v>Chad</v>
      </c>
      <c r="E35" s="192" t="str">
        <f>'Crisis Indicator Data'!E32</f>
        <v>TCD</v>
      </c>
      <c r="F35" s="205">
        <f>IF('Crisis Indicator Data'!Q32="x","x",('Crisis Indicator Data'!Q32/1000000))</f>
        <v>15.976000000000001</v>
      </c>
      <c r="G35" s="205">
        <f>IF('Crisis Indicator Data'!R32="x","x",('Crisis Indicator Data'!R32/1000000))</f>
        <v>0.113</v>
      </c>
      <c r="H35" s="205">
        <f>IF('Crisis Indicator Data'!S32="x","x",('Crisis Indicator Data'!S32/1000000))</f>
        <v>0.27500000000000002</v>
      </c>
      <c r="I35" s="205">
        <f>IF('Crisis Indicator Data'!T32="x","x",('Crisis Indicator Data'!T32/1000000))</f>
        <v>0</v>
      </c>
      <c r="J35" s="205">
        <f>IF('Crisis Indicator Data'!U32="x","x",('Crisis Indicator Data'!U32/1000000))</f>
        <v>0</v>
      </c>
      <c r="K35" s="190">
        <f t="shared" si="1"/>
        <v>2.4</v>
      </c>
      <c r="L35" s="185">
        <f>IF(F35="x","x",(F35*1000000/VLOOKUP($C35,'Crisis Indicator Data'!$C$3:$H$198,5,FALSE)))</f>
        <v>0.97628941579076023</v>
      </c>
      <c r="M35" s="185">
        <f>IF(G35="x","x",(G35*1000000/VLOOKUP($C35,'Crisis Indicator Data'!$C$3:$H$198,5,FALSE)))</f>
        <v>6.9054021021755074E-3</v>
      </c>
      <c r="N35" s="185">
        <f>IF(H35="x","x",(H35*1000000/VLOOKUP($C35,'Crisis Indicator Data'!$C$3:$H$198,5,FALSE)))</f>
        <v>1.6805182107064286E-2</v>
      </c>
      <c r="O35" s="185">
        <f>IF(I35="x","x",(I35*1000000/VLOOKUP($C35,'Crisis Indicator Data'!$C$3:$H$198,5,FALSE)))</f>
        <v>0</v>
      </c>
      <c r="P35" s="185">
        <f>IF(J35="x","x",(J35*1000000/VLOOKUP($C35,'Crisis Indicator Data'!$C$3:$H$198,5,FALSE)))</f>
        <v>0</v>
      </c>
      <c r="Q35" s="167">
        <f t="shared" si="2"/>
        <v>1</v>
      </c>
      <c r="R35" s="167">
        <f t="shared" ref="R35:R66" si="3">IF(Q35="x","x",(AVERAGE(K35,Q35)))</f>
        <v>1.7</v>
      </c>
    </row>
    <row r="36" spans="1:18" x14ac:dyDescent="0.3">
      <c r="A36" s="191" t="str">
        <f>'Crisis Indicator Data'!A33</f>
        <v>Complex crisis in Colombia</v>
      </c>
      <c r="B36" s="192" t="str">
        <f>'Crisis Indicator Data'!B33</f>
        <v>Complex crisis</v>
      </c>
      <c r="C36" s="192" t="str">
        <f>'Crisis Indicator Data'!C33</f>
        <v>COL001</v>
      </c>
      <c r="D36" s="192" t="str">
        <f>'Crisis Indicator Data'!D33</f>
        <v>Colombia</v>
      </c>
      <c r="E36" s="192" t="str">
        <f>'Crisis Indicator Data'!E33</f>
        <v>COL</v>
      </c>
      <c r="F36" s="205">
        <f>IF('Crisis Indicator Data'!Q33="x","x",('Crisis Indicator Data'!Q33/1000000))</f>
        <v>34.9</v>
      </c>
      <c r="G36" s="205">
        <f>IF('Crisis Indicator Data'!R33="x","x",('Crisis Indicator Data'!R33/1000000))</f>
        <v>4.9000000000000004</v>
      </c>
      <c r="H36" s="205">
        <f>IF('Crisis Indicator Data'!S33="x","x",('Crisis Indicator Data'!S33/1000000))</f>
        <v>5.9980000000000002</v>
      </c>
      <c r="I36" s="205">
        <f>IF('Crisis Indicator Data'!T33="x","x",('Crisis Indicator Data'!T33/1000000))</f>
        <v>2.5019999999999998</v>
      </c>
      <c r="J36" s="205">
        <f>IF('Crisis Indicator Data'!U33="x","x",('Crisis Indicator Data'!U33/1000000))</f>
        <v>0</v>
      </c>
      <c r="K36" s="190">
        <f t="shared" si="1"/>
        <v>4.9000000000000004</v>
      </c>
      <c r="L36" s="185">
        <f>IF(F36="x","x",(F36*1000000/VLOOKUP($C36,'Crisis Indicator Data'!$C$3:$H$198,5,FALSE)))</f>
        <v>0.72256728778467905</v>
      </c>
      <c r="M36" s="185">
        <f>IF(G36="x","x",(G36*1000000/VLOOKUP($C36,'Crisis Indicator Data'!$C$3:$H$198,5,FALSE)))</f>
        <v>0.10144927536231885</v>
      </c>
      <c r="N36" s="185">
        <f>IF(H36="x","x",(H36*1000000/VLOOKUP($C36,'Crisis Indicator Data'!$C$3:$H$198,5,FALSE)))</f>
        <v>0.12418219461697723</v>
      </c>
      <c r="O36" s="185">
        <f>IF(I36="x","x",(I36*1000000/VLOOKUP($C36,'Crisis Indicator Data'!$C$3:$H$198,5,FALSE)))</f>
        <v>5.1801242236024843E-2</v>
      </c>
      <c r="P36" s="185">
        <f>IF(J36="x","x",(J36*1000000/VLOOKUP($C36,'Crisis Indicator Data'!$C$3:$H$198,5,FALSE)))</f>
        <v>0</v>
      </c>
      <c r="Q36" s="167">
        <f t="shared" si="2"/>
        <v>4</v>
      </c>
      <c r="R36" s="167">
        <f t="shared" si="3"/>
        <v>4.45</v>
      </c>
    </row>
    <row r="37" spans="1:18" x14ac:dyDescent="0.3">
      <c r="A37" s="191" t="str">
        <f>'Crisis Indicator Data'!A34</f>
        <v>Venezuela displacement in Colombia</v>
      </c>
      <c r="B37" s="192" t="str">
        <f>'Crisis Indicator Data'!B34</f>
        <v>International displacement</v>
      </c>
      <c r="C37" s="192" t="str">
        <f>'Crisis Indicator Data'!C34</f>
        <v>COL002</v>
      </c>
      <c r="D37" s="192" t="str">
        <f>'Crisis Indicator Data'!D34</f>
        <v>Colombia</v>
      </c>
      <c r="E37" s="192" t="str">
        <f>'Crisis Indicator Data'!E34</f>
        <v>COL</v>
      </c>
      <c r="F37" s="205">
        <f>IF('Crisis Indicator Data'!Q34="x","x",('Crisis Indicator Data'!Q34/1000000))</f>
        <v>23.545000000000002</v>
      </c>
      <c r="G37" s="205">
        <f>IF('Crisis Indicator Data'!R34="x","x",('Crisis Indicator Data'!R34/1000000))</f>
        <v>0</v>
      </c>
      <c r="H37" s="205">
        <f>IF('Crisis Indicator Data'!S34="x","x",('Crisis Indicator Data'!S34/1000000))</f>
        <v>2.8650000000000002</v>
      </c>
      <c r="I37" s="205">
        <f>IF('Crisis Indicator Data'!T34="x","x",('Crisis Indicator Data'!T34/1000000))</f>
        <v>0.5</v>
      </c>
      <c r="J37" s="205">
        <f>IF('Crisis Indicator Data'!U34="x","x",('Crisis Indicator Data'!U34/1000000))</f>
        <v>0</v>
      </c>
      <c r="K37" s="190">
        <f t="shared" si="1"/>
        <v>4.2</v>
      </c>
      <c r="L37" s="185">
        <f>IF(F37="x","x",(F37*1000000/VLOOKUP($C37,'Crisis Indicator Data'!$C$3:$H$198,5,FALSE)))</f>
        <v>0.87495354886659238</v>
      </c>
      <c r="M37" s="185">
        <f>IF(G37="x","x",(G37*1000000/VLOOKUP($C37,'Crisis Indicator Data'!$C$3:$H$198,5,FALSE)))</f>
        <v>0</v>
      </c>
      <c r="N37" s="185">
        <f>IF(H37="x","x",(H37*1000000/VLOOKUP($C37,'Crisis Indicator Data'!$C$3:$H$198,5,FALSE)))</f>
        <v>0.1064659977703456</v>
      </c>
      <c r="O37" s="185">
        <f>IF(I37="x","x",(I37*1000000/VLOOKUP($C37,'Crisis Indicator Data'!$C$3:$H$198,5,FALSE)))</f>
        <v>1.858045336306206E-2</v>
      </c>
      <c r="P37" s="185">
        <f>IF(J37="x","x",(J37*1000000/VLOOKUP($C37,'Crisis Indicator Data'!$C$3:$H$198,5,FALSE)))</f>
        <v>0</v>
      </c>
      <c r="Q37" s="167">
        <f t="shared" si="2"/>
        <v>3</v>
      </c>
      <c r="R37" s="167">
        <f t="shared" si="3"/>
        <v>3.6</v>
      </c>
    </row>
    <row r="38" spans="1:18" x14ac:dyDescent="0.3">
      <c r="A38" s="191" t="str">
        <f>'Crisis Indicator Data'!A35</f>
        <v>Floods in Congo</v>
      </c>
      <c r="B38" s="192" t="str">
        <f>'Crisis Indicator Data'!B35</f>
        <v>Flood</v>
      </c>
      <c r="C38" s="192" t="str">
        <f>'Crisis Indicator Data'!C35</f>
        <v>COG004</v>
      </c>
      <c r="D38" s="192" t="str">
        <f>'Crisis Indicator Data'!D35</f>
        <v>Congo</v>
      </c>
      <c r="E38" s="192" t="str">
        <f>'Crisis Indicator Data'!E35</f>
        <v>COG</v>
      </c>
      <c r="F38" s="205">
        <f>IF('Crisis Indicator Data'!Q35="x","x",('Crisis Indicator Data'!Q35/1000000))</f>
        <v>8.7999999999999995E-2</v>
      </c>
      <c r="G38" s="205">
        <f>IF('Crisis Indicator Data'!R35="x","x",('Crisis Indicator Data'!R35/1000000))</f>
        <v>0</v>
      </c>
      <c r="H38" s="205">
        <f>IF('Crisis Indicator Data'!S35="x","x",('Crisis Indicator Data'!S35/1000000))</f>
        <v>6.6000000000000003E-2</v>
      </c>
      <c r="I38" s="205">
        <f>IF('Crisis Indicator Data'!T35="x","x",('Crisis Indicator Data'!T35/1000000))</f>
        <v>0</v>
      </c>
      <c r="J38" s="205">
        <f>IF('Crisis Indicator Data'!U35="x","x",('Crisis Indicator Data'!U35/1000000))</f>
        <v>0</v>
      </c>
      <c r="K38" s="190">
        <f t="shared" si="1"/>
        <v>1.4</v>
      </c>
      <c r="L38" s="185">
        <f>IF(F38="x","x",(F38*1000000/VLOOKUP($C38,'Crisis Indicator Data'!$C$3:$H$198,5,FALSE)))</f>
        <v>0.5714285714285714</v>
      </c>
      <c r="M38" s="185">
        <f>IF(G38="x","x",(G38*1000000/VLOOKUP($C38,'Crisis Indicator Data'!$C$3:$H$198,5,FALSE)))</f>
        <v>0</v>
      </c>
      <c r="N38" s="185">
        <f>IF(H38="x","x",(H38*1000000/VLOOKUP($C38,'Crisis Indicator Data'!$C$3:$H$198,5,FALSE)))</f>
        <v>0.42857142857142855</v>
      </c>
      <c r="O38" s="185">
        <f>IF(I38="x","x",(I38*1000000/VLOOKUP($C38,'Crisis Indicator Data'!$C$3:$H$198,5,FALSE)))</f>
        <v>0</v>
      </c>
      <c r="P38" s="185">
        <f>IF(J38="x","x",(J38*1000000/VLOOKUP($C38,'Crisis Indicator Data'!$C$3:$H$198,5,FALSE)))</f>
        <v>0</v>
      </c>
      <c r="Q38" s="167">
        <f t="shared" si="2"/>
        <v>3</v>
      </c>
      <c r="R38" s="167">
        <f t="shared" si="3"/>
        <v>2.2000000000000002</v>
      </c>
    </row>
    <row r="39" spans="1:18" x14ac:dyDescent="0.3">
      <c r="A39" s="191" t="str">
        <f>'Crisis Indicator Data'!A36</f>
        <v>Nicaraguan refugees in Costa Rica</v>
      </c>
      <c r="B39" s="192" t="str">
        <f>'Crisis Indicator Data'!B36</f>
        <v>International displacement</v>
      </c>
      <c r="C39" s="192" t="str">
        <f>'Crisis Indicator Data'!C36</f>
        <v>CRI002</v>
      </c>
      <c r="D39" s="192" t="str">
        <f>'Crisis Indicator Data'!D36</f>
        <v>Costa Rica</v>
      </c>
      <c r="E39" s="192" t="str">
        <f>'Crisis Indicator Data'!E36</f>
        <v>CRI</v>
      </c>
      <c r="F39" s="205">
        <f>IF('Crisis Indicator Data'!Q36="x","x",('Crisis Indicator Data'!Q36/1000000))</f>
        <v>1.651</v>
      </c>
      <c r="G39" s="205">
        <f>IF('Crisis Indicator Data'!R36="x","x",('Crisis Indicator Data'!R36/1000000))</f>
        <v>3.9E-2</v>
      </c>
      <c r="H39" s="205">
        <f>IF('Crisis Indicator Data'!S36="x","x",('Crisis Indicator Data'!S36/1000000))</f>
        <v>4.1000000000000002E-2</v>
      </c>
      <c r="I39" s="205">
        <f>IF('Crisis Indicator Data'!T36="x","x",('Crisis Indicator Data'!T36/1000000))</f>
        <v>0</v>
      </c>
      <c r="J39" s="205">
        <f>IF('Crisis Indicator Data'!U36="x","x",('Crisis Indicator Data'!U36/1000000))</f>
        <v>0</v>
      </c>
      <c r="K39" s="190">
        <f t="shared" si="1"/>
        <v>1</v>
      </c>
      <c r="L39" s="185">
        <f>IF(F39="x","x",(F39*1000000/VLOOKUP($C39,'Crisis Indicator Data'!$C$3:$H$198,5,FALSE)))</f>
        <v>0.95433526011560699</v>
      </c>
      <c r="M39" s="185">
        <f>IF(G39="x","x",(G39*1000000/VLOOKUP($C39,'Crisis Indicator Data'!$C$3:$H$198,5,FALSE)))</f>
        <v>2.2543352601156069E-2</v>
      </c>
      <c r="N39" s="185">
        <f>IF(H39="x","x",(H39*1000000/VLOOKUP($C39,'Crisis Indicator Data'!$C$3:$H$198,5,FALSE)))</f>
        <v>2.3699421965317918E-2</v>
      </c>
      <c r="O39" s="185">
        <f>IF(I39="x","x",(I39*1000000/VLOOKUP($C39,'Crisis Indicator Data'!$C$3:$H$198,5,FALSE)))</f>
        <v>0</v>
      </c>
      <c r="P39" s="185">
        <f>IF(J39="x","x",(J39*1000000/VLOOKUP($C39,'Crisis Indicator Data'!$C$3:$H$198,5,FALSE)))</f>
        <v>0</v>
      </c>
      <c r="Q39" s="167">
        <f t="shared" si="2"/>
        <v>1</v>
      </c>
      <c r="R39" s="167">
        <f t="shared" si="3"/>
        <v>1</v>
      </c>
    </row>
    <row r="40" spans="1:18" x14ac:dyDescent="0.3">
      <c r="A40" s="191" t="str">
        <f>'Crisis Indicator Data'!A37</f>
        <v>Multiple crises in Djibouti</v>
      </c>
      <c r="B40" s="192" t="str">
        <f>'Crisis Indicator Data'!B37</f>
        <v>Multiple crises country</v>
      </c>
      <c r="C40" s="192" t="str">
        <f>'Crisis Indicator Data'!C37</f>
        <v>DJI001</v>
      </c>
      <c r="D40" s="192" t="str">
        <f>'Crisis Indicator Data'!D37</f>
        <v>Djibouti</v>
      </c>
      <c r="E40" s="192" t="str">
        <f>'Crisis Indicator Data'!E37</f>
        <v>DJI</v>
      </c>
      <c r="F40" s="205">
        <f>IF('Crisis Indicator Data'!Q37="x","x",('Crisis Indicator Data'!Q37/1000000))</f>
        <v>0.372</v>
      </c>
      <c r="G40" s="205">
        <f>IF('Crisis Indicator Data'!R37="x","x",('Crisis Indicator Data'!R37/1000000))</f>
        <v>0.32900000000000001</v>
      </c>
      <c r="H40" s="205">
        <f>IF('Crisis Indicator Data'!S37="x","x",('Crisis Indicator Data'!S37/1000000))</f>
        <v>0.20300000000000001</v>
      </c>
      <c r="I40" s="205">
        <f>IF('Crisis Indicator Data'!T37="x","x",('Crisis Indicator Data'!T37/1000000))</f>
        <v>0.107</v>
      </c>
      <c r="J40" s="205">
        <f>IF('Crisis Indicator Data'!U37="x","x",('Crisis Indicator Data'!U37/1000000))</f>
        <v>0</v>
      </c>
      <c r="K40" s="190">
        <f t="shared" si="1"/>
        <v>2.5</v>
      </c>
      <c r="L40" s="185">
        <f>IF(F40="x","x",(F40*1000000/VLOOKUP($C40,'Crisis Indicator Data'!$C$3:$H$198,5,FALSE)))</f>
        <v>0.36795252225519287</v>
      </c>
      <c r="M40" s="185">
        <f>IF(G40="x","x",(G40*1000000/VLOOKUP($C40,'Crisis Indicator Data'!$C$3:$H$198,5,FALSE)))</f>
        <v>0.32542037586547973</v>
      </c>
      <c r="N40" s="185">
        <f>IF(H40="x","x",(H40*1000000/VLOOKUP($C40,'Crisis Indicator Data'!$C$3:$H$198,5,FALSE)))</f>
        <v>0.20079129574678536</v>
      </c>
      <c r="O40" s="185">
        <f>IF(I40="x","x",(I40*1000000/VLOOKUP($C40,'Crisis Indicator Data'!$C$3:$H$198,5,FALSE)))</f>
        <v>0.10583580613254204</v>
      </c>
      <c r="P40" s="185">
        <f>IF(J40="x","x",(J40*1000000/VLOOKUP($C40,'Crisis Indicator Data'!$C$3:$H$198,5,FALSE)))</f>
        <v>0</v>
      </c>
      <c r="Q40" s="167">
        <f t="shared" si="2"/>
        <v>4</v>
      </c>
      <c r="R40" s="167">
        <f t="shared" si="3"/>
        <v>3.25</v>
      </c>
    </row>
    <row r="41" spans="1:18" x14ac:dyDescent="0.3">
      <c r="A41" s="191" t="str">
        <f>'Crisis Indicator Data'!A38</f>
        <v>Mixed migration in Djibouti</v>
      </c>
      <c r="B41" s="192" t="str">
        <f>'Crisis Indicator Data'!B38</f>
        <v>International displacement</v>
      </c>
      <c r="C41" s="192" t="str">
        <f>'Crisis Indicator Data'!C38</f>
        <v>DJI002</v>
      </c>
      <c r="D41" s="192" t="str">
        <f>'Crisis Indicator Data'!D38</f>
        <v>Djibouti</v>
      </c>
      <c r="E41" s="192" t="str">
        <f>'Crisis Indicator Data'!E38</f>
        <v>DJI</v>
      </c>
      <c r="F41" s="205">
        <f>IF('Crisis Indicator Data'!Q38="x","x",('Crisis Indicator Data'!Q38/1000000))</f>
        <v>0.98099999999999998</v>
      </c>
      <c r="G41" s="205">
        <f>IF('Crisis Indicator Data'!R38="x","x",('Crisis Indicator Data'!R38/1000000))</f>
        <v>0</v>
      </c>
      <c r="H41" s="205">
        <f>IF('Crisis Indicator Data'!S38="x","x",('Crisis Indicator Data'!S38/1000000))</f>
        <v>0.03</v>
      </c>
      <c r="I41" s="205">
        <f>IF('Crisis Indicator Data'!T38="x","x",('Crisis Indicator Data'!T38/1000000))</f>
        <v>0</v>
      </c>
      <c r="J41" s="205">
        <f>IF('Crisis Indicator Data'!U38="x","x",('Crisis Indicator Data'!U38/1000000))</f>
        <v>0</v>
      </c>
      <c r="K41" s="190">
        <f t="shared" si="1"/>
        <v>0.8</v>
      </c>
      <c r="L41" s="185">
        <f>IF(F41="x","x",(F41*1000000/VLOOKUP($C41,'Crisis Indicator Data'!$C$3:$H$198,5,FALSE)))</f>
        <v>0.97032640949554894</v>
      </c>
      <c r="M41" s="185">
        <f>IF(G41="x","x",(G41*1000000/VLOOKUP($C41,'Crisis Indicator Data'!$C$3:$H$198,5,FALSE)))</f>
        <v>0</v>
      </c>
      <c r="N41" s="185">
        <f>IF(H41="x","x",(H41*1000000/VLOOKUP($C41,'Crisis Indicator Data'!$C$3:$H$198,5,FALSE)))</f>
        <v>2.967359050445104E-2</v>
      </c>
      <c r="O41" s="185">
        <f>IF(I41="x","x",(I41*1000000/VLOOKUP($C41,'Crisis Indicator Data'!$C$3:$H$198,5,FALSE)))</f>
        <v>0</v>
      </c>
      <c r="P41" s="185">
        <f>IF(J41="x","x",(J41*1000000/VLOOKUP($C41,'Crisis Indicator Data'!$C$3:$H$198,5,FALSE)))</f>
        <v>0</v>
      </c>
      <c r="Q41" s="167">
        <f t="shared" si="2"/>
        <v>1</v>
      </c>
      <c r="R41" s="167">
        <f t="shared" si="3"/>
        <v>0.9</v>
      </c>
    </row>
    <row r="42" spans="1:18" x14ac:dyDescent="0.3">
      <c r="A42" s="191" t="str">
        <f>'Crisis Indicator Data'!A39</f>
        <v>Drought in Djibouti</v>
      </c>
      <c r="B42" s="192" t="str">
        <f>'Crisis Indicator Data'!B39</f>
        <v>Drought</v>
      </c>
      <c r="C42" s="192" t="str">
        <f>'Crisis Indicator Data'!C39</f>
        <v>DJI003</v>
      </c>
      <c r="D42" s="192" t="str">
        <f>'Crisis Indicator Data'!D39</f>
        <v>Djibouti</v>
      </c>
      <c r="E42" s="192" t="str">
        <f>'Crisis Indicator Data'!E39</f>
        <v>DJI</v>
      </c>
      <c r="F42" s="205">
        <f>IF('Crisis Indicator Data'!Q39="x","x",('Crisis Indicator Data'!Q39/1000000))</f>
        <v>0.372</v>
      </c>
      <c r="G42" s="205">
        <f>IF('Crisis Indicator Data'!R39="x","x",('Crisis Indicator Data'!R39/1000000))</f>
        <v>0.32900000000000001</v>
      </c>
      <c r="H42" s="205">
        <f>IF('Crisis Indicator Data'!S39="x","x",('Crisis Indicator Data'!S39/1000000))</f>
        <v>0.20300000000000001</v>
      </c>
      <c r="I42" s="205">
        <f>IF('Crisis Indicator Data'!T39="x","x",('Crisis Indicator Data'!T39/1000000))</f>
        <v>0.107</v>
      </c>
      <c r="J42" s="205">
        <f>IF('Crisis Indicator Data'!U39="x","x",('Crisis Indicator Data'!U39/1000000))</f>
        <v>0</v>
      </c>
      <c r="K42" s="190">
        <f t="shared" si="1"/>
        <v>2.5</v>
      </c>
      <c r="L42" s="185">
        <f>IF(F42="x","x",(F42*1000000/VLOOKUP($C42,'Crisis Indicator Data'!$C$3:$H$198,5,FALSE)))</f>
        <v>0.36795252225519287</v>
      </c>
      <c r="M42" s="185">
        <f>IF(G42="x","x",(G42*1000000/VLOOKUP($C42,'Crisis Indicator Data'!$C$3:$H$198,5,FALSE)))</f>
        <v>0.32542037586547973</v>
      </c>
      <c r="N42" s="185">
        <f>IF(H42="x","x",(H42*1000000/VLOOKUP($C42,'Crisis Indicator Data'!$C$3:$H$198,5,FALSE)))</f>
        <v>0.20079129574678536</v>
      </c>
      <c r="O42" s="185">
        <f>IF(I42="x","x",(I42*1000000/VLOOKUP($C42,'Crisis Indicator Data'!$C$3:$H$198,5,FALSE)))</f>
        <v>0.10583580613254204</v>
      </c>
      <c r="P42" s="185">
        <f>IF(J42="x","x",(J42*1000000/VLOOKUP($C42,'Crisis Indicator Data'!$C$3:$H$198,5,FALSE)))</f>
        <v>0</v>
      </c>
      <c r="Q42" s="167">
        <f t="shared" si="2"/>
        <v>4</v>
      </c>
      <c r="R42" s="167">
        <f t="shared" si="3"/>
        <v>3.25</v>
      </c>
    </row>
    <row r="43" spans="1:18" x14ac:dyDescent="0.3">
      <c r="A43" s="191" t="str">
        <f>'Crisis Indicator Data'!A40</f>
        <v>Complex crisis in DPRK</v>
      </c>
      <c r="B43" s="192" t="str">
        <f>'Crisis Indicator Data'!B40</f>
        <v>Complex crisis</v>
      </c>
      <c r="C43" s="192" t="str">
        <f>'Crisis Indicator Data'!C40</f>
        <v>PRK001</v>
      </c>
      <c r="D43" s="192" t="str">
        <f>'Crisis Indicator Data'!D40</f>
        <v>DPRK</v>
      </c>
      <c r="E43" s="192" t="str">
        <f>'Crisis Indicator Data'!E40</f>
        <v>PRK</v>
      </c>
      <c r="F43" s="205">
        <f>IF('Crisis Indicator Data'!Q40="x","x",('Crisis Indicator Data'!Q40/1000000))</f>
        <v>0</v>
      </c>
      <c r="G43" s="205">
        <f>IF('Crisis Indicator Data'!R40="x","x",('Crisis Indicator Data'!R40/1000000))</f>
        <v>15.12</v>
      </c>
      <c r="H43" s="205">
        <f>IF('Crisis Indicator Data'!S40="x","x",('Crisis Indicator Data'!S40/1000000))</f>
        <v>4.97</v>
      </c>
      <c r="I43" s="205">
        <f>IF('Crisis Indicator Data'!T40="x","x",('Crisis Indicator Data'!T40/1000000))</f>
        <v>5.4589999999999996</v>
      </c>
      <c r="J43" s="205">
        <f>IF('Crisis Indicator Data'!U40="x","x",('Crisis Indicator Data'!U40/1000000))</f>
        <v>0</v>
      </c>
      <c r="K43" s="190">
        <f t="shared" si="1"/>
        <v>5</v>
      </c>
      <c r="L43" s="185">
        <f>IF(F43="x","x",(F43*1000000/VLOOKUP($C43,'Crisis Indicator Data'!$C$3:$H$198,5,FALSE)))</f>
        <v>0</v>
      </c>
      <c r="M43" s="185">
        <f>IF(G43="x","x",(G43*1000000/VLOOKUP($C43,'Crisis Indicator Data'!$C$3:$H$198,5,FALSE)))</f>
        <v>0.59178082191780823</v>
      </c>
      <c r="N43" s="185">
        <f>IF(H43="x","x",(H43*1000000/VLOOKUP($C43,'Crisis Indicator Data'!$C$3:$H$198,5,FALSE)))</f>
        <v>0.19452054794520549</v>
      </c>
      <c r="O43" s="185">
        <f>IF(I43="x","x",(I43*1000000/VLOOKUP($C43,'Crisis Indicator Data'!$C$3:$H$198,5,FALSE)))</f>
        <v>0.21365949119373778</v>
      </c>
      <c r="P43" s="185">
        <f>IF(J43="x","x",(J43*1000000/VLOOKUP($C43,'Crisis Indicator Data'!$C$3:$H$198,5,FALSE)))</f>
        <v>0</v>
      </c>
      <c r="Q43" s="167">
        <f t="shared" si="2"/>
        <v>4</v>
      </c>
      <c r="R43" s="167">
        <f t="shared" si="3"/>
        <v>4.5</v>
      </c>
    </row>
    <row r="44" spans="1:18" x14ac:dyDescent="0.3">
      <c r="A44" s="191" t="str">
        <f>'Crisis Indicator Data'!A41</f>
        <v>Complex crisis in DRC</v>
      </c>
      <c r="B44" s="192" t="str">
        <f>'Crisis Indicator Data'!B41</f>
        <v>Complex crisis</v>
      </c>
      <c r="C44" s="192" t="str">
        <f>'Crisis Indicator Data'!C41</f>
        <v>COD001</v>
      </c>
      <c r="D44" s="192" t="str">
        <f>'Crisis Indicator Data'!D41</f>
        <v>DRC</v>
      </c>
      <c r="E44" s="192" t="str">
        <f>'Crisis Indicator Data'!E41</f>
        <v>COD</v>
      </c>
      <c r="F44" s="205">
        <f>IF('Crisis Indicator Data'!Q41="x","x",('Crisis Indicator Data'!Q41/1000000))</f>
        <v>46.241</v>
      </c>
      <c r="G44" s="205">
        <f>IF('Crisis Indicator Data'!R41="x","x",('Crisis Indicator Data'!R41/1000000))</f>
        <v>29.826000000000001</v>
      </c>
      <c r="H44" s="205">
        <f>IF('Crisis Indicator Data'!S41="x","x",('Crisis Indicator Data'!S41/1000000))</f>
        <v>16.510999999999999</v>
      </c>
      <c r="I44" s="205">
        <f>IF('Crisis Indicator Data'!T41="x","x",('Crisis Indicator Data'!T41/1000000))</f>
        <v>6.391</v>
      </c>
      <c r="J44" s="205">
        <f>IF('Crisis Indicator Data'!U41="x","x",('Crisis Indicator Data'!U41/1000000))</f>
        <v>0.53300000000000003</v>
      </c>
      <c r="K44" s="190">
        <f t="shared" si="1"/>
        <v>5</v>
      </c>
      <c r="L44" s="185">
        <f>IF(F44="x","x",(F44*1000000/VLOOKUP($C44,'Crisis Indicator Data'!$C$3:$H$198,5,FALSE)))</f>
        <v>0.46468696613405686</v>
      </c>
      <c r="M44" s="185">
        <f>IF(G44="x","x",(G44*1000000/VLOOKUP($C44,'Crisis Indicator Data'!$C$3:$H$198,5,FALSE)))</f>
        <v>0.29972867048537838</v>
      </c>
      <c r="N44" s="185">
        <f>IF(H44="x","x",(H44*1000000/VLOOKUP($C44,'Crisis Indicator Data'!$C$3:$H$198,5,FALSE)))</f>
        <v>0.1659230228117777</v>
      </c>
      <c r="O44" s="185">
        <f>IF(I44="x","x",(I44*1000000/VLOOKUP($C44,'Crisis Indicator Data'!$C$3:$H$198,5,FALSE)))</f>
        <v>6.4224701035071857E-2</v>
      </c>
      <c r="P44" s="185">
        <f>IF(J44="x","x",(J44*1000000/VLOOKUP($C44,'Crisis Indicator Data'!$C$3:$H$198,5,FALSE)))</f>
        <v>5.3562456034569389E-3</v>
      </c>
      <c r="Q44" s="167">
        <f t="shared" si="2"/>
        <v>4</v>
      </c>
      <c r="R44" s="167">
        <f t="shared" si="3"/>
        <v>4.5</v>
      </c>
    </row>
    <row r="45" spans="1:18" x14ac:dyDescent="0.3">
      <c r="A45" s="191" t="str">
        <f>'Crisis Indicator Data'!A42</f>
        <v>Floods in south-eastern DRC</v>
      </c>
      <c r="B45" s="192" t="str">
        <f>'Crisis Indicator Data'!B42</f>
        <v>Flood</v>
      </c>
      <c r="C45" s="192" t="str">
        <f>'Crisis Indicator Data'!C42</f>
        <v>COD003</v>
      </c>
      <c r="D45" s="192" t="str">
        <f>'Crisis Indicator Data'!D42</f>
        <v>DRC</v>
      </c>
      <c r="E45" s="192" t="str">
        <f>'Crisis Indicator Data'!E42</f>
        <v>COD</v>
      </c>
      <c r="F45" s="205">
        <f>IF('Crisis Indicator Data'!Q42="x","x",('Crisis Indicator Data'!Q42/1000000))</f>
        <v>22.49</v>
      </c>
      <c r="G45" s="205">
        <f>IF('Crisis Indicator Data'!R42="x","x",('Crisis Indicator Data'!R42/1000000))</f>
        <v>0</v>
      </c>
      <c r="H45" s="205">
        <f>IF('Crisis Indicator Data'!S42="x","x",('Crisis Indicator Data'!S42/1000000))</f>
        <v>0.52300000000000002</v>
      </c>
      <c r="I45" s="205">
        <f>IF('Crisis Indicator Data'!T42="x","x",('Crisis Indicator Data'!T42/1000000))</f>
        <v>6.4000000000000001E-2</v>
      </c>
      <c r="J45" s="205">
        <f>IF('Crisis Indicator Data'!U42="x","x",('Crisis Indicator Data'!U42/1000000))</f>
        <v>0</v>
      </c>
      <c r="K45" s="190">
        <f t="shared" si="1"/>
        <v>2.9</v>
      </c>
      <c r="L45" s="185">
        <f>IF(F45="x","x",(F45*1000000/VLOOKUP($C45,'Crisis Indicator Data'!$C$3:$H$198,5,FALSE)))</f>
        <v>0.97456341812193958</v>
      </c>
      <c r="M45" s="185">
        <f>IF(G45="x","x",(G45*1000000/VLOOKUP($C45,'Crisis Indicator Data'!$C$3:$H$198,5,FALSE)))</f>
        <v>0</v>
      </c>
      <c r="N45" s="185">
        <f>IF(H45="x","x",(H45*1000000/VLOOKUP($C45,'Crisis Indicator Data'!$C$3:$H$198,5,FALSE)))</f>
        <v>2.2663257789140703E-2</v>
      </c>
      <c r="O45" s="185">
        <f>IF(I45="x","x",(I45*1000000/VLOOKUP($C45,'Crisis Indicator Data'!$C$3:$H$198,5,FALSE)))</f>
        <v>2.7733240889197034E-3</v>
      </c>
      <c r="P45" s="185">
        <f>IF(J45="x","x",(J45*1000000/VLOOKUP($C45,'Crisis Indicator Data'!$C$3:$H$198,5,FALSE)))</f>
        <v>0</v>
      </c>
      <c r="Q45" s="167">
        <f t="shared" si="2"/>
        <v>1</v>
      </c>
      <c r="R45" s="167">
        <f t="shared" si="3"/>
        <v>1.95</v>
      </c>
    </row>
    <row r="46" spans="1:18" x14ac:dyDescent="0.3">
      <c r="A46" s="191" t="str">
        <f>'Crisis Indicator Data'!A43</f>
        <v>Venezuela displacement in Ecuador</v>
      </c>
      <c r="B46" s="192" t="str">
        <f>'Crisis Indicator Data'!B43</f>
        <v>International displacement</v>
      </c>
      <c r="C46" s="192" t="str">
        <f>'Crisis Indicator Data'!C43</f>
        <v>ECU002</v>
      </c>
      <c r="D46" s="192" t="str">
        <f>'Crisis Indicator Data'!D43</f>
        <v>Ecuador</v>
      </c>
      <c r="E46" s="192" t="str">
        <f>'Crisis Indicator Data'!E43</f>
        <v>ECU</v>
      </c>
      <c r="F46" s="205">
        <f>IF('Crisis Indicator Data'!Q43="x","x",('Crisis Indicator Data'!Q43/1000000))</f>
        <v>4.2450000000000001</v>
      </c>
      <c r="G46" s="205">
        <f>IF('Crisis Indicator Data'!R43="x","x",('Crisis Indicator Data'!R43/1000000))</f>
        <v>0</v>
      </c>
      <c r="H46" s="205">
        <f>IF('Crisis Indicator Data'!S43="x","x",('Crisis Indicator Data'!S43/1000000))</f>
        <v>0.57199999999999995</v>
      </c>
      <c r="I46" s="205">
        <f>IF('Crisis Indicator Data'!T43="x","x",('Crisis Indicator Data'!T43/1000000))</f>
        <v>0</v>
      </c>
      <c r="J46" s="205">
        <f>IF('Crisis Indicator Data'!U43="x","x",('Crisis Indicator Data'!U43/1000000))</f>
        <v>0</v>
      </c>
      <c r="K46" s="190">
        <f t="shared" si="1"/>
        <v>2.9</v>
      </c>
      <c r="L46" s="185">
        <f>IF(F46="x","x",(F46*1000000/VLOOKUP($C46,'Crisis Indicator Data'!$C$3:$H$198,5,FALSE)))</f>
        <v>0.88125389246418928</v>
      </c>
      <c r="M46" s="185">
        <f>IF(G46="x","x",(G46*1000000/VLOOKUP($C46,'Crisis Indicator Data'!$C$3:$H$198,5,FALSE)))</f>
        <v>0</v>
      </c>
      <c r="N46" s="185">
        <f>IF(H46="x","x",(H46*1000000/VLOOKUP($C46,'Crisis Indicator Data'!$C$3:$H$198,5,FALSE)))</f>
        <v>0.11874610753581068</v>
      </c>
      <c r="O46" s="185">
        <f>IF(I46="x","x",(I46*1000000/VLOOKUP($C46,'Crisis Indicator Data'!$C$3:$H$198,5,FALSE)))</f>
        <v>0</v>
      </c>
      <c r="P46" s="185">
        <f>IF(J46="x","x",(J46*1000000/VLOOKUP($C46,'Crisis Indicator Data'!$C$3:$H$198,5,FALSE)))</f>
        <v>0</v>
      </c>
      <c r="Q46" s="167">
        <f t="shared" si="2"/>
        <v>3</v>
      </c>
      <c r="R46" s="167">
        <f t="shared" si="3"/>
        <v>2.95</v>
      </c>
    </row>
    <row r="47" spans="1:18" x14ac:dyDescent="0.3">
      <c r="A47" s="191" t="str">
        <f>'Crisis Indicator Data'!A44</f>
        <v>Syrian Refugee Crisis in Egypt</v>
      </c>
      <c r="B47" s="192" t="str">
        <f>'Crisis Indicator Data'!B44</f>
        <v>International displacement</v>
      </c>
      <c r="C47" s="192" t="str">
        <f>'Crisis Indicator Data'!C44</f>
        <v>EGY002</v>
      </c>
      <c r="D47" s="192" t="str">
        <f>'Crisis Indicator Data'!D44</f>
        <v>Egypt</v>
      </c>
      <c r="E47" s="192" t="str">
        <f>'Crisis Indicator Data'!E44</f>
        <v>EGY</v>
      </c>
      <c r="F47" s="205">
        <f>IF('Crisis Indicator Data'!Q44="x","x",('Crisis Indicator Data'!Q44/1000000))</f>
        <v>18.731000000000002</v>
      </c>
      <c r="G47" s="205">
        <f>IF('Crisis Indicator Data'!R44="x","x",('Crisis Indicator Data'!R44/1000000))</f>
        <v>3.03</v>
      </c>
      <c r="H47" s="205">
        <f>IF('Crisis Indicator Data'!S44="x","x",('Crisis Indicator Data'!S44/1000000))</f>
        <v>3.6999999999999998E-2</v>
      </c>
      <c r="I47" s="205">
        <f>IF('Crisis Indicator Data'!T44="x","x",('Crisis Indicator Data'!T44/1000000))</f>
        <v>8.6999999999999994E-2</v>
      </c>
      <c r="J47" s="205">
        <f>IF('Crisis Indicator Data'!U44="x","x",('Crisis Indicator Data'!U44/1000000))</f>
        <v>0</v>
      </c>
      <c r="K47" s="190">
        <f t="shared" si="1"/>
        <v>1.8</v>
      </c>
      <c r="L47" s="185">
        <f>IF(F47="x","x",(F47*1000000/VLOOKUP($C47,'Crisis Indicator Data'!$C$3:$H$198,5,FALSE)))</f>
        <v>0.85592213489307256</v>
      </c>
      <c r="M47" s="185">
        <f>IF(G47="x","x",(G47*1000000/VLOOKUP($C47,'Crisis Indicator Data'!$C$3:$H$198,5,FALSE)))</f>
        <v>0.13845732041674283</v>
      </c>
      <c r="N47" s="185">
        <f>IF(H47="x","x",(H47*1000000/VLOOKUP($C47,'Crisis Indicator Data'!$C$3:$H$198,5,FALSE)))</f>
        <v>1.6907329555839884E-3</v>
      </c>
      <c r="O47" s="185">
        <f>IF(I47="x","x",(I47*1000000/VLOOKUP($C47,'Crisis Indicator Data'!$C$3:$H$198,5,FALSE)))</f>
        <v>3.9755072198866754E-3</v>
      </c>
      <c r="P47" s="185">
        <f>IF(J47="x","x",(J47*1000000/VLOOKUP($C47,'Crisis Indicator Data'!$C$3:$H$198,5,FALSE)))</f>
        <v>0</v>
      </c>
      <c r="Q47" s="167">
        <f t="shared" si="2"/>
        <v>2</v>
      </c>
      <c r="R47" s="167">
        <f t="shared" si="3"/>
        <v>1.9</v>
      </c>
    </row>
    <row r="48" spans="1:18" x14ac:dyDescent="0.3">
      <c r="A48" s="191" t="str">
        <f>'Crisis Indicator Data'!A45</f>
        <v>Complex crisis in El Salvador</v>
      </c>
      <c r="B48" s="192" t="str">
        <f>'Crisis Indicator Data'!B45</f>
        <v>Complex crisis</v>
      </c>
      <c r="C48" s="192" t="str">
        <f>'Crisis Indicator Data'!C45</f>
        <v>SLV001</v>
      </c>
      <c r="D48" s="192" t="str">
        <f>'Crisis Indicator Data'!D45</f>
        <v>El Salvador</v>
      </c>
      <c r="E48" s="192" t="str">
        <f>'Crisis Indicator Data'!E45</f>
        <v>SLV</v>
      </c>
      <c r="F48" s="205">
        <f>IF('Crisis Indicator Data'!Q45="x","x",('Crisis Indicator Data'!Q45/1000000))</f>
        <v>5.3</v>
      </c>
      <c r="G48" s="205">
        <f>IF('Crisis Indicator Data'!R45="x","x",('Crisis Indicator Data'!R45/1000000))</f>
        <v>0.75700000000000001</v>
      </c>
      <c r="H48" s="205">
        <f>IF('Crisis Indicator Data'!S45="x","x",('Crisis Indicator Data'!S45/1000000))</f>
        <v>0.57999999999999996</v>
      </c>
      <c r="I48" s="205">
        <f>IF('Crisis Indicator Data'!T45="x","x",('Crisis Indicator Data'!T45/1000000))</f>
        <v>6.3E-2</v>
      </c>
      <c r="J48" s="205">
        <f>IF('Crisis Indicator Data'!U45="x","x",('Crisis Indicator Data'!U45/1000000))</f>
        <v>0</v>
      </c>
      <c r="K48" s="190">
        <f t="shared" si="1"/>
        <v>3</v>
      </c>
      <c r="L48" s="185">
        <f>IF(F48="x","x",(F48*1000000/VLOOKUP($C48,'Crisis Indicator Data'!$C$3:$H$198,5,FALSE)))</f>
        <v>0.79104477611940294</v>
      </c>
      <c r="M48" s="185">
        <f>IF(G48="x","x",(G48*1000000/VLOOKUP($C48,'Crisis Indicator Data'!$C$3:$H$198,5,FALSE)))</f>
        <v>0.11298507462686568</v>
      </c>
      <c r="N48" s="185">
        <f>IF(H48="x","x",(H48*1000000/VLOOKUP($C48,'Crisis Indicator Data'!$C$3:$H$198,5,FALSE)))</f>
        <v>8.6567164179104483E-2</v>
      </c>
      <c r="O48" s="185">
        <f>IF(I48="x","x",(I48*1000000/VLOOKUP($C48,'Crisis Indicator Data'!$C$3:$H$198,5,FALSE)))</f>
        <v>9.4029850746268663E-3</v>
      </c>
      <c r="P48" s="185">
        <f>IF(J48="x","x",(J48*1000000/VLOOKUP($C48,'Crisis Indicator Data'!$C$3:$H$198,5,FALSE)))</f>
        <v>0</v>
      </c>
      <c r="Q48" s="167">
        <f t="shared" si="2"/>
        <v>3</v>
      </c>
      <c r="R48" s="167">
        <f t="shared" si="3"/>
        <v>3</v>
      </c>
    </row>
    <row r="49" spans="1:18" x14ac:dyDescent="0.3">
      <c r="A49" s="191" t="str">
        <f>'Crisis Indicator Data'!A46</f>
        <v>Complex crisis in Eritrea</v>
      </c>
      <c r="B49" s="192" t="str">
        <f>'Crisis Indicator Data'!B46</f>
        <v>Complex crisis</v>
      </c>
      <c r="C49" s="192" t="str">
        <f>'Crisis Indicator Data'!C46</f>
        <v>ERI001</v>
      </c>
      <c r="D49" s="192" t="str">
        <f>'Crisis Indicator Data'!D46</f>
        <v>Eritrea</v>
      </c>
      <c r="E49" s="192" t="str">
        <f>'Crisis Indicator Data'!E46</f>
        <v>ERI</v>
      </c>
      <c r="F49" s="205">
        <f>IF('Crisis Indicator Data'!Q46="x","x",('Crisis Indicator Data'!Q46/1000000))</f>
        <v>0.64500000000000002</v>
      </c>
      <c r="G49" s="205">
        <f>IF('Crisis Indicator Data'!R46="x","x",('Crisis Indicator Data'!R46/1000000))</f>
        <v>0</v>
      </c>
      <c r="H49" s="205">
        <f>IF('Crisis Indicator Data'!S46="x","x",('Crisis Indicator Data'!S46/1000000))</f>
        <v>2.5819999999999999</v>
      </c>
      <c r="I49" s="205">
        <f>IF('Crisis Indicator Data'!T46="x","x",('Crisis Indicator Data'!T46/1000000))</f>
        <v>0</v>
      </c>
      <c r="J49" s="205">
        <f>IF('Crisis Indicator Data'!U46="x","x",('Crisis Indicator Data'!U46/1000000))</f>
        <v>0</v>
      </c>
      <c r="K49" s="190">
        <f t="shared" si="1"/>
        <v>4</v>
      </c>
      <c r="L49" s="185">
        <f>IF(F49="x","x",(F49*1000000/VLOOKUP($C49,'Crisis Indicator Data'!$C$3:$H$198,5,FALSE)))</f>
        <v>0.19987604586303068</v>
      </c>
      <c r="M49" s="185">
        <f>IF(G49="x","x",(G49*1000000/VLOOKUP($C49,'Crisis Indicator Data'!$C$3:$H$198,5,FALSE)))</f>
        <v>0</v>
      </c>
      <c r="N49" s="185">
        <f>IF(H49="x","x",(H49*1000000/VLOOKUP($C49,'Crisis Indicator Data'!$C$3:$H$198,5,FALSE)))</f>
        <v>0.80012395413696935</v>
      </c>
      <c r="O49" s="185">
        <f>IF(I49="x","x",(I49*1000000/VLOOKUP($C49,'Crisis Indicator Data'!$C$3:$H$198,5,FALSE)))</f>
        <v>0</v>
      </c>
      <c r="P49" s="185">
        <f>IF(J49="x","x",(J49*1000000/VLOOKUP($C49,'Crisis Indicator Data'!$C$3:$H$198,5,FALSE)))</f>
        <v>0</v>
      </c>
      <c r="Q49" s="167">
        <f t="shared" si="2"/>
        <v>3</v>
      </c>
      <c r="R49" s="167">
        <f t="shared" si="3"/>
        <v>3.5</v>
      </c>
    </row>
    <row r="50" spans="1:18" x14ac:dyDescent="0.3">
      <c r="A50" s="191" t="str">
        <f>'Crisis Indicator Data'!A47</f>
        <v>Food Security Crisis in Eswatini</v>
      </c>
      <c r="B50" s="192" t="str">
        <f>'Crisis Indicator Data'!B47</f>
        <v>Food Security</v>
      </c>
      <c r="C50" s="192" t="str">
        <f>'Crisis Indicator Data'!C47</f>
        <v>SWZ001</v>
      </c>
      <c r="D50" s="192" t="str">
        <f>'Crisis Indicator Data'!D47</f>
        <v>Eswatini</v>
      </c>
      <c r="E50" s="192" t="str">
        <f>'Crisis Indicator Data'!E47</f>
        <v>SWZ</v>
      </c>
      <c r="F50" s="205">
        <f>IF('Crisis Indicator Data'!Q47="x","x",('Crisis Indicator Data'!Q47/1000000))</f>
        <v>0.379</v>
      </c>
      <c r="G50" s="205">
        <f>IF('Crisis Indicator Data'!R47="x","x",('Crisis Indicator Data'!R47/1000000))</f>
        <v>0.38500000000000001</v>
      </c>
      <c r="H50" s="205">
        <f>IF('Crisis Indicator Data'!S47="x","x",('Crisis Indicator Data'!S47/1000000))</f>
        <v>0.307</v>
      </c>
      <c r="I50" s="205">
        <f>IF('Crisis Indicator Data'!T47="x","x",('Crisis Indicator Data'!T47/1000000))</f>
        <v>0.06</v>
      </c>
      <c r="J50" s="205">
        <f>IF('Crisis Indicator Data'!U47="x","x",('Crisis Indicator Data'!U47/1000000))</f>
        <v>0</v>
      </c>
      <c r="K50" s="190">
        <f t="shared" si="1"/>
        <v>2.6</v>
      </c>
      <c r="L50" s="185">
        <f>IF(F50="x","x",(F50*1000000/VLOOKUP($C50,'Crisis Indicator Data'!$C$3:$H$198,5,FALSE)))</f>
        <v>0.33510167992926615</v>
      </c>
      <c r="M50" s="185">
        <f>IF(G50="x","x",(G50*1000000/VLOOKUP($C50,'Crisis Indicator Data'!$C$3:$H$198,5,FALSE)))</f>
        <v>0.34040671971706454</v>
      </c>
      <c r="N50" s="185">
        <f>IF(H50="x","x",(H50*1000000/VLOOKUP($C50,'Crisis Indicator Data'!$C$3:$H$198,5,FALSE)))</f>
        <v>0.27144120247568526</v>
      </c>
      <c r="O50" s="185">
        <f>IF(I50="x","x",(I50*1000000/VLOOKUP($C50,'Crisis Indicator Data'!$C$3:$H$198,5,FALSE)))</f>
        <v>5.3050397877984087E-2</v>
      </c>
      <c r="P50" s="185">
        <f>IF(J50="x","x",(J50*1000000/VLOOKUP($C50,'Crisis Indicator Data'!$C$3:$H$198,5,FALSE)))</f>
        <v>0</v>
      </c>
      <c r="Q50" s="167">
        <f t="shared" si="2"/>
        <v>4</v>
      </c>
      <c r="R50" s="167">
        <f t="shared" si="3"/>
        <v>3.3</v>
      </c>
    </row>
    <row r="51" spans="1:18" x14ac:dyDescent="0.3">
      <c r="A51" s="191" t="str">
        <f>'Crisis Indicator Data'!A48</f>
        <v>Complex crisis in Ethiopia</v>
      </c>
      <c r="B51" s="192" t="str">
        <f>'Crisis Indicator Data'!B48</f>
        <v>Complex crisis</v>
      </c>
      <c r="C51" s="192" t="str">
        <f>'Crisis Indicator Data'!C48</f>
        <v>ETH001</v>
      </c>
      <c r="D51" s="192" t="str">
        <f>'Crisis Indicator Data'!D48</f>
        <v>Ethiopia</v>
      </c>
      <c r="E51" s="192" t="str">
        <f>'Crisis Indicator Data'!E48</f>
        <v>ETH</v>
      </c>
      <c r="F51" s="205">
        <f>IF('Crisis Indicator Data'!Q48="x","x",('Crisis Indicator Data'!Q48/1000000))</f>
        <v>10.455</v>
      </c>
      <c r="G51" s="205">
        <f>IF('Crisis Indicator Data'!R48="x","x",('Crisis Indicator Data'!R48/1000000))</f>
        <v>10.295999999999999</v>
      </c>
      <c r="H51" s="205">
        <f>IF('Crisis Indicator Data'!S48="x","x",('Crisis Indicator Data'!S48/1000000))</f>
        <v>6.4969999999999999</v>
      </c>
      <c r="I51" s="205">
        <f>IF('Crisis Indicator Data'!T48="x","x",('Crisis Indicator Data'!T48/1000000))</f>
        <v>1.9770000000000001</v>
      </c>
      <c r="J51" s="205">
        <f>IF('Crisis Indicator Data'!U48="x","x",('Crisis Indicator Data'!U48/1000000))</f>
        <v>0</v>
      </c>
      <c r="K51" s="190">
        <f t="shared" si="1"/>
        <v>4.9000000000000004</v>
      </c>
      <c r="L51" s="185">
        <f>IF(F51="x","x",(F51*1000000/VLOOKUP($C51,'Crisis Indicator Data'!$C$3:$H$198,5,FALSE)))</f>
        <v>0.35774165953806675</v>
      </c>
      <c r="M51" s="185">
        <f>IF(G51="x","x",(G51*1000000/VLOOKUP($C51,'Crisis Indicator Data'!$C$3:$H$198,5,FALSE)))</f>
        <v>0.35230111206159109</v>
      </c>
      <c r="N51" s="185">
        <f>IF(H51="x","x",(H51*1000000/VLOOKUP($C51,'Crisis Indicator Data'!$C$3:$H$198,5,FALSE)))</f>
        <v>0.22230966638152266</v>
      </c>
      <c r="O51" s="185">
        <f>IF(I51="x","x",(I51*1000000/VLOOKUP($C51,'Crisis Indicator Data'!$C$3:$H$198,5,FALSE)))</f>
        <v>6.764756201881951E-2</v>
      </c>
      <c r="P51" s="185">
        <f>IF(J51="x","x",(J51*1000000/VLOOKUP($C51,'Crisis Indicator Data'!$C$3:$H$198,5,FALSE)))</f>
        <v>0</v>
      </c>
      <c r="Q51" s="167">
        <f t="shared" si="2"/>
        <v>4</v>
      </c>
      <c r="R51" s="167">
        <f t="shared" si="3"/>
        <v>4.45</v>
      </c>
    </row>
    <row r="52" spans="1:18" x14ac:dyDescent="0.3">
      <c r="A52" s="191" t="str">
        <f>'Crisis Indicator Data'!A49</f>
        <v>Flood Crisis in Ethiopia</v>
      </c>
      <c r="B52" s="192" t="str">
        <f>'Crisis Indicator Data'!B49</f>
        <v>Flood</v>
      </c>
      <c r="C52" s="192" t="str">
        <f>'Crisis Indicator Data'!C49</f>
        <v>ETH002</v>
      </c>
      <c r="D52" s="192" t="str">
        <f>'Crisis Indicator Data'!D49</f>
        <v>Ethiopia</v>
      </c>
      <c r="E52" s="192" t="str">
        <f>'Crisis Indicator Data'!E49</f>
        <v>ETH</v>
      </c>
      <c r="F52" s="205">
        <f>IF('Crisis Indicator Data'!Q49="x","x",('Crisis Indicator Data'!Q49/1000000))</f>
        <v>61.220999999999997</v>
      </c>
      <c r="G52" s="205">
        <f>IF('Crisis Indicator Data'!R49="x","x",('Crisis Indicator Data'!R49/1000000))</f>
        <v>0.221</v>
      </c>
      <c r="H52" s="205">
        <f>IF('Crisis Indicator Data'!S49="x","x",('Crisis Indicator Data'!S49/1000000))</f>
        <v>0.40100000000000002</v>
      </c>
      <c r="I52" s="205">
        <f>IF('Crisis Indicator Data'!T49="x","x",('Crisis Indicator Data'!T49/1000000))</f>
        <v>0</v>
      </c>
      <c r="J52" s="205">
        <f>IF('Crisis Indicator Data'!U49="x","x",('Crisis Indicator Data'!U49/1000000))</f>
        <v>0</v>
      </c>
      <c r="K52" s="190">
        <f t="shared" si="1"/>
        <v>2.7</v>
      </c>
      <c r="L52" s="185">
        <f>IF(F52="x","x",(F52*1000000/VLOOKUP($C52,'Crisis Indicator Data'!$C$3:$H$198,5,FALSE)))</f>
        <v>0.98820054235537191</v>
      </c>
      <c r="M52" s="185">
        <f>IF(G52="x","x",(G52*1000000/VLOOKUP($C52,'Crisis Indicator Data'!$C$3:$H$198,5,FALSE)))</f>
        <v>3.5672778925619833E-3</v>
      </c>
      <c r="N52" s="185">
        <f>IF(H52="x","x",(H52*1000000/VLOOKUP($C52,'Crisis Indicator Data'!$C$3:$H$198,5,FALSE)))</f>
        <v>6.4727530991735534E-3</v>
      </c>
      <c r="O52" s="185">
        <f>IF(I52="x","x",(I52*1000000/VLOOKUP($C52,'Crisis Indicator Data'!$C$3:$H$198,5,FALSE)))</f>
        <v>0</v>
      </c>
      <c r="P52" s="185">
        <f>IF(J52="x","x",(J52*1000000/VLOOKUP($C52,'Crisis Indicator Data'!$C$3:$H$198,5,FALSE)))</f>
        <v>0</v>
      </c>
      <c r="Q52" s="167">
        <f t="shared" si="2"/>
        <v>1</v>
      </c>
      <c r="R52" s="167">
        <f t="shared" si="3"/>
        <v>1.85</v>
      </c>
    </row>
    <row r="53" spans="1:18" x14ac:dyDescent="0.3">
      <c r="A53" s="191" t="str">
        <f>'Crisis Indicator Data'!A50</f>
        <v>International Displacement</v>
      </c>
      <c r="B53" s="192" t="str">
        <f>'Crisis Indicator Data'!B50</f>
        <v>International displacement</v>
      </c>
      <c r="C53" s="192" t="str">
        <f>'Crisis Indicator Data'!C50</f>
        <v>ETH003</v>
      </c>
      <c r="D53" s="192" t="str">
        <f>'Crisis Indicator Data'!D50</f>
        <v>Ethiopia</v>
      </c>
      <c r="E53" s="192" t="str">
        <f>'Crisis Indicator Data'!E50</f>
        <v>ETH</v>
      </c>
      <c r="F53" s="205">
        <f>IF('Crisis Indicator Data'!Q50="x","x",('Crisis Indicator Data'!Q50/1000000))</f>
        <v>71.611999999999995</v>
      </c>
      <c r="G53" s="205">
        <f>IF('Crisis Indicator Data'!R50="x","x",('Crisis Indicator Data'!R50/1000000))</f>
        <v>0</v>
      </c>
      <c r="H53" s="205">
        <f>IF('Crisis Indicator Data'!S50="x","x",('Crisis Indicator Data'!S50/1000000))</f>
        <v>0.76900000000000002</v>
      </c>
      <c r="I53" s="205">
        <f>IF('Crisis Indicator Data'!T50="x","x",('Crisis Indicator Data'!T50/1000000))</f>
        <v>0</v>
      </c>
      <c r="J53" s="205">
        <f>IF('Crisis Indicator Data'!U50="x","x",('Crisis Indicator Data'!U50/1000000))</f>
        <v>0</v>
      </c>
      <c r="K53" s="190">
        <f t="shared" si="1"/>
        <v>3.1</v>
      </c>
      <c r="L53" s="185">
        <f>IF(F53="x","x",(F53*1000000/VLOOKUP($C53,'Crisis Indicator Data'!$C$3:$H$198,5,FALSE)))</f>
        <v>0.98937566488443096</v>
      </c>
      <c r="M53" s="185">
        <f>IF(G53="x","x",(G53*1000000/VLOOKUP($C53,'Crisis Indicator Data'!$C$3:$H$198,5,FALSE)))</f>
        <v>0</v>
      </c>
      <c r="N53" s="185">
        <f>IF(H53="x","x",(H53*1000000/VLOOKUP($C53,'Crisis Indicator Data'!$C$3:$H$198,5,FALSE)))</f>
        <v>1.0624335115569003E-2</v>
      </c>
      <c r="O53" s="185">
        <f>IF(I53="x","x",(I53*1000000/VLOOKUP($C53,'Crisis Indicator Data'!$C$3:$H$198,5,FALSE)))</f>
        <v>0</v>
      </c>
      <c r="P53" s="185">
        <f>IF(J53="x","x",(J53*1000000/VLOOKUP($C53,'Crisis Indicator Data'!$C$3:$H$198,5,FALSE)))</f>
        <v>0</v>
      </c>
      <c r="Q53" s="167">
        <f t="shared" si="2"/>
        <v>1</v>
      </c>
      <c r="R53" s="167">
        <f t="shared" si="3"/>
        <v>2.0499999999999998</v>
      </c>
    </row>
    <row r="54" spans="1:18" x14ac:dyDescent="0.3">
      <c r="A54" s="194" t="str">
        <f>'Crisis Indicator Data'!A51</f>
        <v>Mixed migration flows in Greece</v>
      </c>
      <c r="B54" s="195" t="str">
        <f>'Crisis Indicator Data'!B51</f>
        <v>International displacement</v>
      </c>
      <c r="C54" s="195" t="str">
        <f>'Crisis Indicator Data'!C51</f>
        <v>GRC002</v>
      </c>
      <c r="D54" s="195" t="str">
        <f>'Crisis Indicator Data'!D51</f>
        <v>Greece</v>
      </c>
      <c r="E54" s="195" t="str">
        <f>'Crisis Indicator Data'!E51</f>
        <v>GRC</v>
      </c>
      <c r="F54" s="205">
        <f>IF('Crisis Indicator Data'!Q51="x","x",('Crisis Indicator Data'!Q51/1000000))</f>
        <v>0.214</v>
      </c>
      <c r="G54" s="205">
        <f>IF('Crisis Indicator Data'!R51="x","x",('Crisis Indicator Data'!R51/1000000))</f>
        <v>9.8000000000000004E-2</v>
      </c>
      <c r="H54" s="205">
        <f>IF('Crisis Indicator Data'!S51="x","x",('Crisis Indicator Data'!S51/1000000))</f>
        <v>2.4E-2</v>
      </c>
      <c r="I54" s="205">
        <f>IF('Crisis Indicator Data'!T51="x","x",('Crisis Indicator Data'!T51/1000000))</f>
        <v>0</v>
      </c>
      <c r="J54" s="205">
        <f>IF('Crisis Indicator Data'!U51="x","x",('Crisis Indicator Data'!U51/1000000))</f>
        <v>0</v>
      </c>
      <c r="K54" s="190">
        <f t="shared" si="1"/>
        <v>0.6</v>
      </c>
      <c r="L54" s="185">
        <f>IF(F54="x","x",(F54*1000000/VLOOKUP($C54,'Crisis Indicator Data'!$C$3:$H$198,5,FALSE)))</f>
        <v>0.63880597014925378</v>
      </c>
      <c r="M54" s="185">
        <f>IF(G54="x","x",(G54*1000000/VLOOKUP($C54,'Crisis Indicator Data'!$C$3:$H$198,5,FALSE)))</f>
        <v>0.29253731343283584</v>
      </c>
      <c r="N54" s="185">
        <f>IF(H54="x","x",(H54*1000000/VLOOKUP($C54,'Crisis Indicator Data'!$C$3:$H$198,5,FALSE)))</f>
        <v>7.1641791044776124E-2</v>
      </c>
      <c r="O54" s="185">
        <f>IF(I54="x","x",(I54*1000000/VLOOKUP($C54,'Crisis Indicator Data'!$C$3:$H$198,5,FALSE)))</f>
        <v>0</v>
      </c>
      <c r="P54" s="185">
        <f>IF(J54="x","x",(J54*1000000/VLOOKUP($C54,'Crisis Indicator Data'!$C$3:$H$198,5,FALSE)))</f>
        <v>0</v>
      </c>
      <c r="Q54" s="167">
        <f t="shared" si="2"/>
        <v>3</v>
      </c>
      <c r="R54" s="167">
        <f t="shared" si="3"/>
        <v>1.8</v>
      </c>
    </row>
    <row r="55" spans="1:18" x14ac:dyDescent="0.3">
      <c r="A55" s="194" t="str">
        <f>'Crisis Indicator Data'!A52</f>
        <v>Complex crisis in Guatemala</v>
      </c>
      <c r="B55" s="195" t="str">
        <f>'Crisis Indicator Data'!B52</f>
        <v>Complex crisis</v>
      </c>
      <c r="C55" s="195" t="str">
        <f>'Crisis Indicator Data'!C52</f>
        <v>GTM001</v>
      </c>
      <c r="D55" s="195" t="str">
        <f>'Crisis Indicator Data'!D52</f>
        <v>Guatemala</v>
      </c>
      <c r="E55" s="195" t="str">
        <f>'Crisis Indicator Data'!E52</f>
        <v>GTM</v>
      </c>
      <c r="F55" s="205">
        <f>IF('Crisis Indicator Data'!Q52="x","x",('Crisis Indicator Data'!Q52/1000000))</f>
        <v>9.1039999999999992</v>
      </c>
      <c r="G55" s="205">
        <f>IF('Crisis Indicator Data'!R52="x","x",('Crisis Indicator Data'!R52/1000000))</f>
        <v>2.496</v>
      </c>
      <c r="H55" s="205">
        <f>IF('Crisis Indicator Data'!S52="x","x",('Crisis Indicator Data'!S52/1000000))</f>
        <v>3.0739999999999998</v>
      </c>
      <c r="I55" s="205">
        <f>IF('Crisis Indicator Data'!T52="x","x",('Crisis Indicator Data'!T52/1000000))</f>
        <v>0.22600000000000001</v>
      </c>
      <c r="J55" s="205">
        <f>IF('Crisis Indicator Data'!U52="x","x",('Crisis Indicator Data'!U52/1000000))</f>
        <v>0</v>
      </c>
      <c r="K55" s="190">
        <f t="shared" si="1"/>
        <v>4.2</v>
      </c>
      <c r="L55" s="185">
        <f>IF(F55="x","x",(F55*1000000/VLOOKUP($C55,'Crisis Indicator Data'!$C$3:$H$198,5,FALSE)))</f>
        <v>0.611006711409396</v>
      </c>
      <c r="M55" s="185">
        <f>IF(G55="x","x",(G55*1000000/VLOOKUP($C55,'Crisis Indicator Data'!$C$3:$H$198,5,FALSE)))</f>
        <v>0.16751677852348992</v>
      </c>
      <c r="N55" s="185">
        <f>IF(H55="x","x",(H55*1000000/VLOOKUP($C55,'Crisis Indicator Data'!$C$3:$H$198,5,FALSE)))</f>
        <v>0.20630872483221477</v>
      </c>
      <c r="O55" s="185">
        <f>IF(I55="x","x",(I55*1000000/VLOOKUP($C55,'Crisis Indicator Data'!$C$3:$H$198,5,FALSE)))</f>
        <v>1.5167785234899329E-2</v>
      </c>
      <c r="P55" s="185">
        <f>IF(J55="x","x",(J55*1000000/VLOOKUP($C55,'Crisis Indicator Data'!$C$3:$H$198,5,FALSE)))</f>
        <v>0</v>
      </c>
      <c r="Q55" s="167">
        <f t="shared" si="2"/>
        <v>3</v>
      </c>
      <c r="R55" s="167">
        <f t="shared" si="3"/>
        <v>3.6</v>
      </c>
    </row>
    <row r="56" spans="1:18" x14ac:dyDescent="0.3">
      <c r="A56" s="194" t="str">
        <f>'Crisis Indicator Data'!A53</f>
        <v>Complex crisis in Haiti</v>
      </c>
      <c r="B56" s="195" t="str">
        <f>'Crisis Indicator Data'!B53</f>
        <v>Complex crisis</v>
      </c>
      <c r="C56" s="195" t="str">
        <f>'Crisis Indicator Data'!C53</f>
        <v>HTI001</v>
      </c>
      <c r="D56" s="195" t="str">
        <f>'Crisis Indicator Data'!D53</f>
        <v>Haiti</v>
      </c>
      <c r="E56" s="195" t="str">
        <f>'Crisis Indicator Data'!E53</f>
        <v>HTI</v>
      </c>
      <c r="F56" s="205">
        <f>IF('Crisis Indicator Data'!Q53="x","x",('Crisis Indicator Data'!Q53/1000000))</f>
        <v>3.8780000000000001</v>
      </c>
      <c r="G56" s="205">
        <f>IF('Crisis Indicator Data'!R53="x","x",('Crisis Indicator Data'!R53/1000000))</f>
        <v>3.0219999999999998</v>
      </c>
      <c r="H56" s="205">
        <f>IF('Crisis Indicator Data'!S53="x","x",('Crisis Indicator Data'!S53/1000000))</f>
        <v>3.0950000000000002</v>
      </c>
      <c r="I56" s="205">
        <f>IF('Crisis Indicator Data'!T53="x","x",('Crisis Indicator Data'!T53/1000000))</f>
        <v>0.90500000000000003</v>
      </c>
      <c r="J56" s="205">
        <f>IF('Crisis Indicator Data'!U53="x","x",('Crisis Indicator Data'!U53/1000000))</f>
        <v>0</v>
      </c>
      <c r="K56" s="190">
        <f t="shared" si="1"/>
        <v>4.3</v>
      </c>
      <c r="L56" s="185">
        <f>IF(F56="x","x",(F56*1000000/VLOOKUP($C56,'Crisis Indicator Data'!$C$3:$H$198,5,FALSE)))</f>
        <v>0.35577981651376145</v>
      </c>
      <c r="M56" s="185">
        <f>IF(G56="x","x",(G56*1000000/VLOOKUP($C56,'Crisis Indicator Data'!$C$3:$H$198,5,FALSE)))</f>
        <v>0.27724770642201835</v>
      </c>
      <c r="N56" s="185">
        <f>IF(H56="x","x",(H56*1000000/VLOOKUP($C56,'Crisis Indicator Data'!$C$3:$H$198,5,FALSE)))</f>
        <v>0.28394495412844034</v>
      </c>
      <c r="O56" s="185">
        <f>IF(I56="x","x",(I56*1000000/VLOOKUP($C56,'Crisis Indicator Data'!$C$3:$H$198,5,FALSE)))</f>
        <v>8.3027522935779821E-2</v>
      </c>
      <c r="P56" s="185">
        <f>IF(J56="x","x",(J56*1000000/VLOOKUP($C56,'Crisis Indicator Data'!$C$3:$H$198,5,FALSE)))</f>
        <v>0</v>
      </c>
      <c r="Q56" s="167">
        <f t="shared" si="2"/>
        <v>4</v>
      </c>
      <c r="R56" s="167">
        <f t="shared" si="3"/>
        <v>4.1500000000000004</v>
      </c>
    </row>
    <row r="57" spans="1:18" x14ac:dyDescent="0.3">
      <c r="A57" s="194" t="str">
        <f>'Crisis Indicator Data'!A54</f>
        <v>Complex crisis in Honduras</v>
      </c>
      <c r="B57" s="195" t="str">
        <f>'Crisis Indicator Data'!B54</f>
        <v>Complex crisis</v>
      </c>
      <c r="C57" s="195" t="str">
        <f>'Crisis Indicator Data'!C54</f>
        <v>HND001</v>
      </c>
      <c r="D57" s="195" t="str">
        <f>'Crisis Indicator Data'!D54</f>
        <v>Honduras</v>
      </c>
      <c r="E57" s="195" t="str">
        <f>'Crisis Indicator Data'!E54</f>
        <v>HND</v>
      </c>
      <c r="F57" s="205">
        <f>IF('Crisis Indicator Data'!Q54="x","x",('Crisis Indicator Data'!Q54/1000000))</f>
        <v>6.0140000000000002</v>
      </c>
      <c r="G57" s="205">
        <f>IF('Crisis Indicator Data'!R54="x","x",('Crisis Indicator Data'!R54/1000000))</f>
        <v>1.8440000000000001</v>
      </c>
      <c r="H57" s="205">
        <f>IF('Crisis Indicator Data'!S54="x","x",('Crisis Indicator Data'!S54/1000000))</f>
        <v>1.042</v>
      </c>
      <c r="I57" s="205">
        <f>IF('Crisis Indicator Data'!T54="x","x",('Crisis Indicator Data'!T54/1000000))</f>
        <v>0.25800000000000001</v>
      </c>
      <c r="J57" s="205">
        <f>IF('Crisis Indicator Data'!U54="x","x",('Crisis Indicator Data'!U54/1000000))</f>
        <v>0</v>
      </c>
      <c r="K57" s="190">
        <f t="shared" si="1"/>
        <v>3.5</v>
      </c>
      <c r="L57" s="185">
        <f>IF(F57="x","x",(F57*1000000/VLOOKUP($C57,'Crisis Indicator Data'!$C$3:$H$198,5,FALSE)))</f>
        <v>0.65669360122297449</v>
      </c>
      <c r="M57" s="185">
        <f>IF(G57="x","x",(G57*1000000/VLOOKUP($C57,'Crisis Indicator Data'!$C$3:$H$198,5,FALSE)))</f>
        <v>0.20135400742520201</v>
      </c>
      <c r="N57" s="185">
        <f>IF(H57="x","x",(H57*1000000/VLOOKUP($C57,'Crisis Indicator Data'!$C$3:$H$198,5,FALSE)))</f>
        <v>0.11378030137584626</v>
      </c>
      <c r="O57" s="185">
        <f>IF(I57="x","x",(I57*1000000/VLOOKUP($C57,'Crisis Indicator Data'!$C$3:$H$198,5,FALSE)))</f>
        <v>2.8172089975977286E-2</v>
      </c>
      <c r="P57" s="185">
        <f>IF(J57="x","x",(J57*1000000/VLOOKUP($C57,'Crisis Indicator Data'!$C$3:$H$198,5,FALSE)))</f>
        <v>0</v>
      </c>
      <c r="Q57" s="167">
        <f t="shared" si="2"/>
        <v>3</v>
      </c>
      <c r="R57" s="167">
        <f t="shared" si="3"/>
        <v>3.25</v>
      </c>
    </row>
    <row r="58" spans="1:18" x14ac:dyDescent="0.3">
      <c r="A58" s="194" t="str">
        <f>'Crisis Indicator Data'!A55</f>
        <v>Multiple Crises in India</v>
      </c>
      <c r="B58" s="195" t="str">
        <f>'Crisis Indicator Data'!B55</f>
        <v>Multiple crises country</v>
      </c>
      <c r="C58" s="195" t="str">
        <f>'Crisis Indicator Data'!C55</f>
        <v>IND001</v>
      </c>
      <c r="D58" s="195" t="str">
        <f>'Crisis Indicator Data'!D55</f>
        <v>India</v>
      </c>
      <c r="E58" s="195" t="str">
        <f>'Crisis Indicator Data'!E55</f>
        <v>IND</v>
      </c>
      <c r="F58" s="205">
        <f>IF('Crisis Indicator Data'!Q55="x","x",('Crisis Indicator Data'!Q55/1000000))</f>
        <v>842.43799999999999</v>
      </c>
      <c r="G58" s="205">
        <f>IF('Crisis Indicator Data'!R55="x","x",('Crisis Indicator Data'!R55/1000000))</f>
        <v>20.788</v>
      </c>
      <c r="H58" s="205">
        <f>IF('Crisis Indicator Data'!S55="x","x",('Crisis Indicator Data'!S55/1000000))</f>
        <v>1.827</v>
      </c>
      <c r="I58" s="205">
        <f>IF('Crisis Indicator Data'!T55="x","x",('Crisis Indicator Data'!T55/1000000))</f>
        <v>0</v>
      </c>
      <c r="J58" s="205">
        <f>IF('Crisis Indicator Data'!U55="x","x",('Crisis Indicator Data'!U55/1000000))</f>
        <v>0</v>
      </c>
      <c r="K58" s="190">
        <f t="shared" si="1"/>
        <v>3.8</v>
      </c>
      <c r="L58" s="185">
        <f>IF(F58="x","x",(F58*1000000/VLOOKUP($C58,'Crisis Indicator Data'!$C$3:$H$198,5,FALSE)))</f>
        <v>0.97385709314920588</v>
      </c>
      <c r="M58" s="185">
        <f>IF(G58="x","x",(G58*1000000/VLOOKUP($C58,'Crisis Indicator Data'!$C$3:$H$198,5,FALSE)))</f>
        <v>2.4030897528821933E-2</v>
      </c>
      <c r="N58" s="185">
        <f>IF(H58="x","x",(H58*1000000/VLOOKUP($C58,'Crisis Indicator Data'!$C$3:$H$198,5,FALSE)))</f>
        <v>2.1120093219721796E-3</v>
      </c>
      <c r="O58" s="185">
        <f>IF(I58="x","x",(I58*1000000/VLOOKUP($C58,'Crisis Indicator Data'!$C$3:$H$198,5,FALSE)))</f>
        <v>0</v>
      </c>
      <c r="P58" s="185">
        <f>IF(J58="x","x",(J58*1000000/VLOOKUP($C58,'Crisis Indicator Data'!$C$3:$H$198,5,FALSE)))</f>
        <v>0</v>
      </c>
      <c r="Q58" s="167">
        <f t="shared" si="2"/>
        <v>1</v>
      </c>
      <c r="R58" s="167">
        <f t="shared" si="3"/>
        <v>2.4</v>
      </c>
    </row>
    <row r="59" spans="1:18" x14ac:dyDescent="0.3">
      <c r="A59" s="194" t="str">
        <f>'Crisis Indicator Data'!A56</f>
        <v>Conflict in Jammu and Kashmir</v>
      </c>
      <c r="B59" s="195" t="str">
        <f>'Crisis Indicator Data'!B56</f>
        <v>Conflict</v>
      </c>
      <c r="C59" s="195" t="str">
        <f>'Crisis Indicator Data'!C56</f>
        <v>IND002</v>
      </c>
      <c r="D59" s="195" t="str">
        <f>'Crisis Indicator Data'!D56</f>
        <v>India</v>
      </c>
      <c r="E59" s="195" t="str">
        <f>'Crisis Indicator Data'!E56</f>
        <v>IND</v>
      </c>
      <c r="F59" s="205">
        <f>IF('Crisis Indicator Data'!Q56="x","x",('Crisis Indicator Data'!Q56/1000000))</f>
        <v>12.541</v>
      </c>
      <c r="G59" s="205" t="str">
        <f>IF('Crisis Indicator Data'!R56="x","x",('Crisis Indicator Data'!R56/1000000))</f>
        <v>x</v>
      </c>
      <c r="H59" s="205" t="str">
        <f>IF('Crisis Indicator Data'!S56="x","x",('Crisis Indicator Data'!S56/1000000))</f>
        <v>x</v>
      </c>
      <c r="I59" s="205" t="str">
        <f>IF('Crisis Indicator Data'!T56="x","x",('Crisis Indicator Data'!T56/1000000))</f>
        <v>x</v>
      </c>
      <c r="J59" s="205">
        <f>IF('Crisis Indicator Data'!U56="x","x",('Crisis Indicator Data'!U56/1000000))</f>
        <v>0</v>
      </c>
      <c r="K59" s="190" t="str">
        <f t="shared" si="1"/>
        <v>x</v>
      </c>
      <c r="L59" s="185">
        <f>IF(F59="x","x",(F59*1000000/VLOOKUP($C59,'Crisis Indicator Data'!$C$3:$H$198,5,FALSE)))</f>
        <v>1</v>
      </c>
      <c r="M59" s="185" t="str">
        <f>IF(G59="x","x",(G59*1000000/VLOOKUP($C59,'Crisis Indicator Data'!$C$3:$H$198,5,FALSE)))</f>
        <v>x</v>
      </c>
      <c r="N59" s="185" t="str">
        <f>IF(H59="x","x",(H59*1000000/VLOOKUP($C59,'Crisis Indicator Data'!$C$3:$H$198,5,FALSE)))</f>
        <v>x</v>
      </c>
      <c r="O59" s="185" t="str">
        <f>IF(I59="x","x",(I59*1000000/VLOOKUP($C59,'Crisis Indicator Data'!$C$3:$H$198,5,FALSE)))</f>
        <v>x</v>
      </c>
      <c r="P59" s="185">
        <f>IF(J59="x","x",(J59*1000000/VLOOKUP($C59,'Crisis Indicator Data'!$C$3:$H$198,5,FALSE)))</f>
        <v>0</v>
      </c>
      <c r="Q59" s="167" t="str">
        <f t="shared" si="2"/>
        <v>x</v>
      </c>
      <c r="R59" s="167" t="str">
        <f t="shared" si="3"/>
        <v>x</v>
      </c>
    </row>
    <row r="60" spans="1:18" x14ac:dyDescent="0.3">
      <c r="A60" s="194" t="str">
        <f>'Crisis Indicator Data'!A57</f>
        <v>Cyclone Amphan India</v>
      </c>
      <c r="B60" s="195" t="str">
        <f>'Crisis Indicator Data'!B57</f>
        <v>Tropical cyclone</v>
      </c>
      <c r="C60" s="195" t="str">
        <f>'Crisis Indicator Data'!C57</f>
        <v>IND003</v>
      </c>
      <c r="D60" s="195" t="str">
        <f>'Crisis Indicator Data'!D57</f>
        <v>India</v>
      </c>
      <c r="E60" s="195" t="str">
        <f>'Crisis Indicator Data'!E57</f>
        <v>IND</v>
      </c>
      <c r="F60" s="205">
        <f>IF('Crisis Indicator Data'!Q57="x","x",('Crisis Indicator Data'!Q57/1000000))</f>
        <v>26.047000000000001</v>
      </c>
      <c r="G60" s="205">
        <f>IF('Crisis Indicator Data'!R57="x","x",('Crisis Indicator Data'!R57/1000000))</f>
        <v>17.34</v>
      </c>
      <c r="H60" s="205">
        <f>IF('Crisis Indicator Data'!S57="x","x",('Crisis Indicator Data'!S57/1000000))</f>
        <v>0.66</v>
      </c>
      <c r="I60" s="205">
        <f>IF('Crisis Indicator Data'!T57="x","x",('Crisis Indicator Data'!T57/1000000))</f>
        <v>0</v>
      </c>
      <c r="J60" s="205">
        <f>IF('Crisis Indicator Data'!U57="x","x",('Crisis Indicator Data'!U57/1000000))</f>
        <v>0</v>
      </c>
      <c r="K60" s="190">
        <f t="shared" si="1"/>
        <v>3</v>
      </c>
      <c r="L60" s="185">
        <f>IF(F60="x","x",(F60*1000000/VLOOKUP($C60,'Crisis Indicator Data'!$C$3:$H$198,5,FALSE)))</f>
        <v>0.59134560810043812</v>
      </c>
      <c r="M60" s="185">
        <f>IF(G60="x","x",(G60*1000000/VLOOKUP($C60,'Crisis Indicator Data'!$C$3:$H$198,5,FALSE)))</f>
        <v>0.39367039752991123</v>
      </c>
      <c r="N60" s="185">
        <f>IF(H60="x","x",(H60*1000000/VLOOKUP($C60,'Crisis Indicator Data'!$C$3:$H$198,5,FALSE)))</f>
        <v>1.4983994369650601E-2</v>
      </c>
      <c r="O60" s="185">
        <f>IF(I60="x","x",(I60*1000000/VLOOKUP($C60,'Crisis Indicator Data'!$C$3:$H$198,5,FALSE)))</f>
        <v>0</v>
      </c>
      <c r="P60" s="185">
        <f>IF(J60="x","x",(J60*1000000/VLOOKUP($C60,'Crisis Indicator Data'!$C$3:$H$198,5,FALSE)))</f>
        <v>0</v>
      </c>
      <c r="Q60" s="167">
        <f t="shared" si="2"/>
        <v>2</v>
      </c>
      <c r="R60" s="167">
        <f t="shared" si="3"/>
        <v>2.5</v>
      </c>
    </row>
    <row r="61" spans="1:18" x14ac:dyDescent="0.3">
      <c r="A61" s="194" t="str">
        <f>'Crisis Indicator Data'!A58</f>
        <v>Floods in India</v>
      </c>
      <c r="B61" s="195" t="str">
        <f>'Crisis Indicator Data'!B58</f>
        <v>Flood</v>
      </c>
      <c r="C61" s="195" t="str">
        <f>'Crisis Indicator Data'!C58</f>
        <v>IND005</v>
      </c>
      <c r="D61" s="195" t="str">
        <f>'Crisis Indicator Data'!D58</f>
        <v>India</v>
      </c>
      <c r="E61" s="195" t="str">
        <f>'Crisis Indicator Data'!E58</f>
        <v>IND</v>
      </c>
      <c r="F61" s="205">
        <f>IF('Crisis Indicator Data'!Q58="x","x",('Crisis Indicator Data'!Q58/1000000))</f>
        <v>797.22400000000005</v>
      </c>
      <c r="G61" s="205">
        <f>IF('Crisis Indicator Data'!R58="x","x",('Crisis Indicator Data'!R58/1000000))</f>
        <v>21.448</v>
      </c>
      <c r="H61" s="205">
        <f>IF('Crisis Indicator Data'!S58="x","x",('Crisis Indicator Data'!S58/1000000))</f>
        <v>1.167</v>
      </c>
      <c r="I61" s="205">
        <f>IF('Crisis Indicator Data'!T58="x","x",('Crisis Indicator Data'!T58/1000000))</f>
        <v>0</v>
      </c>
      <c r="J61" s="205">
        <f>IF('Crisis Indicator Data'!U58="x","x",('Crisis Indicator Data'!U58/1000000))</f>
        <v>0</v>
      </c>
      <c r="K61" s="190">
        <f t="shared" si="1"/>
        <v>3.4</v>
      </c>
      <c r="L61" s="185">
        <f>IF(F61="x","x",(F61*1000000/VLOOKUP($C61,'Crisis Indicator Data'!$C$3:$H$198,5,FALSE)))</f>
        <v>0.971033098418282</v>
      </c>
      <c r="M61" s="185">
        <f>IF(G61="x","x",(G61*1000000/VLOOKUP($C61,'Crisis Indicator Data'!$C$3:$H$198,5,FALSE)))</f>
        <v>2.6124047814510491E-2</v>
      </c>
      <c r="N61" s="185">
        <f>IF(H61="x","x",(H61*1000000/VLOOKUP($C61,'Crisis Indicator Data'!$C$3:$H$198,5,FALSE)))</f>
        <v>1.4214268836037739E-3</v>
      </c>
      <c r="O61" s="185">
        <f>IF(I61="x","x",(I61*1000000/VLOOKUP($C61,'Crisis Indicator Data'!$C$3:$H$198,5,FALSE)))</f>
        <v>0</v>
      </c>
      <c r="P61" s="185">
        <f>IF(J61="x","x",(J61*1000000/VLOOKUP($C61,'Crisis Indicator Data'!$C$3:$H$198,5,FALSE)))</f>
        <v>0</v>
      </c>
      <c r="Q61" s="167">
        <f t="shared" si="2"/>
        <v>1</v>
      </c>
      <c r="R61" s="167">
        <f t="shared" si="3"/>
        <v>2.2000000000000002</v>
      </c>
    </row>
    <row r="62" spans="1:18" x14ac:dyDescent="0.3">
      <c r="A62" s="194" t="str">
        <f>'Crisis Indicator Data'!A59</f>
        <v>Regional Kashmir conflict</v>
      </c>
      <c r="B62" s="195" t="str">
        <f>'Crisis Indicator Data'!B59</f>
        <v>Regional crisis</v>
      </c>
      <c r="C62" s="195" t="str">
        <f>'Crisis Indicator Data'!C59</f>
        <v>REG003</v>
      </c>
      <c r="D62" s="195" t="str">
        <f>'Crisis Indicator Data'!D59</f>
        <v>India, Pakistan</v>
      </c>
      <c r="E62" s="195" t="str">
        <f>'Crisis Indicator Data'!E59</f>
        <v>IND, PAK</v>
      </c>
      <c r="F62" s="205" t="str">
        <f>IF('Crisis Indicator Data'!Q59="x","x",('Crisis Indicator Data'!Q59/1000000))</f>
        <v>x</v>
      </c>
      <c r="G62" s="205" t="str">
        <f>IF('Crisis Indicator Data'!R59="x","x",('Crisis Indicator Data'!R59/1000000))</f>
        <v>x</v>
      </c>
      <c r="H62" s="205" t="str">
        <f>IF('Crisis Indicator Data'!S59="x","x",('Crisis Indicator Data'!S59/1000000))</f>
        <v>x</v>
      </c>
      <c r="I62" s="205" t="str">
        <f>IF('Crisis Indicator Data'!T59="x","x",('Crisis Indicator Data'!T59/1000000))</f>
        <v>x</v>
      </c>
      <c r="J62" s="205" t="str">
        <f>IF('Crisis Indicator Data'!U59="x","x",('Crisis Indicator Data'!U59/1000000))</f>
        <v>x</v>
      </c>
      <c r="K62" s="190" t="str">
        <f t="shared" si="1"/>
        <v>x</v>
      </c>
      <c r="L62" s="185" t="str">
        <f>IF(F62="x","x",(F62*1000000/VLOOKUP($C62,'Crisis Indicator Data'!$C$3:$H$198,5,FALSE)))</f>
        <v>x</v>
      </c>
      <c r="M62" s="185" t="str">
        <f>IF(G62="x","x",(G62*1000000/VLOOKUP($C62,'Crisis Indicator Data'!$C$3:$H$198,5,FALSE)))</f>
        <v>x</v>
      </c>
      <c r="N62" s="185" t="str">
        <f>IF(H62="x","x",(H62*1000000/VLOOKUP($C62,'Crisis Indicator Data'!$C$3:$H$198,5,FALSE)))</f>
        <v>x</v>
      </c>
      <c r="O62" s="185" t="str">
        <f>IF(I62="x","x",(I62*1000000/VLOOKUP($C62,'Crisis Indicator Data'!$C$3:$H$198,5,FALSE)))</f>
        <v>x</v>
      </c>
      <c r="P62" s="185" t="str">
        <f>IF(J62="x","x",(J62*1000000/VLOOKUP($C62,'Crisis Indicator Data'!$C$3:$H$198,5,FALSE)))</f>
        <v>x</v>
      </c>
      <c r="Q62" s="167" t="str">
        <f t="shared" si="2"/>
        <v>x</v>
      </c>
      <c r="R62" s="167" t="str">
        <f t="shared" si="3"/>
        <v>x</v>
      </c>
    </row>
    <row r="63" spans="1:18" x14ac:dyDescent="0.3">
      <c r="A63" s="194" t="str">
        <f>'Crisis Indicator Data'!A60</f>
        <v>Papua Conflict</v>
      </c>
      <c r="B63" s="195" t="str">
        <f>'Crisis Indicator Data'!B60</f>
        <v>Conflict</v>
      </c>
      <c r="C63" s="195" t="str">
        <f>'Crisis Indicator Data'!C60</f>
        <v>IDN002</v>
      </c>
      <c r="D63" s="195" t="str">
        <f>'Crisis Indicator Data'!D60</f>
        <v>Indonesia</v>
      </c>
      <c r="E63" s="195" t="str">
        <f>'Crisis Indicator Data'!E60</f>
        <v>IDN</v>
      </c>
      <c r="F63" s="205" t="str">
        <f>IF('Crisis Indicator Data'!Q60="x","x",('Crisis Indicator Data'!Q60/1000000))</f>
        <v>x</v>
      </c>
      <c r="G63" s="205" t="str">
        <f>IF('Crisis Indicator Data'!R60="x","x",('Crisis Indicator Data'!R60/1000000))</f>
        <v>x</v>
      </c>
      <c r="H63" s="205" t="str">
        <f>IF('Crisis Indicator Data'!S60="x","x",('Crisis Indicator Data'!S60/1000000))</f>
        <v>x</v>
      </c>
      <c r="I63" s="205" t="str">
        <f>IF('Crisis Indicator Data'!T60="x","x",('Crisis Indicator Data'!T60/1000000))</f>
        <v>x</v>
      </c>
      <c r="J63" s="205" t="str">
        <f>IF('Crisis Indicator Data'!U60="x","x",('Crisis Indicator Data'!U60/1000000))</f>
        <v>x</v>
      </c>
      <c r="K63" s="190" t="str">
        <f t="shared" si="1"/>
        <v>x</v>
      </c>
      <c r="L63" s="185" t="str">
        <f>IF(F63="x","x",(F63*1000000/VLOOKUP($C63,'Crisis Indicator Data'!$C$3:$H$198,5,FALSE)))</f>
        <v>x</v>
      </c>
      <c r="M63" s="185" t="str">
        <f>IF(G63="x","x",(G63*1000000/VLOOKUP($C63,'Crisis Indicator Data'!$C$3:$H$198,5,FALSE)))</f>
        <v>x</v>
      </c>
      <c r="N63" s="185" t="str">
        <f>IF(H63="x","x",(H63*1000000/VLOOKUP($C63,'Crisis Indicator Data'!$C$3:$H$198,5,FALSE)))</f>
        <v>x</v>
      </c>
      <c r="O63" s="185" t="str">
        <f>IF(I63="x","x",(I63*1000000/VLOOKUP($C63,'Crisis Indicator Data'!$C$3:$H$198,5,FALSE)))</f>
        <v>x</v>
      </c>
      <c r="P63" s="185" t="str">
        <f>IF(J63="x","x",(J63*1000000/VLOOKUP($C63,'Crisis Indicator Data'!$C$3:$H$198,5,FALSE)))</f>
        <v>x</v>
      </c>
      <c r="Q63" s="167" t="str">
        <f t="shared" si="2"/>
        <v>x</v>
      </c>
      <c r="R63" s="167" t="str">
        <f t="shared" si="3"/>
        <v>x</v>
      </c>
    </row>
    <row r="64" spans="1:18" x14ac:dyDescent="0.3">
      <c r="A64" s="194" t="str">
        <f>'Crisis Indicator Data'!A61</f>
        <v>Afghan Refugees in Iran</v>
      </c>
      <c r="B64" s="195" t="str">
        <f>'Crisis Indicator Data'!B61</f>
        <v>International displacement</v>
      </c>
      <c r="C64" s="195" t="str">
        <f>'Crisis Indicator Data'!C61</f>
        <v>IRN004</v>
      </c>
      <c r="D64" s="195" t="str">
        <f>'Crisis Indicator Data'!D61</f>
        <v>Iran</v>
      </c>
      <c r="E64" s="195" t="str">
        <f>'Crisis Indicator Data'!E61</f>
        <v>IRN</v>
      </c>
      <c r="F64" s="205">
        <f>IF('Crisis Indicator Data'!Q61="x","x",('Crisis Indicator Data'!Q61/1000000))</f>
        <v>21.872</v>
      </c>
      <c r="G64" s="205">
        <f>IF('Crisis Indicator Data'!R61="x","x",('Crisis Indicator Data'!R61/1000000))</f>
        <v>0</v>
      </c>
      <c r="H64" s="205">
        <f>IF('Crisis Indicator Data'!S61="x","x",('Crisis Indicator Data'!S61/1000000))</f>
        <v>0.95099999999999996</v>
      </c>
      <c r="I64" s="205">
        <f>IF('Crisis Indicator Data'!T61="x","x",('Crisis Indicator Data'!T61/1000000))</f>
        <v>2</v>
      </c>
      <c r="J64" s="205">
        <f>IF('Crisis Indicator Data'!U61="x","x",('Crisis Indicator Data'!U61/1000000))</f>
        <v>0</v>
      </c>
      <c r="K64" s="190">
        <f t="shared" si="1"/>
        <v>4.0999999999999996</v>
      </c>
      <c r="L64" s="185">
        <f>IF(F64="x","x",(F64*1000000/VLOOKUP($C64,'Crisis Indicator Data'!$C$3:$H$198,5,FALSE)))</f>
        <v>0.88111831768923987</v>
      </c>
      <c r="M64" s="185">
        <f>IF(G64="x","x",(G64*1000000/VLOOKUP($C64,'Crisis Indicator Data'!$C$3:$H$198,5,FALSE)))</f>
        <v>0</v>
      </c>
      <c r="N64" s="185">
        <f>IF(H64="x","x",(H64*1000000/VLOOKUP($C64,'Crisis Indicator Data'!$C$3:$H$198,5,FALSE)))</f>
        <v>3.8311243604721427E-2</v>
      </c>
      <c r="O64" s="185">
        <f>IF(I64="x","x",(I64*1000000/VLOOKUP($C64,'Crisis Indicator Data'!$C$3:$H$198,5,FALSE)))</f>
        <v>8.0570438706038749E-2</v>
      </c>
      <c r="P64" s="185">
        <f>IF(J64="x","x",(J64*1000000/VLOOKUP($C64,'Crisis Indicator Data'!$C$3:$H$198,5,FALSE)))</f>
        <v>0</v>
      </c>
      <c r="Q64" s="167">
        <f t="shared" si="2"/>
        <v>4</v>
      </c>
      <c r="R64" s="167">
        <f t="shared" si="3"/>
        <v>4.05</v>
      </c>
    </row>
    <row r="65" spans="1:18" x14ac:dyDescent="0.3">
      <c r="A65" s="194" t="str">
        <f>'Crisis Indicator Data'!A62</f>
        <v>Multiple crises in Iraq</v>
      </c>
      <c r="B65" s="195" t="str">
        <f>'Crisis Indicator Data'!B62</f>
        <v>Multiple crises country</v>
      </c>
      <c r="C65" s="195" t="str">
        <f>'Crisis Indicator Data'!C62</f>
        <v>IRQ001</v>
      </c>
      <c r="D65" s="195" t="str">
        <f>'Crisis Indicator Data'!D62</f>
        <v>Iraq</v>
      </c>
      <c r="E65" s="195" t="str">
        <f>'Crisis Indicator Data'!E62</f>
        <v>IRQ</v>
      </c>
      <c r="F65" s="205">
        <f>IF('Crisis Indicator Data'!Q62="x","x",('Crisis Indicator Data'!Q62/1000000))</f>
        <v>31.498999999999999</v>
      </c>
      <c r="G65" s="205">
        <f>IF('Crisis Indicator Data'!R62="x","x",('Crisis Indicator Data'!R62/1000000))</f>
        <v>2.6459999999999999</v>
      </c>
      <c r="H65" s="205">
        <f>IF('Crisis Indicator Data'!S62="x","x",('Crisis Indicator Data'!S62/1000000))</f>
        <v>2.4</v>
      </c>
      <c r="I65" s="205">
        <f>IF('Crisis Indicator Data'!T62="x","x",('Crisis Indicator Data'!T62/1000000))</f>
        <v>1.889</v>
      </c>
      <c r="J65" s="205">
        <f>IF('Crisis Indicator Data'!U62="x","x",('Crisis Indicator Data'!U62/1000000))</f>
        <v>0</v>
      </c>
      <c r="K65" s="190">
        <f t="shared" si="1"/>
        <v>4.4000000000000004</v>
      </c>
      <c r="L65" s="185">
        <f>IF(F65="x","x",(F65*1000000/VLOOKUP($C65,'Crisis Indicator Data'!$C$3:$H$198,5,FALSE)))</f>
        <v>0.81956080553676436</v>
      </c>
      <c r="M65" s="185">
        <f>IF(G65="x","x",(G65*1000000/VLOOKUP($C65,'Crisis Indicator Data'!$C$3:$H$198,5,FALSE)))</f>
        <v>6.8845293229952642E-2</v>
      </c>
      <c r="N65" s="185">
        <f>IF(H65="x","x",(H65*1000000/VLOOKUP($C65,'Crisis Indicator Data'!$C$3:$H$198,5,FALSE)))</f>
        <v>6.2444710412655459E-2</v>
      </c>
      <c r="O65" s="185">
        <f>IF(I65="x","x",(I65*1000000/VLOOKUP($C65,'Crisis Indicator Data'!$C$3:$H$198,5,FALSE)))</f>
        <v>4.9149190820627568E-2</v>
      </c>
      <c r="P65" s="185">
        <f>IF(J65="x","x",(J65*1000000/VLOOKUP($C65,'Crisis Indicator Data'!$C$3:$H$198,5,FALSE)))</f>
        <v>0</v>
      </c>
      <c r="Q65" s="167">
        <f t="shared" si="2"/>
        <v>3</v>
      </c>
      <c r="R65" s="167">
        <f t="shared" si="3"/>
        <v>3.7</v>
      </c>
    </row>
    <row r="66" spans="1:18" x14ac:dyDescent="0.3">
      <c r="A66" s="194" t="str">
        <f>'Crisis Indicator Data'!A63</f>
        <v>Conflict  in Iraq</v>
      </c>
      <c r="B66" s="195" t="str">
        <f>'Crisis Indicator Data'!B63</f>
        <v>Conflict</v>
      </c>
      <c r="C66" s="195" t="str">
        <f>'Crisis Indicator Data'!C63</f>
        <v>IRQ002</v>
      </c>
      <c r="D66" s="195" t="str">
        <f>'Crisis Indicator Data'!D63</f>
        <v>Iraq</v>
      </c>
      <c r="E66" s="195" t="str">
        <f>'Crisis Indicator Data'!E63</f>
        <v>IRQ</v>
      </c>
      <c r="F66" s="205">
        <f>IF('Crisis Indicator Data'!Q63="x","x",('Crisis Indicator Data'!Q63/1000000))</f>
        <v>4.3090000000000002</v>
      </c>
      <c r="G66" s="205">
        <f>IF('Crisis Indicator Data'!R63="x","x",('Crisis Indicator Data'!R63/1000000))</f>
        <v>2.6459999999999999</v>
      </c>
      <c r="H66" s="205">
        <f>IF('Crisis Indicator Data'!S63="x","x",('Crisis Indicator Data'!S63/1000000))</f>
        <v>2.2709999999999999</v>
      </c>
      <c r="I66" s="205">
        <f>IF('Crisis Indicator Data'!T63="x","x",('Crisis Indicator Data'!T63/1000000))</f>
        <v>1.7749999999999999</v>
      </c>
      <c r="J66" s="205">
        <f>IF('Crisis Indicator Data'!U63="x","x",('Crisis Indicator Data'!U63/1000000))</f>
        <v>0</v>
      </c>
      <c r="K66" s="190">
        <f t="shared" si="1"/>
        <v>4.3</v>
      </c>
      <c r="L66" s="185">
        <f>IF(F66="x","x",(F66*1000000/VLOOKUP($C66,'Crisis Indicator Data'!$C$3:$H$198,5,FALSE)))</f>
        <v>0.3917272727272727</v>
      </c>
      <c r="M66" s="185">
        <f>IF(G66="x","x",(G66*1000000/VLOOKUP($C66,'Crisis Indicator Data'!$C$3:$H$198,5,FALSE)))</f>
        <v>0.24054545454545453</v>
      </c>
      <c r="N66" s="185">
        <f>IF(H66="x","x",(H66*1000000/VLOOKUP($C66,'Crisis Indicator Data'!$C$3:$H$198,5,FALSE)))</f>
        <v>0.20645454545454545</v>
      </c>
      <c r="O66" s="185">
        <f>IF(I66="x","x",(I66*1000000/VLOOKUP($C66,'Crisis Indicator Data'!$C$3:$H$198,5,FALSE)))</f>
        <v>0.16136363636363638</v>
      </c>
      <c r="P66" s="185">
        <f>IF(J66="x","x",(J66*1000000/VLOOKUP($C66,'Crisis Indicator Data'!$C$3:$H$198,5,FALSE)))</f>
        <v>0</v>
      </c>
      <c r="Q66" s="167">
        <f t="shared" si="2"/>
        <v>4</v>
      </c>
      <c r="R66" s="167">
        <f t="shared" si="3"/>
        <v>4.1500000000000004</v>
      </c>
    </row>
    <row r="67" spans="1:18" x14ac:dyDescent="0.3">
      <c r="A67" s="194" t="str">
        <f>'Crisis Indicator Data'!A64</f>
        <v>Syrian and Palestinian refugees in iraq</v>
      </c>
      <c r="B67" s="195" t="str">
        <f>'Crisis Indicator Data'!B64</f>
        <v>International displacement</v>
      </c>
      <c r="C67" s="195" t="str">
        <f>'Crisis Indicator Data'!C64</f>
        <v>IRQ003</v>
      </c>
      <c r="D67" s="195" t="str">
        <f>'Crisis Indicator Data'!D64</f>
        <v>Iraq</v>
      </c>
      <c r="E67" s="195" t="str">
        <f>'Crisis Indicator Data'!E64</f>
        <v>IRQ</v>
      </c>
      <c r="F67" s="205">
        <f>IF('Crisis Indicator Data'!Q64="x","x",('Crisis Indicator Data'!Q64/1000000))</f>
        <v>4.6849999999999996</v>
      </c>
      <c r="G67" s="205">
        <f>IF('Crisis Indicator Data'!R64="x","x",('Crisis Indicator Data'!R64/1000000))</f>
        <v>0</v>
      </c>
      <c r="H67" s="205">
        <f>IF('Crisis Indicator Data'!S64="x","x",('Crisis Indicator Data'!S64/1000000))</f>
        <v>0.33700000000000002</v>
      </c>
      <c r="I67" s="205">
        <f>IF('Crisis Indicator Data'!T64="x","x",('Crisis Indicator Data'!T64/1000000))</f>
        <v>0.114</v>
      </c>
      <c r="J67" s="205">
        <f>IF('Crisis Indicator Data'!U64="x","x",('Crisis Indicator Data'!U64/1000000))</f>
        <v>0</v>
      </c>
      <c r="K67" s="190">
        <f t="shared" si="1"/>
        <v>2.8</v>
      </c>
      <c r="L67" s="185">
        <f>IF(F67="x","x",(F67*1000000/VLOOKUP($C67,'Crisis Indicator Data'!$C$3:$H$198,5,FALSE)))</f>
        <v>0.91236611489776043</v>
      </c>
      <c r="M67" s="185">
        <f>IF(G67="x","x",(G67*1000000/VLOOKUP($C67,'Crisis Indicator Data'!$C$3:$H$198,5,FALSE)))</f>
        <v>0</v>
      </c>
      <c r="N67" s="185">
        <f>IF(H67="x","x",(H67*1000000/VLOOKUP($C67,'Crisis Indicator Data'!$C$3:$H$198,5,FALSE)))</f>
        <v>6.5628042843232717E-2</v>
      </c>
      <c r="O67" s="185">
        <f>IF(I67="x","x",(I67*1000000/VLOOKUP($C67,'Crisis Indicator Data'!$C$3:$H$198,5,FALSE)))</f>
        <v>2.2200584225900682E-2</v>
      </c>
      <c r="P67" s="185">
        <f>IF(J67="x","x",(J67*1000000/VLOOKUP($C67,'Crisis Indicator Data'!$C$3:$H$198,5,FALSE)))</f>
        <v>0</v>
      </c>
      <c r="Q67" s="167">
        <f t="shared" si="2"/>
        <v>3</v>
      </c>
      <c r="R67" s="167">
        <f t="shared" ref="R67:R98" si="4">IF(Q67="x","x",(AVERAGE(K67,Q67)))</f>
        <v>2.9</v>
      </c>
    </row>
    <row r="68" spans="1:18" x14ac:dyDescent="0.3">
      <c r="A68" s="194" t="str">
        <f>'Crisis Indicator Data'!A65</f>
        <v>Syrian refugees in Jordan</v>
      </c>
      <c r="B68" s="195" t="str">
        <f>'Crisis Indicator Data'!B65</f>
        <v>International displacement</v>
      </c>
      <c r="C68" s="195" t="str">
        <f>'Crisis Indicator Data'!C65</f>
        <v>JOR002</v>
      </c>
      <c r="D68" s="195" t="str">
        <f>'Crisis Indicator Data'!D65</f>
        <v>Jordan</v>
      </c>
      <c r="E68" s="195" t="str">
        <f>'Crisis Indicator Data'!E65</f>
        <v>JOR</v>
      </c>
      <c r="F68" s="205">
        <f>IF('Crisis Indicator Data'!Q65="x","x",('Crisis Indicator Data'!Q65/1000000))</f>
        <v>7.1269999999999998</v>
      </c>
      <c r="G68" s="205">
        <f>IF('Crisis Indicator Data'!R65="x","x",('Crisis Indicator Data'!R65/1000000))</f>
        <v>0.73499999999999999</v>
      </c>
      <c r="H68" s="205">
        <f>IF('Crisis Indicator Data'!S65="x","x",('Crisis Indicator Data'!S65/1000000))</f>
        <v>0.27900000000000003</v>
      </c>
      <c r="I68" s="205">
        <f>IF('Crisis Indicator Data'!T65="x","x",('Crisis Indicator Data'!T65/1000000))</f>
        <v>0.36299999999999999</v>
      </c>
      <c r="J68" s="205">
        <f>IF('Crisis Indicator Data'!U65="x","x",('Crisis Indicator Data'!U65/1000000))</f>
        <v>0</v>
      </c>
      <c r="K68" s="190">
        <f t="shared" si="1"/>
        <v>3</v>
      </c>
      <c r="L68" s="185">
        <f>IF(F68="x","x",(F68*1000000/VLOOKUP($C68,'Crisis Indicator Data'!$C$3:$H$198,5,FALSE)))</f>
        <v>0.8379776601998824</v>
      </c>
      <c r="M68" s="185">
        <f>IF(G68="x","x",(G68*1000000/VLOOKUP($C68,'Crisis Indicator Data'!$C$3:$H$198,5,FALSE)))</f>
        <v>8.6419753086419748E-2</v>
      </c>
      <c r="N68" s="185">
        <f>IF(H68="x","x",(H68*1000000/VLOOKUP($C68,'Crisis Indicator Data'!$C$3:$H$198,5,FALSE)))</f>
        <v>3.2804232804232801E-2</v>
      </c>
      <c r="O68" s="185">
        <f>IF(I68="x","x",(I68*1000000/VLOOKUP($C68,'Crisis Indicator Data'!$C$3:$H$198,5,FALSE)))</f>
        <v>4.2680776014109349E-2</v>
      </c>
      <c r="P68" s="185">
        <f>IF(J68="x","x",(J68*1000000/VLOOKUP($C68,'Crisis Indicator Data'!$C$3:$H$198,5,FALSE)))</f>
        <v>0</v>
      </c>
      <c r="Q68" s="167">
        <f t="shared" si="2"/>
        <v>3</v>
      </c>
      <c r="R68" s="167">
        <f t="shared" si="4"/>
        <v>3</v>
      </c>
    </row>
    <row r="69" spans="1:18" x14ac:dyDescent="0.3">
      <c r="A69" s="194" t="str">
        <f>'Crisis Indicator Data'!A66</f>
        <v xml:space="preserve">Multiple crisis in Kenya </v>
      </c>
      <c r="B69" s="195" t="str">
        <f>'Crisis Indicator Data'!B66</f>
        <v>Multiple crises country</v>
      </c>
      <c r="C69" s="195" t="str">
        <f>'Crisis Indicator Data'!C66</f>
        <v>KEN001</v>
      </c>
      <c r="D69" s="195" t="str">
        <f>'Crisis Indicator Data'!D66</f>
        <v>Kenya</v>
      </c>
      <c r="E69" s="195" t="str">
        <f>'Crisis Indicator Data'!E66</f>
        <v>KEN</v>
      </c>
      <c r="F69" s="205">
        <f>IF('Crisis Indicator Data'!Q66="x","x",('Crisis Indicator Data'!Q66/1000000))</f>
        <v>40.200000000000003</v>
      </c>
      <c r="G69" s="205">
        <f>IF('Crisis Indicator Data'!R66="x","x",('Crisis Indicator Data'!R66/1000000))</f>
        <v>9.7140000000000004</v>
      </c>
      <c r="H69" s="205">
        <f>IF('Crisis Indicator Data'!S66="x","x",('Crisis Indicator Data'!S66/1000000))</f>
        <v>1.367</v>
      </c>
      <c r="I69" s="205">
        <f>IF('Crisis Indicator Data'!T66="x","x",('Crisis Indicator Data'!T66/1000000))</f>
        <v>0.113</v>
      </c>
      <c r="J69" s="205">
        <f>IF('Crisis Indicator Data'!U66="x","x",('Crisis Indicator Data'!U66/1000000))</f>
        <v>0</v>
      </c>
      <c r="K69" s="190">
        <f t="shared" si="1"/>
        <v>3.6</v>
      </c>
      <c r="L69" s="185">
        <f>IF(F69="x","x",(F69*1000000/VLOOKUP($C69,'Crisis Indicator Data'!$C$3:$H$198,5,FALSE)))</f>
        <v>0.78220769365477794</v>
      </c>
      <c r="M69" s="185">
        <f>IF(G69="x","x",(G69*1000000/VLOOKUP($C69,'Crisis Indicator Data'!$C$3:$H$198,5,FALSE)))</f>
        <v>0.1890140680637441</v>
      </c>
      <c r="N69" s="185">
        <f>IF(H69="x","x",(H69*1000000/VLOOKUP($C69,'Crisis Indicator Data'!$C$3:$H$198,5,FALSE)))</f>
        <v>2.6598953164827896E-2</v>
      </c>
      <c r="O69" s="185">
        <f>IF(I69="x","x",(I69*1000000/VLOOKUP($C69,'Crisis Indicator Data'!$C$3:$H$198,5,FALSE)))</f>
        <v>2.1987430194773607E-3</v>
      </c>
      <c r="P69" s="185">
        <f>IF(J69="x","x",(J69*1000000/VLOOKUP($C69,'Crisis Indicator Data'!$C$3:$H$198,5,FALSE)))</f>
        <v>0</v>
      </c>
      <c r="Q69" s="167">
        <f t="shared" si="2"/>
        <v>2</v>
      </c>
      <c r="R69" s="167">
        <f t="shared" si="4"/>
        <v>2.8</v>
      </c>
    </row>
    <row r="70" spans="1:18" x14ac:dyDescent="0.3">
      <c r="A70" s="194" t="str">
        <f>'Crisis Indicator Data'!A67</f>
        <v>Refugee situation in Kenya</v>
      </c>
      <c r="B70" s="195" t="str">
        <f>'Crisis Indicator Data'!B67</f>
        <v>International displacement</v>
      </c>
      <c r="C70" s="195" t="str">
        <f>'Crisis Indicator Data'!C67</f>
        <v>KEN002</v>
      </c>
      <c r="D70" s="195" t="str">
        <f>'Crisis Indicator Data'!D67</f>
        <v>Kenya</v>
      </c>
      <c r="E70" s="195" t="str">
        <f>'Crisis Indicator Data'!E67</f>
        <v>KEN</v>
      </c>
      <c r="F70" s="205">
        <f>IF('Crisis Indicator Data'!Q67="x","x",('Crisis Indicator Data'!Q67/1000000))</f>
        <v>4.7210000000000001</v>
      </c>
      <c r="G70" s="205">
        <f>IF('Crisis Indicator Data'!R67="x","x",('Crisis Indicator Data'!R67/1000000))</f>
        <v>0</v>
      </c>
      <c r="H70" s="205">
        <f>IF('Crisis Indicator Data'!S67="x","x",('Crisis Indicator Data'!S67/1000000))</f>
        <v>0.495</v>
      </c>
      <c r="I70" s="205">
        <f>IF('Crisis Indicator Data'!T67="x","x",('Crisis Indicator Data'!T67/1000000))</f>
        <v>0</v>
      </c>
      <c r="J70" s="205">
        <f>IF('Crisis Indicator Data'!U67="x","x",('Crisis Indicator Data'!U67/1000000))</f>
        <v>0</v>
      </c>
      <c r="K70" s="190">
        <f t="shared" si="1"/>
        <v>2.8</v>
      </c>
      <c r="L70" s="185">
        <f>IF(F70="x","x",(F70*1000000/VLOOKUP($C70,'Crisis Indicator Data'!$C$3:$H$198,5,FALSE)))</f>
        <v>0.90509969325153372</v>
      </c>
      <c r="M70" s="185">
        <f>IF(G70="x","x",(G70*1000000/VLOOKUP($C70,'Crisis Indicator Data'!$C$3:$H$198,5,FALSE)))</f>
        <v>0</v>
      </c>
      <c r="N70" s="185">
        <f>IF(H70="x","x",(H70*1000000/VLOOKUP($C70,'Crisis Indicator Data'!$C$3:$H$198,5,FALSE)))</f>
        <v>9.4900306748466251E-2</v>
      </c>
      <c r="O70" s="185">
        <f>IF(I70="x","x",(I70*1000000/VLOOKUP($C70,'Crisis Indicator Data'!$C$3:$H$198,5,FALSE)))</f>
        <v>0</v>
      </c>
      <c r="P70" s="185">
        <f>IF(J70="x","x",(J70*1000000/VLOOKUP($C70,'Crisis Indicator Data'!$C$3:$H$198,5,FALSE)))</f>
        <v>0</v>
      </c>
      <c r="Q70" s="167">
        <f t="shared" si="2"/>
        <v>3</v>
      </c>
      <c r="R70" s="167">
        <f t="shared" si="4"/>
        <v>2.9</v>
      </c>
    </row>
    <row r="71" spans="1:18" x14ac:dyDescent="0.3">
      <c r="A71" s="194" t="str">
        <f>'Crisis Indicator Data'!A68</f>
        <v>Drought in Kenya</v>
      </c>
      <c r="B71" s="195" t="str">
        <f>'Crisis Indicator Data'!B68</f>
        <v>Drought</v>
      </c>
      <c r="C71" s="195" t="str">
        <f>'Crisis Indicator Data'!C68</f>
        <v>KEN003</v>
      </c>
      <c r="D71" s="195" t="str">
        <f>'Crisis Indicator Data'!D68</f>
        <v>Kenya</v>
      </c>
      <c r="E71" s="195" t="str">
        <f>'Crisis Indicator Data'!E68</f>
        <v>KEN</v>
      </c>
      <c r="F71" s="205">
        <f>IF('Crisis Indicator Data'!Q68="x","x",('Crisis Indicator Data'!Q68/1000000))</f>
        <v>40.695</v>
      </c>
      <c r="G71" s="205">
        <f>IF('Crisis Indicator Data'!R68="x","x",('Crisis Indicator Data'!R68/1000000))</f>
        <v>9.7140000000000004</v>
      </c>
      <c r="H71" s="205">
        <f>IF('Crisis Indicator Data'!S68="x","x",('Crisis Indicator Data'!S68/1000000))</f>
        <v>0.872</v>
      </c>
      <c r="I71" s="205">
        <f>IF('Crisis Indicator Data'!T68="x","x",('Crisis Indicator Data'!T68/1000000))</f>
        <v>0.113</v>
      </c>
      <c r="J71" s="205">
        <f>IF('Crisis Indicator Data'!U68="x","x",('Crisis Indicator Data'!U68/1000000))</f>
        <v>0</v>
      </c>
      <c r="K71" s="190">
        <f t="shared" ref="K71:K134" si="5">IF(H71="x","x",IF(SUM(H71:J71)=0,0,IF(LOG(SUM(H71:J71)*1000000)&lt;$K$4,0,IF(LOG(SUM(H71:J71)*1000000)&gt;$K$3,5,ROUND(5-(K$3-LOG(SUM(H71:J71)*1000000))/(K$3-K$4)*5,1)))))</f>
        <v>3.3</v>
      </c>
      <c r="L71" s="185">
        <f>IF(F71="x","x",(F71*1000000/VLOOKUP($C71,'Crisis Indicator Data'!$C$3:$H$198,5,FALSE)))</f>
        <v>0.79183935555425833</v>
      </c>
      <c r="M71" s="185">
        <f>IF(G71="x","x",(G71*1000000/VLOOKUP($C71,'Crisis Indicator Data'!$C$3:$H$198,5,FALSE)))</f>
        <v>0.1890140680637441</v>
      </c>
      <c r="N71" s="185">
        <f>IF(H71="x","x",(H71*1000000/VLOOKUP($C71,'Crisis Indicator Data'!$C$3:$H$198,5,FALSE)))</f>
        <v>1.696729126534742E-2</v>
      </c>
      <c r="O71" s="185">
        <f>IF(I71="x","x",(I71*1000000/VLOOKUP($C71,'Crisis Indicator Data'!$C$3:$H$198,5,FALSE)))</f>
        <v>2.1987430194773607E-3</v>
      </c>
      <c r="P71" s="185">
        <f>IF(J71="x","x",(J71*1000000/VLOOKUP($C71,'Crisis Indicator Data'!$C$3:$H$198,5,FALSE)))</f>
        <v>0</v>
      </c>
      <c r="Q71" s="167">
        <f t="shared" ref="Q71:Q134" si="6">IF(N71="x","x",IF(OR(L71&gt;=$L$3,M71&gt;=$M$3,N71&gt;=$N$3,O71&gt;=$O$3,P71&gt;=$P$3),(IF(P71&gt;=$P$3,5,IF((O71+P71)&gt;=$O$3,4,IF((O71+P71+N71)&gt;=$N$3,3,IF((O71+P71+N71+M71)&gt;=$M$3,2,1)))))))</f>
        <v>2</v>
      </c>
      <c r="R71" s="167">
        <f t="shared" si="4"/>
        <v>2.65</v>
      </c>
    </row>
    <row r="72" spans="1:18" x14ac:dyDescent="0.3">
      <c r="A72" s="194" t="str">
        <f>'Crisis Indicator Data'!A69</f>
        <v>Flooding and Landslides in Kenya</v>
      </c>
      <c r="B72" s="195" t="str">
        <f>'Crisis Indicator Data'!B69</f>
        <v>Flood</v>
      </c>
      <c r="C72" s="195" t="str">
        <f>'Crisis Indicator Data'!C69</f>
        <v>KEN005</v>
      </c>
      <c r="D72" s="195" t="str">
        <f>'Crisis Indicator Data'!D69</f>
        <v>Kenya</v>
      </c>
      <c r="E72" s="195" t="str">
        <f>'Crisis Indicator Data'!E69</f>
        <v>KEN</v>
      </c>
      <c r="F72" s="205">
        <f>IF('Crisis Indicator Data'!Q69="x","x",('Crisis Indicator Data'!Q69/1000000))</f>
        <v>42.28</v>
      </c>
      <c r="G72" s="205">
        <f>IF('Crisis Indicator Data'!R69="x","x",('Crisis Indicator Data'!R69/1000000))</f>
        <v>0.11700000000000001</v>
      </c>
      <c r="H72" s="205">
        <f>IF('Crisis Indicator Data'!S69="x","x",('Crisis Indicator Data'!S69/1000000))</f>
        <v>0.11600000000000001</v>
      </c>
      <c r="I72" s="205">
        <f>IF('Crisis Indicator Data'!T69="x","x",('Crisis Indicator Data'!T69/1000000))</f>
        <v>0</v>
      </c>
      <c r="J72" s="205">
        <f>IF('Crisis Indicator Data'!U69="x","x",('Crisis Indicator Data'!U69/1000000))</f>
        <v>0</v>
      </c>
      <c r="K72" s="190">
        <f t="shared" si="5"/>
        <v>1.8</v>
      </c>
      <c r="L72" s="185">
        <f>IF(F72="x","x",(F72*1000000/VLOOKUP($C72,'Crisis Indicator Data'!$C$3:$H$198,5,FALSE)))</f>
        <v>0.99451932350104677</v>
      </c>
      <c r="M72" s="185">
        <f>IF(G72="x","x",(G72*1000000/VLOOKUP($C72,'Crisis Indicator Data'!$C$3:$H$198,5,FALSE)))</f>
        <v>2.7520993578434832E-3</v>
      </c>
      <c r="N72" s="185">
        <f>IF(H72="x","x",(H72*1000000/VLOOKUP($C72,'Crisis Indicator Data'!$C$3:$H$198,5,FALSE)))</f>
        <v>2.7285771411097782E-3</v>
      </c>
      <c r="O72" s="185">
        <f>IF(I72="x","x",(I72*1000000/VLOOKUP($C72,'Crisis Indicator Data'!$C$3:$H$198,5,FALSE)))</f>
        <v>0</v>
      </c>
      <c r="P72" s="185">
        <f>IF(J72="x","x",(J72*1000000/VLOOKUP($C72,'Crisis Indicator Data'!$C$3:$H$198,5,FALSE)))</f>
        <v>0</v>
      </c>
      <c r="Q72" s="167">
        <f t="shared" si="6"/>
        <v>1</v>
      </c>
      <c r="R72" s="167">
        <f t="shared" si="4"/>
        <v>1.4</v>
      </c>
    </row>
    <row r="73" spans="1:18" x14ac:dyDescent="0.3">
      <c r="A73" s="194" t="str">
        <f>'Crisis Indicator Data'!A70</f>
        <v>Syrian refugees in Lebanon</v>
      </c>
      <c r="B73" s="195" t="str">
        <f>'Crisis Indicator Data'!B70</f>
        <v>International displacement</v>
      </c>
      <c r="C73" s="195" t="str">
        <f>'Crisis Indicator Data'!C70</f>
        <v>LBN002</v>
      </c>
      <c r="D73" s="195" t="str">
        <f>'Crisis Indicator Data'!D70</f>
        <v>Lebanon</v>
      </c>
      <c r="E73" s="195" t="str">
        <f>'Crisis Indicator Data'!E70</f>
        <v>LBN</v>
      </c>
      <c r="F73" s="205">
        <f>IF('Crisis Indicator Data'!Q70="x","x",('Crisis Indicator Data'!Q70/1000000))</f>
        <v>3.8220000000000001</v>
      </c>
      <c r="G73" s="205">
        <f>IF('Crisis Indicator Data'!R70="x","x",('Crisis Indicator Data'!R70/1000000))</f>
        <v>2.3610000000000002</v>
      </c>
      <c r="H73" s="205">
        <f>IF('Crisis Indicator Data'!S70="x","x",('Crisis Indicator Data'!S70/1000000))</f>
        <v>0.18</v>
      </c>
      <c r="I73" s="205">
        <f>IF('Crisis Indicator Data'!T70="x","x",('Crisis Indicator Data'!T70/1000000))</f>
        <v>0.48599999999999999</v>
      </c>
      <c r="J73" s="205">
        <f>IF('Crisis Indicator Data'!U70="x","x",('Crisis Indicator Data'!U70/1000000))</f>
        <v>0</v>
      </c>
      <c r="K73" s="190">
        <f t="shared" si="5"/>
        <v>3</v>
      </c>
      <c r="L73" s="185">
        <f>IF(F73="x","x",(F73*1000000/VLOOKUP($C73,'Crisis Indicator Data'!$C$3:$H$198,5,FALSE)))</f>
        <v>0.55803766973280766</v>
      </c>
      <c r="M73" s="185">
        <f>IF(G73="x","x",(G73*1000000/VLOOKUP($C73,'Crisis Indicator Data'!$C$3:$H$198,5,FALSE)))</f>
        <v>0.34472185720543147</v>
      </c>
      <c r="N73" s="185">
        <f>IF(H73="x","x",(H73*1000000/VLOOKUP($C73,'Crisis Indicator Data'!$C$3:$H$198,5,FALSE)))</f>
        <v>2.6281208935611037E-2</v>
      </c>
      <c r="O73" s="185">
        <f>IF(I73="x","x",(I73*1000000/VLOOKUP($C73,'Crisis Indicator Data'!$C$3:$H$198,5,FALSE)))</f>
        <v>7.0959264126149807E-2</v>
      </c>
      <c r="P73" s="185">
        <f>IF(J73="x","x",(J73*1000000/VLOOKUP($C73,'Crisis Indicator Data'!$C$3:$H$198,5,FALSE)))</f>
        <v>0</v>
      </c>
      <c r="Q73" s="167">
        <f t="shared" si="6"/>
        <v>4</v>
      </c>
      <c r="R73" s="167">
        <f t="shared" si="4"/>
        <v>3.5</v>
      </c>
    </row>
    <row r="74" spans="1:18" x14ac:dyDescent="0.3">
      <c r="A74" s="194" t="str">
        <f>'Crisis Indicator Data'!A71</f>
        <v>Socioeconomic crisis in Lebanon</v>
      </c>
      <c r="B74" s="195" t="str">
        <f>'Crisis Indicator Data'!B71</f>
        <v>Political and economic crisis</v>
      </c>
      <c r="C74" s="195" t="str">
        <f>'Crisis Indicator Data'!C71</f>
        <v>LBN004</v>
      </c>
      <c r="D74" s="195" t="str">
        <f>'Crisis Indicator Data'!D71</f>
        <v>Lebanon</v>
      </c>
      <c r="E74" s="195" t="str">
        <f>'Crisis Indicator Data'!E71</f>
        <v>LBN</v>
      </c>
      <c r="F74" s="205">
        <f>IF('Crisis Indicator Data'!Q71="x","x",('Crisis Indicator Data'!Q71/1000000))</f>
        <v>2.609</v>
      </c>
      <c r="G74" s="205">
        <f>IF('Crisis Indicator Data'!R71="x","x",('Crisis Indicator Data'!R71/1000000))</f>
        <v>0.47299999999999998</v>
      </c>
      <c r="H74" s="205">
        <f>IF('Crisis Indicator Data'!S71="x","x",('Crisis Indicator Data'!S71/1000000))</f>
        <v>2.1920000000000002</v>
      </c>
      <c r="I74" s="205">
        <f>IF('Crisis Indicator Data'!T71="x","x",('Crisis Indicator Data'!T71/1000000))</f>
        <v>1.575</v>
      </c>
      <c r="J74" s="205">
        <f>IF('Crisis Indicator Data'!U71="x","x",('Crisis Indicator Data'!U71/1000000))</f>
        <v>0</v>
      </c>
      <c r="K74" s="190">
        <f t="shared" si="5"/>
        <v>4.3</v>
      </c>
      <c r="L74" s="185">
        <f>IF(F74="x","x",(F74*1000000/VLOOKUP($C74,'Crisis Indicator Data'!$C$3:$H$198,5,FALSE)))</f>
        <v>0.38093152285005111</v>
      </c>
      <c r="M74" s="185">
        <f>IF(G74="x","x",(G74*1000000/VLOOKUP($C74,'Crisis Indicator Data'!$C$3:$H$198,5,FALSE)))</f>
        <v>6.9061176814133457E-2</v>
      </c>
      <c r="N74" s="185">
        <f>IF(H74="x","x",(H74*1000000/VLOOKUP($C74,'Crisis Indicator Data'!$C$3:$H$198,5,FALSE)))</f>
        <v>0.32004672214921887</v>
      </c>
      <c r="O74" s="185">
        <f>IF(I74="x","x",(I74*1000000/VLOOKUP($C74,'Crisis Indicator Data'!$C$3:$H$198,5,FALSE)))</f>
        <v>0.22996057818659657</v>
      </c>
      <c r="P74" s="185">
        <f>IF(J74="x","x",(J74*1000000/VLOOKUP($C74,'Crisis Indicator Data'!$C$3:$H$198,5,FALSE)))</f>
        <v>0</v>
      </c>
      <c r="Q74" s="167">
        <f t="shared" si="6"/>
        <v>4</v>
      </c>
      <c r="R74" s="167">
        <f t="shared" si="4"/>
        <v>4.1500000000000004</v>
      </c>
    </row>
    <row r="75" spans="1:18" x14ac:dyDescent="0.3">
      <c r="A75" s="194" t="str">
        <f>'Crisis Indicator Data'!A72</f>
        <v>Explosion in Beirut</v>
      </c>
      <c r="B75" s="195" t="str">
        <f>'Crisis Indicator Data'!B72</f>
        <v>Industrial Accidents</v>
      </c>
      <c r="C75" s="195" t="str">
        <f>'Crisis Indicator Data'!C72</f>
        <v>LBN005</v>
      </c>
      <c r="D75" s="195" t="str">
        <f>'Crisis Indicator Data'!D72</f>
        <v>Lebanon</v>
      </c>
      <c r="E75" s="195" t="str">
        <f>'Crisis Indicator Data'!E72</f>
        <v>LBN</v>
      </c>
      <c r="F75" s="205">
        <f>IF('Crisis Indicator Data'!Q72="x","x",('Crisis Indicator Data'!Q72/1000000))</f>
        <v>0</v>
      </c>
      <c r="G75" s="205">
        <f>IF('Crisis Indicator Data'!R72="x","x",('Crisis Indicator Data'!R72/1000000))</f>
        <v>1.2</v>
      </c>
      <c r="H75" s="205">
        <f>IF('Crisis Indicator Data'!S72="x","x",('Crisis Indicator Data'!S72/1000000))</f>
        <v>1</v>
      </c>
      <c r="I75" s="205">
        <f>IF('Crisis Indicator Data'!T72="x","x",('Crisis Indicator Data'!T72/1000000))</f>
        <v>0</v>
      </c>
      <c r="J75" s="205">
        <f>IF('Crisis Indicator Data'!U72="x","x",('Crisis Indicator Data'!U72/1000000))</f>
        <v>0</v>
      </c>
      <c r="K75" s="190">
        <f t="shared" si="5"/>
        <v>3.3</v>
      </c>
      <c r="L75" s="185">
        <f>IF(F75="x","x",(F75*1000000/VLOOKUP($C75,'Crisis Indicator Data'!$C$3:$H$198,5,FALSE)))</f>
        <v>0</v>
      </c>
      <c r="M75" s="185">
        <f>IF(G75="x","x",(G75*1000000/VLOOKUP($C75,'Crisis Indicator Data'!$C$3:$H$198,5,FALSE)))</f>
        <v>0.54545454545454541</v>
      </c>
      <c r="N75" s="185">
        <f>IF(H75="x","x",(H75*1000000/VLOOKUP($C75,'Crisis Indicator Data'!$C$3:$H$198,5,FALSE)))</f>
        <v>0.45454545454545453</v>
      </c>
      <c r="O75" s="185">
        <f>IF(I75="x","x",(I75*1000000/VLOOKUP($C75,'Crisis Indicator Data'!$C$3:$H$198,5,FALSE)))</f>
        <v>0</v>
      </c>
      <c r="P75" s="185">
        <f>IF(J75="x","x",(J75*1000000/VLOOKUP($C75,'Crisis Indicator Data'!$C$3:$H$198,5,FALSE)))</f>
        <v>0</v>
      </c>
      <c r="Q75" s="167">
        <f t="shared" si="6"/>
        <v>3</v>
      </c>
      <c r="R75" s="167">
        <f t="shared" si="4"/>
        <v>3.15</v>
      </c>
    </row>
    <row r="76" spans="1:18" x14ac:dyDescent="0.3">
      <c r="A76" s="194" t="str">
        <f>'Crisis Indicator Data'!A73</f>
        <v>Drought in Lesotho</v>
      </c>
      <c r="B76" s="195" t="str">
        <f>'Crisis Indicator Data'!B73</f>
        <v>Drought</v>
      </c>
      <c r="C76" s="195" t="str">
        <f>'Crisis Indicator Data'!C73</f>
        <v>LSO002</v>
      </c>
      <c r="D76" s="195" t="str">
        <f>'Crisis Indicator Data'!D73</f>
        <v>Lesotho</v>
      </c>
      <c r="E76" s="195" t="str">
        <f>'Crisis Indicator Data'!E73</f>
        <v>LSO</v>
      </c>
      <c r="F76" s="205">
        <f>IF('Crisis Indicator Data'!Q73="x","x",('Crisis Indicator Data'!Q73/1000000))</f>
        <v>0.40500000000000003</v>
      </c>
      <c r="G76" s="205">
        <f>IF('Crisis Indicator Data'!R73="x","x",('Crisis Indicator Data'!R73/1000000))</f>
        <v>0.48</v>
      </c>
      <c r="H76" s="205">
        <f>IF('Crisis Indicator Data'!S73="x","x",('Crisis Indicator Data'!S73/1000000))</f>
        <v>0.48199999999999998</v>
      </c>
      <c r="I76" s="205">
        <f>IF('Crisis Indicator Data'!T73="x","x",('Crisis Indicator Data'!T73/1000000))</f>
        <v>0.1</v>
      </c>
      <c r="J76" s="205">
        <f>IF('Crisis Indicator Data'!U73="x","x",('Crisis Indicator Data'!U73/1000000))</f>
        <v>0</v>
      </c>
      <c r="K76" s="190">
        <f t="shared" si="5"/>
        <v>2.9</v>
      </c>
      <c r="L76" s="185">
        <f>IF(F76="x","x",(F76*1000000/VLOOKUP($C76,'Crisis Indicator Data'!$C$3:$H$198,5,FALSE)))</f>
        <v>0.27607361963190186</v>
      </c>
      <c r="M76" s="185">
        <f>IF(G76="x","x",(G76*1000000/VLOOKUP($C76,'Crisis Indicator Data'!$C$3:$H$198,5,FALSE)))</f>
        <v>0.32719836400817998</v>
      </c>
      <c r="N76" s="185">
        <f>IF(H76="x","x",(H76*1000000/VLOOKUP($C76,'Crisis Indicator Data'!$C$3:$H$198,5,FALSE)))</f>
        <v>0.32856169052488071</v>
      </c>
      <c r="O76" s="185">
        <f>IF(I76="x","x",(I76*1000000/VLOOKUP($C76,'Crisis Indicator Data'!$C$3:$H$198,5,FALSE)))</f>
        <v>6.8166325835037497E-2</v>
      </c>
      <c r="P76" s="185">
        <f>IF(J76="x","x",(J76*1000000/VLOOKUP($C76,'Crisis Indicator Data'!$C$3:$H$198,5,FALSE)))</f>
        <v>0</v>
      </c>
      <c r="Q76" s="167">
        <f t="shared" si="6"/>
        <v>4</v>
      </c>
      <c r="R76" s="167">
        <f t="shared" si="4"/>
        <v>3.45</v>
      </c>
    </row>
    <row r="77" spans="1:18" x14ac:dyDescent="0.3">
      <c r="A77" s="194" t="str">
        <f>'Crisis Indicator Data'!A74</f>
        <v>Southern Africa Regional Food Security Crisis</v>
      </c>
      <c r="B77" s="195" t="str">
        <f>'Crisis Indicator Data'!B74</f>
        <v>Regional crisis</v>
      </c>
      <c r="C77" s="195" t="str">
        <f>'Crisis Indicator Data'!C74</f>
        <v>REG012</v>
      </c>
      <c r="D77" s="195" t="str">
        <f>'Crisis Indicator Data'!D74</f>
        <v>Lesotho,Madagascar,Malawi,Mozambique,Namibia,Eswatini,Tanzania,Zambia,Zimbabwe</v>
      </c>
      <c r="E77" s="195" t="str">
        <f>'Crisis Indicator Data'!E74</f>
        <v>LSO, MDG, MWI, MOZ, NAM, SWZ, TZA, ZMB, ZWE</v>
      </c>
      <c r="F77" s="205">
        <f>IF('Crisis Indicator Data'!Q74="x","x",('Crisis Indicator Data'!Q74/1000000))</f>
        <v>25.331</v>
      </c>
      <c r="G77" s="205">
        <f>IF('Crisis Indicator Data'!R74="x","x",('Crisis Indicator Data'!R74/1000000))</f>
        <v>12.632999999999999</v>
      </c>
      <c r="H77" s="205">
        <f>IF('Crisis Indicator Data'!S74="x","x",('Crisis Indicator Data'!S74/1000000))</f>
        <v>13.565</v>
      </c>
      <c r="I77" s="205">
        <f>IF('Crisis Indicator Data'!T74="x","x",('Crisis Indicator Data'!T74/1000000))</f>
        <v>0.61099999999999999</v>
      </c>
      <c r="J77" s="205">
        <f>IF('Crisis Indicator Data'!U74="x","x",('Crisis Indicator Data'!U74/1000000))</f>
        <v>0</v>
      </c>
      <c r="K77" s="190">
        <f t="shared" si="5"/>
        <v>5</v>
      </c>
      <c r="L77" s="185">
        <f>IF(F77="x","x",(F77*1000000/VLOOKUP($C77,'Crisis Indicator Data'!$C$3:$H$198,5,FALSE)))</f>
        <v>0.48580798588469948</v>
      </c>
      <c r="M77" s="185">
        <f>IF(G77="x","x",(G77*1000000/VLOOKUP($C77,'Crisis Indicator Data'!$C$3:$H$198,5,FALSE)))</f>
        <v>0.2422806950251237</v>
      </c>
      <c r="N77" s="185">
        <f>IF(H77="x","x",(H77*1000000/VLOOKUP($C77,'Crisis Indicator Data'!$C$3:$H$198,5,FALSE)))</f>
        <v>0.26015496145142114</v>
      </c>
      <c r="O77" s="185">
        <f>IF(I77="x","x",(I77*1000000/VLOOKUP($C77,'Crisis Indicator Data'!$C$3:$H$198,5,FALSE)))</f>
        <v>1.1718000843849488E-2</v>
      </c>
      <c r="P77" s="185">
        <f>IF(J77="x","x",(J77*1000000/VLOOKUP($C77,'Crisis Indicator Data'!$C$3:$H$198,5,FALSE)))</f>
        <v>0</v>
      </c>
      <c r="Q77" s="167">
        <f t="shared" si="6"/>
        <v>3</v>
      </c>
      <c r="R77" s="167">
        <f t="shared" si="4"/>
        <v>4</v>
      </c>
    </row>
    <row r="78" spans="1:18" x14ac:dyDescent="0.3">
      <c r="A78" s="194" t="str">
        <f>'Crisis Indicator Data'!A75</f>
        <v>Complex crisis in Libya</v>
      </c>
      <c r="B78" s="195" t="str">
        <f>'Crisis Indicator Data'!B75</f>
        <v>Multiple crises country</v>
      </c>
      <c r="C78" s="195" t="str">
        <f>'Crisis Indicator Data'!C75</f>
        <v>LBY001</v>
      </c>
      <c r="D78" s="195" t="str">
        <f>'Crisis Indicator Data'!D75</f>
        <v>Libya</v>
      </c>
      <c r="E78" s="195" t="str">
        <f>'Crisis Indicator Data'!E75</f>
        <v>LBY</v>
      </c>
      <c r="F78" s="205">
        <f>IF('Crisis Indicator Data'!Q75="x","x",('Crisis Indicator Data'!Q75/1000000))</f>
        <v>5.0709999999999997</v>
      </c>
      <c r="G78" s="205">
        <f>IF('Crisis Indicator Data'!R75="x","x",('Crisis Indicator Data'!R75/1000000))</f>
        <v>0.77400000000000002</v>
      </c>
      <c r="H78" s="205">
        <f>IF('Crisis Indicator Data'!S75="x","x",('Crisis Indicator Data'!S75/1000000))</f>
        <v>0.108</v>
      </c>
      <c r="I78" s="205">
        <f>IF('Crisis Indicator Data'!T75="x","x",('Crisis Indicator Data'!T75/1000000))</f>
        <v>0.55800000000000005</v>
      </c>
      <c r="J78" s="205">
        <f>IF('Crisis Indicator Data'!U75="x","x",('Crisis Indicator Data'!U75/1000000))</f>
        <v>0.36</v>
      </c>
      <c r="K78" s="190">
        <f t="shared" si="5"/>
        <v>3.4</v>
      </c>
      <c r="L78" s="185">
        <f>IF(F78="x","x",(F78*1000000/VLOOKUP($C78,'Crisis Indicator Data'!$C$3:$H$198,5,FALSE)))</f>
        <v>0.73802939892300978</v>
      </c>
      <c r="M78" s="185">
        <f>IF(G78="x","x",(G78*1000000/VLOOKUP($C78,'Crisis Indicator Data'!$C$3:$H$198,5,FALSE)))</f>
        <v>0.11264735846310581</v>
      </c>
      <c r="N78" s="185">
        <f>IF(H78="x","x",(H78*1000000/VLOOKUP($C78,'Crisis Indicator Data'!$C$3:$H$198,5,FALSE)))</f>
        <v>1.5718236064619414E-2</v>
      </c>
      <c r="O78" s="185">
        <f>IF(I78="x","x",(I78*1000000/VLOOKUP($C78,'Crisis Indicator Data'!$C$3:$H$198,5,FALSE)))</f>
        <v>8.1210886333866972E-2</v>
      </c>
      <c r="P78" s="185">
        <f>IF(J78="x","x",(J78*1000000/VLOOKUP($C78,'Crisis Indicator Data'!$C$3:$H$198,5,FALSE)))</f>
        <v>5.2394120215398049E-2</v>
      </c>
      <c r="Q78" s="167">
        <f t="shared" si="6"/>
        <v>5</v>
      </c>
      <c r="R78" s="167">
        <f t="shared" si="4"/>
        <v>4.2</v>
      </c>
    </row>
    <row r="79" spans="1:18" x14ac:dyDescent="0.3">
      <c r="A79" s="194" t="str">
        <f>'Crisis Indicator Data'!A76</f>
        <v>Mixed migration flows in Libya</v>
      </c>
      <c r="B79" s="195" t="str">
        <f>'Crisis Indicator Data'!B76</f>
        <v>International displacement</v>
      </c>
      <c r="C79" s="195" t="str">
        <f>'Crisis Indicator Data'!C76</f>
        <v>LBY002</v>
      </c>
      <c r="D79" s="195" t="str">
        <f>'Crisis Indicator Data'!D76</f>
        <v>Libya</v>
      </c>
      <c r="E79" s="195" t="str">
        <f>'Crisis Indicator Data'!E76</f>
        <v>LBY</v>
      </c>
      <c r="F79" s="205">
        <f>IF('Crisis Indicator Data'!Q76="x","x",('Crisis Indicator Data'!Q76/1000000))</f>
        <v>6.2859999999999996</v>
      </c>
      <c r="G79" s="205">
        <f>IF('Crisis Indicator Data'!R76="x","x",('Crisis Indicator Data'!R76/1000000))</f>
        <v>0.26100000000000001</v>
      </c>
      <c r="H79" s="205">
        <f>IF('Crisis Indicator Data'!S76="x","x",('Crisis Indicator Data'!S76/1000000))</f>
        <v>0.19</v>
      </c>
      <c r="I79" s="205">
        <f>IF('Crisis Indicator Data'!T76="x","x",('Crisis Indicator Data'!T76/1000000))</f>
        <v>0.13100000000000001</v>
      </c>
      <c r="J79" s="205">
        <f>IF('Crisis Indicator Data'!U76="x","x",('Crisis Indicator Data'!U76/1000000))</f>
        <v>3.0000000000000001E-3</v>
      </c>
      <c r="K79" s="190">
        <f t="shared" si="5"/>
        <v>2.5</v>
      </c>
      <c r="L79" s="185">
        <f>IF(F79="x","x",(F79*1000000/VLOOKUP($C79,'Crisis Indicator Data'!$C$3:$H$198,5,FALSE)))</f>
        <v>0.91485955464997815</v>
      </c>
      <c r="M79" s="185">
        <f>IF(G79="x","x",(G79*1000000/VLOOKUP($C79,'Crisis Indicator Data'!$C$3:$H$198,5,FALSE)))</f>
        <v>3.7985737156163588E-2</v>
      </c>
      <c r="N79" s="185">
        <f>IF(H79="x","x",(H79*1000000/VLOOKUP($C79,'Crisis Indicator Data'!$C$3:$H$198,5,FALSE)))</f>
        <v>2.7652452335904527E-2</v>
      </c>
      <c r="O79" s="185">
        <f>IF(I79="x","x",(I79*1000000/VLOOKUP($C79,'Crisis Indicator Data'!$C$3:$H$198,5,FALSE)))</f>
        <v>1.9065638189492067E-2</v>
      </c>
      <c r="P79" s="185">
        <f>IF(J79="x","x",(J79*1000000/VLOOKUP($C79,'Crisis Indicator Data'!$C$3:$H$198,5,FALSE)))</f>
        <v>4.3661766846165044E-4</v>
      </c>
      <c r="Q79" s="167">
        <f t="shared" si="6"/>
        <v>2</v>
      </c>
      <c r="R79" s="167">
        <f t="shared" si="4"/>
        <v>2.25</v>
      </c>
    </row>
    <row r="80" spans="1:18" x14ac:dyDescent="0.3">
      <c r="A80" s="194" t="str">
        <f>'Crisis Indicator Data'!A77</f>
        <v>Drought in Madagascar</v>
      </c>
      <c r="B80" s="195" t="str">
        <f>'Crisis Indicator Data'!B77</f>
        <v>Drought</v>
      </c>
      <c r="C80" s="195" t="str">
        <f>'Crisis Indicator Data'!C77</f>
        <v>MDG002</v>
      </c>
      <c r="D80" s="195" t="str">
        <f>'Crisis Indicator Data'!D77</f>
        <v>Madagascar</v>
      </c>
      <c r="E80" s="195" t="str">
        <f>'Crisis Indicator Data'!E77</f>
        <v>MDG</v>
      </c>
      <c r="F80" s="205">
        <f>IF('Crisis Indicator Data'!Q77="x","x",('Crisis Indicator Data'!Q77/1000000))</f>
        <v>0.67200000000000004</v>
      </c>
      <c r="G80" s="205">
        <f>IF('Crisis Indicator Data'!R77="x","x",('Crisis Indicator Data'!R77/1000000))</f>
        <v>1.05</v>
      </c>
      <c r="H80" s="205">
        <f>IF('Crisis Indicator Data'!S77="x","x",('Crisis Indicator Data'!S77/1000000))</f>
        <v>0.52700000000000002</v>
      </c>
      <c r="I80" s="205">
        <f>IF('Crisis Indicator Data'!T77="x","x",('Crisis Indicator Data'!T77/1000000))</f>
        <v>2.7E-2</v>
      </c>
      <c r="J80" s="205">
        <f>IF('Crisis Indicator Data'!U77="x","x",('Crisis Indicator Data'!U77/1000000))</f>
        <v>0</v>
      </c>
      <c r="K80" s="190">
        <f t="shared" si="5"/>
        <v>2.9</v>
      </c>
      <c r="L80" s="185">
        <f>IF(F80="x","x",(F80*1000000/VLOOKUP($C80,'Crisis Indicator Data'!$C$3:$H$198,5,FALSE)))</f>
        <v>0.29525483304042177</v>
      </c>
      <c r="M80" s="185">
        <f>IF(G80="x","x",(G80*1000000/VLOOKUP($C80,'Crisis Indicator Data'!$C$3:$H$198,5,FALSE)))</f>
        <v>0.46133567662565905</v>
      </c>
      <c r="N80" s="185">
        <f>IF(H80="x","x",(H80*1000000/VLOOKUP($C80,'Crisis Indicator Data'!$C$3:$H$198,5,FALSE)))</f>
        <v>0.23154657293497363</v>
      </c>
      <c r="O80" s="185">
        <f>IF(I80="x","x",(I80*1000000/VLOOKUP($C80,'Crisis Indicator Data'!$C$3:$H$198,5,FALSE)))</f>
        <v>1.1862917398945518E-2</v>
      </c>
      <c r="P80" s="185">
        <f>IF(J80="x","x",(J80*1000000/VLOOKUP($C80,'Crisis Indicator Data'!$C$3:$H$198,5,FALSE)))</f>
        <v>0</v>
      </c>
      <c r="Q80" s="167">
        <f t="shared" si="6"/>
        <v>3</v>
      </c>
      <c r="R80" s="167">
        <f t="shared" si="4"/>
        <v>2.95</v>
      </c>
    </row>
    <row r="81" spans="1:18" x14ac:dyDescent="0.3">
      <c r="A81" s="194" t="str">
        <f>'Crisis Indicator Data'!A78</f>
        <v>Floods in Madagascar</v>
      </c>
      <c r="B81" s="195" t="str">
        <f>'Crisis Indicator Data'!B78</f>
        <v>Flood</v>
      </c>
      <c r="C81" s="195" t="str">
        <f>'Crisis Indicator Data'!C78</f>
        <v>MDG004</v>
      </c>
      <c r="D81" s="195" t="str">
        <f>'Crisis Indicator Data'!D78</f>
        <v>Madagascar</v>
      </c>
      <c r="E81" s="195" t="str">
        <f>'Crisis Indicator Data'!E78</f>
        <v>MDG</v>
      </c>
      <c r="F81" s="205">
        <f>IF('Crisis Indicator Data'!Q78="x","x",('Crisis Indicator Data'!Q78/1000000))</f>
        <v>4.2279999999999998</v>
      </c>
      <c r="G81" s="205">
        <f>IF('Crisis Indicator Data'!R78="x","x",('Crisis Indicator Data'!R78/1000000))</f>
        <v>0.11700000000000001</v>
      </c>
      <c r="H81" s="205">
        <f>IF('Crisis Indicator Data'!S78="x","x",('Crisis Indicator Data'!S78/1000000))</f>
        <v>0</v>
      </c>
      <c r="I81" s="205">
        <f>IF('Crisis Indicator Data'!T78="x","x",('Crisis Indicator Data'!T78/1000000))</f>
        <v>0</v>
      </c>
      <c r="J81" s="205">
        <f>IF('Crisis Indicator Data'!U78="x","x",('Crisis Indicator Data'!U78/1000000))</f>
        <v>0</v>
      </c>
      <c r="K81" s="190">
        <f t="shared" si="5"/>
        <v>0</v>
      </c>
      <c r="L81" s="185">
        <f>IF(F81="x","x",(F81*1000000/VLOOKUP($C81,'Crisis Indicator Data'!$C$3:$H$198,5,FALSE)))</f>
        <v>0.97307249712313004</v>
      </c>
      <c r="M81" s="185">
        <f>IF(G81="x","x",(G81*1000000/VLOOKUP($C81,'Crisis Indicator Data'!$C$3:$H$198,5,FALSE)))</f>
        <v>2.6927502876869965E-2</v>
      </c>
      <c r="N81" s="185">
        <f>IF(H81="x","x",(H81*1000000/VLOOKUP($C81,'Crisis Indicator Data'!$C$3:$H$198,5,FALSE)))</f>
        <v>0</v>
      </c>
      <c r="O81" s="185">
        <f>IF(I81="x","x",(I81*1000000/VLOOKUP($C81,'Crisis Indicator Data'!$C$3:$H$198,5,FALSE)))</f>
        <v>0</v>
      </c>
      <c r="P81" s="185">
        <f>IF(J81="x","x",(J81*1000000/VLOOKUP($C81,'Crisis Indicator Data'!$C$3:$H$198,5,FALSE)))</f>
        <v>0</v>
      </c>
      <c r="Q81" s="167">
        <f t="shared" si="6"/>
        <v>1</v>
      </c>
      <c r="R81" s="167">
        <f t="shared" si="4"/>
        <v>0.5</v>
      </c>
    </row>
    <row r="82" spans="1:18" x14ac:dyDescent="0.3">
      <c r="A82" s="194" t="str">
        <f>'Crisis Indicator Data'!A79</f>
        <v>Complex Country Crisis in Madagascar</v>
      </c>
      <c r="B82" s="195" t="str">
        <f>'Crisis Indicator Data'!B79</f>
        <v>Complex crisis</v>
      </c>
      <c r="C82" s="195" t="str">
        <f>'Crisis Indicator Data'!C79</f>
        <v>MDG005</v>
      </c>
      <c r="D82" s="195" t="str">
        <f>'Crisis Indicator Data'!D79</f>
        <v>Madagascar</v>
      </c>
      <c r="E82" s="195" t="str">
        <f>'Crisis Indicator Data'!E79</f>
        <v>MDG</v>
      </c>
      <c r="F82" s="205">
        <f>IF('Crisis Indicator Data'!Q79="x","x",('Crisis Indicator Data'!Q79/1000000))</f>
        <v>4.8890000000000002</v>
      </c>
      <c r="G82" s="205">
        <f>IF('Crisis Indicator Data'!R79="x","x",('Crisis Indicator Data'!R79/1000000))</f>
        <v>1.05</v>
      </c>
      <c r="H82" s="205">
        <f>IF('Crisis Indicator Data'!S79="x","x",('Crisis Indicator Data'!S79/1000000))</f>
        <v>0.65500000000000003</v>
      </c>
      <c r="I82" s="205">
        <f>IF('Crisis Indicator Data'!T79="x","x",('Crisis Indicator Data'!T79/1000000))</f>
        <v>2.7E-2</v>
      </c>
      <c r="J82" s="205">
        <f>IF('Crisis Indicator Data'!U79="x","x",('Crisis Indicator Data'!U79/1000000))</f>
        <v>0</v>
      </c>
      <c r="K82" s="190">
        <f t="shared" si="5"/>
        <v>3.1</v>
      </c>
      <c r="L82" s="185">
        <f>IF(F82="x","x",(F82*1000000/VLOOKUP($C82,'Crisis Indicator Data'!$C$3:$H$198,5,FALSE)))</f>
        <v>0.73840809545385888</v>
      </c>
      <c r="M82" s="185">
        <f>IF(G82="x","x",(G82*1000000/VLOOKUP($C82,'Crisis Indicator Data'!$C$3:$H$198,5,FALSE)))</f>
        <v>0.158586316266425</v>
      </c>
      <c r="N82" s="185">
        <f>IF(H82="x","x",(H82*1000000/VLOOKUP($C82,'Crisis Indicator Data'!$C$3:$H$198,5,FALSE)))</f>
        <v>9.8927654432865123E-2</v>
      </c>
      <c r="O82" s="185">
        <f>IF(I82="x","x",(I82*1000000/VLOOKUP($C82,'Crisis Indicator Data'!$C$3:$H$198,5,FALSE)))</f>
        <v>4.0779338468509285E-3</v>
      </c>
      <c r="P82" s="185">
        <f>IF(J82="x","x",(J82*1000000/VLOOKUP($C82,'Crisis Indicator Data'!$C$3:$H$198,5,FALSE)))</f>
        <v>0</v>
      </c>
      <c r="Q82" s="167">
        <f t="shared" si="6"/>
        <v>3</v>
      </c>
      <c r="R82" s="167">
        <f t="shared" si="4"/>
        <v>3.05</v>
      </c>
    </row>
    <row r="83" spans="1:18" x14ac:dyDescent="0.3">
      <c r="A83" s="194" t="str">
        <f>'Crisis Indicator Data'!A80</f>
        <v>Complex crisis in Malawi</v>
      </c>
      <c r="B83" s="195" t="str">
        <f>'Crisis Indicator Data'!B80</f>
        <v>Complex crisis</v>
      </c>
      <c r="C83" s="195" t="str">
        <f>'Crisis Indicator Data'!C80</f>
        <v>MWI002</v>
      </c>
      <c r="D83" s="195" t="str">
        <f>'Crisis Indicator Data'!D80</f>
        <v>Malawi</v>
      </c>
      <c r="E83" s="195" t="str">
        <f>'Crisis Indicator Data'!E80</f>
        <v>MWI</v>
      </c>
      <c r="F83" s="205">
        <f>IF('Crisis Indicator Data'!Q80="x","x",('Crisis Indicator Data'!Q80/1000000))</f>
        <v>8.8409999999999993</v>
      </c>
      <c r="G83" s="205">
        <f>IF('Crisis Indicator Data'!R80="x","x",('Crisis Indicator Data'!R80/1000000))</f>
        <v>6.2190000000000003</v>
      </c>
      <c r="H83" s="205">
        <f>IF('Crisis Indicator Data'!S80="x","x",('Crisis Indicator Data'!S80/1000000))</f>
        <v>2.6179999999999999</v>
      </c>
      <c r="I83" s="205">
        <f>IF('Crisis Indicator Data'!T80="x","x",('Crisis Indicator Data'!T80/1000000))</f>
        <v>0</v>
      </c>
      <c r="J83" s="205">
        <f>IF('Crisis Indicator Data'!U80="x","x",('Crisis Indicator Data'!U80/1000000))</f>
        <v>0</v>
      </c>
      <c r="K83" s="190">
        <f t="shared" si="5"/>
        <v>4</v>
      </c>
      <c r="L83" s="185">
        <f>IF(F83="x","x",(F83*1000000/VLOOKUP($C83,'Crisis Indicator Data'!$C$3:$H$198,5,FALSE)))</f>
        <v>0.50011313497001919</v>
      </c>
      <c r="M83" s="185">
        <f>IF(G83="x","x",(G83*1000000/VLOOKUP($C83,'Crisis Indicator Data'!$C$3:$H$198,5,FALSE)))</f>
        <v>0.35179318927480485</v>
      </c>
      <c r="N83" s="185">
        <f>IF(H83="x","x",(H83*1000000/VLOOKUP($C83,'Crisis Indicator Data'!$C$3:$H$198,5,FALSE)))</f>
        <v>0.14809367575517593</v>
      </c>
      <c r="O83" s="185">
        <f>IF(I83="x","x",(I83*1000000/VLOOKUP($C83,'Crisis Indicator Data'!$C$3:$H$198,5,FALSE)))</f>
        <v>0</v>
      </c>
      <c r="P83" s="185">
        <f>IF(J83="x","x",(J83*1000000/VLOOKUP($C83,'Crisis Indicator Data'!$C$3:$H$198,5,FALSE)))</f>
        <v>0</v>
      </c>
      <c r="Q83" s="167">
        <f t="shared" si="6"/>
        <v>3</v>
      </c>
      <c r="R83" s="167">
        <f t="shared" si="4"/>
        <v>3.5</v>
      </c>
    </row>
    <row r="84" spans="1:18" x14ac:dyDescent="0.3">
      <c r="A84" s="194" t="str">
        <f>'Crisis Indicator Data'!A81</f>
        <v>Complex crisis in Mali</v>
      </c>
      <c r="B84" s="195" t="str">
        <f>'Crisis Indicator Data'!B81</f>
        <v>Complex crisis</v>
      </c>
      <c r="C84" s="195" t="str">
        <f>'Crisis Indicator Data'!C81</f>
        <v>MLI001</v>
      </c>
      <c r="D84" s="195" t="str">
        <f>'Crisis Indicator Data'!D81</f>
        <v>Mali</v>
      </c>
      <c r="E84" s="195" t="str">
        <f>'Crisis Indicator Data'!E81</f>
        <v>MLI</v>
      </c>
      <c r="F84" s="205">
        <f>IF('Crisis Indicator Data'!Q81="x","x",('Crisis Indicator Data'!Q81/1000000))</f>
        <v>11.606</v>
      </c>
      <c r="G84" s="205">
        <f>IF('Crisis Indicator Data'!R81="x","x",('Crisis Indicator Data'!R81/1000000))</f>
        <v>3.9</v>
      </c>
      <c r="H84" s="205">
        <f>IF('Crisis Indicator Data'!S81="x","x",('Crisis Indicator Data'!S81/1000000))</f>
        <v>3.8180000000000001</v>
      </c>
      <c r="I84" s="205">
        <f>IF('Crisis Indicator Data'!T81="x","x",('Crisis Indicator Data'!T81/1000000))</f>
        <v>0.48199999999999998</v>
      </c>
      <c r="J84" s="205">
        <f>IF('Crisis Indicator Data'!U81="x","x",('Crisis Indicator Data'!U81/1000000))</f>
        <v>0</v>
      </c>
      <c r="K84" s="190">
        <f t="shared" si="5"/>
        <v>4.4000000000000004</v>
      </c>
      <c r="L84" s="185">
        <f>IF(F84="x","x",(F84*1000000/VLOOKUP($C84,'Crisis Indicator Data'!$C$3:$H$198,5,FALSE)))</f>
        <v>0.58598404523881653</v>
      </c>
      <c r="M84" s="185">
        <f>IF(G84="x","x",(G84*1000000/VLOOKUP($C84,'Crisis Indicator Data'!$C$3:$H$198,5,FALSE)))</f>
        <v>0.19691002726446533</v>
      </c>
      <c r="N84" s="185">
        <f>IF(H84="x","x",(H84*1000000/VLOOKUP($C84,'Crisis Indicator Data'!$C$3:$H$198,5,FALSE)))</f>
        <v>0.19276986771685348</v>
      </c>
      <c r="O84" s="185">
        <f>IF(I84="x","x",(I84*1000000/VLOOKUP($C84,'Crisis Indicator Data'!$C$3:$H$198,5,FALSE)))</f>
        <v>2.4336059779864687E-2</v>
      </c>
      <c r="P84" s="185">
        <f>IF(J84="x","x",(J84*1000000/VLOOKUP($C84,'Crisis Indicator Data'!$C$3:$H$198,5,FALSE)))</f>
        <v>0</v>
      </c>
      <c r="Q84" s="167">
        <f t="shared" si="6"/>
        <v>3</v>
      </c>
      <c r="R84" s="167">
        <f t="shared" si="4"/>
        <v>3.7</v>
      </c>
    </row>
    <row r="85" spans="1:18" x14ac:dyDescent="0.3">
      <c r="A85" s="194" t="str">
        <f>'Crisis Indicator Data'!A82</f>
        <v>Refugees from Mali in Mauritania</v>
      </c>
      <c r="B85" s="195" t="str">
        <f>'Crisis Indicator Data'!B82</f>
        <v>International displacement</v>
      </c>
      <c r="C85" s="195" t="str">
        <f>'Crisis Indicator Data'!C82</f>
        <v>MRT002</v>
      </c>
      <c r="D85" s="195" t="str">
        <f>'Crisis Indicator Data'!D82</f>
        <v>Mauritania</v>
      </c>
      <c r="E85" s="195" t="str">
        <f>'Crisis Indicator Data'!E82</f>
        <v>MRT</v>
      </c>
      <c r="F85" s="205">
        <f>IF('Crisis Indicator Data'!Q82="x","x",('Crisis Indicator Data'!Q82/1000000))</f>
        <v>1.0999999999999999E-2</v>
      </c>
      <c r="G85" s="205">
        <f>IF('Crisis Indicator Data'!R82="x","x",('Crisis Indicator Data'!R82/1000000))</f>
        <v>0</v>
      </c>
      <c r="H85" s="205">
        <f>IF('Crisis Indicator Data'!S82="x","x",('Crisis Indicator Data'!S82/1000000))</f>
        <v>6.0999999999999999E-2</v>
      </c>
      <c r="I85" s="205">
        <f>IF('Crisis Indicator Data'!T82="x","x",('Crisis Indicator Data'!T82/1000000))</f>
        <v>0</v>
      </c>
      <c r="J85" s="205">
        <f>IF('Crisis Indicator Data'!U82="x","x",('Crisis Indicator Data'!U82/1000000))</f>
        <v>0</v>
      </c>
      <c r="K85" s="190">
        <f t="shared" si="5"/>
        <v>1.3</v>
      </c>
      <c r="L85" s="185">
        <f>IF(F85="x","x",(F85*1000000/VLOOKUP($C85,'Crisis Indicator Data'!$C$3:$H$198,5,FALSE)))</f>
        <v>0.15277777777777779</v>
      </c>
      <c r="M85" s="185">
        <f>IF(G85="x","x",(G85*1000000/VLOOKUP($C85,'Crisis Indicator Data'!$C$3:$H$198,5,FALSE)))</f>
        <v>0</v>
      </c>
      <c r="N85" s="185">
        <f>IF(H85="x","x",(H85*1000000/VLOOKUP($C85,'Crisis Indicator Data'!$C$3:$H$198,5,FALSE)))</f>
        <v>0.84722222222222221</v>
      </c>
      <c r="O85" s="185">
        <f>IF(I85="x","x",(I85*1000000/VLOOKUP($C85,'Crisis Indicator Data'!$C$3:$H$198,5,FALSE)))</f>
        <v>0</v>
      </c>
      <c r="P85" s="185">
        <f>IF(J85="x","x",(J85*1000000/VLOOKUP($C85,'Crisis Indicator Data'!$C$3:$H$198,5,FALSE)))</f>
        <v>0</v>
      </c>
      <c r="Q85" s="167">
        <f t="shared" si="6"/>
        <v>3</v>
      </c>
      <c r="R85" s="167">
        <f t="shared" si="4"/>
        <v>2.15</v>
      </c>
    </row>
    <row r="86" spans="1:18" x14ac:dyDescent="0.3">
      <c r="A86" s="194" t="str">
        <f>'Crisis Indicator Data'!A83</f>
        <v>Food Security in Mauritania</v>
      </c>
      <c r="B86" s="195" t="str">
        <f>'Crisis Indicator Data'!B83</f>
        <v>Drought</v>
      </c>
      <c r="C86" s="195" t="str">
        <f>'Crisis Indicator Data'!C83</f>
        <v>MRT003</v>
      </c>
      <c r="D86" s="195" t="str">
        <f>'Crisis Indicator Data'!D83</f>
        <v>Mauritania</v>
      </c>
      <c r="E86" s="195" t="str">
        <f>'Crisis Indicator Data'!E83</f>
        <v>MRT</v>
      </c>
      <c r="F86" s="205">
        <f>IF('Crisis Indicator Data'!Q83="x","x",('Crisis Indicator Data'!Q83/1000000))</f>
        <v>2.669</v>
      </c>
      <c r="G86" s="205">
        <f>IF('Crisis Indicator Data'!R83="x","x",('Crisis Indicator Data'!R83/1000000))</f>
        <v>0.8</v>
      </c>
      <c r="H86" s="205">
        <f>IF('Crisis Indicator Data'!S83="x","x",('Crisis Indicator Data'!S83/1000000))</f>
        <v>0.60899999999999999</v>
      </c>
      <c r="I86" s="205">
        <f>IF('Crisis Indicator Data'!T83="x","x",('Crisis Indicator Data'!T83/1000000))</f>
        <v>6.6000000000000003E-2</v>
      </c>
      <c r="J86" s="205">
        <f>IF('Crisis Indicator Data'!U83="x","x",('Crisis Indicator Data'!U83/1000000))</f>
        <v>0</v>
      </c>
      <c r="K86" s="190">
        <f t="shared" si="5"/>
        <v>3</v>
      </c>
      <c r="L86" s="185">
        <f>IF(F86="x","x",(F86*1000000/VLOOKUP($C86,'Crisis Indicator Data'!$C$3:$H$198,5,FALSE)))</f>
        <v>0.64390832328106151</v>
      </c>
      <c r="M86" s="185">
        <f>IF(G86="x","x",(G86*1000000/VLOOKUP($C86,'Crisis Indicator Data'!$C$3:$H$198,5,FALSE)))</f>
        <v>0.19300361881785283</v>
      </c>
      <c r="N86" s="185">
        <f>IF(H86="x","x",(H86*1000000/VLOOKUP($C86,'Crisis Indicator Data'!$C$3:$H$198,5,FALSE)))</f>
        <v>0.14692400482509047</v>
      </c>
      <c r="O86" s="185">
        <f>IF(I86="x","x",(I86*1000000/VLOOKUP($C86,'Crisis Indicator Data'!$C$3:$H$198,5,FALSE)))</f>
        <v>1.5922798552472858E-2</v>
      </c>
      <c r="P86" s="185">
        <f>IF(J86="x","x",(J86*1000000/VLOOKUP($C86,'Crisis Indicator Data'!$C$3:$H$198,5,FALSE)))</f>
        <v>0</v>
      </c>
      <c r="Q86" s="167">
        <f t="shared" si="6"/>
        <v>3</v>
      </c>
      <c r="R86" s="167">
        <f t="shared" si="4"/>
        <v>3</v>
      </c>
    </row>
    <row r="87" spans="1:18" x14ac:dyDescent="0.3">
      <c r="A87" s="194" t="str">
        <f>'Crisis Indicator Data'!A84</f>
        <v>Multiple crisis in Mexico</v>
      </c>
      <c r="B87" s="195" t="str">
        <f>'Crisis Indicator Data'!B84</f>
        <v>Multiple crises country</v>
      </c>
      <c r="C87" s="195" t="str">
        <f>'Crisis Indicator Data'!C84</f>
        <v>MEX001</v>
      </c>
      <c r="D87" s="195" t="str">
        <f>'Crisis Indicator Data'!D84</f>
        <v>Mexico</v>
      </c>
      <c r="E87" s="195" t="str">
        <f>'Crisis Indicator Data'!E84</f>
        <v>MEX</v>
      </c>
      <c r="F87" s="205" t="str">
        <f>IF('Crisis Indicator Data'!Q84="x","x",('Crisis Indicator Data'!Q84/1000000))</f>
        <v>x</v>
      </c>
      <c r="G87" s="205" t="str">
        <f>IF('Crisis Indicator Data'!R84="x","x",('Crisis Indicator Data'!R84/1000000))</f>
        <v>x</v>
      </c>
      <c r="H87" s="205" t="str">
        <f>IF('Crisis Indicator Data'!S84="x","x",('Crisis Indicator Data'!S84/1000000))</f>
        <v>x</v>
      </c>
      <c r="I87" s="205" t="str">
        <f>IF('Crisis Indicator Data'!T84="x","x",('Crisis Indicator Data'!T84/1000000))</f>
        <v>x</v>
      </c>
      <c r="J87" s="205" t="str">
        <f>IF('Crisis Indicator Data'!U84="x","x",('Crisis Indicator Data'!U84/1000000))</f>
        <v>x</v>
      </c>
      <c r="K87" s="190" t="str">
        <f t="shared" si="5"/>
        <v>x</v>
      </c>
      <c r="L87" s="185" t="str">
        <f>IF(F87="x","x",(F87*1000000/VLOOKUP($C87,'Crisis Indicator Data'!$C$3:$H$198,5,FALSE)))</f>
        <v>x</v>
      </c>
      <c r="M87" s="185" t="str">
        <f>IF(G87="x","x",(G87*1000000/VLOOKUP($C87,'Crisis Indicator Data'!$C$3:$H$198,5,FALSE)))</f>
        <v>x</v>
      </c>
      <c r="N87" s="185" t="str">
        <f>IF(H87="x","x",(H87*1000000/VLOOKUP($C87,'Crisis Indicator Data'!$C$3:$H$198,5,FALSE)))</f>
        <v>x</v>
      </c>
      <c r="O87" s="185" t="str">
        <f>IF(I87="x","x",(I87*1000000/VLOOKUP($C87,'Crisis Indicator Data'!$C$3:$H$198,5,FALSE)))</f>
        <v>x</v>
      </c>
      <c r="P87" s="185" t="str">
        <f>IF(J87="x","x",(J87*1000000/VLOOKUP($C87,'Crisis Indicator Data'!$C$3:$H$198,5,FALSE)))</f>
        <v>x</v>
      </c>
      <c r="Q87" s="167" t="str">
        <f t="shared" si="6"/>
        <v>x</v>
      </c>
      <c r="R87" s="167" t="str">
        <f t="shared" si="4"/>
        <v>x</v>
      </c>
    </row>
    <row r="88" spans="1:18" x14ac:dyDescent="0.3">
      <c r="A88" s="194" t="str">
        <f>'Crisis Indicator Data'!A85</f>
        <v>Criminal Violence in Mexico</v>
      </c>
      <c r="B88" s="195" t="str">
        <f>'Crisis Indicator Data'!B85</f>
        <v>Other type of violence</v>
      </c>
      <c r="C88" s="195" t="str">
        <f>'Crisis Indicator Data'!C85</f>
        <v>MEX002</v>
      </c>
      <c r="D88" s="195" t="str">
        <f>'Crisis Indicator Data'!D85</f>
        <v>Mexico</v>
      </c>
      <c r="E88" s="195" t="str">
        <f>'Crisis Indicator Data'!E85</f>
        <v>MEX</v>
      </c>
      <c r="F88" s="205" t="str">
        <f>IF('Crisis Indicator Data'!Q85="x","x",('Crisis Indicator Data'!Q85/1000000))</f>
        <v>x</v>
      </c>
      <c r="G88" s="205" t="str">
        <f>IF('Crisis Indicator Data'!R85="x","x",('Crisis Indicator Data'!R85/1000000))</f>
        <v>x</v>
      </c>
      <c r="H88" s="205" t="str">
        <f>IF('Crisis Indicator Data'!S85="x","x",('Crisis Indicator Data'!S85/1000000))</f>
        <v>x</v>
      </c>
      <c r="I88" s="205" t="str">
        <f>IF('Crisis Indicator Data'!T85="x","x",('Crisis Indicator Data'!T85/1000000))</f>
        <v>x</v>
      </c>
      <c r="J88" s="205" t="str">
        <f>IF('Crisis Indicator Data'!U85="x","x",('Crisis Indicator Data'!U85/1000000))</f>
        <v>x</v>
      </c>
      <c r="K88" s="190" t="str">
        <f t="shared" si="5"/>
        <v>x</v>
      </c>
      <c r="L88" s="185" t="str">
        <f>IF(F88="x","x",(F88*1000000/VLOOKUP($C88,'Crisis Indicator Data'!$C$3:$H$198,5,FALSE)))</f>
        <v>x</v>
      </c>
      <c r="M88" s="185" t="str">
        <f>IF(G88="x","x",(G88*1000000/VLOOKUP($C88,'Crisis Indicator Data'!$C$3:$H$198,5,FALSE)))</f>
        <v>x</v>
      </c>
      <c r="N88" s="185" t="str">
        <f>IF(H88="x","x",(H88*1000000/VLOOKUP($C88,'Crisis Indicator Data'!$C$3:$H$198,5,FALSE)))</f>
        <v>x</v>
      </c>
      <c r="O88" s="185" t="str">
        <f>IF(I88="x","x",(I88*1000000/VLOOKUP($C88,'Crisis Indicator Data'!$C$3:$H$198,5,FALSE)))</f>
        <v>x</v>
      </c>
      <c r="P88" s="185" t="str">
        <f>IF(J88="x","x",(J88*1000000/VLOOKUP($C88,'Crisis Indicator Data'!$C$3:$H$198,5,FALSE)))</f>
        <v>x</v>
      </c>
      <c r="Q88" s="167" t="str">
        <f t="shared" si="6"/>
        <v>x</v>
      </c>
      <c r="R88" s="167" t="str">
        <f t="shared" si="4"/>
        <v>x</v>
      </c>
    </row>
    <row r="89" spans="1:18" x14ac:dyDescent="0.3">
      <c r="A89" s="194" t="str">
        <f>'Crisis Indicator Data'!A86</f>
        <v>Mixed Migration in Mexico</v>
      </c>
      <c r="B89" s="195" t="str">
        <f>'Crisis Indicator Data'!B86</f>
        <v>International displacement</v>
      </c>
      <c r="C89" s="195" t="str">
        <f>'Crisis Indicator Data'!C86</f>
        <v>MEX003</v>
      </c>
      <c r="D89" s="195" t="str">
        <f>'Crisis Indicator Data'!D86</f>
        <v>Mexico</v>
      </c>
      <c r="E89" s="195" t="str">
        <f>'Crisis Indicator Data'!E86</f>
        <v>MEX</v>
      </c>
      <c r="F89" s="205" t="str">
        <f>IF('Crisis Indicator Data'!Q86="x","x",('Crisis Indicator Data'!Q86/1000000))</f>
        <v>x</v>
      </c>
      <c r="G89" s="205" t="str">
        <f>IF('Crisis Indicator Data'!R86="x","x",('Crisis Indicator Data'!R86/1000000))</f>
        <v>x</v>
      </c>
      <c r="H89" s="205" t="str">
        <f>IF('Crisis Indicator Data'!S86="x","x",('Crisis Indicator Data'!S86/1000000))</f>
        <v>x</v>
      </c>
      <c r="I89" s="205" t="str">
        <f>IF('Crisis Indicator Data'!T86="x","x",('Crisis Indicator Data'!T86/1000000))</f>
        <v>x</v>
      </c>
      <c r="J89" s="205" t="str">
        <f>IF('Crisis Indicator Data'!U86="x","x",('Crisis Indicator Data'!U86/1000000))</f>
        <v>x</v>
      </c>
      <c r="K89" s="190" t="str">
        <f t="shared" si="5"/>
        <v>x</v>
      </c>
      <c r="L89" s="185" t="str">
        <f>IF(F89="x","x",(F89*1000000/VLOOKUP($C89,'Crisis Indicator Data'!$C$3:$H$198,5,FALSE)))</f>
        <v>x</v>
      </c>
      <c r="M89" s="185" t="str">
        <f>IF(G89="x","x",(G89*1000000/VLOOKUP($C89,'Crisis Indicator Data'!$C$3:$H$198,5,FALSE)))</f>
        <v>x</v>
      </c>
      <c r="N89" s="185" t="str">
        <f>IF(H89="x","x",(H89*1000000/VLOOKUP($C89,'Crisis Indicator Data'!$C$3:$H$198,5,FALSE)))</f>
        <v>x</v>
      </c>
      <c r="O89" s="185" t="str">
        <f>IF(I89="x","x",(I89*1000000/VLOOKUP($C89,'Crisis Indicator Data'!$C$3:$H$198,5,FALSE)))</f>
        <v>x</v>
      </c>
      <c r="P89" s="185" t="str">
        <f>IF(J89="x","x",(J89*1000000/VLOOKUP($C89,'Crisis Indicator Data'!$C$3:$H$198,5,FALSE)))</f>
        <v>x</v>
      </c>
      <c r="Q89" s="167" t="str">
        <f t="shared" si="6"/>
        <v>x</v>
      </c>
      <c r="R89" s="167" t="str">
        <f t="shared" si="4"/>
        <v>x</v>
      </c>
    </row>
    <row r="90" spans="1:18" x14ac:dyDescent="0.3">
      <c r="A90" s="194" t="str">
        <f>'Crisis Indicator Data'!A87</f>
        <v>Mixed migration flows in Morocco</v>
      </c>
      <c r="B90" s="195" t="str">
        <f>'Crisis Indicator Data'!B87</f>
        <v>International displacement</v>
      </c>
      <c r="C90" s="195" t="str">
        <f>'Crisis Indicator Data'!C87</f>
        <v>MAR002</v>
      </c>
      <c r="D90" s="195" t="str">
        <f>'Crisis Indicator Data'!D87</f>
        <v>Morocco</v>
      </c>
      <c r="E90" s="195" t="str">
        <f>'Crisis Indicator Data'!E87</f>
        <v>MAR</v>
      </c>
      <c r="F90" s="205" t="str">
        <f>IF('Crisis Indicator Data'!Q87="x","x",('Crisis Indicator Data'!Q87/1000000))</f>
        <v>x</v>
      </c>
      <c r="G90" s="205" t="str">
        <f>IF('Crisis Indicator Data'!R87="x","x",('Crisis Indicator Data'!R87/1000000))</f>
        <v>x</v>
      </c>
      <c r="H90" s="205" t="str">
        <f>IF('Crisis Indicator Data'!S87="x","x",('Crisis Indicator Data'!S87/1000000))</f>
        <v>x</v>
      </c>
      <c r="I90" s="205" t="str">
        <f>IF('Crisis Indicator Data'!T87="x","x",('Crisis Indicator Data'!T87/1000000))</f>
        <v>x</v>
      </c>
      <c r="J90" s="205" t="str">
        <f>IF('Crisis Indicator Data'!U87="x","x",('Crisis Indicator Data'!U87/1000000))</f>
        <v>x</v>
      </c>
      <c r="K90" s="190" t="str">
        <f t="shared" si="5"/>
        <v>x</v>
      </c>
      <c r="L90" s="185" t="str">
        <f>IF(F90="x","x",(F90*1000000/VLOOKUP($C90,'Crisis Indicator Data'!$C$3:$H$198,5,FALSE)))</f>
        <v>x</v>
      </c>
      <c r="M90" s="185" t="str">
        <f>IF(G90="x","x",(G90*1000000/VLOOKUP($C90,'Crisis Indicator Data'!$C$3:$H$198,5,FALSE)))</f>
        <v>x</v>
      </c>
      <c r="N90" s="185" t="str">
        <f>IF(H90="x","x",(H90*1000000/VLOOKUP($C90,'Crisis Indicator Data'!$C$3:$H$198,5,FALSE)))</f>
        <v>x</v>
      </c>
      <c r="O90" s="185" t="str">
        <f>IF(I90="x","x",(I90*1000000/VLOOKUP($C90,'Crisis Indicator Data'!$C$3:$H$198,5,FALSE)))</f>
        <v>x</v>
      </c>
      <c r="P90" s="185" t="str">
        <f>IF(J90="x","x",(J90*1000000/VLOOKUP($C90,'Crisis Indicator Data'!$C$3:$H$198,5,FALSE)))</f>
        <v>x</v>
      </c>
      <c r="Q90" s="167" t="str">
        <f t="shared" si="6"/>
        <v>x</v>
      </c>
      <c r="R90" s="167" t="str">
        <f t="shared" si="4"/>
        <v>x</v>
      </c>
    </row>
    <row r="91" spans="1:18" x14ac:dyDescent="0.3">
      <c r="A91" s="194" t="str">
        <f>'Crisis Indicator Data'!A88</f>
        <v>Complex crisis in Mozambique</v>
      </c>
      <c r="B91" s="195" t="str">
        <f>'Crisis Indicator Data'!B88</f>
        <v>Complex crisis</v>
      </c>
      <c r="C91" s="195" t="str">
        <f>'Crisis Indicator Data'!C88</f>
        <v>MOZ001</v>
      </c>
      <c r="D91" s="195" t="str">
        <f>'Crisis Indicator Data'!D88</f>
        <v>Mozambique</v>
      </c>
      <c r="E91" s="195" t="str">
        <f>'Crisis Indicator Data'!E88</f>
        <v>MOZ</v>
      </c>
      <c r="F91" s="205">
        <f>IF('Crisis Indicator Data'!Q88="x","x",('Crisis Indicator Data'!Q88/1000000))</f>
        <v>3.3690000000000002</v>
      </c>
      <c r="G91" s="205">
        <f>IF('Crisis Indicator Data'!R88="x","x",('Crisis Indicator Data'!R88/1000000))</f>
        <v>0.72899999999999998</v>
      </c>
      <c r="H91" s="205">
        <f>IF('Crisis Indicator Data'!S88="x","x",('Crisis Indicator Data'!S88/1000000))</f>
        <v>1.077</v>
      </c>
      <c r="I91" s="205">
        <f>IF('Crisis Indicator Data'!T88="x","x",('Crisis Indicator Data'!T88/1000000))</f>
        <v>0</v>
      </c>
      <c r="J91" s="205">
        <f>IF('Crisis Indicator Data'!U88="x","x",('Crisis Indicator Data'!U88/1000000))</f>
        <v>0</v>
      </c>
      <c r="K91" s="190">
        <f t="shared" si="5"/>
        <v>3.4</v>
      </c>
      <c r="L91" s="185">
        <f>IF(F91="x","x",(F91*1000000/VLOOKUP($C91,'Crisis Indicator Data'!$C$3:$H$198,5,FALSE)))</f>
        <v>0.65101449275362322</v>
      </c>
      <c r="M91" s="185">
        <f>IF(G91="x","x",(G91*1000000/VLOOKUP($C91,'Crisis Indicator Data'!$C$3:$H$198,5,FALSE)))</f>
        <v>0.1408695652173913</v>
      </c>
      <c r="N91" s="185">
        <f>IF(H91="x","x",(H91*1000000/VLOOKUP($C91,'Crisis Indicator Data'!$C$3:$H$198,5,FALSE)))</f>
        <v>0.20811594202898551</v>
      </c>
      <c r="O91" s="185">
        <f>IF(I91="x","x",(I91*1000000/VLOOKUP($C91,'Crisis Indicator Data'!$C$3:$H$198,5,FALSE)))</f>
        <v>0</v>
      </c>
      <c r="P91" s="185">
        <f>IF(J91="x","x",(J91*1000000/VLOOKUP($C91,'Crisis Indicator Data'!$C$3:$H$198,5,FALSE)))</f>
        <v>0</v>
      </c>
      <c r="Q91" s="167">
        <f t="shared" si="6"/>
        <v>3</v>
      </c>
      <c r="R91" s="167">
        <f t="shared" si="4"/>
        <v>3.2</v>
      </c>
    </row>
    <row r="92" spans="1:18" x14ac:dyDescent="0.3">
      <c r="A92" s="194" t="str">
        <f>'Crisis Indicator Data'!A89</f>
        <v>Cabo Delgado Islamist Insurgency</v>
      </c>
      <c r="B92" s="195" t="str">
        <f>'Crisis Indicator Data'!B89</f>
        <v>Other type of violence</v>
      </c>
      <c r="C92" s="195" t="str">
        <f>'Crisis Indicator Data'!C89</f>
        <v>MOZ004</v>
      </c>
      <c r="D92" s="195" t="str">
        <f>'Crisis Indicator Data'!D89</f>
        <v>Mozambique</v>
      </c>
      <c r="E92" s="195" t="str">
        <f>'Crisis Indicator Data'!E89</f>
        <v>MOZ</v>
      </c>
      <c r="F92" s="205">
        <f>IF('Crisis Indicator Data'!Q89="x","x",('Crisis Indicator Data'!Q89/1000000))</f>
        <v>2.0329999999999999</v>
      </c>
      <c r="G92" s="205">
        <f>IF('Crisis Indicator Data'!R89="x","x",('Crisis Indicator Data'!R89/1000000))</f>
        <v>0</v>
      </c>
      <c r="H92" s="205">
        <f>IF('Crisis Indicator Data'!S89="x","x",('Crisis Indicator Data'!S89/1000000))</f>
        <v>0.71199999999999997</v>
      </c>
      <c r="I92" s="205">
        <f>IF('Crisis Indicator Data'!T89="x","x",('Crisis Indicator Data'!T89/1000000))</f>
        <v>0</v>
      </c>
      <c r="J92" s="205">
        <f>IF('Crisis Indicator Data'!U89="x","x",('Crisis Indicator Data'!U89/1000000))</f>
        <v>0</v>
      </c>
      <c r="K92" s="190">
        <f t="shared" si="5"/>
        <v>3.1</v>
      </c>
      <c r="L92" s="185">
        <f>IF(F92="x","x",(F92*1000000/VLOOKUP($C92,'Crisis Indicator Data'!$C$3:$H$198,5,FALSE)))</f>
        <v>0.74061930783242258</v>
      </c>
      <c r="M92" s="185">
        <f>IF(G92="x","x",(G92*1000000/VLOOKUP($C92,'Crisis Indicator Data'!$C$3:$H$198,5,FALSE)))</f>
        <v>0</v>
      </c>
      <c r="N92" s="185">
        <f>IF(H92="x","x",(H92*1000000/VLOOKUP($C92,'Crisis Indicator Data'!$C$3:$H$198,5,FALSE)))</f>
        <v>0.25938069216757742</v>
      </c>
      <c r="O92" s="185">
        <f>IF(I92="x","x",(I92*1000000/VLOOKUP($C92,'Crisis Indicator Data'!$C$3:$H$198,5,FALSE)))</f>
        <v>0</v>
      </c>
      <c r="P92" s="185">
        <f>IF(J92="x","x",(J92*1000000/VLOOKUP($C92,'Crisis Indicator Data'!$C$3:$H$198,5,FALSE)))</f>
        <v>0</v>
      </c>
      <c r="Q92" s="167">
        <f t="shared" si="6"/>
        <v>3</v>
      </c>
      <c r="R92" s="167">
        <f t="shared" si="4"/>
        <v>3.05</v>
      </c>
    </row>
    <row r="93" spans="1:18" x14ac:dyDescent="0.3">
      <c r="A93" s="194" t="str">
        <f>'Crisis Indicator Data'!A90</f>
        <v>Food Security Crisis in Mozambique</v>
      </c>
      <c r="B93" s="195" t="str">
        <f>'Crisis Indicator Data'!B90</f>
        <v>Food Security</v>
      </c>
      <c r="C93" s="195" t="str">
        <f>'Crisis Indicator Data'!C90</f>
        <v>MOZ006</v>
      </c>
      <c r="D93" s="195" t="str">
        <f>'Crisis Indicator Data'!D90</f>
        <v>Mozambique</v>
      </c>
      <c r="E93" s="195" t="str">
        <f>'Crisis Indicator Data'!E90</f>
        <v>MOZ</v>
      </c>
      <c r="F93" s="205">
        <f>IF('Crisis Indicator Data'!Q90="x","x",('Crisis Indicator Data'!Q90/1000000))</f>
        <v>1.3360000000000001</v>
      </c>
      <c r="G93" s="205">
        <f>IF('Crisis Indicator Data'!R90="x","x",('Crisis Indicator Data'!R90/1000000))</f>
        <v>0.72899999999999998</v>
      </c>
      <c r="H93" s="205">
        <f>IF('Crisis Indicator Data'!S90="x","x",('Crisis Indicator Data'!S90/1000000))</f>
        <v>0.36499999999999999</v>
      </c>
      <c r="I93" s="205">
        <f>IF('Crisis Indicator Data'!T90="x","x",('Crisis Indicator Data'!T90/1000000))</f>
        <v>0</v>
      </c>
      <c r="J93" s="205">
        <f>IF('Crisis Indicator Data'!U90="x","x",('Crisis Indicator Data'!U90/1000000))</f>
        <v>0</v>
      </c>
      <c r="K93" s="190">
        <f t="shared" si="5"/>
        <v>2.6</v>
      </c>
      <c r="L93" s="185">
        <f>IF(F93="x","x",(F93*1000000/VLOOKUP($C93,'Crisis Indicator Data'!$C$3:$H$198,5,FALSE)))</f>
        <v>0.5497942386831276</v>
      </c>
      <c r="M93" s="185">
        <f>IF(G93="x","x",(G93*1000000/VLOOKUP($C93,'Crisis Indicator Data'!$C$3:$H$198,5,FALSE)))</f>
        <v>0.3</v>
      </c>
      <c r="N93" s="185">
        <f>IF(H93="x","x",(H93*1000000/VLOOKUP($C93,'Crisis Indicator Data'!$C$3:$H$198,5,FALSE)))</f>
        <v>0.15020576131687244</v>
      </c>
      <c r="O93" s="185">
        <f>IF(I93="x","x",(I93*1000000/VLOOKUP($C93,'Crisis Indicator Data'!$C$3:$H$198,5,FALSE)))</f>
        <v>0</v>
      </c>
      <c r="P93" s="185">
        <f>IF(J93="x","x",(J93*1000000/VLOOKUP($C93,'Crisis Indicator Data'!$C$3:$H$198,5,FALSE)))</f>
        <v>0</v>
      </c>
      <c r="Q93" s="167">
        <f t="shared" si="6"/>
        <v>3</v>
      </c>
      <c r="R93" s="167">
        <f t="shared" si="4"/>
        <v>2.8</v>
      </c>
    </row>
    <row r="94" spans="1:18" x14ac:dyDescent="0.3">
      <c r="A94" s="194" t="str">
        <f>'Crisis Indicator Data'!A91</f>
        <v>Multiple crises in Myanmar</v>
      </c>
      <c r="B94" s="195" t="str">
        <f>'Crisis Indicator Data'!B91</f>
        <v>Multiple crises country</v>
      </c>
      <c r="C94" s="195" t="str">
        <f>'Crisis Indicator Data'!C91</f>
        <v>MMR001</v>
      </c>
      <c r="D94" s="195" t="str">
        <f>'Crisis Indicator Data'!D91</f>
        <v>Myanmar</v>
      </c>
      <c r="E94" s="195" t="str">
        <f>'Crisis Indicator Data'!E91</f>
        <v>MMR</v>
      </c>
      <c r="F94" s="205">
        <f>IF('Crisis Indicator Data'!Q91="x","x",('Crisis Indicator Data'!Q91/1000000))</f>
        <v>5.2709999999999999</v>
      </c>
      <c r="G94" s="205">
        <f>IF('Crisis Indicator Data'!R91="x","x",('Crisis Indicator Data'!R91/1000000))</f>
        <v>4.149</v>
      </c>
      <c r="H94" s="205">
        <f>IF('Crisis Indicator Data'!S91="x","x",('Crisis Indicator Data'!S91/1000000))</f>
        <v>0.36599999999999999</v>
      </c>
      <c r="I94" s="205">
        <f>IF('Crisis Indicator Data'!T91="x","x",('Crisis Indicator Data'!T91/1000000))</f>
        <v>0.60899999999999999</v>
      </c>
      <c r="J94" s="205">
        <f>IF('Crisis Indicator Data'!U91="x","x",('Crisis Indicator Data'!U91/1000000))</f>
        <v>0</v>
      </c>
      <c r="K94" s="190">
        <f t="shared" si="5"/>
        <v>3.3</v>
      </c>
      <c r="L94" s="185">
        <f>IF(F94="x","x",(F94*1000000/VLOOKUP($C94,'Crisis Indicator Data'!$C$3:$H$198,5,FALSE)))</f>
        <v>0.50707070707070712</v>
      </c>
      <c r="M94" s="185">
        <f>IF(G94="x","x",(G94*1000000/VLOOKUP($C94,'Crisis Indicator Data'!$C$3:$H$198,5,FALSE)))</f>
        <v>0.39913419913419912</v>
      </c>
      <c r="N94" s="185">
        <f>IF(H94="x","x",(H94*1000000/VLOOKUP($C94,'Crisis Indicator Data'!$C$3:$H$198,5,FALSE)))</f>
        <v>3.5209235209235211E-2</v>
      </c>
      <c r="O94" s="185">
        <f>IF(I94="x","x",(I94*1000000/VLOOKUP($C94,'Crisis Indicator Data'!$C$3:$H$198,5,FALSE)))</f>
        <v>5.8585858585858588E-2</v>
      </c>
      <c r="P94" s="185">
        <f>IF(J94="x","x",(J94*1000000/VLOOKUP($C94,'Crisis Indicator Data'!$C$3:$H$198,5,FALSE)))</f>
        <v>0</v>
      </c>
      <c r="Q94" s="167">
        <f t="shared" si="6"/>
        <v>4</v>
      </c>
      <c r="R94" s="167">
        <f t="shared" si="4"/>
        <v>3.65</v>
      </c>
    </row>
    <row r="95" spans="1:18" x14ac:dyDescent="0.3">
      <c r="A95" s="194" t="str">
        <f>'Crisis Indicator Data'!A92</f>
        <v>Rakhine Conflict</v>
      </c>
      <c r="B95" s="195" t="str">
        <f>'Crisis Indicator Data'!B92</f>
        <v>Conflict</v>
      </c>
      <c r="C95" s="195" t="str">
        <f>'Crisis Indicator Data'!C92</f>
        <v>MMR002</v>
      </c>
      <c r="D95" s="195" t="str">
        <f>'Crisis Indicator Data'!D92</f>
        <v>Myanmar</v>
      </c>
      <c r="E95" s="195" t="str">
        <f>'Crisis Indicator Data'!E92</f>
        <v>MMR</v>
      </c>
      <c r="F95" s="205">
        <f>IF('Crisis Indicator Data'!Q92="x","x",('Crisis Indicator Data'!Q92/1000000))</f>
        <v>2.3180000000000001</v>
      </c>
      <c r="G95" s="205">
        <f>IF('Crisis Indicator Data'!R92="x","x",('Crisis Indicator Data'!R92/1000000))</f>
        <v>0.80900000000000005</v>
      </c>
      <c r="H95" s="205">
        <f>IF('Crisis Indicator Data'!S92="x","x",('Crisis Indicator Data'!S92/1000000))</f>
        <v>0.25</v>
      </c>
      <c r="I95" s="205">
        <f>IF('Crisis Indicator Data'!T92="x","x",('Crisis Indicator Data'!T92/1000000))</f>
        <v>0.504</v>
      </c>
      <c r="J95" s="205">
        <f>IF('Crisis Indicator Data'!U92="x","x",('Crisis Indicator Data'!U92/1000000))</f>
        <v>0</v>
      </c>
      <c r="K95" s="190">
        <f t="shared" si="5"/>
        <v>3.1</v>
      </c>
      <c r="L95" s="185">
        <f>IF(F95="x","x",(F95*1000000/VLOOKUP($C95,'Crisis Indicator Data'!$C$3:$H$198,5,FALSE)))</f>
        <v>0.59711488923235445</v>
      </c>
      <c r="M95" s="185">
        <f>IF(G95="x","x",(G95*1000000/VLOOKUP($C95,'Crisis Indicator Data'!$C$3:$H$198,5,FALSE)))</f>
        <v>0.20839773312725399</v>
      </c>
      <c r="N95" s="185">
        <f>IF(H95="x","x",(H95*1000000/VLOOKUP($C95,'Crisis Indicator Data'!$C$3:$H$198,5,FALSE)))</f>
        <v>6.4399793920659448E-2</v>
      </c>
      <c r="O95" s="185">
        <f>IF(I95="x","x",(I95*1000000/VLOOKUP($C95,'Crisis Indicator Data'!$C$3:$H$198,5,FALSE)))</f>
        <v>0.12982998454404945</v>
      </c>
      <c r="P95" s="185">
        <f>IF(J95="x","x",(J95*1000000/VLOOKUP($C95,'Crisis Indicator Data'!$C$3:$H$198,5,FALSE)))</f>
        <v>0</v>
      </c>
      <c r="Q95" s="167">
        <f t="shared" si="6"/>
        <v>4</v>
      </c>
      <c r="R95" s="167">
        <f t="shared" si="4"/>
        <v>3.55</v>
      </c>
    </row>
    <row r="96" spans="1:18" x14ac:dyDescent="0.3">
      <c r="A96" s="194" t="str">
        <f>'Crisis Indicator Data'!A93</f>
        <v>Kachin and Shan Conflict</v>
      </c>
      <c r="B96" s="195" t="str">
        <f>'Crisis Indicator Data'!B93</f>
        <v>Conflict</v>
      </c>
      <c r="C96" s="195" t="str">
        <f>'Crisis Indicator Data'!C93</f>
        <v>MMR003</v>
      </c>
      <c r="D96" s="195" t="str">
        <f>'Crisis Indicator Data'!D93</f>
        <v>Myanmar</v>
      </c>
      <c r="E96" s="195" t="str">
        <f>'Crisis Indicator Data'!E93</f>
        <v>MMR</v>
      </c>
      <c r="F96" s="205">
        <f>IF('Crisis Indicator Data'!Q93="x","x",('Crisis Indicator Data'!Q93/1000000))</f>
        <v>2.9529999999999998</v>
      </c>
      <c r="G96" s="205">
        <f>IF('Crisis Indicator Data'!R93="x","x",('Crisis Indicator Data'!R93/1000000))</f>
        <v>3.34</v>
      </c>
      <c r="H96" s="205">
        <f>IF('Crisis Indicator Data'!S93="x","x",('Crisis Indicator Data'!S93/1000000))</f>
        <v>0.115</v>
      </c>
      <c r="I96" s="205">
        <f>IF('Crisis Indicator Data'!T93="x","x",('Crisis Indicator Data'!T93/1000000))</f>
        <v>0.105</v>
      </c>
      <c r="J96" s="205">
        <f>IF('Crisis Indicator Data'!U93="x","x",('Crisis Indicator Data'!U93/1000000))</f>
        <v>0</v>
      </c>
      <c r="K96" s="190">
        <f t="shared" si="5"/>
        <v>2.2000000000000002</v>
      </c>
      <c r="L96" s="185">
        <f>IF(F96="x","x",(F96*1000000/VLOOKUP($C96,'Crisis Indicator Data'!$C$3:$H$198,5,FALSE)))</f>
        <v>0.45340089052663901</v>
      </c>
      <c r="M96" s="185">
        <f>IF(G96="x","x",(G96*1000000/VLOOKUP($C96,'Crisis Indicator Data'!$C$3:$H$198,5,FALSE)))</f>
        <v>0.51282051282051277</v>
      </c>
      <c r="N96" s="185">
        <f>IF(H96="x","x",(H96*1000000/VLOOKUP($C96,'Crisis Indicator Data'!$C$3:$H$198,5,FALSE)))</f>
        <v>1.7656993704897896E-2</v>
      </c>
      <c r="O96" s="185">
        <f>IF(I96="x","x",(I96*1000000/VLOOKUP($C96,'Crisis Indicator Data'!$C$3:$H$198,5,FALSE)))</f>
        <v>1.6121602947950252E-2</v>
      </c>
      <c r="P96" s="185">
        <f>IF(J96="x","x",(J96*1000000/VLOOKUP($C96,'Crisis Indicator Data'!$C$3:$H$198,5,FALSE)))</f>
        <v>0</v>
      </c>
      <c r="Q96" s="167">
        <f t="shared" si="6"/>
        <v>2</v>
      </c>
      <c r="R96" s="167">
        <f t="shared" si="4"/>
        <v>2.1</v>
      </c>
    </row>
    <row r="97" spans="1:18" x14ac:dyDescent="0.3">
      <c r="A97" s="194" t="str">
        <f>'Crisis Indicator Data'!A94</f>
        <v>Food Security Crisis in Namibia</v>
      </c>
      <c r="B97" s="195" t="str">
        <f>'Crisis Indicator Data'!B94</f>
        <v>Food Security</v>
      </c>
      <c r="C97" s="195" t="str">
        <f>'Crisis Indicator Data'!C94</f>
        <v>NAM002</v>
      </c>
      <c r="D97" s="195" t="str">
        <f>'Crisis Indicator Data'!D94</f>
        <v>Namibia</v>
      </c>
      <c r="E97" s="195" t="str">
        <f>'Crisis Indicator Data'!E94</f>
        <v>NAM</v>
      </c>
      <c r="F97" s="205">
        <f>IF('Crisis Indicator Data'!Q94="x","x",('Crisis Indicator Data'!Q94/1000000))</f>
        <v>1.165</v>
      </c>
      <c r="G97" s="205">
        <f>IF('Crisis Indicator Data'!R94="x","x",('Crisis Indicator Data'!R94/1000000))</f>
        <v>0.65100000000000002</v>
      </c>
      <c r="H97" s="205">
        <f>IF('Crisis Indicator Data'!S94="x","x",('Crisis Indicator Data'!S94/1000000))</f>
        <v>0.42599999999999999</v>
      </c>
      <c r="I97" s="205">
        <f>IF('Crisis Indicator Data'!T94="x","x",('Crisis Indicator Data'!T94/1000000))</f>
        <v>1.4E-2</v>
      </c>
      <c r="J97" s="205">
        <f>IF('Crisis Indicator Data'!U94="x","x",('Crisis Indicator Data'!U94/1000000))</f>
        <v>0</v>
      </c>
      <c r="K97" s="190">
        <f t="shared" si="5"/>
        <v>2.7</v>
      </c>
      <c r="L97" s="185">
        <f>IF(F97="x","x",(F97*1000000/VLOOKUP($C97,'Crisis Indicator Data'!$C$3:$H$198,5,FALSE)))</f>
        <v>0.51640070921985815</v>
      </c>
      <c r="M97" s="185">
        <f>IF(G97="x","x",(G97*1000000/VLOOKUP($C97,'Crisis Indicator Data'!$C$3:$H$198,5,FALSE)))</f>
        <v>0.28856382978723405</v>
      </c>
      <c r="N97" s="185">
        <f>IF(H97="x","x",(H97*1000000/VLOOKUP($C97,'Crisis Indicator Data'!$C$3:$H$198,5,FALSE)))</f>
        <v>0.18882978723404256</v>
      </c>
      <c r="O97" s="185">
        <f>IF(I97="x","x",(I97*1000000/VLOOKUP($C97,'Crisis Indicator Data'!$C$3:$H$198,5,FALSE)))</f>
        <v>6.2056737588652485E-3</v>
      </c>
      <c r="P97" s="185">
        <f>IF(J97="x","x",(J97*1000000/VLOOKUP($C97,'Crisis Indicator Data'!$C$3:$H$198,5,FALSE)))</f>
        <v>0</v>
      </c>
      <c r="Q97" s="167">
        <f t="shared" si="6"/>
        <v>3</v>
      </c>
      <c r="R97" s="167">
        <f t="shared" si="4"/>
        <v>2.85</v>
      </c>
    </row>
    <row r="98" spans="1:18" x14ac:dyDescent="0.3">
      <c r="A98" s="194" t="str">
        <f>'Crisis Indicator Data'!A95</f>
        <v>Socioeconomic crisis in Nicaragua</v>
      </c>
      <c r="B98" s="195" t="str">
        <f>'Crisis Indicator Data'!B95</f>
        <v>Political and economic crisis</v>
      </c>
      <c r="C98" s="195" t="str">
        <f>'Crisis Indicator Data'!C95</f>
        <v>NIC001</v>
      </c>
      <c r="D98" s="195" t="str">
        <f>'Crisis Indicator Data'!D95</f>
        <v>Nicaragua</v>
      </c>
      <c r="E98" s="195" t="str">
        <f>'Crisis Indicator Data'!E95</f>
        <v>NIC</v>
      </c>
      <c r="F98" s="205" t="str">
        <f>IF('Crisis Indicator Data'!Q95="x","x",('Crisis Indicator Data'!Q95/1000000))</f>
        <v>x</v>
      </c>
      <c r="G98" s="205" t="str">
        <f>IF('Crisis Indicator Data'!R95="x","x",('Crisis Indicator Data'!R95/1000000))</f>
        <v>x</v>
      </c>
      <c r="H98" s="205" t="str">
        <f>IF('Crisis Indicator Data'!S95="x","x",('Crisis Indicator Data'!S95/1000000))</f>
        <v>x</v>
      </c>
      <c r="I98" s="205">
        <f>IF('Crisis Indicator Data'!T95="x","x",('Crisis Indicator Data'!T95/1000000))</f>
        <v>0</v>
      </c>
      <c r="J98" s="205">
        <f>IF('Crisis Indicator Data'!U95="x","x",('Crisis Indicator Data'!U95/1000000))</f>
        <v>0</v>
      </c>
      <c r="K98" s="190" t="str">
        <f t="shared" si="5"/>
        <v>x</v>
      </c>
      <c r="L98" s="185" t="str">
        <f>IF(F98="x","x",(F98*1000000/VLOOKUP($C98,'Crisis Indicator Data'!$C$3:$H$198,5,FALSE)))</f>
        <v>x</v>
      </c>
      <c r="M98" s="185" t="str">
        <f>IF(G98="x","x",(G98*1000000/VLOOKUP($C98,'Crisis Indicator Data'!$C$3:$H$198,5,FALSE)))</f>
        <v>x</v>
      </c>
      <c r="N98" s="185" t="str">
        <f>IF(H98="x","x",(H98*1000000/VLOOKUP($C98,'Crisis Indicator Data'!$C$3:$H$198,5,FALSE)))</f>
        <v>x</v>
      </c>
      <c r="O98" s="185">
        <f>IF(I98="x","x",(I98*1000000/VLOOKUP($C98,'Crisis Indicator Data'!$C$3:$H$198,5,FALSE)))</f>
        <v>0</v>
      </c>
      <c r="P98" s="185">
        <f>IF(J98="x","x",(J98*1000000/VLOOKUP($C98,'Crisis Indicator Data'!$C$3:$H$198,5,FALSE)))</f>
        <v>0</v>
      </c>
      <c r="Q98" s="167" t="str">
        <f t="shared" si="6"/>
        <v>x</v>
      </c>
      <c r="R98" s="167" t="str">
        <f t="shared" si="4"/>
        <v>x</v>
      </c>
    </row>
    <row r="99" spans="1:18" x14ac:dyDescent="0.3">
      <c r="A99" s="194" t="str">
        <f>'Crisis Indicator Data'!A96</f>
        <v>Multiple crises in Niger</v>
      </c>
      <c r="B99" s="195" t="str">
        <f>'Crisis Indicator Data'!B96</f>
        <v>Multiple crises country</v>
      </c>
      <c r="C99" s="195" t="str">
        <f>'Crisis Indicator Data'!C96</f>
        <v>NER001</v>
      </c>
      <c r="D99" s="195" t="str">
        <f>'Crisis Indicator Data'!D96</f>
        <v>Niger</v>
      </c>
      <c r="E99" s="195" t="str">
        <f>'Crisis Indicator Data'!E96</f>
        <v>NER</v>
      </c>
      <c r="F99" s="205">
        <f>IF('Crisis Indicator Data'!Q96="x","x",('Crisis Indicator Data'!Q96/1000000))</f>
        <v>19.878</v>
      </c>
      <c r="G99" s="205">
        <f>IF('Crisis Indicator Data'!R96="x","x",('Crisis Indicator Data'!R96/1000000))</f>
        <v>0</v>
      </c>
      <c r="H99" s="205">
        <f>IF('Crisis Indicator Data'!S96="x","x",('Crisis Indicator Data'!S96/1000000))</f>
        <v>3.1619999999999999</v>
      </c>
      <c r="I99" s="205">
        <f>IF('Crisis Indicator Data'!T96="x","x",('Crisis Indicator Data'!T96/1000000))</f>
        <v>0.53800000000000003</v>
      </c>
      <c r="J99" s="205">
        <f>IF('Crisis Indicator Data'!U96="x","x",('Crisis Indicator Data'!U96/1000000))</f>
        <v>0</v>
      </c>
      <c r="K99" s="190">
        <f t="shared" si="5"/>
        <v>4.3</v>
      </c>
      <c r="L99" s="185">
        <f>IF(F99="x","x",(F99*1000000/VLOOKUP($C99,'Crisis Indicator Data'!$C$3:$H$198,5,FALSE)))</f>
        <v>0.8431098104084489</v>
      </c>
      <c r="M99" s="185">
        <f>IF(G99="x","x",(G99*1000000/VLOOKUP($C99,'Crisis Indicator Data'!$C$3:$H$198,5,FALSE)))</f>
        <v>0</v>
      </c>
      <c r="N99" s="185">
        <f>IF(H99="x","x",(H99*1000000/VLOOKUP($C99,'Crisis Indicator Data'!$C$3:$H$198,5,FALSE)))</f>
        <v>0.13411375493065275</v>
      </c>
      <c r="O99" s="185">
        <f>IF(I99="x","x",(I99*1000000/VLOOKUP($C99,'Crisis Indicator Data'!$C$3:$H$198,5,FALSE)))</f>
        <v>2.2818848878143953E-2</v>
      </c>
      <c r="P99" s="185">
        <f>IF(J99="x","x",(J99*1000000/VLOOKUP($C99,'Crisis Indicator Data'!$C$3:$H$198,5,FALSE)))</f>
        <v>0</v>
      </c>
      <c r="Q99" s="167">
        <f t="shared" si="6"/>
        <v>3</v>
      </c>
      <c r="R99" s="167">
        <f t="shared" ref="R99:R130" si="7">IF(Q99="x","x",(AVERAGE(K99,Q99)))</f>
        <v>3.65</v>
      </c>
    </row>
    <row r="100" spans="1:18" x14ac:dyDescent="0.3">
      <c r="A100" s="194" t="str">
        <f>'Crisis Indicator Data'!A97</f>
        <v>Boko Haram in Niger</v>
      </c>
      <c r="B100" s="195" t="str">
        <f>'Crisis Indicator Data'!B97</f>
        <v>Conflict</v>
      </c>
      <c r="C100" s="195" t="str">
        <f>'Crisis Indicator Data'!C97</f>
        <v>NER002</v>
      </c>
      <c r="D100" s="195" t="str">
        <f>'Crisis Indicator Data'!D97</f>
        <v>Niger</v>
      </c>
      <c r="E100" s="195" t="str">
        <f>'Crisis Indicator Data'!E97</f>
        <v>NER</v>
      </c>
      <c r="F100" s="205">
        <f>IF('Crisis Indicator Data'!Q97="x","x",('Crisis Indicator Data'!Q97/1000000))</f>
        <v>0</v>
      </c>
      <c r="G100" s="205">
        <f>IF('Crisis Indicator Data'!R97="x","x",('Crisis Indicator Data'!R97/1000000))</f>
        <v>0.22</v>
      </c>
      <c r="H100" s="205">
        <f>IF('Crisis Indicator Data'!S97="x","x",('Crisis Indicator Data'!S97/1000000))</f>
        <v>0.252</v>
      </c>
      <c r="I100" s="205">
        <f>IF('Crisis Indicator Data'!T97="x","x",('Crisis Indicator Data'!T97/1000000))</f>
        <v>0.26600000000000001</v>
      </c>
      <c r="J100" s="205">
        <f>IF('Crisis Indicator Data'!U97="x","x",('Crisis Indicator Data'!U97/1000000))</f>
        <v>0</v>
      </c>
      <c r="K100" s="190">
        <f t="shared" si="5"/>
        <v>2.9</v>
      </c>
      <c r="L100" s="185">
        <f>IF(F100="x","x",(F100*1000000/VLOOKUP($C100,'Crisis Indicator Data'!$C$3:$H$198,5,FALSE)))</f>
        <v>0</v>
      </c>
      <c r="M100" s="185">
        <f>IF(G100="x","x",(G100*1000000/VLOOKUP($C100,'Crisis Indicator Data'!$C$3:$H$198,5,FALSE)))</f>
        <v>0.29810298102981031</v>
      </c>
      <c r="N100" s="185">
        <f>IF(H100="x","x",(H100*1000000/VLOOKUP($C100,'Crisis Indicator Data'!$C$3:$H$198,5,FALSE)))</f>
        <v>0.34146341463414637</v>
      </c>
      <c r="O100" s="185">
        <f>IF(I100="x","x",(I100*1000000/VLOOKUP($C100,'Crisis Indicator Data'!$C$3:$H$198,5,FALSE)))</f>
        <v>0.36043360433604338</v>
      </c>
      <c r="P100" s="185">
        <f>IF(J100="x","x",(J100*1000000/VLOOKUP($C100,'Crisis Indicator Data'!$C$3:$H$198,5,FALSE)))</f>
        <v>0</v>
      </c>
      <c r="Q100" s="167">
        <f t="shared" si="6"/>
        <v>4</v>
      </c>
      <c r="R100" s="167">
        <f t="shared" si="7"/>
        <v>3.45</v>
      </c>
    </row>
    <row r="101" spans="1:18" x14ac:dyDescent="0.3">
      <c r="A101" s="194" t="str">
        <f>'Crisis Indicator Data'!A98</f>
        <v>Mali/Burkina Faso conflict</v>
      </c>
      <c r="B101" s="195" t="str">
        <f>'Crisis Indicator Data'!B98</f>
        <v>Conflict</v>
      </c>
      <c r="C101" s="195" t="str">
        <f>'Crisis Indicator Data'!C98</f>
        <v>NER003</v>
      </c>
      <c r="D101" s="195" t="str">
        <f>'Crisis Indicator Data'!D98</f>
        <v>Niger</v>
      </c>
      <c r="E101" s="195" t="str">
        <f>'Crisis Indicator Data'!E98</f>
        <v>NER</v>
      </c>
      <c r="F101" s="205">
        <f>IF('Crisis Indicator Data'!Q98="x","x",('Crisis Indicator Data'!Q98/1000000))</f>
        <v>6.835</v>
      </c>
      <c r="G101" s="205">
        <f>IF('Crisis Indicator Data'!R98="x","x",('Crisis Indicator Data'!R98/1000000))</f>
        <v>0</v>
      </c>
      <c r="H101" s="205">
        <f>IF('Crisis Indicator Data'!S98="x","x",('Crisis Indicator Data'!S98/1000000))</f>
        <v>0.76500000000000001</v>
      </c>
      <c r="I101" s="205">
        <f>IF('Crisis Indicator Data'!T98="x","x",('Crisis Indicator Data'!T98/1000000))</f>
        <v>0.2</v>
      </c>
      <c r="J101" s="205">
        <f>IF('Crisis Indicator Data'!U98="x","x",('Crisis Indicator Data'!U98/1000000))</f>
        <v>0</v>
      </c>
      <c r="K101" s="190">
        <f t="shared" si="5"/>
        <v>3.3</v>
      </c>
      <c r="L101" s="185">
        <f>IF(F101="x","x",(F101*1000000/VLOOKUP($C101,'Crisis Indicator Data'!$C$3:$H$198,5,FALSE)))</f>
        <v>0.87628205128205128</v>
      </c>
      <c r="M101" s="185">
        <f>IF(G101="x","x",(G101*1000000/VLOOKUP($C101,'Crisis Indicator Data'!$C$3:$H$198,5,FALSE)))</f>
        <v>0</v>
      </c>
      <c r="N101" s="185">
        <f>IF(H101="x","x",(H101*1000000/VLOOKUP($C101,'Crisis Indicator Data'!$C$3:$H$198,5,FALSE)))</f>
        <v>9.8076923076923075E-2</v>
      </c>
      <c r="O101" s="185">
        <f>IF(I101="x","x",(I101*1000000/VLOOKUP($C101,'Crisis Indicator Data'!$C$3:$H$198,5,FALSE)))</f>
        <v>2.564102564102564E-2</v>
      </c>
      <c r="P101" s="185">
        <f>IF(J101="x","x",(J101*1000000/VLOOKUP($C101,'Crisis Indicator Data'!$C$3:$H$198,5,FALSE)))</f>
        <v>0</v>
      </c>
      <c r="Q101" s="167">
        <f t="shared" si="6"/>
        <v>3</v>
      </c>
      <c r="R101" s="167">
        <f t="shared" si="7"/>
        <v>3.15</v>
      </c>
    </row>
    <row r="102" spans="1:18" x14ac:dyDescent="0.3">
      <c r="A102" s="194" t="str">
        <f>'Crisis Indicator Data'!A99</f>
        <v>Nigerian Refugees</v>
      </c>
      <c r="B102" s="195" t="str">
        <f>'Crisis Indicator Data'!B99</f>
        <v>International displacement</v>
      </c>
      <c r="C102" s="195" t="str">
        <f>'Crisis Indicator Data'!C99</f>
        <v>NER004</v>
      </c>
      <c r="D102" s="195" t="str">
        <f>'Crisis Indicator Data'!D99</f>
        <v>Niger</v>
      </c>
      <c r="E102" s="195" t="str">
        <f>'Crisis Indicator Data'!E99</f>
        <v>NER</v>
      </c>
      <c r="F102" s="205">
        <f>IF('Crisis Indicator Data'!Q99="x","x",('Crisis Indicator Data'!Q99/1000000))</f>
        <v>0.53300000000000003</v>
      </c>
      <c r="G102" s="205">
        <f>IF('Crisis Indicator Data'!R99="x","x",('Crisis Indicator Data'!R99/1000000))</f>
        <v>0</v>
      </c>
      <c r="H102" s="205">
        <f>IF('Crisis Indicator Data'!S99="x","x",('Crisis Indicator Data'!S99/1000000))</f>
        <v>0.03</v>
      </c>
      <c r="I102" s="205">
        <f>IF('Crisis Indicator Data'!T99="x","x",('Crisis Indicator Data'!T99/1000000))</f>
        <v>9.2999999999999999E-2</v>
      </c>
      <c r="J102" s="205">
        <f>IF('Crisis Indicator Data'!U99="x","x",('Crisis Indicator Data'!U99/1000000))</f>
        <v>0</v>
      </c>
      <c r="K102" s="190">
        <f t="shared" si="5"/>
        <v>1.8</v>
      </c>
      <c r="L102" s="185">
        <f>IF(F102="x","x",(F102*1000000/VLOOKUP($C102,'Crisis Indicator Data'!$C$3:$H$198,5,FALSE)))</f>
        <v>0.8125</v>
      </c>
      <c r="M102" s="185">
        <f>IF(G102="x","x",(G102*1000000/VLOOKUP($C102,'Crisis Indicator Data'!$C$3:$H$198,5,FALSE)))</f>
        <v>0</v>
      </c>
      <c r="N102" s="185">
        <f>IF(H102="x","x",(H102*1000000/VLOOKUP($C102,'Crisis Indicator Data'!$C$3:$H$198,5,FALSE)))</f>
        <v>4.573170731707317E-2</v>
      </c>
      <c r="O102" s="185">
        <f>IF(I102="x","x",(I102*1000000/VLOOKUP($C102,'Crisis Indicator Data'!$C$3:$H$198,5,FALSE)))</f>
        <v>0.14176829268292682</v>
      </c>
      <c r="P102" s="185">
        <f>IF(J102="x","x",(J102*1000000/VLOOKUP($C102,'Crisis Indicator Data'!$C$3:$H$198,5,FALSE)))</f>
        <v>0</v>
      </c>
      <c r="Q102" s="167">
        <f t="shared" si="6"/>
        <v>4</v>
      </c>
      <c r="R102" s="167">
        <f t="shared" si="7"/>
        <v>2.9</v>
      </c>
    </row>
    <row r="103" spans="1:18" x14ac:dyDescent="0.3">
      <c r="A103" s="194" t="str">
        <f>'Crisis Indicator Data'!A100</f>
        <v>Floods in Niger</v>
      </c>
      <c r="B103" s="195" t="str">
        <f>'Crisis Indicator Data'!B100</f>
        <v>Flood</v>
      </c>
      <c r="C103" s="195" t="str">
        <f>'Crisis Indicator Data'!C100</f>
        <v>NER005</v>
      </c>
      <c r="D103" s="195" t="str">
        <f>'Crisis Indicator Data'!D100</f>
        <v>Niger</v>
      </c>
      <c r="E103" s="195" t="str">
        <f>'Crisis Indicator Data'!E100</f>
        <v>NER</v>
      </c>
      <c r="F103" s="205">
        <f>IF('Crisis Indicator Data'!Q100="x","x",('Crisis Indicator Data'!Q100/1000000))</f>
        <v>23.061</v>
      </c>
      <c r="G103" s="205">
        <f>IF('Crisis Indicator Data'!R100="x","x",('Crisis Indicator Data'!R100/1000000))</f>
        <v>0</v>
      </c>
      <c r="H103" s="205">
        <f>IF('Crisis Indicator Data'!S100="x","x",('Crisis Indicator Data'!S100/1000000))</f>
        <v>0.51600000000000001</v>
      </c>
      <c r="I103" s="205">
        <f>IF('Crisis Indicator Data'!T100="x","x",('Crisis Indicator Data'!T100/1000000))</f>
        <v>0</v>
      </c>
      <c r="J103" s="205">
        <f>IF('Crisis Indicator Data'!U100="x","x",('Crisis Indicator Data'!U100/1000000))</f>
        <v>0</v>
      </c>
      <c r="K103" s="190">
        <f t="shared" si="5"/>
        <v>2.9</v>
      </c>
      <c r="L103" s="185">
        <f>IF(F103="x","x",(F103*1000000/VLOOKUP($C103,'Crisis Indicator Data'!$C$3:$H$198,5,FALSE)))</f>
        <v>0.97807277970989903</v>
      </c>
      <c r="M103" s="185">
        <f>IF(G103="x","x",(G103*1000000/VLOOKUP($C103,'Crisis Indicator Data'!$C$3:$H$198,5,FALSE)))</f>
        <v>0</v>
      </c>
      <c r="N103" s="185">
        <f>IF(H103="x","x",(H103*1000000/VLOOKUP($C103,'Crisis Indicator Data'!$C$3:$H$198,5,FALSE)))</f>
        <v>2.1884807871744846E-2</v>
      </c>
      <c r="O103" s="185">
        <f>IF(I103="x","x",(I103*1000000/VLOOKUP($C103,'Crisis Indicator Data'!$C$3:$H$198,5,FALSE)))</f>
        <v>0</v>
      </c>
      <c r="P103" s="185">
        <f>IF(J103="x","x",(J103*1000000/VLOOKUP($C103,'Crisis Indicator Data'!$C$3:$H$198,5,FALSE)))</f>
        <v>0</v>
      </c>
      <c r="Q103" s="167">
        <f t="shared" si="6"/>
        <v>1</v>
      </c>
      <c r="R103" s="167">
        <f t="shared" si="7"/>
        <v>1.95</v>
      </c>
    </row>
    <row r="104" spans="1:18" x14ac:dyDescent="0.3">
      <c r="A104" s="194" t="str">
        <f>'Crisis Indicator Data'!A101</f>
        <v>Complex crisis in Nigeria</v>
      </c>
      <c r="B104" s="195" t="str">
        <f>'Crisis Indicator Data'!B101</f>
        <v>Complex crisis</v>
      </c>
      <c r="C104" s="195" t="str">
        <f>'Crisis Indicator Data'!C101</f>
        <v>NGA001</v>
      </c>
      <c r="D104" s="195" t="str">
        <f>'Crisis Indicator Data'!D101</f>
        <v>Nigeria</v>
      </c>
      <c r="E104" s="195" t="str">
        <f>'Crisis Indicator Data'!E101</f>
        <v>NGA</v>
      </c>
      <c r="F104" s="205">
        <f>IF('Crisis Indicator Data'!Q101="x","x",('Crisis Indicator Data'!Q101/1000000))</f>
        <v>48.406999999999996</v>
      </c>
      <c r="G104" s="205">
        <f>IF('Crisis Indicator Data'!R101="x","x",('Crisis Indicator Data'!R101/1000000))</f>
        <v>1.9359999999999999</v>
      </c>
      <c r="H104" s="205">
        <f>IF('Crisis Indicator Data'!S101="x","x",('Crisis Indicator Data'!S101/1000000))</f>
        <v>3.0059999999999998</v>
      </c>
      <c r="I104" s="205">
        <f>IF('Crisis Indicator Data'!T101="x","x",('Crisis Indicator Data'!T101/1000000))</f>
        <v>2.8839999999999999</v>
      </c>
      <c r="J104" s="205">
        <f>IF('Crisis Indicator Data'!U101="x","x",('Crisis Indicator Data'!U101/1000000))</f>
        <v>0</v>
      </c>
      <c r="K104" s="190">
        <f t="shared" si="5"/>
        <v>4.5999999999999996</v>
      </c>
      <c r="L104" s="185">
        <f>IF(F104="x","x",(F104*1000000/VLOOKUP($C104,'Crisis Indicator Data'!$C$3:$H$198,5,FALSE)))</f>
        <v>0.86082905055750181</v>
      </c>
      <c r="M104" s="185">
        <f>IF(G104="x","x",(G104*1000000/VLOOKUP($C104,'Crisis Indicator Data'!$C$3:$H$198,5,FALSE)))</f>
        <v>3.4428182739672436E-2</v>
      </c>
      <c r="N104" s="185">
        <f>IF(H104="x","x",(H104*1000000/VLOOKUP($C104,'Crisis Indicator Data'!$C$3:$H$198,5,FALSE)))</f>
        <v>5.3456155638148421E-2</v>
      </c>
      <c r="O104" s="185">
        <f>IF(I104="x","x",(I104*1000000/VLOOKUP($C104,'Crisis Indicator Data'!$C$3:$H$198,5,FALSE)))</f>
        <v>5.1286611064677322E-2</v>
      </c>
      <c r="P104" s="185">
        <f>IF(J104="x","x",(J104*1000000/VLOOKUP($C104,'Crisis Indicator Data'!$C$3:$H$198,5,FALSE)))</f>
        <v>0</v>
      </c>
      <c r="Q104" s="167">
        <f t="shared" si="6"/>
        <v>4</v>
      </c>
      <c r="R104" s="167">
        <f t="shared" si="7"/>
        <v>4.3</v>
      </c>
    </row>
    <row r="105" spans="1:18" x14ac:dyDescent="0.3">
      <c r="A105" s="194" t="str">
        <f>'Crisis Indicator Data'!A102</f>
        <v>Middle belt conflict</v>
      </c>
      <c r="B105" s="195" t="str">
        <f>'Crisis Indicator Data'!B102</f>
        <v>Conflict</v>
      </c>
      <c r="C105" s="195" t="str">
        <f>'Crisis Indicator Data'!C102</f>
        <v>NGA003</v>
      </c>
      <c r="D105" s="195" t="str">
        <f>'Crisis Indicator Data'!D102</f>
        <v>Nigeria</v>
      </c>
      <c r="E105" s="195" t="str">
        <f>'Crisis Indicator Data'!E102</f>
        <v>NGA</v>
      </c>
      <c r="F105" s="205" t="str">
        <f>IF('Crisis Indicator Data'!Q102="x","x",('Crisis Indicator Data'!Q102/1000000))</f>
        <v>x</v>
      </c>
      <c r="G105" s="205">
        <f>IF('Crisis Indicator Data'!R102="x","x",('Crisis Indicator Data'!R102/1000000))</f>
        <v>0</v>
      </c>
      <c r="H105" s="205" t="str">
        <f>IF('Crisis Indicator Data'!S102="x","x",('Crisis Indicator Data'!S102/1000000))</f>
        <v>x</v>
      </c>
      <c r="I105" s="205">
        <f>IF('Crisis Indicator Data'!T102="x","x",('Crisis Indicator Data'!T102/1000000))</f>
        <v>0</v>
      </c>
      <c r="J105" s="205">
        <f>IF('Crisis Indicator Data'!U102="x","x",('Crisis Indicator Data'!U102/1000000))</f>
        <v>0</v>
      </c>
      <c r="K105" s="190" t="str">
        <f t="shared" si="5"/>
        <v>x</v>
      </c>
      <c r="L105" s="185" t="str">
        <f>IF(F105="x","x",(F105*1000000/VLOOKUP($C105,'Crisis Indicator Data'!$C$3:$H$198,5,FALSE)))</f>
        <v>x</v>
      </c>
      <c r="M105" s="185">
        <f>IF(G105="x","x",(G105*1000000/VLOOKUP($C105,'Crisis Indicator Data'!$C$3:$H$198,5,FALSE)))</f>
        <v>0</v>
      </c>
      <c r="N105" s="185" t="str">
        <f>IF(H105="x","x",(H105*1000000/VLOOKUP($C105,'Crisis Indicator Data'!$C$3:$H$198,5,FALSE)))</f>
        <v>x</v>
      </c>
      <c r="O105" s="185">
        <f>IF(I105="x","x",(I105*1000000/VLOOKUP($C105,'Crisis Indicator Data'!$C$3:$H$198,5,FALSE)))</f>
        <v>0</v>
      </c>
      <c r="P105" s="185">
        <f>IF(J105="x","x",(J105*1000000/VLOOKUP($C105,'Crisis Indicator Data'!$C$3:$H$198,5,FALSE)))</f>
        <v>0</v>
      </c>
      <c r="Q105" s="167" t="str">
        <f t="shared" si="6"/>
        <v>x</v>
      </c>
      <c r="R105" s="167" t="str">
        <f t="shared" si="7"/>
        <v>x</v>
      </c>
    </row>
    <row r="106" spans="1:18" x14ac:dyDescent="0.3">
      <c r="A106" s="194" t="str">
        <f>'Crisis Indicator Data'!A103</f>
        <v>Boko Haram crisis in Nigeria</v>
      </c>
      <c r="B106" s="195" t="str">
        <f>'Crisis Indicator Data'!B103</f>
        <v>Conflict</v>
      </c>
      <c r="C106" s="195" t="str">
        <f>'Crisis Indicator Data'!C103</f>
        <v>NGA004</v>
      </c>
      <c r="D106" s="195" t="str">
        <f>'Crisis Indicator Data'!D103</f>
        <v>Nigeria</v>
      </c>
      <c r="E106" s="195" t="str">
        <f>'Crisis Indicator Data'!E103</f>
        <v>NGA</v>
      </c>
      <c r="F106" s="205">
        <f>IF('Crisis Indicator Data'!Q103="x","x",('Crisis Indicator Data'!Q103/1000000))</f>
        <v>0.751</v>
      </c>
      <c r="G106" s="205">
        <f>IF('Crisis Indicator Data'!R103="x","x",('Crisis Indicator Data'!R103/1000000))</f>
        <v>1.9359999999999999</v>
      </c>
      <c r="H106" s="205">
        <f>IF('Crisis Indicator Data'!S103="x","x",('Crisis Indicator Data'!S103/1000000))</f>
        <v>2.331</v>
      </c>
      <c r="I106" s="205">
        <f>IF('Crisis Indicator Data'!T103="x","x",('Crisis Indicator Data'!T103/1000000))</f>
        <v>2.8839999999999999</v>
      </c>
      <c r="J106" s="205">
        <f>IF('Crisis Indicator Data'!U103="x","x",('Crisis Indicator Data'!U103/1000000))</f>
        <v>0</v>
      </c>
      <c r="K106" s="190">
        <f t="shared" si="5"/>
        <v>4.5</v>
      </c>
      <c r="L106" s="185">
        <f>IF(F106="x","x",(F106*1000000/VLOOKUP($C106,'Crisis Indicator Data'!$C$3:$H$198,5,FALSE)))</f>
        <v>9.5063291139240502E-2</v>
      </c>
      <c r="M106" s="185">
        <f>IF(G106="x","x",(G106*1000000/VLOOKUP($C106,'Crisis Indicator Data'!$C$3:$H$198,5,FALSE)))</f>
        <v>0.2450632911392405</v>
      </c>
      <c r="N106" s="185">
        <f>IF(H106="x","x",(H106*1000000/VLOOKUP($C106,'Crisis Indicator Data'!$C$3:$H$198,5,FALSE)))</f>
        <v>0.29506329113924051</v>
      </c>
      <c r="O106" s="185">
        <f>IF(I106="x","x",(I106*1000000/VLOOKUP($C106,'Crisis Indicator Data'!$C$3:$H$198,5,FALSE)))</f>
        <v>0.36506329113924052</v>
      </c>
      <c r="P106" s="185">
        <f>IF(J106="x","x",(J106*1000000/VLOOKUP($C106,'Crisis Indicator Data'!$C$3:$H$198,5,FALSE)))</f>
        <v>0</v>
      </c>
      <c r="Q106" s="167">
        <f t="shared" si="6"/>
        <v>4</v>
      </c>
      <c r="R106" s="167">
        <f t="shared" si="7"/>
        <v>4.25</v>
      </c>
    </row>
    <row r="107" spans="1:18" x14ac:dyDescent="0.3">
      <c r="A107" s="194" t="str">
        <f>'Crisis Indicator Data'!A104</f>
        <v>Northwest Banditry</v>
      </c>
      <c r="B107" s="195" t="str">
        <f>'Crisis Indicator Data'!B104</f>
        <v>Other type of violence</v>
      </c>
      <c r="C107" s="195" t="str">
        <f>'Crisis Indicator Data'!C104</f>
        <v>NGA007</v>
      </c>
      <c r="D107" s="195" t="str">
        <f>'Crisis Indicator Data'!D104</f>
        <v>Nigeria</v>
      </c>
      <c r="E107" s="195" t="str">
        <f>'Crisis Indicator Data'!E104</f>
        <v>NGA</v>
      </c>
      <c r="F107" s="205">
        <f>IF('Crisis Indicator Data'!Q104="x","x",('Crisis Indicator Data'!Q104/1000000))</f>
        <v>30.058</v>
      </c>
      <c r="G107" s="205">
        <f>IF('Crisis Indicator Data'!R104="x","x",('Crisis Indicator Data'!R104/1000000))</f>
        <v>0</v>
      </c>
      <c r="H107" s="205">
        <f>IF('Crisis Indicator Data'!S104="x","x",('Crisis Indicator Data'!S104/1000000))</f>
        <v>0.317</v>
      </c>
      <c r="I107" s="205">
        <f>IF('Crisis Indicator Data'!T104="x","x",('Crisis Indicator Data'!T104/1000000))</f>
        <v>0</v>
      </c>
      <c r="J107" s="205">
        <f>IF('Crisis Indicator Data'!U104="x","x",('Crisis Indicator Data'!U104/1000000))</f>
        <v>0</v>
      </c>
      <c r="K107" s="190">
        <f t="shared" si="5"/>
        <v>2.5</v>
      </c>
      <c r="L107" s="185">
        <f>IF(F107="x","x",(F107*1000000/VLOOKUP($C107,'Crisis Indicator Data'!$C$3:$H$198,5,FALSE)))</f>
        <v>0.9895312088490914</v>
      </c>
      <c r="M107" s="185">
        <f>IF(G107="x","x",(G107*1000000/VLOOKUP($C107,'Crisis Indicator Data'!$C$3:$H$198,5,FALSE)))</f>
        <v>0</v>
      </c>
      <c r="N107" s="185">
        <f>IF(H107="x","x",(H107*1000000/VLOOKUP($C107,'Crisis Indicator Data'!$C$3:$H$198,5,FALSE)))</f>
        <v>1.0435870424018962E-2</v>
      </c>
      <c r="O107" s="185">
        <f>IF(I107="x","x",(I107*1000000/VLOOKUP($C107,'Crisis Indicator Data'!$C$3:$H$198,5,FALSE)))</f>
        <v>0</v>
      </c>
      <c r="P107" s="185">
        <f>IF(J107="x","x",(J107*1000000/VLOOKUP($C107,'Crisis Indicator Data'!$C$3:$H$198,5,FALSE)))</f>
        <v>0</v>
      </c>
      <c r="Q107" s="167">
        <f t="shared" si="6"/>
        <v>1</v>
      </c>
      <c r="R107" s="167">
        <f t="shared" si="7"/>
        <v>1.75</v>
      </c>
    </row>
    <row r="108" spans="1:18" x14ac:dyDescent="0.3">
      <c r="A108" s="194" t="str">
        <f>'Crisis Indicator Data'!A105</f>
        <v>Cameroonian Refugees in Nigeria</v>
      </c>
      <c r="B108" s="195" t="str">
        <f>'Crisis Indicator Data'!B105</f>
        <v>International displacement</v>
      </c>
      <c r="C108" s="195" t="str">
        <f>'Crisis Indicator Data'!C105</f>
        <v>NGA008</v>
      </c>
      <c r="D108" s="195" t="str">
        <f>'Crisis Indicator Data'!D105</f>
        <v>Nigeria</v>
      </c>
      <c r="E108" s="195" t="str">
        <f>'Crisis Indicator Data'!E105</f>
        <v>NGA</v>
      </c>
      <c r="F108" s="205">
        <f>IF('Crisis Indicator Data'!Q105="x","x",('Crisis Indicator Data'!Q105/1000000))</f>
        <v>17.597999999999999</v>
      </c>
      <c r="G108" s="205">
        <f>IF('Crisis Indicator Data'!R105="x","x",('Crisis Indicator Data'!R105/1000000))</f>
        <v>0</v>
      </c>
      <c r="H108" s="205">
        <f>IF('Crisis Indicator Data'!S105="x","x",('Crisis Indicator Data'!S105/1000000))</f>
        <v>5.8999999999999997E-2</v>
      </c>
      <c r="I108" s="205">
        <f>IF('Crisis Indicator Data'!T105="x","x",('Crisis Indicator Data'!T105/1000000))</f>
        <v>0</v>
      </c>
      <c r="J108" s="205">
        <f>IF('Crisis Indicator Data'!U105="x","x",('Crisis Indicator Data'!U105/1000000))</f>
        <v>0</v>
      </c>
      <c r="K108" s="190">
        <f t="shared" si="5"/>
        <v>1.3</v>
      </c>
      <c r="L108" s="185">
        <f>IF(F108="x","x",(F108*1000000/VLOOKUP($C108,'Crisis Indicator Data'!$C$3:$H$198,5,FALSE)))</f>
        <v>0.99665854901738682</v>
      </c>
      <c r="M108" s="185">
        <f>IF(G108="x","x",(G108*1000000/VLOOKUP($C108,'Crisis Indicator Data'!$C$3:$H$198,5,FALSE)))</f>
        <v>0</v>
      </c>
      <c r="N108" s="185">
        <f>IF(H108="x","x",(H108*1000000/VLOOKUP($C108,'Crisis Indicator Data'!$C$3:$H$198,5,FALSE)))</f>
        <v>3.3414509826131277E-3</v>
      </c>
      <c r="O108" s="185">
        <f>IF(I108="x","x",(I108*1000000/VLOOKUP($C108,'Crisis Indicator Data'!$C$3:$H$198,5,FALSE)))</f>
        <v>0</v>
      </c>
      <c r="P108" s="185">
        <f>IF(J108="x","x",(J108*1000000/VLOOKUP($C108,'Crisis Indicator Data'!$C$3:$H$198,5,FALSE)))</f>
        <v>0</v>
      </c>
      <c r="Q108" s="167">
        <f t="shared" si="6"/>
        <v>1</v>
      </c>
      <c r="R108" s="167">
        <f t="shared" si="7"/>
        <v>1.1499999999999999</v>
      </c>
    </row>
    <row r="109" spans="1:18" x14ac:dyDescent="0.3">
      <c r="A109" s="194" t="str">
        <f>'Crisis Indicator Data'!A106</f>
        <v>Regional Boko Haram Crisis</v>
      </c>
      <c r="B109" s="195" t="str">
        <f>'Crisis Indicator Data'!B106</f>
        <v>Regional crisis</v>
      </c>
      <c r="C109" s="195" t="str">
        <f>'Crisis Indicator Data'!C106</f>
        <v>REG001</v>
      </c>
      <c r="D109" s="195" t="str">
        <f>'Crisis Indicator Data'!D106</f>
        <v>Nigeria, Niger, Chad, Cameroon</v>
      </c>
      <c r="E109" s="195" t="str">
        <f>'Crisis Indicator Data'!E106</f>
        <v>NGA, NER, TCD, CMR</v>
      </c>
      <c r="F109" s="205">
        <f>IF('Crisis Indicator Data'!Q106="x","x",('Crisis Indicator Data'!Q106/1000000))</f>
        <v>2.6080000000000001</v>
      </c>
      <c r="G109" s="205">
        <f>IF('Crisis Indicator Data'!R106="x","x",('Crisis Indicator Data'!R106/1000000))</f>
        <v>4.3520000000000003</v>
      </c>
      <c r="H109" s="205">
        <f>IF('Crisis Indicator Data'!S106="x","x",('Crisis Indicator Data'!S106/1000000))</f>
        <v>3.234</v>
      </c>
      <c r="I109" s="205">
        <f>IF('Crisis Indicator Data'!T106="x","x",('Crisis Indicator Data'!T106/1000000))</f>
        <v>3.3849999999999998</v>
      </c>
      <c r="J109" s="205">
        <f>IF('Crisis Indicator Data'!U106="x","x",('Crisis Indicator Data'!U106/1000000))</f>
        <v>0.122</v>
      </c>
      <c r="K109" s="190">
        <f t="shared" si="5"/>
        <v>4.7</v>
      </c>
      <c r="L109" s="185">
        <f>IF(F109="x","x",(F109*1000000/VLOOKUP($C109,'Crisis Indicator Data'!$C$3:$H$198,5,FALSE)))</f>
        <v>0.19035106926501716</v>
      </c>
      <c r="M109" s="185">
        <f>IF(G109="x","x",(G109*1000000/VLOOKUP($C109,'Crisis Indicator Data'!$C$3:$H$198,5,FALSE)))</f>
        <v>0.31764104809867894</v>
      </c>
      <c r="N109" s="185">
        <f>IF(H109="x","x",(H109*1000000/VLOOKUP($C109,'Crisis Indicator Data'!$C$3:$H$198,5,FALSE)))</f>
        <v>0.23604116487847601</v>
      </c>
      <c r="O109" s="185">
        <f>IF(I109="x","x",(I109*1000000/VLOOKUP($C109,'Crisis Indicator Data'!$C$3:$H$198,5,FALSE)))</f>
        <v>0.24706225822932631</v>
      </c>
      <c r="P109" s="185">
        <f>IF(J109="x","x",(J109*1000000/VLOOKUP($C109,'Crisis Indicator Data'!$C$3:$H$198,5,FALSE)))</f>
        <v>8.9044595285015689E-3</v>
      </c>
      <c r="Q109" s="167">
        <f t="shared" si="6"/>
        <v>4</v>
      </c>
      <c r="R109" s="167">
        <f t="shared" si="7"/>
        <v>4.3499999999999996</v>
      </c>
    </row>
    <row r="110" spans="1:18" x14ac:dyDescent="0.3">
      <c r="A110" s="194" t="str">
        <f>'Crisis Indicator Data'!A107</f>
        <v>Complex crisis in Pakistan</v>
      </c>
      <c r="B110" s="195" t="str">
        <f>'Crisis Indicator Data'!B107</f>
        <v>Complex crisis</v>
      </c>
      <c r="C110" s="195" t="str">
        <f>'Crisis Indicator Data'!C107</f>
        <v>PAK001</v>
      </c>
      <c r="D110" s="195" t="str">
        <f>'Crisis Indicator Data'!D107</f>
        <v>Pakistan</v>
      </c>
      <c r="E110" s="195" t="str">
        <f>'Crisis Indicator Data'!E107</f>
        <v>PAK</v>
      </c>
      <c r="F110" s="205">
        <f>IF('Crisis Indicator Data'!Q107="x","x",('Crisis Indicator Data'!Q107/1000000))</f>
        <v>145.23599999999999</v>
      </c>
      <c r="G110" s="205">
        <f>IF('Crisis Indicator Data'!R107="x","x",('Crisis Indicator Data'!R107/1000000))</f>
        <v>61.32</v>
      </c>
      <c r="H110" s="205">
        <f>IF('Crisis Indicator Data'!S107="x","x",('Crisis Indicator Data'!S107/1000000))</f>
        <v>2.0209999999999999</v>
      </c>
      <c r="I110" s="205">
        <f>IF('Crisis Indicator Data'!T107="x","x",('Crisis Indicator Data'!T107/1000000))</f>
        <v>1.018</v>
      </c>
      <c r="J110" s="205">
        <f>IF('Crisis Indicator Data'!U107="x","x",('Crisis Indicator Data'!U107/1000000))</f>
        <v>0</v>
      </c>
      <c r="K110" s="190">
        <f t="shared" si="5"/>
        <v>4.0999999999999996</v>
      </c>
      <c r="L110" s="185">
        <f>IF(F110="x","x",(F110*1000000/VLOOKUP($C110,'Crisis Indicator Data'!$C$3:$H$198,5,FALSE)))</f>
        <v>0.69293968338788325</v>
      </c>
      <c r="M110" s="185">
        <f>IF(G110="x","x",(G110*1000000/VLOOKUP($C110,'Crisis Indicator Data'!$C$3:$H$198,5,FALSE)))</f>
        <v>0.29256562687863202</v>
      </c>
      <c r="N110" s="185">
        <f>IF(H110="x","x",(H110*1000000/VLOOKUP($C110,'Crisis Indicator Data'!$C$3:$H$198,5,FALSE)))</f>
        <v>9.6424515968968581E-3</v>
      </c>
      <c r="O110" s="185">
        <f>IF(I110="x","x",(I110*1000000/VLOOKUP($C110,'Crisis Indicator Data'!$C$3:$H$198,5,FALSE)))</f>
        <v>4.8570092655324101E-3</v>
      </c>
      <c r="P110" s="185">
        <f>IF(J110="x","x",(J110*1000000/VLOOKUP($C110,'Crisis Indicator Data'!$C$3:$H$198,5,FALSE)))</f>
        <v>0</v>
      </c>
      <c r="Q110" s="167">
        <f t="shared" si="6"/>
        <v>2</v>
      </c>
      <c r="R110" s="167">
        <f t="shared" si="7"/>
        <v>3.05</v>
      </c>
    </row>
    <row r="111" spans="1:18" x14ac:dyDescent="0.3">
      <c r="A111" s="194" t="str">
        <f>'Crisis Indicator Data'!A108</f>
        <v>Kashmir conflict in Pakistan</v>
      </c>
      <c r="B111" s="195" t="str">
        <f>'Crisis Indicator Data'!B108</f>
        <v>Conflict</v>
      </c>
      <c r="C111" s="195" t="str">
        <f>'Crisis Indicator Data'!C108</f>
        <v>PAK004</v>
      </c>
      <c r="D111" s="195" t="str">
        <f>'Crisis Indicator Data'!D108</f>
        <v>Pakistan</v>
      </c>
      <c r="E111" s="195" t="str">
        <f>'Crisis Indicator Data'!E108</f>
        <v>PAK</v>
      </c>
      <c r="F111" s="205" t="str">
        <f>IF('Crisis Indicator Data'!Q108="x","x",('Crisis Indicator Data'!Q108/1000000))</f>
        <v>x</v>
      </c>
      <c r="G111" s="205" t="str">
        <f>IF('Crisis Indicator Data'!R108="x","x",('Crisis Indicator Data'!R108/1000000))</f>
        <v>x</v>
      </c>
      <c r="H111" s="205" t="str">
        <f>IF('Crisis Indicator Data'!S108="x","x",('Crisis Indicator Data'!S108/1000000))</f>
        <v>x</v>
      </c>
      <c r="I111" s="205" t="str">
        <f>IF('Crisis Indicator Data'!T108="x","x",('Crisis Indicator Data'!T108/1000000))</f>
        <v>x</v>
      </c>
      <c r="J111" s="205" t="str">
        <f>IF('Crisis Indicator Data'!U108="x","x",('Crisis Indicator Data'!U108/1000000))</f>
        <v>x</v>
      </c>
      <c r="K111" s="190" t="str">
        <f t="shared" si="5"/>
        <v>x</v>
      </c>
      <c r="L111" s="185" t="str">
        <f>IF(F111="x","x",(F111*1000000/VLOOKUP($C111,'Crisis Indicator Data'!$C$3:$H$198,5,FALSE)))</f>
        <v>x</v>
      </c>
      <c r="M111" s="185" t="str">
        <f>IF(G111="x","x",(G111*1000000/VLOOKUP($C111,'Crisis Indicator Data'!$C$3:$H$198,5,FALSE)))</f>
        <v>x</v>
      </c>
      <c r="N111" s="185" t="str">
        <f>IF(H111="x","x",(H111*1000000/VLOOKUP($C111,'Crisis Indicator Data'!$C$3:$H$198,5,FALSE)))</f>
        <v>x</v>
      </c>
      <c r="O111" s="185" t="str">
        <f>IF(I111="x","x",(I111*1000000/VLOOKUP($C111,'Crisis Indicator Data'!$C$3:$H$198,5,FALSE)))</f>
        <v>x</v>
      </c>
      <c r="P111" s="185" t="str">
        <f>IF(J111="x","x",(J111*1000000/VLOOKUP($C111,'Crisis Indicator Data'!$C$3:$H$198,5,FALSE)))</f>
        <v>x</v>
      </c>
      <c r="Q111" s="167" t="str">
        <f t="shared" si="6"/>
        <v>x</v>
      </c>
      <c r="R111" s="167" t="str">
        <f t="shared" si="7"/>
        <v>x</v>
      </c>
    </row>
    <row r="112" spans="1:18" x14ac:dyDescent="0.3">
      <c r="A112" s="194" t="str">
        <f>'Crisis Indicator Data'!A109</f>
        <v>Conflict in Palestine</v>
      </c>
      <c r="B112" s="195" t="str">
        <f>'Crisis Indicator Data'!B109</f>
        <v>Conflict</v>
      </c>
      <c r="C112" s="195" t="str">
        <f>'Crisis Indicator Data'!C109</f>
        <v>PSE002</v>
      </c>
      <c r="D112" s="195" t="str">
        <f>'Crisis Indicator Data'!D109</f>
        <v>Palestine</v>
      </c>
      <c r="E112" s="195" t="str">
        <f>'Crisis Indicator Data'!E109</f>
        <v>PSE</v>
      </c>
      <c r="F112" s="205">
        <f>IF('Crisis Indicator Data'!Q109="x","x",('Crisis Indicator Data'!Q109/1000000))</f>
        <v>0</v>
      </c>
      <c r="G112" s="205">
        <f>IF('Crisis Indicator Data'!R109="x","x",('Crisis Indicator Data'!R109/1000000))</f>
        <v>3</v>
      </c>
      <c r="H112" s="205">
        <f>IF('Crisis Indicator Data'!S109="x","x",('Crisis Indicator Data'!S109/1000000))</f>
        <v>0.39600000000000002</v>
      </c>
      <c r="I112" s="205">
        <f>IF('Crisis Indicator Data'!T109="x","x",('Crisis Indicator Data'!T109/1000000))</f>
        <v>0.85799999999999998</v>
      </c>
      <c r="J112" s="205">
        <f>IF('Crisis Indicator Data'!U109="x","x",('Crisis Indicator Data'!U109/1000000))</f>
        <v>0.94599999999999995</v>
      </c>
      <c r="K112" s="190">
        <f t="shared" si="5"/>
        <v>3.9</v>
      </c>
      <c r="L112" s="185">
        <f>IF(F112="x","x",(F112*1000000/VLOOKUP($C112,'Crisis Indicator Data'!$C$3:$H$198,5,FALSE)))</f>
        <v>0</v>
      </c>
      <c r="M112" s="185">
        <f>IF(G112="x","x",(G112*1000000/VLOOKUP($C112,'Crisis Indicator Data'!$C$3:$H$198,5,FALSE)))</f>
        <v>0.57692307692307687</v>
      </c>
      <c r="N112" s="185">
        <f>IF(H112="x","x",(H112*1000000/VLOOKUP($C112,'Crisis Indicator Data'!$C$3:$H$198,5,FALSE)))</f>
        <v>7.6153846153846155E-2</v>
      </c>
      <c r="O112" s="185">
        <f>IF(I112="x","x",(I112*1000000/VLOOKUP($C112,'Crisis Indicator Data'!$C$3:$H$198,5,FALSE)))</f>
        <v>0.16500000000000001</v>
      </c>
      <c r="P112" s="185">
        <f>IF(J112="x","x",(J112*1000000/VLOOKUP($C112,'Crisis Indicator Data'!$C$3:$H$198,5,FALSE)))</f>
        <v>0.18192307692307691</v>
      </c>
      <c r="Q112" s="167">
        <f t="shared" si="6"/>
        <v>5</v>
      </c>
      <c r="R112" s="167">
        <f t="shared" si="7"/>
        <v>4.45</v>
      </c>
    </row>
    <row r="113" spans="1:18" x14ac:dyDescent="0.3">
      <c r="A113" s="194" t="str">
        <f>'Crisis Indicator Data'!A110</f>
        <v>Venezuela displacement in Peru</v>
      </c>
      <c r="B113" s="195" t="str">
        <f>'Crisis Indicator Data'!B110</f>
        <v>International displacement</v>
      </c>
      <c r="C113" s="195" t="str">
        <f>'Crisis Indicator Data'!C110</f>
        <v>PER002</v>
      </c>
      <c r="D113" s="195" t="str">
        <f>'Crisis Indicator Data'!D110</f>
        <v>Peru</v>
      </c>
      <c r="E113" s="195" t="str">
        <f>'Crisis Indicator Data'!E110</f>
        <v>PER</v>
      </c>
      <c r="F113" s="205">
        <f>IF('Crisis Indicator Data'!Q110="x","x",('Crisis Indicator Data'!Q110/1000000))</f>
        <v>15.443</v>
      </c>
      <c r="G113" s="205">
        <f>IF('Crisis Indicator Data'!R110="x","x",('Crisis Indicator Data'!R110/1000000))</f>
        <v>0</v>
      </c>
      <c r="H113" s="205">
        <f>IF('Crisis Indicator Data'!S110="x","x",('Crisis Indicator Data'!S110/1000000))</f>
        <v>0.88500000000000001</v>
      </c>
      <c r="I113" s="205">
        <f>IF('Crisis Indicator Data'!T110="x","x",('Crisis Indicator Data'!T110/1000000))</f>
        <v>0</v>
      </c>
      <c r="J113" s="205">
        <f>IF('Crisis Indicator Data'!U110="x","x",('Crisis Indicator Data'!U110/1000000))</f>
        <v>0</v>
      </c>
      <c r="K113" s="190">
        <f t="shared" si="5"/>
        <v>3.2</v>
      </c>
      <c r="L113" s="185">
        <f>IF(F113="x","x",(F113*1000000/VLOOKUP($C113,'Crisis Indicator Data'!$C$3:$H$198,5,FALSE)))</f>
        <v>0.94579862812346893</v>
      </c>
      <c r="M113" s="185">
        <f>IF(G113="x","x",(G113*1000000/VLOOKUP($C113,'Crisis Indicator Data'!$C$3:$H$198,5,FALSE)))</f>
        <v>0</v>
      </c>
      <c r="N113" s="185">
        <f>IF(H113="x","x",(H113*1000000/VLOOKUP($C113,'Crisis Indicator Data'!$C$3:$H$198,5,FALSE)))</f>
        <v>5.420137187653111E-2</v>
      </c>
      <c r="O113" s="185">
        <f>IF(I113="x","x",(I113*1000000/VLOOKUP($C113,'Crisis Indicator Data'!$C$3:$H$198,5,FALSE)))</f>
        <v>0</v>
      </c>
      <c r="P113" s="185">
        <f>IF(J113="x","x",(J113*1000000/VLOOKUP($C113,'Crisis Indicator Data'!$C$3:$H$198,5,FALSE)))</f>
        <v>0</v>
      </c>
      <c r="Q113" s="167">
        <f t="shared" si="6"/>
        <v>3</v>
      </c>
      <c r="R113" s="167">
        <f t="shared" si="7"/>
        <v>3.1</v>
      </c>
    </row>
    <row r="114" spans="1:18" x14ac:dyDescent="0.3">
      <c r="A114" s="194" t="str">
        <f>'Crisis Indicator Data'!A111</f>
        <v>Multiple crises in the Philippines</v>
      </c>
      <c r="B114" s="195" t="str">
        <f>'Crisis Indicator Data'!B111</f>
        <v>Multiple crises country</v>
      </c>
      <c r="C114" s="195" t="str">
        <f>'Crisis Indicator Data'!C111</f>
        <v>PHL001</v>
      </c>
      <c r="D114" s="195" t="str">
        <f>'Crisis Indicator Data'!D111</f>
        <v>Philippines</v>
      </c>
      <c r="E114" s="195" t="str">
        <f>'Crisis Indicator Data'!E111</f>
        <v>PHL</v>
      </c>
      <c r="F114" s="205">
        <f>IF('Crisis Indicator Data'!Q111="x","x",('Crisis Indicator Data'!Q111/1000000))</f>
        <v>34.039000000000001</v>
      </c>
      <c r="G114" s="205">
        <f>IF('Crisis Indicator Data'!R111="x","x",('Crisis Indicator Data'!R111/1000000))</f>
        <v>0</v>
      </c>
      <c r="H114" s="205">
        <f>IF('Crisis Indicator Data'!S111="x","x",('Crisis Indicator Data'!S111/1000000))</f>
        <v>0.23100000000000001</v>
      </c>
      <c r="I114" s="205">
        <f>IF('Crisis Indicator Data'!T111="x","x",('Crisis Indicator Data'!T111/1000000))</f>
        <v>0</v>
      </c>
      <c r="J114" s="205">
        <f>IF('Crisis Indicator Data'!U111="x","x",('Crisis Indicator Data'!U111/1000000))</f>
        <v>0</v>
      </c>
      <c r="K114" s="190">
        <f t="shared" si="5"/>
        <v>2.2999999999999998</v>
      </c>
      <c r="L114" s="185">
        <f>IF(F114="x","x",(F114*1000000/VLOOKUP($C114,'Crisis Indicator Data'!$C$3:$H$198,5,FALSE)))</f>
        <v>0.99325941056317479</v>
      </c>
      <c r="M114" s="185">
        <f>IF(G114="x","x",(G114*1000000/VLOOKUP($C114,'Crisis Indicator Data'!$C$3:$H$198,5,FALSE)))</f>
        <v>0</v>
      </c>
      <c r="N114" s="185">
        <f>IF(H114="x","x",(H114*1000000/VLOOKUP($C114,'Crisis Indicator Data'!$C$3:$H$198,5,FALSE)))</f>
        <v>6.7405894368252114E-3</v>
      </c>
      <c r="O114" s="185">
        <f>IF(I114="x","x",(I114*1000000/VLOOKUP($C114,'Crisis Indicator Data'!$C$3:$H$198,5,FALSE)))</f>
        <v>0</v>
      </c>
      <c r="P114" s="185">
        <f>IF(J114="x","x",(J114*1000000/VLOOKUP($C114,'Crisis Indicator Data'!$C$3:$H$198,5,FALSE)))</f>
        <v>0</v>
      </c>
      <c r="Q114" s="167">
        <f t="shared" si="6"/>
        <v>1</v>
      </c>
      <c r="R114" s="167">
        <f t="shared" si="7"/>
        <v>1.65</v>
      </c>
    </row>
    <row r="115" spans="1:18" x14ac:dyDescent="0.3">
      <c r="A115" s="194" t="str">
        <f>'Crisis Indicator Data'!A112</f>
        <v>Mindanao conflict</v>
      </c>
      <c r="B115" s="195" t="str">
        <f>'Crisis Indicator Data'!B112</f>
        <v>Conflict</v>
      </c>
      <c r="C115" s="195" t="str">
        <f>'Crisis Indicator Data'!C112</f>
        <v>PHL003</v>
      </c>
      <c r="D115" s="195" t="str">
        <f>'Crisis Indicator Data'!D112</f>
        <v>Philippines</v>
      </c>
      <c r="E115" s="195" t="str">
        <f>'Crisis Indicator Data'!E112</f>
        <v>PHL</v>
      </c>
      <c r="F115" s="205">
        <f>IF('Crisis Indicator Data'!Q112="x","x",('Crisis Indicator Data'!Q112/1000000))</f>
        <v>23.984999999999999</v>
      </c>
      <c r="G115" s="205">
        <f>IF('Crisis Indicator Data'!R112="x","x",('Crisis Indicator Data'!R112/1000000))</f>
        <v>2E-3</v>
      </c>
      <c r="H115" s="205">
        <f>IF('Crisis Indicator Data'!S112="x","x",('Crisis Indicator Data'!S112/1000000))</f>
        <v>0.151</v>
      </c>
      <c r="I115" s="205">
        <f>IF('Crisis Indicator Data'!T112="x","x",('Crisis Indicator Data'!T112/1000000))</f>
        <v>0</v>
      </c>
      <c r="J115" s="205">
        <f>IF('Crisis Indicator Data'!U112="x","x",('Crisis Indicator Data'!U112/1000000))</f>
        <v>0</v>
      </c>
      <c r="K115" s="190">
        <f t="shared" si="5"/>
        <v>2</v>
      </c>
      <c r="L115" s="185">
        <f>IF(F115="x","x",(F115*1000000/VLOOKUP($C115,'Crisis Indicator Data'!$C$3:$H$198,5,FALSE)))</f>
        <v>0.99374378521710305</v>
      </c>
      <c r="M115" s="185">
        <f>IF(G115="x","x",(G115*1000000/VLOOKUP($C115,'Crisis Indicator Data'!$C$3:$H$198,5,FALSE)))</f>
        <v>8.2863771958899564E-5</v>
      </c>
      <c r="N115" s="185">
        <f>IF(H115="x","x",(H115*1000000/VLOOKUP($C115,'Crisis Indicator Data'!$C$3:$H$198,5,FALSE)))</f>
        <v>6.2562147828969178E-3</v>
      </c>
      <c r="O115" s="185">
        <f>IF(I115="x","x",(I115*1000000/VLOOKUP($C115,'Crisis Indicator Data'!$C$3:$H$198,5,FALSE)))</f>
        <v>0</v>
      </c>
      <c r="P115" s="185">
        <f>IF(J115="x","x",(J115*1000000/VLOOKUP($C115,'Crisis Indicator Data'!$C$3:$H$198,5,FALSE)))</f>
        <v>0</v>
      </c>
      <c r="Q115" s="167">
        <f t="shared" si="6"/>
        <v>1</v>
      </c>
      <c r="R115" s="167">
        <f t="shared" si="7"/>
        <v>1.5</v>
      </c>
    </row>
    <row r="116" spans="1:18" x14ac:dyDescent="0.3">
      <c r="A116" s="194" t="str">
        <f>'Crisis Indicator Data'!A113</f>
        <v>Mindanao Earthquake</v>
      </c>
      <c r="B116" s="195" t="str">
        <f>'Crisis Indicator Data'!B113</f>
        <v>Earthquake</v>
      </c>
      <c r="C116" s="195" t="str">
        <f>'Crisis Indicator Data'!C113</f>
        <v>PHL004</v>
      </c>
      <c r="D116" s="195" t="str">
        <f>'Crisis Indicator Data'!D113</f>
        <v>Philippines</v>
      </c>
      <c r="E116" s="195" t="str">
        <f>'Crisis Indicator Data'!E113</f>
        <v>PHL</v>
      </c>
      <c r="F116" s="205">
        <f>IF('Crisis Indicator Data'!Q113="x","x",('Crisis Indicator Data'!Q113/1000000))</f>
        <v>10.055999999999999</v>
      </c>
      <c r="G116" s="205">
        <f>IF('Crisis Indicator Data'!R113="x","x",('Crisis Indicator Data'!R113/1000000))</f>
        <v>0</v>
      </c>
      <c r="H116" s="205">
        <f>IF('Crisis Indicator Data'!S113="x","x",('Crisis Indicator Data'!S113/1000000))</f>
        <v>7.9000000000000001E-2</v>
      </c>
      <c r="I116" s="205">
        <f>IF('Crisis Indicator Data'!T113="x","x",('Crisis Indicator Data'!T113/1000000))</f>
        <v>0</v>
      </c>
      <c r="J116" s="205">
        <f>IF('Crisis Indicator Data'!U113="x","x",('Crisis Indicator Data'!U113/1000000))</f>
        <v>0</v>
      </c>
      <c r="K116" s="190">
        <f t="shared" si="5"/>
        <v>1.5</v>
      </c>
      <c r="L116" s="185">
        <f>IF(F116="x","x",(F116*1000000/VLOOKUP($C116,'Crisis Indicator Data'!$C$3:$H$198,5,FALSE)))</f>
        <v>0.99230313795145053</v>
      </c>
      <c r="M116" s="185">
        <f>IF(G116="x","x",(G116*1000000/VLOOKUP($C116,'Crisis Indicator Data'!$C$3:$H$198,5,FALSE)))</f>
        <v>0</v>
      </c>
      <c r="N116" s="185">
        <f>IF(H116="x","x",(H116*1000000/VLOOKUP($C116,'Crisis Indicator Data'!$C$3:$H$198,5,FALSE)))</f>
        <v>7.7955397671205838E-3</v>
      </c>
      <c r="O116" s="185">
        <f>IF(I116="x","x",(I116*1000000/VLOOKUP($C116,'Crisis Indicator Data'!$C$3:$H$198,5,FALSE)))</f>
        <v>0</v>
      </c>
      <c r="P116" s="185">
        <f>IF(J116="x","x",(J116*1000000/VLOOKUP($C116,'Crisis Indicator Data'!$C$3:$H$198,5,FALSE)))</f>
        <v>0</v>
      </c>
      <c r="Q116" s="167">
        <f t="shared" si="6"/>
        <v>1</v>
      </c>
      <c r="R116" s="167">
        <f t="shared" si="7"/>
        <v>1.25</v>
      </c>
    </row>
    <row r="117" spans="1:18" x14ac:dyDescent="0.3">
      <c r="A117" s="194" t="str">
        <f>'Crisis Indicator Data'!A114</f>
        <v>Burundi and DRC refugees in Rwanda</v>
      </c>
      <c r="B117" s="195" t="str">
        <f>'Crisis Indicator Data'!B114</f>
        <v>International displacement</v>
      </c>
      <c r="C117" s="195" t="str">
        <f>'Crisis Indicator Data'!C114</f>
        <v>RWA002</v>
      </c>
      <c r="D117" s="195" t="str">
        <f>'Crisis Indicator Data'!D114</f>
        <v>Rwanda</v>
      </c>
      <c r="E117" s="195" t="str">
        <f>'Crisis Indicator Data'!E114</f>
        <v>RWA</v>
      </c>
      <c r="F117" s="205">
        <f>IF('Crisis Indicator Data'!Q114="x","x",('Crisis Indicator Data'!Q114/1000000))</f>
        <v>4.4269999999999996</v>
      </c>
      <c r="G117" s="205">
        <f>IF('Crisis Indicator Data'!R114="x","x",('Crisis Indicator Data'!R114/1000000))</f>
        <v>0</v>
      </c>
      <c r="H117" s="205">
        <f>IF('Crisis Indicator Data'!S114="x","x",('Crisis Indicator Data'!S114/1000000))</f>
        <v>0.14899999999999999</v>
      </c>
      <c r="I117" s="205">
        <f>IF('Crisis Indicator Data'!T114="x","x",('Crisis Indicator Data'!T114/1000000))</f>
        <v>0</v>
      </c>
      <c r="J117" s="205">
        <f>IF('Crisis Indicator Data'!U114="x","x",('Crisis Indicator Data'!U114/1000000))</f>
        <v>0</v>
      </c>
      <c r="K117" s="190">
        <f t="shared" si="5"/>
        <v>2</v>
      </c>
      <c r="L117" s="185">
        <f>IF(F117="x","x",(F117*1000000/VLOOKUP($C117,'Crisis Indicator Data'!$C$3:$H$198,5,FALSE)))</f>
        <v>0.96743881118881114</v>
      </c>
      <c r="M117" s="185">
        <f>IF(G117="x","x",(G117*1000000/VLOOKUP($C117,'Crisis Indicator Data'!$C$3:$H$198,5,FALSE)))</f>
        <v>0</v>
      </c>
      <c r="N117" s="185">
        <f>IF(H117="x","x",(H117*1000000/VLOOKUP($C117,'Crisis Indicator Data'!$C$3:$H$198,5,FALSE)))</f>
        <v>3.2561188811188808E-2</v>
      </c>
      <c r="O117" s="185">
        <f>IF(I117="x","x",(I117*1000000/VLOOKUP($C117,'Crisis Indicator Data'!$C$3:$H$198,5,FALSE)))</f>
        <v>0</v>
      </c>
      <c r="P117" s="185">
        <f>IF(J117="x","x",(J117*1000000/VLOOKUP($C117,'Crisis Indicator Data'!$C$3:$H$198,5,FALSE)))</f>
        <v>0</v>
      </c>
      <c r="Q117" s="167">
        <f t="shared" si="6"/>
        <v>1</v>
      </c>
      <c r="R117" s="167">
        <f t="shared" si="7"/>
        <v>1.5</v>
      </c>
    </row>
    <row r="118" spans="1:18" x14ac:dyDescent="0.3">
      <c r="A118" s="194" t="str">
        <f>'Crisis Indicator Data'!A115</f>
        <v>Drought in Senegal</v>
      </c>
      <c r="B118" s="195" t="str">
        <f>'Crisis Indicator Data'!B115</f>
        <v>Drought</v>
      </c>
      <c r="C118" s="195" t="str">
        <f>'Crisis Indicator Data'!C115</f>
        <v>SEN002</v>
      </c>
      <c r="D118" s="195" t="str">
        <f>'Crisis Indicator Data'!D115</f>
        <v>Senegal</v>
      </c>
      <c r="E118" s="195" t="str">
        <f>'Crisis Indicator Data'!E115</f>
        <v>SEN</v>
      </c>
      <c r="F118" s="205">
        <f>IF('Crisis Indicator Data'!Q115="x","x",('Crisis Indicator Data'!Q115/1000000))</f>
        <v>13.377000000000001</v>
      </c>
      <c r="G118" s="205">
        <f>IF('Crisis Indicator Data'!R115="x","x",('Crisis Indicator Data'!R115/1000000))</f>
        <v>2.4889999999999999</v>
      </c>
      <c r="H118" s="205">
        <f>IF('Crisis Indicator Data'!S115="x","x",('Crisis Indicator Data'!S115/1000000))</f>
        <v>0.437</v>
      </c>
      <c r="I118" s="205">
        <f>IF('Crisis Indicator Data'!T115="x","x",('Crisis Indicator Data'!T115/1000000))</f>
        <v>0</v>
      </c>
      <c r="J118" s="205">
        <f>IF('Crisis Indicator Data'!U115="x","x",('Crisis Indicator Data'!U115/1000000))</f>
        <v>0</v>
      </c>
      <c r="K118" s="190">
        <f t="shared" si="5"/>
        <v>2.7</v>
      </c>
      <c r="L118" s="185">
        <f>IF(F118="x","x",(F118*1000000/VLOOKUP($C118,'Crisis Indicator Data'!$C$3:$H$198,5,FALSE)))</f>
        <v>0.82052382996994422</v>
      </c>
      <c r="M118" s="185">
        <f>IF(G118="x","x",(G118*1000000/VLOOKUP($C118,'Crisis Indicator Data'!$C$3:$H$198,5,FALSE)))</f>
        <v>0.15267128749309944</v>
      </c>
      <c r="N118" s="185">
        <f>IF(H118="x","x",(H118*1000000/VLOOKUP($C118,'Crisis Indicator Data'!$C$3:$H$198,5,FALSE)))</f>
        <v>2.6804882536956388E-2</v>
      </c>
      <c r="O118" s="185">
        <f>IF(I118="x","x",(I118*1000000/VLOOKUP($C118,'Crisis Indicator Data'!$C$3:$H$198,5,FALSE)))</f>
        <v>0</v>
      </c>
      <c r="P118" s="185">
        <f>IF(J118="x","x",(J118*1000000/VLOOKUP($C118,'Crisis Indicator Data'!$C$3:$H$198,5,FALSE)))</f>
        <v>0</v>
      </c>
      <c r="Q118" s="167">
        <f t="shared" si="6"/>
        <v>2</v>
      </c>
      <c r="R118" s="167">
        <f t="shared" si="7"/>
        <v>2.35</v>
      </c>
    </row>
    <row r="119" spans="1:18" x14ac:dyDescent="0.3">
      <c r="A119" s="194" t="str">
        <f>'Crisis Indicator Data'!A116</f>
        <v>Complex crisis in Somalia</v>
      </c>
      <c r="B119" s="195" t="str">
        <f>'Crisis Indicator Data'!B116</f>
        <v>Complex crisis</v>
      </c>
      <c r="C119" s="195" t="str">
        <f>'Crisis Indicator Data'!C116</f>
        <v>SOM001</v>
      </c>
      <c r="D119" s="195" t="str">
        <f>'Crisis Indicator Data'!D116</f>
        <v>Somalia</v>
      </c>
      <c r="E119" s="195" t="str">
        <f>'Crisis Indicator Data'!E116</f>
        <v>SOM</v>
      </c>
      <c r="F119" s="205">
        <f>IF('Crisis Indicator Data'!Q116="x","x",('Crisis Indicator Data'!Q116/1000000))</f>
        <v>0</v>
      </c>
      <c r="G119" s="205">
        <f>IF('Crisis Indicator Data'!R116="x","x",('Crisis Indicator Data'!R116/1000000))</f>
        <v>7.1</v>
      </c>
      <c r="H119" s="205">
        <f>IF('Crisis Indicator Data'!S116="x","x",('Crisis Indicator Data'!S116/1000000))</f>
        <v>2.06</v>
      </c>
      <c r="I119" s="205">
        <f>IF('Crisis Indicator Data'!T116="x","x",('Crisis Indicator Data'!T116/1000000))</f>
        <v>2.4</v>
      </c>
      <c r="J119" s="205">
        <f>IF('Crisis Indicator Data'!U116="x","x",('Crisis Indicator Data'!U116/1000000))</f>
        <v>0.74</v>
      </c>
      <c r="K119" s="190">
        <f t="shared" si="5"/>
        <v>4.5</v>
      </c>
      <c r="L119" s="185">
        <f>IF(F119="x","x",(F119*1000000/VLOOKUP($C119,'Crisis Indicator Data'!$C$3:$H$198,5,FALSE)))</f>
        <v>0</v>
      </c>
      <c r="M119" s="185">
        <f>IF(G119="x","x",(G119*1000000/VLOOKUP($C119,'Crisis Indicator Data'!$C$3:$H$198,5,FALSE)))</f>
        <v>0.57723577235772361</v>
      </c>
      <c r="N119" s="185">
        <f>IF(H119="x","x",(H119*1000000/VLOOKUP($C119,'Crisis Indicator Data'!$C$3:$H$198,5,FALSE)))</f>
        <v>0.16747967479674797</v>
      </c>
      <c r="O119" s="185">
        <f>IF(I119="x","x",(I119*1000000/VLOOKUP($C119,'Crisis Indicator Data'!$C$3:$H$198,5,FALSE)))</f>
        <v>0.1951219512195122</v>
      </c>
      <c r="P119" s="185">
        <f>IF(J119="x","x",(J119*1000000/VLOOKUP($C119,'Crisis Indicator Data'!$C$3:$H$198,5,FALSE)))</f>
        <v>6.0162601626016263E-2</v>
      </c>
      <c r="Q119" s="167">
        <f t="shared" si="6"/>
        <v>5</v>
      </c>
      <c r="R119" s="167">
        <f t="shared" si="7"/>
        <v>4.75</v>
      </c>
    </row>
    <row r="120" spans="1:18" x14ac:dyDescent="0.3">
      <c r="A120" s="194" t="str">
        <f>'Crisis Indicator Data'!A117</f>
        <v>Mixed Migration Flows in Somalia</v>
      </c>
      <c r="B120" s="195" t="str">
        <f>'Crisis Indicator Data'!B117</f>
        <v>International displacement</v>
      </c>
      <c r="C120" s="195" t="str">
        <f>'Crisis Indicator Data'!C117</f>
        <v>SOM002</v>
      </c>
      <c r="D120" s="195" t="str">
        <f>'Crisis Indicator Data'!D117</f>
        <v>Somalia</v>
      </c>
      <c r="E120" s="195" t="str">
        <f>'Crisis Indicator Data'!E117</f>
        <v>SOM</v>
      </c>
      <c r="F120" s="205">
        <f>IF('Crisis Indicator Data'!Q117="x","x",('Crisis Indicator Data'!Q117/1000000))</f>
        <v>1.2270000000000001</v>
      </c>
      <c r="G120" s="205">
        <f>IF('Crisis Indicator Data'!R117="x","x",('Crisis Indicator Data'!R117/1000000))</f>
        <v>0</v>
      </c>
      <c r="H120" s="205">
        <f>IF('Crisis Indicator Data'!S117="x","x",('Crisis Indicator Data'!S117/1000000))</f>
        <v>2E-3</v>
      </c>
      <c r="I120" s="205">
        <f>IF('Crisis Indicator Data'!T117="x","x",('Crisis Indicator Data'!T117/1000000))</f>
        <v>3.4000000000000002E-2</v>
      </c>
      <c r="J120" s="205">
        <f>IF('Crisis Indicator Data'!U117="x","x",('Crisis Indicator Data'!U117/1000000))</f>
        <v>0</v>
      </c>
      <c r="K120" s="190">
        <f t="shared" si="5"/>
        <v>0.9</v>
      </c>
      <c r="L120" s="185">
        <f>IF(F120="x","x",(F120*1000000/VLOOKUP($C120,'Crisis Indicator Data'!$C$3:$H$198,5,FALSE)))</f>
        <v>0.97303727200634416</v>
      </c>
      <c r="M120" s="185">
        <f>IF(G120="x","x",(G120*1000000/VLOOKUP($C120,'Crisis Indicator Data'!$C$3:$H$198,5,FALSE)))</f>
        <v>0</v>
      </c>
      <c r="N120" s="185">
        <f>IF(H120="x","x",(H120*1000000/VLOOKUP($C120,'Crisis Indicator Data'!$C$3:$H$198,5,FALSE)))</f>
        <v>1.5860428231562252E-3</v>
      </c>
      <c r="O120" s="185">
        <f>IF(I120="x","x",(I120*1000000/VLOOKUP($C120,'Crisis Indicator Data'!$C$3:$H$198,5,FALSE)))</f>
        <v>2.696272799365583E-2</v>
      </c>
      <c r="P120" s="185">
        <f>IF(J120="x","x",(J120*1000000/VLOOKUP($C120,'Crisis Indicator Data'!$C$3:$H$198,5,FALSE)))</f>
        <v>0</v>
      </c>
      <c r="Q120" s="167">
        <f t="shared" si="6"/>
        <v>1</v>
      </c>
      <c r="R120" s="167">
        <f t="shared" si="7"/>
        <v>0.95</v>
      </c>
    </row>
    <row r="121" spans="1:18" x14ac:dyDescent="0.3">
      <c r="A121" s="194" t="str">
        <f>'Crisis Indicator Data'!A118</f>
        <v>Floods in Somalia</v>
      </c>
      <c r="B121" s="195" t="str">
        <f>'Crisis Indicator Data'!B118</f>
        <v>Flood</v>
      </c>
      <c r="C121" s="195" t="str">
        <f>'Crisis Indicator Data'!C118</f>
        <v>SOM004</v>
      </c>
      <c r="D121" s="195" t="str">
        <f>'Crisis Indicator Data'!D118</f>
        <v>Somalia</v>
      </c>
      <c r="E121" s="195" t="str">
        <f>'Crisis Indicator Data'!E118</f>
        <v>SOM</v>
      </c>
      <c r="F121" s="205">
        <f>IF('Crisis Indicator Data'!Q118="x","x",('Crisis Indicator Data'!Q118/1000000))</f>
        <v>4.7640000000000002</v>
      </c>
      <c r="G121" s="205">
        <f>IF('Crisis Indicator Data'!R118="x","x",('Crisis Indicator Data'!R118/1000000))</f>
        <v>0.251</v>
      </c>
      <c r="H121" s="205">
        <f>IF('Crisis Indicator Data'!S118="x","x",('Crisis Indicator Data'!S118/1000000))</f>
        <v>0.28499999999999998</v>
      </c>
      <c r="I121" s="205">
        <f>IF('Crisis Indicator Data'!T118="x","x",('Crisis Indicator Data'!T118/1000000))</f>
        <v>0</v>
      </c>
      <c r="J121" s="205">
        <f>IF('Crisis Indicator Data'!U118="x","x",('Crisis Indicator Data'!U118/1000000))</f>
        <v>0</v>
      </c>
      <c r="K121" s="190">
        <f t="shared" si="5"/>
        <v>2.4</v>
      </c>
      <c r="L121" s="185">
        <f>IF(F121="x","x",(F121*1000000/VLOOKUP($C121,'Crisis Indicator Data'!$C$3:$H$198,5,FALSE)))</f>
        <v>0.89886792452830189</v>
      </c>
      <c r="M121" s="185">
        <f>IF(G121="x","x",(G121*1000000/VLOOKUP($C121,'Crisis Indicator Data'!$C$3:$H$198,5,FALSE)))</f>
        <v>4.7358490566037734E-2</v>
      </c>
      <c r="N121" s="185">
        <f>IF(H121="x","x",(H121*1000000/VLOOKUP($C121,'Crisis Indicator Data'!$C$3:$H$198,5,FALSE)))</f>
        <v>5.3773584905660379E-2</v>
      </c>
      <c r="O121" s="185">
        <f>IF(I121="x","x",(I121*1000000/VLOOKUP($C121,'Crisis Indicator Data'!$C$3:$H$198,5,FALSE)))</f>
        <v>0</v>
      </c>
      <c r="P121" s="185">
        <f>IF(J121="x","x",(J121*1000000/VLOOKUP($C121,'Crisis Indicator Data'!$C$3:$H$198,5,FALSE)))</f>
        <v>0</v>
      </c>
      <c r="Q121" s="167">
        <f t="shared" si="6"/>
        <v>3</v>
      </c>
      <c r="R121" s="167">
        <f t="shared" si="7"/>
        <v>2.7</v>
      </c>
    </row>
    <row r="122" spans="1:18" x14ac:dyDescent="0.3">
      <c r="A122" s="194" t="str">
        <f>'Crisis Indicator Data'!A119</f>
        <v>Complex crisis in South Sudan</v>
      </c>
      <c r="B122" s="195" t="str">
        <f>'Crisis Indicator Data'!B119</f>
        <v>Complex crisis</v>
      </c>
      <c r="C122" s="195" t="str">
        <f>'Crisis Indicator Data'!C119</f>
        <v>SSD001</v>
      </c>
      <c r="D122" s="195" t="str">
        <f>'Crisis Indicator Data'!D119</f>
        <v>South Sudan</v>
      </c>
      <c r="E122" s="195" t="str">
        <f>'Crisis Indicator Data'!E119</f>
        <v>SSD</v>
      </c>
      <c r="F122" s="205">
        <f>IF('Crisis Indicator Data'!Q119="x","x",('Crisis Indicator Data'!Q119/1000000))</f>
        <v>0</v>
      </c>
      <c r="G122" s="205">
        <f>IF('Crisis Indicator Data'!R119="x","x",('Crisis Indicator Data'!R119/1000000))</f>
        <v>4.43</v>
      </c>
      <c r="H122" s="205">
        <f>IF('Crisis Indicator Data'!S119="x","x",('Crisis Indicator Data'!S119/1000000))</f>
        <v>5.26</v>
      </c>
      <c r="I122" s="205">
        <f>IF('Crisis Indicator Data'!T119="x","x",('Crisis Indicator Data'!T119/1000000))</f>
        <v>1.93</v>
      </c>
      <c r="J122" s="205">
        <f>IF('Crisis Indicator Data'!U119="x","x",('Crisis Indicator Data'!U119/1000000))</f>
        <v>0.01</v>
      </c>
      <c r="K122" s="190">
        <f t="shared" si="5"/>
        <v>4.8</v>
      </c>
      <c r="L122" s="185">
        <f>IF(F122="x","x",(F122*1000000/VLOOKUP($C122,'Crisis Indicator Data'!$C$3:$H$198,5,FALSE)))</f>
        <v>0</v>
      </c>
      <c r="M122" s="185">
        <f>IF(G122="x","x",(G122*1000000/VLOOKUP($C122,'Crisis Indicator Data'!$C$3:$H$198,5,FALSE)))</f>
        <v>0.37911852802738555</v>
      </c>
      <c r="N122" s="185">
        <f>IF(H122="x","x",(H122*1000000/VLOOKUP($C122,'Crisis Indicator Data'!$C$3:$H$198,5,FALSE)))</f>
        <v>0.4501497646555413</v>
      </c>
      <c r="O122" s="185">
        <f>IF(I122="x","x",(I122*1000000/VLOOKUP($C122,'Crisis Indicator Data'!$C$3:$H$198,5,FALSE)))</f>
        <v>0.16516902011125376</v>
      </c>
      <c r="P122" s="185">
        <f>IF(J122="x","x",(J122*1000000/VLOOKUP($C122,'Crisis Indicator Data'!$C$3:$H$198,5,FALSE)))</f>
        <v>8.5579803166452718E-4</v>
      </c>
      <c r="Q122" s="167">
        <f t="shared" si="6"/>
        <v>4</v>
      </c>
      <c r="R122" s="167">
        <f t="shared" si="7"/>
        <v>4.4000000000000004</v>
      </c>
    </row>
    <row r="123" spans="1:18" x14ac:dyDescent="0.3">
      <c r="A123" s="194" t="str">
        <f>'Crisis Indicator Data'!A120</f>
        <v>Complex crisis in Sudan</v>
      </c>
      <c r="B123" s="195" t="str">
        <f>'Crisis Indicator Data'!B120</f>
        <v>Complex crisis</v>
      </c>
      <c r="C123" s="195" t="str">
        <f>'Crisis Indicator Data'!C120</f>
        <v>SDN001</v>
      </c>
      <c r="D123" s="195" t="str">
        <f>'Crisis Indicator Data'!D120</f>
        <v>Sudan</v>
      </c>
      <c r="E123" s="195" t="str">
        <f>'Crisis Indicator Data'!E120</f>
        <v>SDN</v>
      </c>
      <c r="F123" s="205">
        <f>IF('Crisis Indicator Data'!Q120="x","x",('Crisis Indicator Data'!Q120/1000000))</f>
        <v>16.399999999999999</v>
      </c>
      <c r="G123" s="205">
        <f>IF('Crisis Indicator Data'!R120="x","x",('Crisis Indicator Data'!R120/1000000))</f>
        <v>17.3</v>
      </c>
      <c r="H123" s="205">
        <f>IF('Crisis Indicator Data'!S120="x","x",('Crisis Indicator Data'!S120/1000000))</f>
        <v>4.4000000000000004</v>
      </c>
      <c r="I123" s="205">
        <f>IF('Crisis Indicator Data'!T120="x","x",('Crisis Indicator Data'!T120/1000000))</f>
        <v>1</v>
      </c>
      <c r="J123" s="205">
        <f>IF('Crisis Indicator Data'!U120="x","x",('Crisis Indicator Data'!U120/1000000))</f>
        <v>3.9</v>
      </c>
      <c r="K123" s="190">
        <f t="shared" si="5"/>
        <v>4.9000000000000004</v>
      </c>
      <c r="L123" s="185">
        <f>IF(F123="x","x",(F123*1000000/VLOOKUP($C123,'Crisis Indicator Data'!$C$3:$H$198,5,FALSE)))</f>
        <v>0.38139534883720927</v>
      </c>
      <c r="M123" s="185">
        <f>IF(G123="x","x",(G123*1000000/VLOOKUP($C123,'Crisis Indicator Data'!$C$3:$H$198,5,FALSE)))</f>
        <v>0.40232558139534885</v>
      </c>
      <c r="N123" s="185">
        <f>IF(H123="x","x",(H123*1000000/VLOOKUP($C123,'Crisis Indicator Data'!$C$3:$H$198,5,FALSE)))</f>
        <v>0.10232558139534884</v>
      </c>
      <c r="O123" s="185">
        <f>IF(I123="x","x",(I123*1000000/VLOOKUP($C123,'Crisis Indicator Data'!$C$3:$H$198,5,FALSE)))</f>
        <v>2.3255813953488372E-2</v>
      </c>
      <c r="P123" s="185">
        <f>IF(J123="x","x",(J123*1000000/VLOOKUP($C123,'Crisis Indicator Data'!$C$3:$H$198,5,FALSE)))</f>
        <v>9.0697674418604657E-2</v>
      </c>
      <c r="Q123" s="167">
        <f t="shared" si="6"/>
        <v>5</v>
      </c>
      <c r="R123" s="167">
        <f t="shared" si="7"/>
        <v>4.95</v>
      </c>
    </row>
    <row r="124" spans="1:18" x14ac:dyDescent="0.3">
      <c r="A124" s="194" t="str">
        <f>'Crisis Indicator Data'!A121</f>
        <v>Refugees in Sudan</v>
      </c>
      <c r="B124" s="195" t="str">
        <f>'Crisis Indicator Data'!B121</f>
        <v>International displacement</v>
      </c>
      <c r="C124" s="195" t="str">
        <f>'Crisis Indicator Data'!C121</f>
        <v>SDN005</v>
      </c>
      <c r="D124" s="195" t="str">
        <f>'Crisis Indicator Data'!D121</f>
        <v>Sudan</v>
      </c>
      <c r="E124" s="195" t="str">
        <f>'Crisis Indicator Data'!E121</f>
        <v>SDN</v>
      </c>
      <c r="F124" s="205">
        <f>IF('Crisis Indicator Data'!Q121="x","x",('Crisis Indicator Data'!Q121/1000000))</f>
        <v>0</v>
      </c>
      <c r="G124" s="205">
        <f>IF('Crisis Indicator Data'!R121="x","x",('Crisis Indicator Data'!R121/1000000))</f>
        <v>0.22600000000000001</v>
      </c>
      <c r="H124" s="205">
        <f>IF('Crisis Indicator Data'!S121="x","x",('Crisis Indicator Data'!S121/1000000))</f>
        <v>0.4</v>
      </c>
      <c r="I124" s="205">
        <f>IF('Crisis Indicator Data'!T121="x","x",('Crisis Indicator Data'!T121/1000000))</f>
        <v>0.5</v>
      </c>
      <c r="J124" s="205">
        <f>IF('Crisis Indicator Data'!U121="x","x",('Crisis Indicator Data'!U121/1000000))</f>
        <v>0.2</v>
      </c>
      <c r="K124" s="190">
        <f t="shared" si="5"/>
        <v>3.4</v>
      </c>
      <c r="L124" s="185">
        <f>IF(F124="x","x",(F124*1000000/VLOOKUP($C124,'Crisis Indicator Data'!$C$3:$H$198,5,FALSE)))</f>
        <v>0</v>
      </c>
      <c r="M124" s="185">
        <f>IF(G124="x","x",(G124*1000000/VLOOKUP($C124,'Crisis Indicator Data'!$C$3:$H$198,5,FALSE)))</f>
        <v>0.17043740573152338</v>
      </c>
      <c r="N124" s="185">
        <f>IF(H124="x","x",(H124*1000000/VLOOKUP($C124,'Crisis Indicator Data'!$C$3:$H$198,5,FALSE)))</f>
        <v>0.30165912518853694</v>
      </c>
      <c r="O124" s="185">
        <f>IF(I124="x","x",(I124*1000000/VLOOKUP($C124,'Crisis Indicator Data'!$C$3:$H$198,5,FALSE)))</f>
        <v>0.37707390648567118</v>
      </c>
      <c r="P124" s="185">
        <f>IF(J124="x","x",(J124*1000000/VLOOKUP($C124,'Crisis Indicator Data'!$C$3:$H$198,5,FALSE)))</f>
        <v>0.15082956259426847</v>
      </c>
      <c r="Q124" s="167">
        <f t="shared" si="6"/>
        <v>5</v>
      </c>
      <c r="R124" s="167">
        <f t="shared" si="7"/>
        <v>4.2</v>
      </c>
    </row>
    <row r="125" spans="1:18" x14ac:dyDescent="0.3">
      <c r="A125" s="194" t="str">
        <f>'Crisis Indicator Data'!A122</f>
        <v xml:space="preserve">Floods in Sudan </v>
      </c>
      <c r="B125" s="195" t="str">
        <f>'Crisis Indicator Data'!B122</f>
        <v>Flood</v>
      </c>
      <c r="C125" s="195" t="str">
        <f>'Crisis Indicator Data'!C122</f>
        <v>SDN006</v>
      </c>
      <c r="D125" s="195" t="str">
        <f>'Crisis Indicator Data'!D122</f>
        <v>Sudan</v>
      </c>
      <c r="E125" s="195" t="str">
        <f>'Crisis Indicator Data'!E122</f>
        <v>SDN</v>
      </c>
      <c r="F125" s="205">
        <f>IF('Crisis Indicator Data'!Q122="x","x",('Crisis Indicator Data'!Q122/1000000))</f>
        <v>42.14</v>
      </c>
      <c r="G125" s="205">
        <f>IF('Crisis Indicator Data'!R122="x","x",('Crisis Indicator Data'!R122/1000000))</f>
        <v>0.81</v>
      </c>
      <c r="H125" s="205">
        <f>IF('Crisis Indicator Data'!S122="x","x",('Crisis Indicator Data'!S122/1000000))</f>
        <v>0.05</v>
      </c>
      <c r="I125" s="205">
        <f>IF('Crisis Indicator Data'!T122="x","x",('Crisis Indicator Data'!T122/1000000))</f>
        <v>0</v>
      </c>
      <c r="J125" s="205">
        <f>IF('Crisis Indicator Data'!U122="x","x",('Crisis Indicator Data'!U122/1000000))</f>
        <v>0</v>
      </c>
      <c r="K125" s="190">
        <f t="shared" si="5"/>
        <v>1.2</v>
      </c>
      <c r="L125" s="185">
        <f>IF(F125="x","x",(F125*1000000/VLOOKUP($C125,'Crisis Indicator Data'!$C$3:$H$198,5,FALSE)))</f>
        <v>0.98</v>
      </c>
      <c r="M125" s="185">
        <f>IF(G125="x","x",(G125*1000000/VLOOKUP($C125,'Crisis Indicator Data'!$C$3:$H$198,5,FALSE)))</f>
        <v>1.8837209302325582E-2</v>
      </c>
      <c r="N125" s="185">
        <f>IF(H125="x","x",(H125*1000000/VLOOKUP($C125,'Crisis Indicator Data'!$C$3:$H$198,5,FALSE)))</f>
        <v>1.1627906976744186E-3</v>
      </c>
      <c r="O125" s="185">
        <f>IF(I125="x","x",(I125*1000000/VLOOKUP($C125,'Crisis Indicator Data'!$C$3:$H$198,5,FALSE)))</f>
        <v>0</v>
      </c>
      <c r="P125" s="185">
        <f>IF(J125="x","x",(J125*1000000/VLOOKUP($C125,'Crisis Indicator Data'!$C$3:$H$198,5,FALSE)))</f>
        <v>0</v>
      </c>
      <c r="Q125" s="167">
        <f t="shared" si="6"/>
        <v>1</v>
      </c>
      <c r="R125" s="167">
        <f t="shared" si="7"/>
        <v>1.1000000000000001</v>
      </c>
    </row>
    <row r="126" spans="1:18" x14ac:dyDescent="0.3">
      <c r="A126" s="194" t="str">
        <f>'Crisis Indicator Data'!A123</f>
        <v>Syrian conflict</v>
      </c>
      <c r="B126" s="195" t="str">
        <f>'Crisis Indicator Data'!B123</f>
        <v>Complex crisis</v>
      </c>
      <c r="C126" s="195" t="str">
        <f>'Crisis Indicator Data'!C123</f>
        <v>SYR001</v>
      </c>
      <c r="D126" s="195" t="str">
        <f>'Crisis Indicator Data'!D123</f>
        <v>Syria</v>
      </c>
      <c r="E126" s="195" t="str">
        <f>'Crisis Indicator Data'!E123</f>
        <v>SYR</v>
      </c>
      <c r="F126" s="205">
        <f>IF('Crisis Indicator Data'!Q123="x","x",('Crisis Indicator Data'!Q123/1000000))</f>
        <v>0</v>
      </c>
      <c r="G126" s="205">
        <f>IF('Crisis Indicator Data'!R123="x","x",('Crisis Indicator Data'!R123/1000000))</f>
        <v>5.3620000000000001</v>
      </c>
      <c r="H126" s="205">
        <f>IF('Crisis Indicator Data'!S123="x","x",('Crisis Indicator Data'!S123/1000000))</f>
        <v>1.9690000000000001</v>
      </c>
      <c r="I126" s="205">
        <f>IF('Crisis Indicator Data'!T123="x","x",('Crisis Indicator Data'!T123/1000000))</f>
        <v>8.5</v>
      </c>
      <c r="J126" s="205">
        <f>IF('Crisis Indicator Data'!U123="x","x",('Crisis Indicator Data'!U123/1000000))</f>
        <v>1.2390000000000001</v>
      </c>
      <c r="K126" s="190">
        <f t="shared" si="5"/>
        <v>5</v>
      </c>
      <c r="L126" s="185">
        <f>IF(F126="x","x",(F126*1000000/VLOOKUP($C126,'Crisis Indicator Data'!$C$3:$H$198,5,FALSE)))</f>
        <v>0</v>
      </c>
      <c r="M126" s="185">
        <f>IF(G126="x","x",(G126*1000000/VLOOKUP($C126,'Crisis Indicator Data'!$C$3:$H$198,5,FALSE)))</f>
        <v>0.31411833626244873</v>
      </c>
      <c r="N126" s="185">
        <f>IF(H126="x","x",(H126*1000000/VLOOKUP($C126,'Crisis Indicator Data'!$C$3:$H$198,5,FALSE)))</f>
        <v>0.1153485647334505</v>
      </c>
      <c r="O126" s="185">
        <f>IF(I126="x","x",(I126*1000000/VLOOKUP($C126,'Crisis Indicator Data'!$C$3:$H$198,5,FALSE)))</f>
        <v>0.49794961921499709</v>
      </c>
      <c r="P126" s="185">
        <f>IF(J126="x","x",(J126*1000000/VLOOKUP($C126,'Crisis Indicator Data'!$C$3:$H$198,5,FALSE)))</f>
        <v>7.2583479789103691E-2</v>
      </c>
      <c r="Q126" s="167">
        <f t="shared" si="6"/>
        <v>5</v>
      </c>
      <c r="R126" s="167">
        <f t="shared" si="7"/>
        <v>5</v>
      </c>
    </row>
    <row r="127" spans="1:18" x14ac:dyDescent="0.3">
      <c r="A127" s="194" t="str">
        <f>'Crisis Indicator Data'!A124</f>
        <v>Syrian Regional Crisis</v>
      </c>
      <c r="B127" s="195" t="str">
        <f>'Crisis Indicator Data'!B124</f>
        <v>Regional crisis</v>
      </c>
      <c r="C127" s="195" t="str">
        <f>'Crisis Indicator Data'!C124</f>
        <v>REG004</v>
      </c>
      <c r="D127" s="195" t="str">
        <f>'Crisis Indicator Data'!D124</f>
        <v>Syria, Turkey, Iraq, Egypt, Jordan, Lebanon</v>
      </c>
      <c r="E127" s="195" t="str">
        <f>'Crisis Indicator Data'!E124</f>
        <v>SYR, TUR, IRQ, EGY, JOR, LBN</v>
      </c>
      <c r="F127" s="205">
        <f>IF('Crisis Indicator Data'!Q124="x","x",('Crisis Indicator Data'!Q124/1000000))</f>
        <v>66.917000000000002</v>
      </c>
      <c r="G127" s="205">
        <f>IF('Crisis Indicator Data'!R124="x","x",('Crisis Indicator Data'!R124/1000000))</f>
        <v>13.218</v>
      </c>
      <c r="H127" s="205">
        <f>IF('Crisis Indicator Data'!S124="x","x",('Crisis Indicator Data'!S124/1000000))</f>
        <v>4.4249999999999998</v>
      </c>
      <c r="I127" s="205">
        <f>IF('Crisis Indicator Data'!T124="x","x",('Crisis Indicator Data'!T124/1000000))</f>
        <v>9.8019999999999996</v>
      </c>
      <c r="J127" s="205">
        <f>IF('Crisis Indicator Data'!U124="x","x",('Crisis Indicator Data'!U124/1000000))</f>
        <v>1.2390000000000001</v>
      </c>
      <c r="K127" s="190">
        <f t="shared" si="5"/>
        <v>5</v>
      </c>
      <c r="L127" s="185">
        <f>IF(F127="x","x",(F127*1000000/VLOOKUP($C127,'Crisis Indicator Data'!$C$3:$H$198,5,FALSE)))</f>
        <v>0.69995397585824559</v>
      </c>
      <c r="M127" s="185">
        <f>IF(G127="x","x",(G127*1000000/VLOOKUP($C127,'Crisis Indicator Data'!$C$3:$H$198,5,FALSE)))</f>
        <v>0.13826070584297401</v>
      </c>
      <c r="N127" s="185">
        <f>IF(H127="x","x",(H127*1000000/VLOOKUP($C127,'Crisis Indicator Data'!$C$3:$H$198,5,FALSE)))</f>
        <v>4.6285642559779086E-2</v>
      </c>
      <c r="O127" s="185">
        <f>IF(I127="x","x",(I127*1000000/VLOOKUP($C127,'Crisis Indicator Data'!$C$3:$H$198,5,FALSE)))</f>
        <v>0.10252923579004623</v>
      </c>
      <c r="P127" s="185">
        <f>IF(J127="x","x",(J127*1000000/VLOOKUP($C127,'Crisis Indicator Data'!$C$3:$H$198,5,FALSE)))</f>
        <v>1.2959979916738144E-2</v>
      </c>
      <c r="Q127" s="167">
        <f t="shared" si="6"/>
        <v>4</v>
      </c>
      <c r="R127" s="167">
        <f t="shared" si="7"/>
        <v>4.5</v>
      </c>
    </row>
    <row r="128" spans="1:18" x14ac:dyDescent="0.3">
      <c r="A128" s="194" t="str">
        <f>'Crisis Indicator Data'!A125</f>
        <v>International Displacement in Tanzania</v>
      </c>
      <c r="B128" s="195" t="str">
        <f>'Crisis Indicator Data'!B125</f>
        <v>International displacement</v>
      </c>
      <c r="C128" s="195" t="str">
        <f>'Crisis Indicator Data'!C125</f>
        <v>TZA002</v>
      </c>
      <c r="D128" s="195" t="str">
        <f>'Crisis Indicator Data'!D125</f>
        <v>Tanzania</v>
      </c>
      <c r="E128" s="195" t="str">
        <f>'Crisis Indicator Data'!E125</f>
        <v>TZA</v>
      </c>
      <c r="F128" s="205">
        <f>IF('Crisis Indicator Data'!Q125="x","x",('Crisis Indicator Data'!Q125/1000000))</f>
        <v>11.385</v>
      </c>
      <c r="G128" s="205">
        <f>IF('Crisis Indicator Data'!R125="x","x",('Crisis Indicator Data'!R125/1000000))</f>
        <v>0</v>
      </c>
      <c r="H128" s="205">
        <f>IF('Crisis Indicator Data'!S125="x","x",('Crisis Indicator Data'!S125/1000000))</f>
        <v>0.27600000000000002</v>
      </c>
      <c r="I128" s="205">
        <f>IF('Crisis Indicator Data'!T125="x","x",('Crisis Indicator Data'!T125/1000000))</f>
        <v>0</v>
      </c>
      <c r="J128" s="205">
        <f>IF('Crisis Indicator Data'!U125="x","x",('Crisis Indicator Data'!U125/1000000))</f>
        <v>0</v>
      </c>
      <c r="K128" s="190">
        <f t="shared" si="5"/>
        <v>2.4</v>
      </c>
      <c r="L128" s="185">
        <f>IF(F128="x","x",(F128*1000000/VLOOKUP($C128,'Crisis Indicator Data'!$C$3:$H$198,5,FALSE)))</f>
        <v>1</v>
      </c>
      <c r="M128" s="185">
        <f>IF(G128="x","x",(G128*1000000/VLOOKUP($C128,'Crisis Indicator Data'!$C$3:$H$198,5,FALSE)))</f>
        <v>0</v>
      </c>
      <c r="N128" s="185">
        <f>IF(H128="x","x",(H128*1000000/VLOOKUP($C128,'Crisis Indicator Data'!$C$3:$H$198,5,FALSE)))</f>
        <v>2.4242424242424242E-2</v>
      </c>
      <c r="O128" s="185">
        <f>IF(I128="x","x",(I128*1000000/VLOOKUP($C128,'Crisis Indicator Data'!$C$3:$H$198,5,FALSE)))</f>
        <v>0</v>
      </c>
      <c r="P128" s="185">
        <f>IF(J128="x","x",(J128*1000000/VLOOKUP($C128,'Crisis Indicator Data'!$C$3:$H$198,5,FALSE)))</f>
        <v>0</v>
      </c>
      <c r="Q128" s="167">
        <f t="shared" si="6"/>
        <v>1</v>
      </c>
      <c r="R128" s="167">
        <f t="shared" si="7"/>
        <v>1.7</v>
      </c>
    </row>
    <row r="129" spans="1:18" x14ac:dyDescent="0.3">
      <c r="A129" s="194" t="str">
        <f>'Crisis Indicator Data'!A126</f>
        <v>Multiple situations in Thailand</v>
      </c>
      <c r="B129" s="195" t="str">
        <f>'Crisis Indicator Data'!B126</f>
        <v>Multiple crises country</v>
      </c>
      <c r="C129" s="195" t="str">
        <f>'Crisis Indicator Data'!C126</f>
        <v>THA001</v>
      </c>
      <c r="D129" s="195" t="str">
        <f>'Crisis Indicator Data'!D126</f>
        <v>Thailand</v>
      </c>
      <c r="E129" s="195" t="str">
        <f>'Crisis Indicator Data'!E126</f>
        <v>THA</v>
      </c>
      <c r="F129" s="205">
        <f>IF('Crisis Indicator Data'!Q126="x","x",('Crisis Indicator Data'!Q126/1000000))</f>
        <v>0</v>
      </c>
      <c r="G129" s="205">
        <f>IF('Crisis Indicator Data'!R126="x","x",('Crisis Indicator Data'!R126/1000000))</f>
        <v>3.4580000000000002</v>
      </c>
      <c r="H129" s="205">
        <f>IF('Crisis Indicator Data'!S126="x","x",('Crisis Indicator Data'!S126/1000000))</f>
        <v>9.1999999999999998E-2</v>
      </c>
      <c r="I129" s="205">
        <f>IF('Crisis Indicator Data'!T126="x","x",('Crisis Indicator Data'!T126/1000000))</f>
        <v>0</v>
      </c>
      <c r="J129" s="205">
        <f>IF('Crisis Indicator Data'!U126="x","x",('Crisis Indicator Data'!U126/1000000))</f>
        <v>0</v>
      </c>
      <c r="K129" s="190">
        <f t="shared" si="5"/>
        <v>1.6</v>
      </c>
      <c r="L129" s="185">
        <f>IF(F129="x","x",(F129*1000000/VLOOKUP($C129,'Crisis Indicator Data'!$C$3:$H$198,5,FALSE)))</f>
        <v>0</v>
      </c>
      <c r="M129" s="185">
        <f>IF(G129="x","x",(G129*1000000/VLOOKUP($C129,'Crisis Indicator Data'!$C$3:$H$198,5,FALSE)))</f>
        <v>0.97435897435897434</v>
      </c>
      <c r="N129" s="185">
        <f>IF(H129="x","x",(H129*1000000/VLOOKUP($C129,'Crisis Indicator Data'!$C$3:$H$198,5,FALSE)))</f>
        <v>2.5922795153564385E-2</v>
      </c>
      <c r="O129" s="185">
        <f>IF(I129="x","x",(I129*1000000/VLOOKUP($C129,'Crisis Indicator Data'!$C$3:$H$198,5,FALSE)))</f>
        <v>0</v>
      </c>
      <c r="P129" s="185">
        <f>IF(J129="x","x",(J129*1000000/VLOOKUP($C129,'Crisis Indicator Data'!$C$3:$H$198,5,FALSE)))</f>
        <v>0</v>
      </c>
      <c r="Q129" s="167">
        <f t="shared" si="6"/>
        <v>2</v>
      </c>
      <c r="R129" s="167">
        <f t="shared" si="7"/>
        <v>1.8</v>
      </c>
    </row>
    <row r="130" spans="1:18" x14ac:dyDescent="0.3">
      <c r="A130" s="194" t="str">
        <f>'Crisis Indicator Data'!A127</f>
        <v xml:space="preserve">Conflict in southern Thailand </v>
      </c>
      <c r="B130" s="195" t="str">
        <f>'Crisis Indicator Data'!B127</f>
        <v>Conflict</v>
      </c>
      <c r="C130" s="195" t="str">
        <f>'Crisis Indicator Data'!C127</f>
        <v>THA002</v>
      </c>
      <c r="D130" s="195" t="str">
        <f>'Crisis Indicator Data'!D127</f>
        <v>Thailand</v>
      </c>
      <c r="E130" s="195" t="str">
        <f>'Crisis Indicator Data'!E127</f>
        <v>THA</v>
      </c>
      <c r="F130" s="205" t="str">
        <f>IF('Crisis Indicator Data'!Q127="x","x",('Crisis Indicator Data'!Q127/1000000))</f>
        <v>x</v>
      </c>
      <c r="G130" s="205" t="str">
        <f>IF('Crisis Indicator Data'!R127="x","x",('Crisis Indicator Data'!R127/1000000))</f>
        <v>x</v>
      </c>
      <c r="H130" s="205" t="str">
        <f>IF('Crisis Indicator Data'!S127="x","x",('Crisis Indicator Data'!S127/1000000))</f>
        <v>x</v>
      </c>
      <c r="I130" s="205" t="str">
        <f>IF('Crisis Indicator Data'!T127="x","x",('Crisis Indicator Data'!T127/1000000))</f>
        <v>x</v>
      </c>
      <c r="J130" s="205" t="str">
        <f>IF('Crisis Indicator Data'!U127="x","x",('Crisis Indicator Data'!U127/1000000))</f>
        <v>x</v>
      </c>
      <c r="K130" s="190" t="str">
        <f t="shared" si="5"/>
        <v>x</v>
      </c>
      <c r="L130" s="185" t="str">
        <f>IF(F130="x","x",(F130*1000000/VLOOKUP($C130,'Crisis Indicator Data'!$C$3:$H$198,5,FALSE)))</f>
        <v>x</v>
      </c>
      <c r="M130" s="185" t="str">
        <f>IF(G130="x","x",(G130*1000000/VLOOKUP($C130,'Crisis Indicator Data'!$C$3:$H$198,5,FALSE)))</f>
        <v>x</v>
      </c>
      <c r="N130" s="185" t="str">
        <f>IF(H130="x","x",(H130*1000000/VLOOKUP($C130,'Crisis Indicator Data'!$C$3:$H$198,5,FALSE)))</f>
        <v>x</v>
      </c>
      <c r="O130" s="185" t="str">
        <f>IF(I130="x","x",(I130*1000000/VLOOKUP($C130,'Crisis Indicator Data'!$C$3:$H$198,5,FALSE)))</f>
        <v>x</v>
      </c>
      <c r="P130" s="185" t="str">
        <f>IF(J130="x","x",(J130*1000000/VLOOKUP($C130,'Crisis Indicator Data'!$C$3:$H$198,5,FALSE)))</f>
        <v>x</v>
      </c>
      <c r="Q130" s="167" t="str">
        <f t="shared" si="6"/>
        <v>x</v>
      </c>
      <c r="R130" s="167" t="str">
        <f t="shared" si="7"/>
        <v>x</v>
      </c>
    </row>
    <row r="131" spans="1:18" x14ac:dyDescent="0.3">
      <c r="A131" s="194" t="str">
        <f>'Crisis Indicator Data'!A128</f>
        <v>Myanmar refugees in Thailand</v>
      </c>
      <c r="B131" s="195" t="str">
        <f>'Crisis Indicator Data'!B128</f>
        <v>International displacement</v>
      </c>
      <c r="C131" s="195" t="str">
        <f>'Crisis Indicator Data'!C128</f>
        <v>THA003</v>
      </c>
      <c r="D131" s="195" t="str">
        <f>'Crisis Indicator Data'!D128</f>
        <v>Thailand</v>
      </c>
      <c r="E131" s="195" t="str">
        <f>'Crisis Indicator Data'!E128</f>
        <v>THA</v>
      </c>
      <c r="F131" s="205">
        <f>IF('Crisis Indicator Data'!Q128="x","x",('Crisis Indicator Data'!Q128/1000000))</f>
        <v>0</v>
      </c>
      <c r="G131" s="205">
        <f>IF('Crisis Indicator Data'!R128="x","x",('Crisis Indicator Data'!R128/1000000))</f>
        <v>0</v>
      </c>
      <c r="H131" s="205">
        <f>IF('Crisis Indicator Data'!S128="x","x",('Crisis Indicator Data'!S128/1000000))</f>
        <v>9.1999999999999998E-2</v>
      </c>
      <c r="I131" s="205">
        <f>IF('Crisis Indicator Data'!T128="x","x",('Crisis Indicator Data'!T128/1000000))</f>
        <v>0</v>
      </c>
      <c r="J131" s="205">
        <f>IF('Crisis Indicator Data'!U128="x","x",('Crisis Indicator Data'!U128/1000000))</f>
        <v>0</v>
      </c>
      <c r="K131" s="190">
        <f t="shared" si="5"/>
        <v>1.6</v>
      </c>
      <c r="L131" s="185">
        <f>IF(F131="x","x",(F131*1000000/VLOOKUP($C131,'Crisis Indicator Data'!$C$3:$H$198,5,FALSE)))</f>
        <v>0</v>
      </c>
      <c r="M131" s="185">
        <f>IF(G131="x","x",(G131*1000000/VLOOKUP($C131,'Crisis Indicator Data'!$C$3:$H$198,5,FALSE)))</f>
        <v>0</v>
      </c>
      <c r="N131" s="185">
        <f>IF(H131="x","x",(H131*1000000/VLOOKUP($C131,'Crisis Indicator Data'!$C$3:$H$198,5,FALSE)))</f>
        <v>1</v>
      </c>
      <c r="O131" s="185">
        <f>IF(I131="x","x",(I131*1000000/VLOOKUP($C131,'Crisis Indicator Data'!$C$3:$H$198,5,FALSE)))</f>
        <v>0</v>
      </c>
      <c r="P131" s="185">
        <f>IF(J131="x","x",(J131*1000000/VLOOKUP($C131,'Crisis Indicator Data'!$C$3:$H$198,5,FALSE)))</f>
        <v>0</v>
      </c>
      <c r="Q131" s="167">
        <f t="shared" si="6"/>
        <v>3</v>
      </c>
      <c r="R131" s="167">
        <f t="shared" ref="R131:R141" si="8">IF(Q131="x","x",(AVERAGE(K131,Q131)))</f>
        <v>2.2999999999999998</v>
      </c>
    </row>
    <row r="132" spans="1:18" x14ac:dyDescent="0.3">
      <c r="A132" s="194" t="str">
        <f>'Crisis Indicator Data'!A129</f>
        <v>Venezuelan refugees in Trinidad and Tobago</v>
      </c>
      <c r="B132" s="195" t="str">
        <f>'Crisis Indicator Data'!B129</f>
        <v>International displacement</v>
      </c>
      <c r="C132" s="195" t="str">
        <f>'Crisis Indicator Data'!C129</f>
        <v>TTO002</v>
      </c>
      <c r="D132" s="195" t="str">
        <f>'Crisis Indicator Data'!D129</f>
        <v>Trinidad and Tobago</v>
      </c>
      <c r="E132" s="195" t="str">
        <f>'Crisis Indicator Data'!E129</f>
        <v>TTO</v>
      </c>
      <c r="F132" s="205">
        <f>IF('Crisis Indicator Data'!Q129="x","x",('Crisis Indicator Data'!Q129/1000000))</f>
        <v>1.395</v>
      </c>
      <c r="G132" s="205">
        <f>IF('Crisis Indicator Data'!R129="x","x",('Crisis Indicator Data'!R129/1000000))</f>
        <v>0</v>
      </c>
      <c r="H132" s="205">
        <f>IF('Crisis Indicator Data'!S129="x","x",('Crisis Indicator Data'!S129/1000000))</f>
        <v>0.06</v>
      </c>
      <c r="I132" s="205">
        <f>IF('Crisis Indicator Data'!T129="x","x",('Crisis Indicator Data'!T129/1000000))</f>
        <v>0</v>
      </c>
      <c r="J132" s="205">
        <f>IF('Crisis Indicator Data'!U129="x","x",('Crisis Indicator Data'!U129/1000000))</f>
        <v>0</v>
      </c>
      <c r="K132" s="190">
        <f t="shared" si="5"/>
        <v>1.3</v>
      </c>
      <c r="L132" s="185">
        <f>IF(F132="x","x",(F132*1000000/VLOOKUP($C132,'Crisis Indicator Data'!$C$3:$H$198,5,FALSE)))</f>
        <v>0.96206896551724141</v>
      </c>
      <c r="M132" s="185">
        <f>IF(G132="x","x",(G132*1000000/VLOOKUP($C132,'Crisis Indicator Data'!$C$3:$H$198,5,FALSE)))</f>
        <v>0</v>
      </c>
      <c r="N132" s="185">
        <f>IF(H132="x","x",(H132*1000000/VLOOKUP($C132,'Crisis Indicator Data'!$C$3:$H$198,5,FALSE)))</f>
        <v>4.1379310344827586E-2</v>
      </c>
      <c r="O132" s="185">
        <f>IF(I132="x","x",(I132*1000000/VLOOKUP($C132,'Crisis Indicator Data'!$C$3:$H$198,5,FALSE)))</f>
        <v>0</v>
      </c>
      <c r="P132" s="185">
        <f>IF(J132="x","x",(J132*1000000/VLOOKUP($C132,'Crisis Indicator Data'!$C$3:$H$198,5,FALSE)))</f>
        <v>0</v>
      </c>
      <c r="Q132" s="167">
        <f t="shared" si="6"/>
        <v>1</v>
      </c>
      <c r="R132" s="167">
        <f t="shared" si="8"/>
        <v>1.1499999999999999</v>
      </c>
    </row>
    <row r="133" spans="1:18" x14ac:dyDescent="0.3">
      <c r="A133" s="194" t="str">
        <f>'Crisis Indicator Data'!A130</f>
        <v>Mixed migration flows in Tunisia</v>
      </c>
      <c r="B133" s="195" t="str">
        <f>'Crisis Indicator Data'!B130</f>
        <v>International displacement</v>
      </c>
      <c r="C133" s="195" t="str">
        <f>'Crisis Indicator Data'!C130</f>
        <v>TUN002</v>
      </c>
      <c r="D133" s="195" t="str">
        <f>'Crisis Indicator Data'!D130</f>
        <v>Tunisia</v>
      </c>
      <c r="E133" s="195" t="str">
        <f>'Crisis Indicator Data'!E130</f>
        <v>TUN</v>
      </c>
      <c r="F133" s="205" t="str">
        <f>IF('Crisis Indicator Data'!Q130="x","x",('Crisis Indicator Data'!Q130/1000000))</f>
        <v>x</v>
      </c>
      <c r="G133" s="205" t="str">
        <f>IF('Crisis Indicator Data'!R130="x","x",('Crisis Indicator Data'!R130/1000000))</f>
        <v>x</v>
      </c>
      <c r="H133" s="205" t="str">
        <f>IF('Crisis Indicator Data'!S130="x","x",('Crisis Indicator Data'!S130/1000000))</f>
        <v>x</v>
      </c>
      <c r="I133" s="205" t="str">
        <f>IF('Crisis Indicator Data'!T130="x","x",('Crisis Indicator Data'!T130/1000000))</f>
        <v>x</v>
      </c>
      <c r="J133" s="205" t="str">
        <f>IF('Crisis Indicator Data'!U130="x","x",('Crisis Indicator Data'!U130/1000000))</f>
        <v>x</v>
      </c>
      <c r="K133" s="190" t="str">
        <f t="shared" si="5"/>
        <v>x</v>
      </c>
      <c r="L133" s="185" t="str">
        <f>IF(F133="x","x",(F133*1000000/VLOOKUP($C133,'Crisis Indicator Data'!$C$3:$H$198,5,FALSE)))</f>
        <v>x</v>
      </c>
      <c r="M133" s="185" t="str">
        <f>IF(G133="x","x",(G133*1000000/VLOOKUP($C133,'Crisis Indicator Data'!$C$3:$H$198,5,FALSE)))</f>
        <v>x</v>
      </c>
      <c r="N133" s="185" t="str">
        <f>IF(H133="x","x",(H133*1000000/VLOOKUP($C133,'Crisis Indicator Data'!$C$3:$H$198,5,FALSE)))</f>
        <v>x</v>
      </c>
      <c r="O133" s="185" t="str">
        <f>IF(I133="x","x",(I133*1000000/VLOOKUP($C133,'Crisis Indicator Data'!$C$3:$H$198,5,FALSE)))</f>
        <v>x</v>
      </c>
      <c r="P133" s="185" t="str">
        <f>IF(J133="x","x",(J133*1000000/VLOOKUP($C133,'Crisis Indicator Data'!$C$3:$H$198,5,FALSE)))</f>
        <v>x</v>
      </c>
      <c r="Q133" s="167" t="str">
        <f t="shared" si="6"/>
        <v>x</v>
      </c>
      <c r="R133" s="167" t="str">
        <f t="shared" si="8"/>
        <v>x</v>
      </c>
    </row>
    <row r="134" spans="1:18" x14ac:dyDescent="0.3">
      <c r="A134" s="194" t="str">
        <f>'Crisis Indicator Data'!A131</f>
        <v>Complex situation in Turkey</v>
      </c>
      <c r="B134" s="195" t="str">
        <f>'Crisis Indicator Data'!B131</f>
        <v>Multiple crises country</v>
      </c>
      <c r="C134" s="195" t="str">
        <f>'Crisis Indicator Data'!C131</f>
        <v>TUR001</v>
      </c>
      <c r="D134" s="195" t="str">
        <f>'Crisis Indicator Data'!D131</f>
        <v>Turkey</v>
      </c>
      <c r="E134" s="195" t="str">
        <f>'Crisis Indicator Data'!E131</f>
        <v>TUR</v>
      </c>
      <c r="F134" s="205">
        <f>IF('Crisis Indicator Data'!Q131="x","x",('Crisis Indicator Data'!Q131/1000000))</f>
        <v>49.654000000000003</v>
      </c>
      <c r="G134" s="205">
        <f>IF('Crisis Indicator Data'!R131="x","x",('Crisis Indicator Data'!R131/1000000))</f>
        <v>1.7410000000000001</v>
      </c>
      <c r="H134" s="205">
        <f>IF('Crisis Indicator Data'!S131="x","x",('Crisis Indicator Data'!S131/1000000))</f>
        <v>1.6319999999999999</v>
      </c>
      <c r="I134" s="205">
        <f>IF('Crisis Indicator Data'!T131="x","x",('Crisis Indicator Data'!T131/1000000))</f>
        <v>0.58399999999999996</v>
      </c>
      <c r="J134" s="205">
        <f>IF('Crisis Indicator Data'!U131="x","x",('Crisis Indicator Data'!U131/1000000))</f>
        <v>0</v>
      </c>
      <c r="K134" s="190">
        <f t="shared" si="5"/>
        <v>3.9</v>
      </c>
      <c r="L134" s="185">
        <f>IF(F134="x","x",(F134*1000000/VLOOKUP($C134,'Crisis Indicator Data'!$C$3:$H$198,5,FALSE)))</f>
        <v>0.92619052060211526</v>
      </c>
      <c r="M134" s="185">
        <f>IF(G134="x","x",(G134*1000000/VLOOKUP($C134,'Crisis Indicator Data'!$C$3:$H$198,5,FALSE)))</f>
        <v>3.2474678703997312E-2</v>
      </c>
      <c r="N134" s="185">
        <f>IF(H134="x","x",(H134*1000000/VLOOKUP($C134,'Crisis Indicator Data'!$C$3:$H$198,5,FALSE)))</f>
        <v>3.0441513868422525E-2</v>
      </c>
      <c r="O134" s="185">
        <f>IF(I134="x","x",(I134*1000000/VLOOKUP($C134,'Crisis Indicator Data'!$C$3:$H$198,5,FALSE)))</f>
        <v>1.0893286825464922E-2</v>
      </c>
      <c r="P134" s="185">
        <f>IF(J134="x","x",(J134*1000000/VLOOKUP($C134,'Crisis Indicator Data'!$C$3:$H$198,5,FALSE)))</f>
        <v>0</v>
      </c>
      <c r="Q134" s="167">
        <f t="shared" si="6"/>
        <v>2</v>
      </c>
      <c r="R134" s="167">
        <f t="shared" si="8"/>
        <v>2.95</v>
      </c>
    </row>
    <row r="135" spans="1:18" x14ac:dyDescent="0.3">
      <c r="A135" s="194" t="str">
        <f>'Crisis Indicator Data'!A132</f>
        <v>Syrian Refugees in Turkey</v>
      </c>
      <c r="B135" s="195" t="str">
        <f>'Crisis Indicator Data'!B132</f>
        <v>International displacement</v>
      </c>
      <c r="C135" s="195" t="str">
        <f>'Crisis Indicator Data'!C132</f>
        <v>TUR002</v>
      </c>
      <c r="D135" s="195" t="str">
        <f>'Crisis Indicator Data'!D132</f>
        <v>Turkey</v>
      </c>
      <c r="E135" s="195" t="str">
        <f>'Crisis Indicator Data'!E132</f>
        <v>TUR</v>
      </c>
      <c r="F135" s="205">
        <f>IF('Crisis Indicator Data'!Q132="x","x",('Crisis Indicator Data'!Q132/1000000))</f>
        <v>32.530999999999999</v>
      </c>
      <c r="G135" s="205">
        <f>IF('Crisis Indicator Data'!R132="x","x",('Crisis Indicator Data'!R132/1000000))</f>
        <v>1.7410000000000001</v>
      </c>
      <c r="H135" s="205">
        <f>IF('Crisis Indicator Data'!S132="x","x",('Crisis Indicator Data'!S132/1000000))</f>
        <v>1.6319999999999999</v>
      </c>
      <c r="I135" s="205">
        <f>IF('Crisis Indicator Data'!T132="x","x",('Crisis Indicator Data'!T132/1000000))</f>
        <v>0.254</v>
      </c>
      <c r="J135" s="205">
        <f>IF('Crisis Indicator Data'!U132="x","x",('Crisis Indicator Data'!U132/1000000))</f>
        <v>0</v>
      </c>
      <c r="K135" s="190">
        <f t="shared" ref="K135:K144" si="9">IF(H135="x","x",IF(SUM(H135:J135)=0,0,IF(LOG(SUM(H135:J135)*1000000)&lt;$K$4,0,IF(LOG(SUM(H135:J135)*1000000)&gt;$K$3,5,ROUND(5-(K$3-LOG(SUM(H135:J135)*1000000))/(K$3-K$4)*5,1)))))</f>
        <v>3.8</v>
      </c>
      <c r="L135" s="185">
        <f>IF(F135="x","x",(F135*1000000/VLOOKUP($C135,'Crisis Indicator Data'!$C$3:$H$198,5,FALSE)))</f>
        <v>0.89969024835444433</v>
      </c>
      <c r="M135" s="185">
        <f>IF(G135="x","x",(G135*1000000/VLOOKUP($C135,'Crisis Indicator Data'!$C$3:$H$198,5,FALSE)))</f>
        <v>4.8149787045743679E-2</v>
      </c>
      <c r="N135" s="185">
        <f>IF(H135="x","x",(H135*1000000/VLOOKUP($C135,'Crisis Indicator Data'!$C$3:$H$198,5,FALSE)))</f>
        <v>4.5135239780961338E-2</v>
      </c>
      <c r="O135" s="185">
        <f>IF(I135="x","x",(I135*1000000/VLOOKUP($C135,'Crisis Indicator Data'!$C$3:$H$198,5,FALSE)))</f>
        <v>7.0247248188505997E-3</v>
      </c>
      <c r="P135" s="185">
        <f>IF(J135="x","x",(J135*1000000/VLOOKUP($C135,'Crisis Indicator Data'!$C$3:$H$198,5,FALSE)))</f>
        <v>0</v>
      </c>
      <c r="Q135" s="167">
        <f t="shared" ref="Q135:Q144" si="10">IF(N135="x","x",IF(OR(L135&gt;=$L$3,M135&gt;=$M$3,N135&gt;=$N$3,O135&gt;=$O$3,P135&gt;=$P$3),(IF(P135&gt;=$P$3,5,IF((O135+P135)&gt;=$O$3,4,IF((O135+P135+N135)&gt;=$N$3,3,IF((O135+P135+N135+M135)&gt;=$M$3,2,1)))))))</f>
        <v>3</v>
      </c>
      <c r="R135" s="167">
        <f t="shared" si="8"/>
        <v>3.4</v>
      </c>
    </row>
    <row r="136" spans="1:18" x14ac:dyDescent="0.3">
      <c r="A136" s="194" t="str">
        <f>'Crisis Indicator Data'!A133</f>
        <v>Mixed Migration Flows in Turkey</v>
      </c>
      <c r="B136" s="195" t="str">
        <f>'Crisis Indicator Data'!B133</f>
        <v>International displacement</v>
      </c>
      <c r="C136" s="195" t="str">
        <f>'Crisis Indicator Data'!C133</f>
        <v>TUR003</v>
      </c>
      <c r="D136" s="195" t="str">
        <f>'Crisis Indicator Data'!D133</f>
        <v>Turkey</v>
      </c>
      <c r="E136" s="195" t="str">
        <f>'Crisis Indicator Data'!E133</f>
        <v>TUR</v>
      </c>
      <c r="F136" s="205">
        <f>IF('Crisis Indicator Data'!Q133="x","x",('Crisis Indicator Data'!Q133/1000000))</f>
        <v>33.668999999999997</v>
      </c>
      <c r="G136" s="205">
        <f>IF('Crisis Indicator Data'!R133="x","x",('Crisis Indicator Data'!R133/1000000))</f>
        <v>1.7410000000000001</v>
      </c>
      <c r="H136" s="205">
        <f>IF('Crisis Indicator Data'!S133="x","x",('Crisis Indicator Data'!S133/1000000))</f>
        <v>1.6319999999999999</v>
      </c>
      <c r="I136" s="205">
        <f>IF('Crisis Indicator Data'!T133="x","x",('Crisis Indicator Data'!T133/1000000))</f>
        <v>0.58399999999999996</v>
      </c>
      <c r="J136" s="205">
        <f>IF('Crisis Indicator Data'!U133="x","x",('Crisis Indicator Data'!U133/1000000))</f>
        <v>0</v>
      </c>
      <c r="K136" s="190">
        <f t="shared" si="9"/>
        <v>3.9</v>
      </c>
      <c r="L136" s="185">
        <f>IF(F136="x","x",(F136*1000000/VLOOKUP($C136,'Crisis Indicator Data'!$C$3:$H$198,5,FALSE)))</f>
        <v>0.89483335991070001</v>
      </c>
      <c r="M136" s="185">
        <f>IF(G136="x","x",(G136*1000000/VLOOKUP($C136,'Crisis Indicator Data'!$C$3:$H$198,5,FALSE)))</f>
        <v>4.6271195449954818E-2</v>
      </c>
      <c r="N136" s="185">
        <f>IF(H136="x","x",(H136*1000000/VLOOKUP($C136,'Crisis Indicator Data'!$C$3:$H$198,5,FALSE)))</f>
        <v>4.3374262478073675E-2</v>
      </c>
      <c r="O136" s="185">
        <f>IF(I136="x","x",(I136*1000000/VLOOKUP($C136,'Crisis Indicator Data'!$C$3:$H$198,5,FALSE)))</f>
        <v>1.5521182161271461E-2</v>
      </c>
      <c r="P136" s="185">
        <f>IF(J136="x","x",(J136*1000000/VLOOKUP($C136,'Crisis Indicator Data'!$C$3:$H$198,5,FALSE)))</f>
        <v>0</v>
      </c>
      <c r="Q136" s="167">
        <f t="shared" si="10"/>
        <v>3</v>
      </c>
      <c r="R136" s="167">
        <f t="shared" si="8"/>
        <v>3.45</v>
      </c>
    </row>
    <row r="137" spans="1:18" x14ac:dyDescent="0.3">
      <c r="A137" s="194" t="str">
        <f>'Crisis Indicator Data'!A134</f>
        <v>Kurdish Conflict</v>
      </c>
      <c r="B137" s="195" t="str">
        <f>'Crisis Indicator Data'!B134</f>
        <v>Conflict</v>
      </c>
      <c r="C137" s="195" t="str">
        <f>'Crisis Indicator Data'!C134</f>
        <v>TUR004</v>
      </c>
      <c r="D137" s="195" t="str">
        <f>'Crisis Indicator Data'!D134</f>
        <v>Turkey</v>
      </c>
      <c r="E137" s="195" t="str">
        <f>'Crisis Indicator Data'!E134</f>
        <v>TUR</v>
      </c>
      <c r="F137" s="205" t="str">
        <f>IF('Crisis Indicator Data'!Q134="x","x",('Crisis Indicator Data'!Q134/1000000))</f>
        <v>x</v>
      </c>
      <c r="G137" s="205" t="str">
        <f>IF('Crisis Indicator Data'!R134="x","x",('Crisis Indicator Data'!R134/1000000))</f>
        <v>x</v>
      </c>
      <c r="H137" s="205" t="str">
        <f>IF('Crisis Indicator Data'!S134="x","x",('Crisis Indicator Data'!S134/1000000))</f>
        <v>x</v>
      </c>
      <c r="I137" s="205" t="str">
        <f>IF('Crisis Indicator Data'!T134="x","x",('Crisis Indicator Data'!T134/1000000))</f>
        <v>x</v>
      </c>
      <c r="J137" s="205" t="str">
        <f>IF('Crisis Indicator Data'!U134="x","x",('Crisis Indicator Data'!U134/1000000))</f>
        <v>x</v>
      </c>
      <c r="K137" s="190" t="str">
        <f t="shared" si="9"/>
        <v>x</v>
      </c>
      <c r="L137" s="185" t="str">
        <f>IF(F137="x","x",(F137*1000000/VLOOKUP($C137,'Crisis Indicator Data'!$C$3:$H$198,5,FALSE)))</f>
        <v>x</v>
      </c>
      <c r="M137" s="185" t="str">
        <f>IF(G137="x","x",(G137*1000000/VLOOKUP($C137,'Crisis Indicator Data'!$C$3:$H$198,5,FALSE)))</f>
        <v>x</v>
      </c>
      <c r="N137" s="185" t="str">
        <f>IF(H137="x","x",(H137*1000000/VLOOKUP($C137,'Crisis Indicator Data'!$C$3:$H$198,5,FALSE)))</f>
        <v>x</v>
      </c>
      <c r="O137" s="185" t="str">
        <f>IF(I137="x","x",(I137*1000000/VLOOKUP($C137,'Crisis Indicator Data'!$C$3:$H$198,5,FALSE)))</f>
        <v>x</v>
      </c>
      <c r="P137" s="185" t="str">
        <f>IF(J137="x","x",(J137*1000000/VLOOKUP($C137,'Crisis Indicator Data'!$C$3:$H$198,5,FALSE)))</f>
        <v>x</v>
      </c>
      <c r="Q137" s="167" t="str">
        <f t="shared" si="10"/>
        <v>x</v>
      </c>
      <c r="R137" s="167" t="str">
        <f t="shared" si="8"/>
        <v>x</v>
      </c>
    </row>
    <row r="138" spans="1:18" x14ac:dyDescent="0.3">
      <c r="A138" s="194" t="str">
        <f>'Crisis Indicator Data'!A135</f>
        <v xml:space="preserve">Eastern Mediterranean Route </v>
      </c>
      <c r="B138" s="195" t="str">
        <f>'Crisis Indicator Data'!B135</f>
        <v>Regional crisis</v>
      </c>
      <c r="C138" s="195" t="str">
        <f>'Crisis Indicator Data'!C135</f>
        <v>REG006</v>
      </c>
      <c r="D138" s="195" t="str">
        <f>'Crisis Indicator Data'!D135</f>
        <v>Turkey, Greece</v>
      </c>
      <c r="E138" s="195" t="str">
        <f>'Crisis Indicator Data'!E135</f>
        <v>TUR, GRC</v>
      </c>
      <c r="F138" s="205" t="str">
        <f>IF('Crisis Indicator Data'!Q135="x","x",('Crisis Indicator Data'!Q135/1000000))</f>
        <v>x</v>
      </c>
      <c r="G138" s="205" t="str">
        <f>IF('Crisis Indicator Data'!R135="x","x",('Crisis Indicator Data'!R135/1000000))</f>
        <v>x</v>
      </c>
      <c r="H138" s="205" t="str">
        <f>IF('Crisis Indicator Data'!S135="x","x",('Crisis Indicator Data'!S135/1000000))</f>
        <v>x</v>
      </c>
      <c r="I138" s="205" t="str">
        <f>IF('Crisis Indicator Data'!T135="x","x",('Crisis Indicator Data'!T135/1000000))</f>
        <v>x</v>
      </c>
      <c r="J138" s="205" t="str">
        <f>IF('Crisis Indicator Data'!U135="x","x",('Crisis Indicator Data'!U135/1000000))</f>
        <v>x</v>
      </c>
      <c r="K138" s="190" t="str">
        <f t="shared" si="9"/>
        <v>x</v>
      </c>
      <c r="L138" s="185" t="str">
        <f>IF(F138="x","x",(F138*1000000/VLOOKUP($C138,'Crisis Indicator Data'!$C$3:$H$198,5,FALSE)))</f>
        <v>x</v>
      </c>
      <c r="M138" s="185" t="str">
        <f>IF(G138="x","x",(G138*1000000/VLOOKUP($C138,'Crisis Indicator Data'!$C$3:$H$198,5,FALSE)))</f>
        <v>x</v>
      </c>
      <c r="N138" s="185" t="str">
        <f>IF(H138="x","x",(H138*1000000/VLOOKUP($C138,'Crisis Indicator Data'!$C$3:$H$198,5,FALSE)))</f>
        <v>x</v>
      </c>
      <c r="O138" s="185" t="str">
        <f>IF(I138="x","x",(I138*1000000/VLOOKUP($C138,'Crisis Indicator Data'!$C$3:$H$198,5,FALSE)))</f>
        <v>x</v>
      </c>
      <c r="P138" s="185" t="str">
        <f>IF(J138="x","x",(J138*1000000/VLOOKUP($C138,'Crisis Indicator Data'!$C$3:$H$198,5,FALSE)))</f>
        <v>x</v>
      </c>
      <c r="Q138" s="167" t="str">
        <f t="shared" si="10"/>
        <v>x</v>
      </c>
      <c r="R138" s="167" t="str">
        <f t="shared" si="8"/>
        <v>x</v>
      </c>
    </row>
    <row r="139" spans="1:18" x14ac:dyDescent="0.3">
      <c r="A139" s="194" t="str">
        <f>'Crisis Indicator Data'!A136</f>
        <v>Multiple crises in Uganda</v>
      </c>
      <c r="B139" s="195" t="str">
        <f>'Crisis Indicator Data'!B136</f>
        <v>Multiple crises country</v>
      </c>
      <c r="C139" s="195" t="str">
        <f>'Crisis Indicator Data'!C136</f>
        <v>UGA001</v>
      </c>
      <c r="D139" s="195" t="str">
        <f>'Crisis Indicator Data'!D136</f>
        <v>Uganda</v>
      </c>
      <c r="E139" s="195" t="str">
        <f>'Crisis Indicator Data'!E136</f>
        <v>UGA</v>
      </c>
      <c r="F139" s="205">
        <f>IF('Crisis Indicator Data'!Q136="x","x",('Crisis Indicator Data'!Q136/1000000))</f>
        <v>9.6620000000000008</v>
      </c>
      <c r="G139" s="205">
        <f>IF('Crisis Indicator Data'!R136="x","x",('Crisis Indicator Data'!R136/1000000))</f>
        <v>3.2850000000000001</v>
      </c>
      <c r="H139" s="205">
        <f>IF('Crisis Indicator Data'!S136="x","x",('Crisis Indicator Data'!S136/1000000))</f>
        <v>1.5289999999999999</v>
      </c>
      <c r="I139" s="205">
        <f>IF('Crisis Indicator Data'!T136="x","x",('Crisis Indicator Data'!T136/1000000))</f>
        <v>0</v>
      </c>
      <c r="J139" s="205">
        <f>IF('Crisis Indicator Data'!U136="x","x",('Crisis Indicator Data'!U136/1000000))</f>
        <v>0</v>
      </c>
      <c r="K139" s="190">
        <f t="shared" si="9"/>
        <v>3.6</v>
      </c>
      <c r="L139" s="185">
        <f>IF(F139="x","x",(F139*1000000/VLOOKUP($C139,'Crisis Indicator Data'!$C$3:$H$198,5,FALSE)))</f>
        <v>0.66744957170489083</v>
      </c>
      <c r="M139" s="185">
        <f>IF(G139="x","x",(G139*1000000/VLOOKUP($C139,'Crisis Indicator Data'!$C$3:$H$198,5,FALSE)))</f>
        <v>0.22692732799115778</v>
      </c>
      <c r="N139" s="185">
        <f>IF(H139="x","x",(H139*1000000/VLOOKUP($C139,'Crisis Indicator Data'!$C$3:$H$198,5,FALSE)))</f>
        <v>0.10562310030395136</v>
      </c>
      <c r="O139" s="185">
        <f>IF(I139="x","x",(I139*1000000/VLOOKUP($C139,'Crisis Indicator Data'!$C$3:$H$198,5,FALSE)))</f>
        <v>0</v>
      </c>
      <c r="P139" s="185">
        <f>IF(J139="x","x",(J139*1000000/VLOOKUP($C139,'Crisis Indicator Data'!$C$3:$H$198,5,FALSE)))</f>
        <v>0</v>
      </c>
      <c r="Q139" s="167">
        <f t="shared" si="10"/>
        <v>3</v>
      </c>
      <c r="R139" s="167">
        <f t="shared" si="8"/>
        <v>3.3</v>
      </c>
    </row>
    <row r="140" spans="1:18" x14ac:dyDescent="0.3">
      <c r="A140" s="194" t="str">
        <f>'Crisis Indicator Data'!A137</f>
        <v>International Displacement in Uganda</v>
      </c>
      <c r="B140" s="195" t="str">
        <f>'Crisis Indicator Data'!B137</f>
        <v>International displacement</v>
      </c>
      <c r="C140" s="195" t="str">
        <f>'Crisis Indicator Data'!C137</f>
        <v>UGA005</v>
      </c>
      <c r="D140" s="195" t="str">
        <f>'Crisis Indicator Data'!D137</f>
        <v>Uganda</v>
      </c>
      <c r="E140" s="195" t="str">
        <f>'Crisis Indicator Data'!E137</f>
        <v>UGA</v>
      </c>
      <c r="F140" s="205">
        <f>IF('Crisis Indicator Data'!Q137="x","x",('Crisis Indicator Data'!Q137/1000000))</f>
        <v>6.0110000000000001</v>
      </c>
      <c r="G140" s="205">
        <f>IF('Crisis Indicator Data'!R137="x","x",('Crisis Indicator Data'!R137/1000000))</f>
        <v>0</v>
      </c>
      <c r="H140" s="205">
        <f>IF('Crisis Indicator Data'!S137="x","x",('Crisis Indicator Data'!S137/1000000))</f>
        <v>1.429</v>
      </c>
      <c r="I140" s="205">
        <f>IF('Crisis Indicator Data'!T137="x","x",('Crisis Indicator Data'!T137/1000000))</f>
        <v>0</v>
      </c>
      <c r="J140" s="205">
        <f>IF('Crisis Indicator Data'!U137="x","x",('Crisis Indicator Data'!U137/1000000))</f>
        <v>0</v>
      </c>
      <c r="K140" s="190">
        <f t="shared" si="9"/>
        <v>3.6</v>
      </c>
      <c r="L140" s="185">
        <f>IF(F140="x","x",(F140*1000000/VLOOKUP($C140,'Crisis Indicator Data'!$C$3:$H$198,5,FALSE)))</f>
        <v>0.80793010752688177</v>
      </c>
      <c r="M140" s="185">
        <f>IF(G140="x","x",(G140*1000000/VLOOKUP($C140,'Crisis Indicator Data'!$C$3:$H$198,5,FALSE)))</f>
        <v>0</v>
      </c>
      <c r="N140" s="185">
        <f>IF(H140="x","x",(H140*1000000/VLOOKUP($C140,'Crisis Indicator Data'!$C$3:$H$198,5,FALSE)))</f>
        <v>0.19206989247311829</v>
      </c>
      <c r="O140" s="185">
        <f>IF(I140="x","x",(I140*1000000/VLOOKUP($C140,'Crisis Indicator Data'!$C$3:$H$198,5,FALSE)))</f>
        <v>0</v>
      </c>
      <c r="P140" s="185">
        <f>IF(J140="x","x",(J140*1000000/VLOOKUP($C140,'Crisis Indicator Data'!$C$3:$H$198,5,FALSE)))</f>
        <v>0</v>
      </c>
      <c r="Q140" s="167">
        <f t="shared" si="10"/>
        <v>3</v>
      </c>
      <c r="R140" s="167">
        <f t="shared" si="8"/>
        <v>3.3</v>
      </c>
    </row>
    <row r="141" spans="1:18" x14ac:dyDescent="0.3">
      <c r="A141" s="194" t="str">
        <f>'Crisis Indicator Data'!A138</f>
        <v>Floods and Landslides in Uganda</v>
      </c>
      <c r="B141" s="195" t="str">
        <f>'Crisis Indicator Data'!B138</f>
        <v>Flood</v>
      </c>
      <c r="C141" s="195" t="str">
        <f>'Crisis Indicator Data'!C138</f>
        <v>UGA006</v>
      </c>
      <c r="D141" s="195" t="str">
        <f>'Crisis Indicator Data'!D138</f>
        <v>Uganda</v>
      </c>
      <c r="E141" s="195" t="str">
        <f>'Crisis Indicator Data'!E138</f>
        <v>UGA</v>
      </c>
      <c r="F141" s="205" t="str">
        <f>IF('Crisis Indicator Data'!Q138="x","x",('Crisis Indicator Data'!Q138/1000000))</f>
        <v>x</v>
      </c>
      <c r="G141" s="205" t="str">
        <f>IF('Crisis Indicator Data'!R138="x","x",('Crisis Indicator Data'!R138/1000000))</f>
        <v>x</v>
      </c>
      <c r="H141" s="205" t="str">
        <f>IF('Crisis Indicator Data'!S138="x","x",('Crisis Indicator Data'!S138/1000000))</f>
        <v>x</v>
      </c>
      <c r="I141" s="205" t="str">
        <f>IF('Crisis Indicator Data'!T138="x","x",('Crisis Indicator Data'!T138/1000000))</f>
        <v>x</v>
      </c>
      <c r="J141" s="205" t="str">
        <f>IF('Crisis Indicator Data'!U138="x","x",('Crisis Indicator Data'!U138/1000000))</f>
        <v>x</v>
      </c>
      <c r="K141" s="190" t="str">
        <f t="shared" si="9"/>
        <v>x</v>
      </c>
      <c r="L141" s="185" t="str">
        <f>IF(F141="x","x",(F141*1000000/VLOOKUP($C141,'Crisis Indicator Data'!$C$3:$H$198,5,FALSE)))</f>
        <v>x</v>
      </c>
      <c r="M141" s="185" t="str">
        <f>IF(G141="x","x",(G141*1000000/VLOOKUP($C141,'Crisis Indicator Data'!$C$3:$H$198,5,FALSE)))</f>
        <v>x</v>
      </c>
      <c r="N141" s="185" t="str">
        <f>IF(H141="x","x",(H141*1000000/VLOOKUP($C141,'Crisis Indicator Data'!$C$3:$H$198,5,FALSE)))</f>
        <v>x</v>
      </c>
      <c r="O141" s="185" t="str">
        <f>IF(I141="x","x",(I141*1000000/VLOOKUP($C141,'Crisis Indicator Data'!$C$3:$H$198,5,FALSE)))</f>
        <v>x</v>
      </c>
      <c r="P141" s="185" t="str">
        <f>IF(J141="x","x",(J141*1000000/VLOOKUP($C141,'Crisis Indicator Data'!$C$3:$H$198,5,FALSE)))</f>
        <v>x</v>
      </c>
      <c r="Q141" s="167" t="str">
        <f t="shared" si="10"/>
        <v>x</v>
      </c>
      <c r="R141" s="167" t="str">
        <f t="shared" si="8"/>
        <v>x</v>
      </c>
    </row>
    <row r="142" spans="1:18" x14ac:dyDescent="0.3">
      <c r="A142" s="194" t="str">
        <f>'Crisis Indicator Data'!A139</f>
        <v>Conflict in Ukraine</v>
      </c>
      <c r="B142" s="195" t="str">
        <f>'Crisis Indicator Data'!B139</f>
        <v>Conflict</v>
      </c>
      <c r="C142" s="195" t="str">
        <f>'Crisis Indicator Data'!C139</f>
        <v>UKR002</v>
      </c>
      <c r="D142" s="195" t="str">
        <f>'Crisis Indicator Data'!D139</f>
        <v>Ukraine</v>
      </c>
      <c r="E142" s="195" t="str">
        <f>'Crisis Indicator Data'!E139</f>
        <v>UKR</v>
      </c>
      <c r="F142" s="205">
        <f>IF('Crisis Indicator Data'!Q139="x","x",('Crisis Indicator Data'!Q139/1000000))</f>
        <v>0.90900000000000003</v>
      </c>
      <c r="G142" s="205">
        <f>IF('Crisis Indicator Data'!R139="x","x",('Crisis Indicator Data'!R139/1000000))</f>
        <v>2</v>
      </c>
      <c r="H142" s="205">
        <f>IF('Crisis Indicator Data'!S139="x","x",('Crisis Indicator Data'!S139/1000000))</f>
        <v>2.44</v>
      </c>
      <c r="I142" s="205">
        <f>IF('Crisis Indicator Data'!T139="x","x",('Crisis Indicator Data'!T139/1000000))</f>
        <v>0.96</v>
      </c>
      <c r="J142" s="205">
        <f>IF('Crisis Indicator Data'!U139="x","x",('Crisis Indicator Data'!U139/1000000))</f>
        <v>0</v>
      </c>
      <c r="K142" s="190">
        <f t="shared" si="9"/>
        <v>4.2</v>
      </c>
      <c r="L142" s="185">
        <f>IF(F142="x","x",(F142*1000000/VLOOKUP($C142,'Crisis Indicator Data'!$C$3:$H$198,5,FALSE)))</f>
        <v>0.14407988587731813</v>
      </c>
      <c r="M142" s="185">
        <f>IF(G142="x","x",(G142*1000000/VLOOKUP($C142,'Crisis Indicator Data'!$C$3:$H$198,5,FALSE)))</f>
        <v>0.31700744967506739</v>
      </c>
      <c r="N142" s="185">
        <f>IF(H142="x","x",(H142*1000000/VLOOKUP($C142,'Crisis Indicator Data'!$C$3:$H$198,5,FALSE)))</f>
        <v>0.3867490886035822</v>
      </c>
      <c r="O142" s="185">
        <f>IF(I142="x","x",(I142*1000000/VLOOKUP($C142,'Crisis Indicator Data'!$C$3:$H$198,5,FALSE)))</f>
        <v>0.15216357584403234</v>
      </c>
      <c r="P142" s="185">
        <f>IF(J142="x","x",(J142*1000000/VLOOKUP($C142,'Crisis Indicator Data'!$C$3:$H$198,5,FALSE)))</f>
        <v>0</v>
      </c>
      <c r="Q142" s="167">
        <f t="shared" si="10"/>
        <v>4</v>
      </c>
      <c r="R142" s="167">
        <f t="shared" ref="R142" si="11">IF(Q142="x","x",(AVERAGE(K142,Q142)))</f>
        <v>4.0999999999999996</v>
      </c>
    </row>
    <row r="143" spans="1:18" x14ac:dyDescent="0.3">
      <c r="A143" s="194" t="str">
        <f>'Crisis Indicator Data'!A140</f>
        <v>Cyclone Harold in Vanuatu</v>
      </c>
      <c r="B143" s="195" t="str">
        <f>'Crisis Indicator Data'!B140</f>
        <v>Tropical cyclone</v>
      </c>
      <c r="C143" s="195" t="str">
        <f>'Crisis Indicator Data'!C140</f>
        <v>VUT002</v>
      </c>
      <c r="D143" s="195" t="str">
        <f>'Crisis Indicator Data'!D140</f>
        <v>Vanuatu</v>
      </c>
      <c r="E143" s="195" t="str">
        <f>'Crisis Indicator Data'!E140</f>
        <v>VUT</v>
      </c>
      <c r="F143" s="206">
        <f>IF('Crisis Indicator Data'!Q140="x","x",('Crisis Indicator Data'!Q140/1000000))</f>
        <v>7.4999999999999997E-2</v>
      </c>
      <c r="G143" s="206">
        <f>IF('Crisis Indicator Data'!R140="x","x",('Crisis Indicator Data'!R140/1000000))</f>
        <v>3.3000000000000002E-2</v>
      </c>
      <c r="H143" s="206">
        <f>IF('Crisis Indicator Data'!S140="x","x",('Crisis Indicator Data'!S140/1000000))</f>
        <v>0.123</v>
      </c>
      <c r="I143" s="206">
        <f>IF('Crisis Indicator Data'!T140="x","x",('Crisis Indicator Data'!T140/1000000))</f>
        <v>0</v>
      </c>
      <c r="J143" s="206">
        <f>IF('Crisis Indicator Data'!U140="x","x",('Crisis Indicator Data'!U140/1000000))</f>
        <v>0</v>
      </c>
      <c r="K143" s="190">
        <f t="shared" si="9"/>
        <v>1.8</v>
      </c>
      <c r="L143" s="185">
        <f>IF(F143="x","x",(F143*1000000/VLOOKUP($C143,'Crisis Indicator Data'!$C$3:$H$198,5,FALSE)))</f>
        <v>0.32467532467532467</v>
      </c>
      <c r="M143" s="185">
        <f>IF(G143="x","x",(G143*1000000/VLOOKUP($C143,'Crisis Indicator Data'!$C$3:$H$198,5,FALSE)))</f>
        <v>0.14285714285714285</v>
      </c>
      <c r="N143" s="185">
        <f>IF(H143="x","x",(H143*1000000/VLOOKUP($C143,'Crisis Indicator Data'!$C$3:$H$198,5,FALSE)))</f>
        <v>0.53246753246753242</v>
      </c>
      <c r="O143" s="185">
        <f>IF(I143="x","x",(I143*1000000/VLOOKUP($C143,'Crisis Indicator Data'!$C$3:$H$198,5,FALSE)))</f>
        <v>0</v>
      </c>
      <c r="P143" s="185">
        <f>IF(J143="x","x",(J143*1000000/VLOOKUP($C143,'Crisis Indicator Data'!$C$3:$H$198,5,FALSE)))</f>
        <v>0</v>
      </c>
      <c r="Q143" s="167">
        <f t="shared" si="10"/>
        <v>3</v>
      </c>
      <c r="R143" s="167">
        <f t="shared" ref="R143:R144" si="12">IF(Q143="x","x",(AVERAGE(K143,Q143)))</f>
        <v>2.4</v>
      </c>
    </row>
    <row r="144" spans="1:18" x14ac:dyDescent="0.3">
      <c r="A144" s="197" t="str">
        <f>'Crisis Indicator Data'!A141</f>
        <v>Complex crisis in Venezuela</v>
      </c>
      <c r="B144" s="198" t="str">
        <f>'Crisis Indicator Data'!B141</f>
        <v>Complex crisis</v>
      </c>
      <c r="C144" s="198" t="str">
        <f>'Crisis Indicator Data'!C141</f>
        <v>VEN001</v>
      </c>
      <c r="D144" s="198" t="str">
        <f>'Crisis Indicator Data'!D141</f>
        <v>Venezuela</v>
      </c>
      <c r="E144" s="198" t="str">
        <f>'Crisis Indicator Data'!E141</f>
        <v>VEN</v>
      </c>
      <c r="F144" s="206">
        <f>IF('Crisis Indicator Data'!Q141="x","x",('Crisis Indicator Data'!Q141/1000000))</f>
        <v>13.409000000000001</v>
      </c>
      <c r="G144" s="206">
        <f>IF('Crisis Indicator Data'!R141="x","x",('Crisis Indicator Data'!R141/1000000))</f>
        <v>0</v>
      </c>
      <c r="H144" s="206">
        <f>IF('Crisis Indicator Data'!S141="x","x",('Crisis Indicator Data'!S141/1000000))</f>
        <v>13.956</v>
      </c>
      <c r="I144" s="206">
        <f>IF('Crisis Indicator Data'!T141="x","x",('Crisis Indicator Data'!T141/1000000))</f>
        <v>0</v>
      </c>
      <c r="J144" s="206">
        <f>IF('Crisis Indicator Data'!U141="x","x",('Crisis Indicator Data'!U141/1000000))</f>
        <v>0</v>
      </c>
      <c r="K144" s="190">
        <f t="shared" si="9"/>
        <v>5</v>
      </c>
      <c r="L144" s="185">
        <f>IF(F144="x","x",(F144*1000000/VLOOKUP($C144,'Crisis Indicator Data'!$C$3:$H$198,5,FALSE)))</f>
        <v>0.49000548145441258</v>
      </c>
      <c r="M144" s="185">
        <f>IF(G144="x","x",(G144*1000000/VLOOKUP($C144,'Crisis Indicator Data'!$C$3:$H$198,5,FALSE)))</f>
        <v>0</v>
      </c>
      <c r="N144" s="185">
        <f>IF(H144="x","x",(H144*1000000/VLOOKUP($C144,'Crisis Indicator Data'!$C$3:$H$198,5,FALSE)))</f>
        <v>0.50999451854558742</v>
      </c>
      <c r="O144" s="185">
        <f>IF(I144="x","x",(I144*1000000/VLOOKUP($C144,'Crisis Indicator Data'!$C$3:$H$198,5,FALSE)))</f>
        <v>0</v>
      </c>
      <c r="P144" s="185">
        <f>IF(J144="x","x",(J144*1000000/VLOOKUP($C144,'Crisis Indicator Data'!$C$3:$H$198,5,FALSE)))</f>
        <v>0</v>
      </c>
      <c r="Q144" s="167">
        <f t="shared" si="10"/>
        <v>3</v>
      </c>
      <c r="R144" s="167">
        <f t="shared" si="12"/>
        <v>4</v>
      </c>
    </row>
    <row r="145" spans="1:18" x14ac:dyDescent="0.3">
      <c r="A145" s="197" t="str">
        <f>'Crisis Indicator Data'!A142</f>
        <v>Venezuela Regional Crisis</v>
      </c>
      <c r="B145" s="198" t="str">
        <f>'Crisis Indicator Data'!B142</f>
        <v>Regional crisis</v>
      </c>
      <c r="C145" s="198" t="str">
        <f>'Crisis Indicator Data'!C142</f>
        <v>REG002</v>
      </c>
      <c r="D145" s="198" t="str">
        <f>'Crisis Indicator Data'!D142</f>
        <v>Venezuela, Brazil, Colombia, Ecuador, Peru, Trinidad and Tobago</v>
      </c>
      <c r="E145" s="198" t="str">
        <f>'Crisis Indicator Data'!E142</f>
        <v>VEN, BRA, COL, ECU, PER, TTO</v>
      </c>
      <c r="F145" s="206">
        <f>IF('Crisis Indicator Data'!Q142="x","x",('Crisis Indicator Data'!Q142/1000000))</f>
        <v>44.631</v>
      </c>
      <c r="G145" s="206">
        <f>IF('Crisis Indicator Data'!R142="x","x",('Crisis Indicator Data'!R142/1000000))</f>
        <v>14.161</v>
      </c>
      <c r="H145" s="206">
        <f>IF('Crisis Indicator Data'!S142="x","x",('Crisis Indicator Data'!S142/1000000))</f>
        <v>18.777999999999999</v>
      </c>
      <c r="I145" s="206">
        <f>IF('Crisis Indicator Data'!T142="x","x",('Crisis Indicator Data'!T142/1000000))</f>
        <v>0.5</v>
      </c>
      <c r="J145" s="206">
        <f>IF('Crisis Indicator Data'!U142="x","x",('Crisis Indicator Data'!U142/1000000))</f>
        <v>0</v>
      </c>
      <c r="K145" s="190">
        <f t="shared" ref="K145:K147" si="13">IF(H145="x","x",IF(SUM(H145:J145)=0,0,IF(LOG(SUM(H145:J145)*1000000)&lt;$K$4,0,IF(LOG(SUM(H145:J145)*1000000)&gt;$K$3,5,ROUND(5-(K$3-LOG(SUM(H145:J145)*1000000))/(K$3-K$4)*5,1)))))</f>
        <v>5</v>
      </c>
      <c r="L145" s="185">
        <f>IF(F145="x","x",(F145*1000000/VLOOKUP($C145,'Crisis Indicator Data'!$C$3:$H$198,5,FALSE)))</f>
        <v>0.57167926220058918</v>
      </c>
      <c r="M145" s="185">
        <f>IF(G145="x","x",(G145*1000000/VLOOKUP($C145,'Crisis Indicator Data'!$C$3:$H$198,5,FALSE)))</f>
        <v>0.18138849750224159</v>
      </c>
      <c r="N145" s="185">
        <f>IF(H145="x","x",(H145*1000000/VLOOKUP($C145,'Crisis Indicator Data'!$C$3:$H$198,5,FALSE)))</f>
        <v>0.2405277315229922</v>
      </c>
      <c r="O145" s="185">
        <f>IF(I145="x","x",(I145*1000000/VLOOKUP($C145,'Crisis Indicator Data'!$C$3:$H$198,5,FALSE)))</f>
        <v>6.4045087741770208E-3</v>
      </c>
      <c r="P145" s="185">
        <f>IF(J145="x","x",(J145*1000000/VLOOKUP($C145,'Crisis Indicator Data'!$C$3:$H$198,5,FALSE)))</f>
        <v>0</v>
      </c>
      <c r="Q145" s="167">
        <f t="shared" ref="Q145:Q147" si="14">IF(N145="x","x",IF(OR(L145&gt;=$L$3,M145&gt;=$M$3,N145&gt;=$N$3,O145&gt;=$O$3,P145&gt;=$P$3),(IF(P145&gt;=$P$3,5,IF((O145+P145)&gt;=$O$3,4,IF((O145+P145+N145)&gt;=$N$3,3,IF((O145+P145+N145+M145)&gt;=$M$3,2,1)))))))</f>
        <v>3</v>
      </c>
      <c r="R145" s="167">
        <f t="shared" ref="R145:R147" si="15">IF(Q145="x","x",(AVERAGE(K145,Q145)))</f>
        <v>4</v>
      </c>
    </row>
    <row r="146" spans="1:18" x14ac:dyDescent="0.3">
      <c r="A146" s="197" t="str">
        <f>'Crisis Indicator Data'!A143</f>
        <v>Floods in central Vietnam</v>
      </c>
      <c r="B146" s="198" t="str">
        <f>'Crisis Indicator Data'!B143</f>
        <v>Flood</v>
      </c>
      <c r="C146" s="198" t="str">
        <f>'Crisis Indicator Data'!C143</f>
        <v>VNM002</v>
      </c>
      <c r="D146" s="198" t="str">
        <f>'Crisis Indicator Data'!D143</f>
        <v>Vietnam</v>
      </c>
      <c r="E146" s="198" t="str">
        <f>'Crisis Indicator Data'!E143</f>
        <v>VNM</v>
      </c>
      <c r="F146" s="206">
        <f>IF('Crisis Indicator Data'!Q143="x","x",('Crisis Indicator Data'!Q143/1000000))</f>
        <v>6.2</v>
      </c>
      <c r="G146" s="206">
        <f>IF('Crisis Indicator Data'!R143="x","x",('Crisis Indicator Data'!R143/1000000))</f>
        <v>1.323</v>
      </c>
      <c r="H146" s="206">
        <f>IF('Crisis Indicator Data'!S143="x","x",('Crisis Indicator Data'!S143/1000000))</f>
        <v>0.17699999999999999</v>
      </c>
      <c r="I146" s="206">
        <f>IF('Crisis Indicator Data'!T143="x","x",('Crisis Indicator Data'!T143/1000000))</f>
        <v>0</v>
      </c>
      <c r="J146" s="206">
        <f>IF('Crisis Indicator Data'!U143="x","x",('Crisis Indicator Data'!U143/1000000))</f>
        <v>0</v>
      </c>
      <c r="K146" s="190">
        <f t="shared" si="13"/>
        <v>2.1</v>
      </c>
      <c r="L146" s="185">
        <f>IF(F146="x","x",(F146*1000000/VLOOKUP($C146,'Crisis Indicator Data'!$C$3:$H$198,5,FALSE)))</f>
        <v>0.80519480519480524</v>
      </c>
      <c r="M146" s="185">
        <f>IF(G146="x","x",(G146*1000000/VLOOKUP($C146,'Crisis Indicator Data'!$C$3:$H$198,5,FALSE)))</f>
        <v>0.17181818181818181</v>
      </c>
      <c r="N146" s="185">
        <f>IF(H146="x","x",(H146*1000000/VLOOKUP($C146,'Crisis Indicator Data'!$C$3:$H$198,5,FALSE)))</f>
        <v>2.2987012987012986E-2</v>
      </c>
      <c r="O146" s="185">
        <f>IF(I146="x","x",(I146*1000000/VLOOKUP($C146,'Crisis Indicator Data'!$C$3:$H$198,5,FALSE)))</f>
        <v>0</v>
      </c>
      <c r="P146" s="185">
        <f>IF(J146="x","x",(J146*1000000/VLOOKUP($C146,'Crisis Indicator Data'!$C$3:$H$198,5,FALSE)))</f>
        <v>0</v>
      </c>
      <c r="Q146" s="167">
        <f t="shared" si="14"/>
        <v>2</v>
      </c>
      <c r="R146" s="167">
        <f t="shared" si="15"/>
        <v>2.0499999999999998</v>
      </c>
    </row>
    <row r="147" spans="1:18" x14ac:dyDescent="0.3">
      <c r="A147" s="197" t="str">
        <f>'Crisis Indicator Data'!A144</f>
        <v>Conflict in Yemen</v>
      </c>
      <c r="B147" s="198" t="str">
        <f>'Crisis Indicator Data'!B144</f>
        <v>Complex crisis</v>
      </c>
      <c r="C147" s="198" t="str">
        <f>'Crisis Indicator Data'!C144</f>
        <v>YEM001</v>
      </c>
      <c r="D147" s="198" t="str">
        <f>'Crisis Indicator Data'!D144</f>
        <v>Yemen</v>
      </c>
      <c r="E147" s="198" t="str">
        <f>'Crisis Indicator Data'!E144</f>
        <v>YEM</v>
      </c>
      <c r="F147" s="206">
        <f>IF('Crisis Indicator Data'!Q144="x","x",('Crisis Indicator Data'!Q144/1000000))</f>
        <v>0</v>
      </c>
      <c r="G147" s="206">
        <f>IF('Crisis Indicator Data'!R144="x","x",('Crisis Indicator Data'!R144/1000000))</f>
        <v>6.3369999999999997</v>
      </c>
      <c r="H147" s="206">
        <f>IF('Crisis Indicator Data'!S144="x","x",('Crisis Indicator Data'!S144/1000000))</f>
        <v>9.8000000000000007</v>
      </c>
      <c r="I147" s="206">
        <f>IF('Crisis Indicator Data'!T144="x","x",('Crisis Indicator Data'!T144/1000000))</f>
        <v>14.3</v>
      </c>
      <c r="J147" s="206">
        <f>IF('Crisis Indicator Data'!U144="x","x",('Crisis Indicator Data'!U144/1000000))</f>
        <v>6.4000000000000001E-2</v>
      </c>
      <c r="K147" s="190">
        <f t="shared" si="13"/>
        <v>5</v>
      </c>
      <c r="L147" s="185">
        <f>IF(F147="x","x",(F147*1000000/VLOOKUP($C147,'Crisis Indicator Data'!$C$3:$H$198,5,FALSE)))</f>
        <v>0</v>
      </c>
      <c r="M147" s="185">
        <f>IF(G147="x","x",(G147*1000000/VLOOKUP($C147,'Crisis Indicator Data'!$C$3:$H$198,5,FALSE)))</f>
        <v>0.2077704918032787</v>
      </c>
      <c r="N147" s="185">
        <f>IF(H147="x","x",(H147*1000000/VLOOKUP($C147,'Crisis Indicator Data'!$C$3:$H$198,5,FALSE)))</f>
        <v>0.32131147540983607</v>
      </c>
      <c r="O147" s="185">
        <f>IF(I147="x","x",(I147*1000000/VLOOKUP($C147,'Crisis Indicator Data'!$C$3:$H$198,5,FALSE)))</f>
        <v>0.46885245901639344</v>
      </c>
      <c r="P147" s="185">
        <f>IF(J147="x","x",(J147*1000000/VLOOKUP($C147,'Crisis Indicator Data'!$C$3:$H$198,5,FALSE)))</f>
        <v>2.0983606557377051E-3</v>
      </c>
      <c r="Q147" s="167">
        <f t="shared" si="14"/>
        <v>4</v>
      </c>
      <c r="R147" s="167">
        <f t="shared" si="15"/>
        <v>4.5</v>
      </c>
    </row>
    <row r="148" spans="1:18" x14ac:dyDescent="0.3">
      <c r="A148" s="197" t="str">
        <f>'Crisis Indicator Data'!A145</f>
        <v>Mixed migration flows in Yemen</v>
      </c>
      <c r="B148" s="198" t="str">
        <f>'Crisis Indicator Data'!B145</f>
        <v>International displacement</v>
      </c>
      <c r="C148" s="198" t="str">
        <f>'Crisis Indicator Data'!C145</f>
        <v>YEM002</v>
      </c>
      <c r="D148" s="198" t="str">
        <f>'Crisis Indicator Data'!D145</f>
        <v>Yemen</v>
      </c>
      <c r="E148" s="198" t="str">
        <f>'Crisis Indicator Data'!E145</f>
        <v>YEM</v>
      </c>
      <c r="F148" s="206">
        <f>IF('Crisis Indicator Data'!Q145="x","x",('Crisis Indicator Data'!Q145/1000000))</f>
        <v>3.8730000000000002</v>
      </c>
      <c r="G148" s="206">
        <f>IF('Crisis Indicator Data'!R145="x","x",('Crisis Indicator Data'!R145/1000000))</f>
        <v>0</v>
      </c>
      <c r="H148" s="206">
        <f>IF('Crisis Indicator Data'!S145="x","x",('Crisis Indicator Data'!S145/1000000))</f>
        <v>0.245</v>
      </c>
      <c r="I148" s="206">
        <f>IF('Crisis Indicator Data'!T145="x","x",('Crisis Indicator Data'!T145/1000000))</f>
        <v>0.17699999999999999</v>
      </c>
      <c r="J148" s="206">
        <f>IF('Crisis Indicator Data'!U145="x","x",('Crisis Indicator Data'!U145/1000000))</f>
        <v>0</v>
      </c>
      <c r="K148" s="190">
        <f t="shared" ref="K148:K151" si="16">IF(H148="x","x",IF(SUM(H148:J148)=0,0,IF(LOG(SUM(H148:J148)*1000000)&lt;$K$4,0,IF(LOG(SUM(H148:J148)*1000000)&gt;$K$3,5,ROUND(5-(K$3-LOG(SUM(H148:J148)*1000000))/(K$3-K$4)*5,1)))))</f>
        <v>2.7</v>
      </c>
      <c r="L148" s="185">
        <f>IF(F148="x","x",(F148*1000000/VLOOKUP($C148,'Crisis Indicator Data'!$C$3:$H$198,5,FALSE)))</f>
        <v>0.95089614534740974</v>
      </c>
      <c r="M148" s="185">
        <f>IF(G148="x","x",(G148*1000000/VLOOKUP($C148,'Crisis Indicator Data'!$C$3:$H$198,5,FALSE)))</f>
        <v>0</v>
      </c>
      <c r="N148" s="185">
        <f>IF(H148="x","x",(H148*1000000/VLOOKUP($C148,'Crisis Indicator Data'!$C$3:$H$198,5,FALSE)))</f>
        <v>6.0152221949423032E-2</v>
      </c>
      <c r="O148" s="185">
        <f>IF(I148="x","x",(I148*1000000/VLOOKUP($C148,'Crisis Indicator Data'!$C$3:$H$198,5,FALSE)))</f>
        <v>4.3456911367542352E-2</v>
      </c>
      <c r="P148" s="185">
        <f>IF(J148="x","x",(J148*1000000/VLOOKUP($C148,'Crisis Indicator Data'!$C$3:$H$198,5,FALSE)))</f>
        <v>0</v>
      </c>
      <c r="Q148" s="167">
        <f t="shared" ref="Q148:Q151" si="17">IF(N148="x","x",IF(OR(L148&gt;=$L$3,M148&gt;=$M$3,N148&gt;=$N$3,O148&gt;=$O$3,P148&gt;=$P$3),(IF(P148&gt;=$P$3,5,IF((O148+P148)&gt;=$O$3,4,IF((O148+P148+N148)&gt;=$N$3,3,IF((O148+P148+N148+M148)&gt;=$M$3,2,1)))))))</f>
        <v>3</v>
      </c>
      <c r="R148" s="167">
        <f t="shared" ref="R148:R151" si="18">IF(Q148="x","x",(AVERAGE(K148,Q148)))</f>
        <v>2.85</v>
      </c>
    </row>
    <row r="149" spans="1:18" x14ac:dyDescent="0.3">
      <c r="A149" s="197" t="str">
        <f>'Crisis Indicator Data'!A146</f>
        <v>Drought in Zambia</v>
      </c>
      <c r="B149" s="198" t="str">
        <f>'Crisis Indicator Data'!B146</f>
        <v>Drought</v>
      </c>
      <c r="C149" s="198" t="str">
        <f>'Crisis Indicator Data'!C146</f>
        <v>ZMB002</v>
      </c>
      <c r="D149" s="198" t="str">
        <f>'Crisis Indicator Data'!D146</f>
        <v>Zambia</v>
      </c>
      <c r="E149" s="198" t="str">
        <f>'Crisis Indicator Data'!E146</f>
        <v>ZMB</v>
      </c>
      <c r="F149" s="206">
        <f>IF('Crisis Indicator Data'!Q146="x","x",('Crisis Indicator Data'!Q146/1000000))</f>
        <v>4.0739999999999998</v>
      </c>
      <c r="G149" s="206">
        <f>IF('Crisis Indicator Data'!R146="x","x",('Crisis Indicator Data'!R146/1000000))</f>
        <v>3.1280000000000001</v>
      </c>
      <c r="H149" s="206">
        <f>IF('Crisis Indicator Data'!S146="x","x",('Crisis Indicator Data'!S146/1000000))</f>
        <v>1.8660000000000001</v>
      </c>
      <c r="I149" s="206">
        <f>IF('Crisis Indicator Data'!T146="x","x",('Crisis Indicator Data'!T146/1000000))</f>
        <v>0.41199999999999998</v>
      </c>
      <c r="J149" s="206">
        <f>IF('Crisis Indicator Data'!U146="x","x",('Crisis Indicator Data'!U146/1000000))</f>
        <v>0</v>
      </c>
      <c r="K149" s="190">
        <f t="shared" si="16"/>
        <v>3.9</v>
      </c>
      <c r="L149" s="185">
        <f>IF(F149="x","x",(F149*1000000/VLOOKUP($C149,'Crisis Indicator Data'!$C$3:$H$198,5,FALSE)))</f>
        <v>0.42974683544303799</v>
      </c>
      <c r="M149" s="185">
        <f>IF(G149="x","x",(G149*1000000/VLOOKUP($C149,'Crisis Indicator Data'!$C$3:$H$198,5,FALSE)))</f>
        <v>0.329957805907173</v>
      </c>
      <c r="N149" s="185">
        <f>IF(H149="x","x",(H149*1000000/VLOOKUP($C149,'Crisis Indicator Data'!$C$3:$H$198,5,FALSE)))</f>
        <v>0.19683544303797468</v>
      </c>
      <c r="O149" s="185">
        <f>IF(I149="x","x",(I149*1000000/VLOOKUP($C149,'Crisis Indicator Data'!$C$3:$H$198,5,FALSE)))</f>
        <v>4.3459915611814344E-2</v>
      </c>
      <c r="P149" s="185">
        <f>IF(J149="x","x",(J149*1000000/VLOOKUP($C149,'Crisis Indicator Data'!$C$3:$H$198,5,FALSE)))</f>
        <v>0</v>
      </c>
      <c r="Q149" s="167">
        <f t="shared" si="17"/>
        <v>3</v>
      </c>
      <c r="R149" s="167">
        <f t="shared" si="18"/>
        <v>3.45</v>
      </c>
    </row>
    <row r="150" spans="1:18" x14ac:dyDescent="0.3">
      <c r="A150" s="197" t="str">
        <f>'Crisis Indicator Data'!A147</f>
        <v>Complex crisis in Zimbabwe</v>
      </c>
      <c r="B150" s="198" t="str">
        <f>'Crisis Indicator Data'!B147</f>
        <v>Complex crisis</v>
      </c>
      <c r="C150" s="198" t="str">
        <f>'Crisis Indicator Data'!C147</f>
        <v>ZWE001</v>
      </c>
      <c r="D150" s="198" t="str">
        <f>'Crisis Indicator Data'!D147</f>
        <v>Zimbabwe</v>
      </c>
      <c r="E150" s="198" t="str">
        <f>'Crisis Indicator Data'!E147</f>
        <v>ZWE</v>
      </c>
      <c r="F150" s="206">
        <f>IF('Crisis Indicator Data'!Q147="x","x",('Crisis Indicator Data'!Q147/1000000))</f>
        <v>8.4130000000000003</v>
      </c>
      <c r="G150" s="206">
        <f>IF('Crisis Indicator Data'!R147="x","x",('Crisis Indicator Data'!R147/1000000))</f>
        <v>0</v>
      </c>
      <c r="H150" s="206">
        <f>IF('Crisis Indicator Data'!S147="x","x",('Crisis Indicator Data'!S147/1000000))</f>
        <v>7</v>
      </c>
      <c r="I150" s="206">
        <f>IF('Crisis Indicator Data'!T147="x","x",('Crisis Indicator Data'!T147/1000000))</f>
        <v>0</v>
      </c>
      <c r="J150" s="206">
        <f>IF('Crisis Indicator Data'!U147="x","x",('Crisis Indicator Data'!U147/1000000))</f>
        <v>0</v>
      </c>
      <c r="K150" s="190">
        <f t="shared" si="16"/>
        <v>4.7</v>
      </c>
      <c r="L150" s="185">
        <f>IF(F150="x","x",(F150*1000000/VLOOKUP($C150,'Crisis Indicator Data'!$C$3:$H$198,5,FALSE)))</f>
        <v>0.54583792902095629</v>
      </c>
      <c r="M150" s="185">
        <f>IF(G150="x","x",(G150*1000000/VLOOKUP($C150,'Crisis Indicator Data'!$C$3:$H$198,5,FALSE)))</f>
        <v>0</v>
      </c>
      <c r="N150" s="185">
        <f>IF(H150="x","x",(H150*1000000/VLOOKUP($C150,'Crisis Indicator Data'!$C$3:$H$198,5,FALSE)))</f>
        <v>0.45416207097904365</v>
      </c>
      <c r="O150" s="185">
        <f>IF(I150="x","x",(I150*1000000/VLOOKUP($C150,'Crisis Indicator Data'!$C$3:$H$198,5,FALSE)))</f>
        <v>0</v>
      </c>
      <c r="P150" s="185">
        <f>IF(J150="x","x",(J150*1000000/VLOOKUP($C150,'Crisis Indicator Data'!$C$3:$H$198,5,FALSE)))</f>
        <v>0</v>
      </c>
      <c r="Q150" s="167">
        <f t="shared" si="17"/>
        <v>3</v>
      </c>
      <c r="R150" s="167">
        <f t="shared" si="18"/>
        <v>3.85</v>
      </c>
    </row>
    <row r="151" spans="1:18" x14ac:dyDescent="0.3">
      <c r="A151" s="197" t="str">
        <f>'Crisis Indicator Data'!A148</f>
        <v>Malaria Outbreak in Zimbabwe</v>
      </c>
      <c r="B151" s="198" t="str">
        <f>'Crisis Indicator Data'!B148</f>
        <v>Epidemic</v>
      </c>
      <c r="C151" s="198" t="str">
        <f>'Crisis Indicator Data'!C148</f>
        <v>ZWE003</v>
      </c>
      <c r="D151" s="198" t="str">
        <f>'Crisis Indicator Data'!D148</f>
        <v>Zimbabwe</v>
      </c>
      <c r="E151" s="198" t="str">
        <f>'Crisis Indicator Data'!E148</f>
        <v>ZWE</v>
      </c>
      <c r="F151" s="206">
        <f>IF('Crisis Indicator Data'!Q148="x","x",('Crisis Indicator Data'!Q148/1000000))</f>
        <v>4.4249999999999998</v>
      </c>
      <c r="G151" s="206">
        <f>IF('Crisis Indicator Data'!R148="x","x",('Crisis Indicator Data'!R148/1000000))</f>
        <v>0</v>
      </c>
      <c r="H151" s="206">
        <f>IF('Crisis Indicator Data'!S148="x","x",('Crisis Indicator Data'!S148/1000000))</f>
        <v>0.35699999999999998</v>
      </c>
      <c r="I151" s="206">
        <f>IF('Crisis Indicator Data'!T148="x","x",('Crisis Indicator Data'!T148/1000000))</f>
        <v>0</v>
      </c>
      <c r="J151" s="206">
        <f>IF('Crisis Indicator Data'!U148="x","x",('Crisis Indicator Data'!U148/1000000))</f>
        <v>0</v>
      </c>
      <c r="K151" s="190">
        <f t="shared" si="16"/>
        <v>2.6</v>
      </c>
      <c r="L151" s="185">
        <f>IF(F151="x","x",(F151*1000000/VLOOKUP($C151,'Crisis Indicator Data'!$C$3:$H$198,5,FALSE)))</f>
        <v>0.92553859025308516</v>
      </c>
      <c r="M151" s="185">
        <f>IF(G151="x","x",(G151*1000000/VLOOKUP($C151,'Crisis Indicator Data'!$C$3:$H$198,5,FALSE)))</f>
        <v>0</v>
      </c>
      <c r="N151" s="185">
        <f>IF(H151="x","x",(H151*1000000/VLOOKUP($C151,'Crisis Indicator Data'!$C$3:$H$198,5,FALSE)))</f>
        <v>7.4670571010248904E-2</v>
      </c>
      <c r="O151" s="185">
        <f>IF(I151="x","x",(I151*1000000/VLOOKUP($C151,'Crisis Indicator Data'!$C$3:$H$198,5,FALSE)))</f>
        <v>0</v>
      </c>
      <c r="P151" s="185">
        <f>IF(J151="x","x",(J151*1000000/VLOOKUP($C151,'Crisis Indicator Data'!$C$3:$H$198,5,FALSE)))</f>
        <v>0</v>
      </c>
      <c r="Q151" s="167">
        <f t="shared" si="17"/>
        <v>3</v>
      </c>
      <c r="R151" s="167">
        <f t="shared" si="18"/>
        <v>2.8</v>
      </c>
    </row>
    <row r="152" spans="1:18" x14ac:dyDescent="0.3">
      <c r="A152"/>
      <c r="B152"/>
      <c r="C152"/>
      <c r="D152"/>
      <c r="E152"/>
      <c r="F152"/>
      <c r="G152"/>
      <c r="H152"/>
      <c r="I152"/>
      <c r="J152"/>
      <c r="K152"/>
      <c r="L152"/>
      <c r="M152"/>
      <c r="N152"/>
      <c r="O152"/>
      <c r="P152"/>
      <c r="Q152"/>
      <c r="R152"/>
    </row>
    <row r="153" spans="1:18" x14ac:dyDescent="0.3">
      <c r="A153"/>
      <c r="B153"/>
      <c r="C153"/>
      <c r="D153"/>
      <c r="E153"/>
      <c r="F153"/>
      <c r="G153"/>
      <c r="H153"/>
      <c r="I153"/>
      <c r="J153"/>
      <c r="K153"/>
      <c r="L153"/>
      <c r="M153"/>
      <c r="N153"/>
      <c r="O153"/>
      <c r="P153"/>
      <c r="Q153"/>
      <c r="R153"/>
    </row>
    <row r="154" spans="1:18" x14ac:dyDescent="0.3">
      <c r="A154"/>
      <c r="B154"/>
      <c r="C154"/>
      <c r="D154"/>
      <c r="E154"/>
      <c r="F154"/>
      <c r="G154"/>
      <c r="H154"/>
      <c r="I154"/>
      <c r="J154"/>
      <c r="K154"/>
      <c r="L154"/>
      <c r="M154"/>
      <c r="N154"/>
      <c r="O154"/>
      <c r="P154"/>
      <c r="Q154"/>
      <c r="R154"/>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xmlns:xlrd2="http://schemas.microsoft.com/office/spreadsheetml/2017/richdata2" ref="C3:E150">
    <sortCondition ref="C3:C150"/>
  </sortState>
  <mergeCells count="1">
    <mergeCell ref="A1:R1"/>
  </mergeCells>
  <conditionalFormatting sqref="K6:K151">
    <cfRule type="cellIs" dxfId="134" priority="21" stopIfTrue="1" operator="between">
      <formula>7.1</formula>
      <formula>10</formula>
    </cfRule>
    <cfRule type="cellIs" dxfId="133" priority="22" stopIfTrue="1" operator="between">
      <formula>5.4</formula>
      <formula>7</formula>
    </cfRule>
    <cfRule type="cellIs" dxfId="132" priority="23" stopIfTrue="1" operator="between">
      <formula>3.5</formula>
      <formula>5.3</formula>
    </cfRule>
    <cfRule type="cellIs" dxfId="131" priority="24" stopIfTrue="1" operator="between">
      <formula>1.8</formula>
      <formula>3.4</formula>
    </cfRule>
    <cfRule type="cellIs" dxfId="130" priority="25" stopIfTrue="1" operator="between">
      <formula>0</formula>
      <formula>1.7</formula>
    </cfRule>
  </conditionalFormatting>
  <conditionalFormatting sqref="Q6:Q151">
    <cfRule type="cellIs" dxfId="129" priority="16" stopIfTrue="1" operator="between">
      <formula>7.1</formula>
      <formula>10</formula>
    </cfRule>
    <cfRule type="cellIs" dxfId="128" priority="17" stopIfTrue="1" operator="between">
      <formula>5.4</formula>
      <formula>7</formula>
    </cfRule>
    <cfRule type="cellIs" dxfId="127" priority="18" stopIfTrue="1" operator="between">
      <formula>3.5</formula>
      <formula>5.3</formula>
    </cfRule>
    <cfRule type="cellIs" dxfId="126" priority="19" stopIfTrue="1" operator="between">
      <formula>1.8</formula>
      <formula>3.4</formula>
    </cfRule>
    <cfRule type="cellIs" dxfId="125" priority="20" stopIfTrue="1" operator="between">
      <formula>0</formula>
      <formula>1.7</formula>
    </cfRule>
  </conditionalFormatting>
  <conditionalFormatting sqref="R6:R151">
    <cfRule type="cellIs" dxfId="124" priority="6" stopIfTrue="1" operator="between">
      <formula>5</formula>
      <formula>5.9</formula>
    </cfRule>
    <cfRule type="cellIs" dxfId="123" priority="7" stopIfTrue="1" operator="between">
      <formula>4</formula>
      <formula>4.9</formula>
    </cfRule>
    <cfRule type="cellIs" dxfId="122" priority="8" stopIfTrue="1" operator="between">
      <formula>3</formula>
      <formula>3.9</formula>
    </cfRule>
    <cfRule type="cellIs" dxfId="121" priority="9" stopIfTrue="1" operator="between">
      <formula>2</formula>
      <formula>2.9</formula>
    </cfRule>
    <cfRule type="cellIs" dxfId="120" priority="10" stopIfTrue="1" operator="between">
      <formula>0</formula>
      <formula>1.9</formula>
    </cfRule>
  </conditionalFormatting>
  <conditionalFormatting sqref="L6:P143">
    <cfRule type="cellIs" priority="4" stopIfTrue="1" operator="equal">
      <formula>"x"</formula>
    </cfRule>
    <cfRule type="cellIs" dxfId="119" priority="5" operator="greaterThan">
      <formula>1</formula>
    </cfRule>
  </conditionalFormatting>
  <conditionalFormatting sqref="L144:P151">
    <cfRule type="cellIs" priority="2" stopIfTrue="1" operator="equal">
      <formula>"x"</formula>
    </cfRule>
    <cfRule type="cellIs" dxfId="118" priority="3" operator="greaterThan">
      <formula>1</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showGridLines="0" zoomScale="80" zoomScaleNormal="80" zoomScalePageLayoutView="90" workbookViewId="0">
      <pane xSplit="5" ySplit="2" topLeftCell="X146" activePane="bottomRight" state="frozen"/>
      <selection pane="topRight" activeCell="B1" sqref="B1"/>
      <selection pane="bottomLeft" activeCell="A4" sqref="A4"/>
      <selection pane="bottomRight" activeCell="A152" sqref="A152:AN157"/>
    </sheetView>
  </sheetViews>
  <sheetFormatPr defaultColWidth="9.44140625" defaultRowHeight="14.4" x14ac:dyDescent="0.3"/>
  <cols>
    <col min="1" max="1" width="40.44140625" style="78" bestFit="1" customWidth="1"/>
    <col min="2" max="2" width="25.5546875" style="78" bestFit="1" customWidth="1"/>
    <col min="3" max="3" width="11.44140625" style="78" bestFit="1" customWidth="1"/>
    <col min="4" max="4" width="11.44140625" style="78" customWidth="1"/>
    <col min="5" max="5" width="8.44140625" style="293" customWidth="1"/>
    <col min="6" max="14" width="8.5546875" style="78" customWidth="1"/>
    <col min="15" max="15" width="8.5546875" style="294" customWidth="1"/>
    <col min="16" max="17" width="8.5546875" style="78" customWidth="1"/>
    <col min="18" max="18" width="8.5546875" style="294" customWidth="1"/>
    <col min="19" max="22" width="8.5546875" style="78" customWidth="1"/>
    <col min="23" max="24" width="8.5546875" style="294" customWidth="1"/>
    <col min="25" max="25" width="8.5546875" style="78" customWidth="1"/>
    <col min="26" max="30" width="8.5546875" style="294" customWidth="1"/>
    <col min="31" max="38" width="8.5546875" style="78" customWidth="1"/>
    <col min="39" max="40" width="8.5546875" style="294" customWidth="1"/>
    <col min="41" max="16384" width="9.44140625" style="78"/>
  </cols>
  <sheetData>
    <row r="1" spans="1:40" x14ac:dyDescent="0.3">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row>
    <row r="2" spans="1:40" ht="109.5" customHeight="1" thickBot="1" x14ac:dyDescent="0.35">
      <c r="A2" s="1"/>
      <c r="B2" s="1"/>
      <c r="C2" s="15"/>
      <c r="D2" s="15"/>
      <c r="E2" s="9"/>
      <c r="F2" s="116" t="s">
        <v>489</v>
      </c>
      <c r="G2" s="116" t="s">
        <v>491</v>
      </c>
      <c r="H2" s="115" t="s">
        <v>496</v>
      </c>
      <c r="I2" s="116" t="s">
        <v>556</v>
      </c>
      <c r="J2" s="116" t="s">
        <v>492</v>
      </c>
      <c r="K2" s="115" t="s">
        <v>466</v>
      </c>
      <c r="L2" s="116" t="s">
        <v>557</v>
      </c>
      <c r="M2" s="116" t="s">
        <v>376</v>
      </c>
      <c r="N2" s="115" t="s">
        <v>497</v>
      </c>
      <c r="O2" s="114" t="s">
        <v>414</v>
      </c>
      <c r="P2" s="116" t="s">
        <v>415</v>
      </c>
      <c r="Q2" s="116" t="s">
        <v>558</v>
      </c>
      <c r="R2" s="114" t="s">
        <v>433</v>
      </c>
      <c r="S2" s="116" t="s">
        <v>559</v>
      </c>
      <c r="T2" s="116" t="s">
        <v>407</v>
      </c>
      <c r="U2" s="116" t="s">
        <v>408</v>
      </c>
      <c r="V2" s="116" t="s">
        <v>560</v>
      </c>
      <c r="W2" s="114" t="s">
        <v>404</v>
      </c>
      <c r="X2" s="113" t="s">
        <v>445</v>
      </c>
      <c r="Y2" s="116" t="s">
        <v>2984</v>
      </c>
      <c r="Z2" s="114" t="s">
        <v>2956</v>
      </c>
      <c r="AA2" s="116" t="s">
        <v>530</v>
      </c>
      <c r="AB2" s="116" t="s">
        <v>531</v>
      </c>
      <c r="AC2" s="116" t="s">
        <v>532</v>
      </c>
      <c r="AD2" s="116" t="s">
        <v>533</v>
      </c>
      <c r="AE2" s="115" t="s">
        <v>539</v>
      </c>
      <c r="AF2" s="116" t="s">
        <v>534</v>
      </c>
      <c r="AG2" s="116" t="s">
        <v>535</v>
      </c>
      <c r="AH2" s="115" t="s">
        <v>540</v>
      </c>
      <c r="AI2" s="116" t="s">
        <v>536</v>
      </c>
      <c r="AJ2" s="116" t="s">
        <v>537</v>
      </c>
      <c r="AK2" s="116" t="s">
        <v>538</v>
      </c>
      <c r="AL2" s="115" t="s">
        <v>541</v>
      </c>
      <c r="AM2" s="114" t="s">
        <v>432</v>
      </c>
      <c r="AN2" s="113" t="s">
        <v>446</v>
      </c>
    </row>
    <row r="3" spans="1:40" x14ac:dyDescent="0.3">
      <c r="A3" s="1"/>
      <c r="B3" s="1"/>
      <c r="C3" s="15"/>
      <c r="D3" s="15"/>
      <c r="E3" s="8" t="s">
        <v>370</v>
      </c>
      <c r="F3" s="101">
        <v>14</v>
      </c>
      <c r="G3" s="101">
        <v>10</v>
      </c>
      <c r="H3" s="101"/>
      <c r="I3" s="101">
        <v>1</v>
      </c>
      <c r="J3" s="101">
        <v>0.5</v>
      </c>
      <c r="K3" s="101"/>
      <c r="L3" s="101">
        <v>0.75</v>
      </c>
      <c r="M3" s="101">
        <v>65</v>
      </c>
      <c r="N3" s="101"/>
      <c r="O3" s="101"/>
      <c r="P3" s="101"/>
      <c r="Q3" s="103">
        <v>3000</v>
      </c>
      <c r="R3" s="101"/>
      <c r="S3" s="101">
        <v>100</v>
      </c>
      <c r="T3" s="101">
        <v>2.5</v>
      </c>
      <c r="U3" s="101">
        <v>10</v>
      </c>
      <c r="V3" s="101">
        <v>100</v>
      </c>
      <c r="W3" s="101"/>
      <c r="X3" s="101"/>
      <c r="Y3" s="101"/>
      <c r="Z3" s="101"/>
      <c r="AA3" s="101"/>
      <c r="AB3" s="101"/>
      <c r="AC3" s="101"/>
      <c r="AD3" s="101"/>
      <c r="AE3" s="101"/>
      <c r="AF3" s="101"/>
      <c r="AG3" s="101"/>
      <c r="AH3" s="101"/>
      <c r="AI3" s="101"/>
      <c r="AJ3" s="101"/>
      <c r="AK3" s="101"/>
      <c r="AL3" s="101"/>
      <c r="AM3" s="101"/>
      <c r="AN3" s="101"/>
    </row>
    <row r="4" spans="1:40" x14ac:dyDescent="0.3">
      <c r="A4" s="1"/>
      <c r="B4" s="1"/>
      <c r="C4" s="15"/>
      <c r="D4" s="15"/>
      <c r="E4" s="8" t="s">
        <v>369</v>
      </c>
      <c r="F4" s="101">
        <v>0</v>
      </c>
      <c r="G4" s="101">
        <v>0</v>
      </c>
      <c r="H4" s="101"/>
      <c r="I4" s="101">
        <v>0</v>
      </c>
      <c r="J4" s="101">
        <v>0</v>
      </c>
      <c r="K4" s="101"/>
      <c r="L4" s="101">
        <v>0</v>
      </c>
      <c r="M4" s="101">
        <v>25</v>
      </c>
      <c r="N4" s="101"/>
      <c r="O4" s="101"/>
      <c r="P4" s="101"/>
      <c r="Q4" s="101">
        <v>1</v>
      </c>
      <c r="R4" s="101"/>
      <c r="S4" s="101">
        <v>0</v>
      </c>
      <c r="T4" s="101">
        <v>-2.5</v>
      </c>
      <c r="U4" s="101">
        <v>0</v>
      </c>
      <c r="V4" s="101">
        <v>0</v>
      </c>
      <c r="W4" s="101"/>
      <c r="X4" s="101"/>
      <c r="Y4" s="101"/>
      <c r="Z4" s="101"/>
      <c r="AA4" s="101"/>
      <c r="AB4" s="101"/>
      <c r="AC4" s="101"/>
      <c r="AD4" s="101"/>
      <c r="AE4" s="101"/>
      <c r="AF4" s="101"/>
      <c r="AG4" s="101"/>
      <c r="AH4" s="101"/>
      <c r="AI4" s="101"/>
      <c r="AJ4" s="101"/>
      <c r="AK4" s="101"/>
      <c r="AL4" s="101"/>
      <c r="AM4" s="101"/>
      <c r="AN4" s="101"/>
    </row>
    <row r="5" spans="1:40" x14ac:dyDescent="0.3">
      <c r="A5" s="20" t="s">
        <v>399</v>
      </c>
      <c r="B5" s="20" t="s">
        <v>1285</v>
      </c>
      <c r="C5" s="20" t="s">
        <v>400</v>
      </c>
      <c r="D5" s="20" t="s">
        <v>367</v>
      </c>
      <c r="E5" s="21" t="s">
        <v>371</v>
      </c>
      <c r="F5" s="22"/>
      <c r="G5" s="22"/>
      <c r="H5" s="22"/>
      <c r="I5" s="22"/>
      <c r="J5" s="22"/>
      <c r="K5" s="22"/>
      <c r="L5" s="22"/>
      <c r="M5" s="22"/>
      <c r="N5" s="22"/>
      <c r="O5" s="23"/>
      <c r="P5" s="22"/>
      <c r="Q5" s="24"/>
      <c r="R5" s="22"/>
      <c r="S5" s="23"/>
      <c r="T5" s="22"/>
      <c r="U5" s="24"/>
      <c r="V5" s="25"/>
      <c r="W5" s="22"/>
      <c r="X5" s="23"/>
      <c r="Y5" s="22"/>
      <c r="Z5" s="24"/>
      <c r="AA5" s="24"/>
      <c r="AB5" s="24"/>
      <c r="AC5" s="24"/>
      <c r="AD5" s="24"/>
      <c r="AE5" s="22"/>
      <c r="AF5" s="22"/>
      <c r="AG5" s="22"/>
      <c r="AH5" s="22"/>
      <c r="AI5" s="22"/>
      <c r="AJ5" s="22"/>
      <c r="AK5" s="22"/>
      <c r="AL5" s="22"/>
      <c r="AM5" s="23"/>
      <c r="AN5" s="24"/>
    </row>
    <row r="6" spans="1:40" ht="13.5" customHeight="1" x14ac:dyDescent="0.3">
      <c r="A6" s="191" t="str">
        <f>'Crisis Indicator Data'!A3</f>
        <v>Complex crisis in Afghanistan</v>
      </c>
      <c r="B6" s="192" t="str">
        <f>'Crisis Indicator Data'!B3</f>
        <v>Complex crisis</v>
      </c>
      <c r="C6" s="192" t="str">
        <f>'Crisis Indicator Data'!C3</f>
        <v>AFG001</v>
      </c>
      <c r="D6" s="192" t="str">
        <f>'Crisis Indicator Data'!D3</f>
        <v>Afghanistan</v>
      </c>
      <c r="E6" s="193" t="str">
        <f>'Crisis Indicator Data'!E3</f>
        <v>AFG</v>
      </c>
      <c r="F6" s="183">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83">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83">
        <f t="shared" ref="H6:H37" si="0">IF(AND(F6="x",G6="x"),"x",AVERAGE(F6,G6))</f>
        <v>3.5</v>
      </c>
      <c r="I6" s="183">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83">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83">
        <f t="shared" ref="K6:K37" si="1">IF(AND(I6="x",J6="x"),"x",AVERAGE(I6,J6))</f>
        <v>1.85</v>
      </c>
      <c r="L6" s="183">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83"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83">
        <f t="shared" ref="N6:N37" si="2">IF(AND(L6="x",M6="x"),"x",AVERAGE(L6,M6))</f>
        <v>3.8</v>
      </c>
      <c r="O6" s="183">
        <f t="shared" ref="O6:O37" si="3">AVERAGE(H6,K6,N6)</f>
        <v>3.0499999999999994</v>
      </c>
      <c r="P6" s="183">
        <f>IF(B6="Regional crisis",VLOOKUP(C6,'Regional Crises'!$B$1:$R$69,12,FALSE),VLOOKUP(E6,'Country Indicator Data'!$B$4:$I$194,8,FALSE))</f>
        <v>5</v>
      </c>
      <c r="Q6" s="183">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83">
        <f t="shared" ref="R6:R37" si="4">AVERAGE(P6:Q6)</f>
        <v>5</v>
      </c>
      <c r="S6" s="183">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83">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83">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83">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83">
        <f t="shared" ref="W6:W37" si="5">IF(AND(S6="x",V6="x"),"x",ROUND(AVERAGE(S6,V6,T6,U6),1))</f>
        <v>3.9</v>
      </c>
      <c r="X6" s="183">
        <f t="shared" ref="X6:X37" si="6">ROUND(AVERAGE(O6,W6,R6),1)</f>
        <v>4</v>
      </c>
      <c r="Y6" s="207">
        <f>IF('Core Indicators'!FC3="x","x",IF('Core Indicators'!FC3&gt;=5,5,IF('Core Indicators'!FC3&gt;=4,4,IF('Core Indicators'!FC3&gt;=3,3,IF('Core Indicators'!FC3&gt;=2,2,IF('Core Indicators'!FC3&gt;=1,1,0))))))</f>
        <v>5</v>
      </c>
      <c r="Z6" s="183">
        <f t="shared" ref="Z6:Z37" si="7">Y6</f>
        <v>5</v>
      </c>
      <c r="AA6" s="207">
        <f>'Crisis Indicator Data'!Y3</f>
        <v>0</v>
      </c>
      <c r="AB6" s="207">
        <f>'Crisis Indicator Data'!Z3</f>
        <v>3</v>
      </c>
      <c r="AC6" s="207">
        <f>'Crisis Indicator Data'!AA3</f>
        <v>2</v>
      </c>
      <c r="AD6" s="207">
        <f>'Crisis Indicator Data'!AB3</f>
        <v>3</v>
      </c>
      <c r="AE6" s="207">
        <f>IF(SUM(AA6:AD6)=0,0,IF(SUM(AA6,AB6,AC6,AD6)&lt;2,1,IF(SUM(AA6:AD6)&lt;6,2,IF(SUM(AA6:AD6)&lt;8,3,IF(SUM(AA6:AD6)&lt;10,4,5)))))</f>
        <v>4</v>
      </c>
      <c r="AF6" s="207">
        <f>'Crisis Indicator Data'!AC3</f>
        <v>0</v>
      </c>
      <c r="AG6" s="207">
        <f>'Crisis Indicator Data'!AD3</f>
        <v>3</v>
      </c>
      <c r="AH6" s="207">
        <f>IF(SUM(AF6:AG6)=0,0,IF(SUM(AF6,AG6)=1,1,IF(SUM(AF6:AG6)&lt;3,2,IF(SUM(AF6:AG6)&lt;4,3,IF(SUM(AF6:AG6)&lt;5,4,5)))))</f>
        <v>3</v>
      </c>
      <c r="AI6" s="207">
        <f>'Crisis Indicator Data'!AE3</f>
        <v>3</v>
      </c>
      <c r="AJ6" s="207">
        <f>'Crisis Indicator Data'!AF3</f>
        <v>3</v>
      </c>
      <c r="AK6" s="207">
        <f>'Crisis Indicator Data'!AG3</f>
        <v>2</v>
      </c>
      <c r="AL6" s="207">
        <f>IF(SUM(AI6:AK6)=0,0,IF(SUM(AI6:AK6)=1,1,IF(SUM(AI6:AK6)&lt;3,2,IF(SUM(AI6:AK6)&lt;5,3,IF(SUM(AI6:AK6)&lt;7,4,5)))))</f>
        <v>5</v>
      </c>
      <c r="AM6" s="183">
        <f t="shared" ref="AM6:AM37" si="8">IF(AA6=3,5,ROUND(AVERAGE(AE6,AH6,AL6),0))</f>
        <v>4</v>
      </c>
      <c r="AN6" s="183">
        <f t="shared" ref="AN6:AN37" si="9">IF(AND(Z6="x",AM6="x"),"x",ROUND(AVERAGE(Z6,AM6),1))</f>
        <v>4.5</v>
      </c>
    </row>
    <row r="7" spans="1:40" ht="13.5" customHeight="1" x14ac:dyDescent="0.3">
      <c r="A7" s="191" t="str">
        <f>'Crisis Indicator Data'!A4</f>
        <v>Mixed migration flows in Algeria</v>
      </c>
      <c r="B7" s="192" t="str">
        <f>'Crisis Indicator Data'!B4</f>
        <v>International displacement</v>
      </c>
      <c r="C7" s="192" t="str">
        <f>'Crisis Indicator Data'!C4</f>
        <v>DZA002</v>
      </c>
      <c r="D7" s="192" t="str">
        <f>'Crisis Indicator Data'!D4</f>
        <v>Algeria</v>
      </c>
      <c r="E7" s="193" t="str">
        <f>'Crisis Indicator Data'!E4</f>
        <v>DZA</v>
      </c>
      <c r="F7" s="183">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3.9</v>
      </c>
      <c r="G7" s="183">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2.7</v>
      </c>
      <c r="H7" s="183">
        <f t="shared" si="0"/>
        <v>3.3</v>
      </c>
      <c r="I7" s="183">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2</v>
      </c>
      <c r="J7" s="183">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2.7</v>
      </c>
      <c r="K7" s="183">
        <f t="shared" si="1"/>
        <v>2.35</v>
      </c>
      <c r="L7" s="183">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3</v>
      </c>
      <c r="M7" s="183">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0.3</v>
      </c>
      <c r="N7" s="183">
        <f t="shared" si="2"/>
        <v>1.65</v>
      </c>
      <c r="O7" s="183">
        <f t="shared" si="3"/>
        <v>2.4333333333333336</v>
      </c>
      <c r="P7" s="183">
        <f>IF(B7="Regional crisis",VLOOKUP(C7,'Regional Crises'!$B$1:$R$69,12,FALSE),VLOOKUP(E7,'Country Indicator Data'!$B$4:$I$194,8,FALSE))</f>
        <v>3</v>
      </c>
      <c r="Q7" s="183">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4</v>
      </c>
      <c r="R7" s="183">
        <f t="shared" si="4"/>
        <v>3.5</v>
      </c>
      <c r="S7" s="183">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3.3</v>
      </c>
      <c r="T7" s="183">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3.3</v>
      </c>
      <c r="U7" s="183">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2.9</v>
      </c>
      <c r="V7" s="183">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3.3</v>
      </c>
      <c r="W7" s="183">
        <f t="shared" si="5"/>
        <v>3.2</v>
      </c>
      <c r="X7" s="183">
        <f t="shared" si="6"/>
        <v>3</v>
      </c>
      <c r="Y7" s="207">
        <f>IF('Core Indicators'!FC4="x","x",IF('Core Indicators'!FC4&gt;=5,5,IF('Core Indicators'!FC4&gt;=4,4,IF('Core Indicators'!FC4&gt;=3,3,IF('Core Indicators'!FC4&gt;=2,2,IF('Core Indicators'!FC4&gt;=1,1,0))))))</f>
        <v>2</v>
      </c>
      <c r="Z7" s="183">
        <f t="shared" si="7"/>
        <v>2</v>
      </c>
      <c r="AA7" s="207">
        <f>'Crisis Indicator Data'!Y4</f>
        <v>0</v>
      </c>
      <c r="AB7" s="207">
        <f>'Crisis Indicator Data'!Z4</f>
        <v>0</v>
      </c>
      <c r="AC7" s="207">
        <f>'Crisis Indicator Data'!AA4</f>
        <v>0</v>
      </c>
      <c r="AD7" s="207">
        <f>'Crisis Indicator Data'!AB4</f>
        <v>0</v>
      </c>
      <c r="AE7" s="207">
        <f t="shared" ref="AE7:AE70" si="10">IF(SUM(AA7:AD7)=0,0,IF(SUM(AA7,AB7,AC7,AD7)&lt;2,1,IF(SUM(AA7:AD7)&lt;6,2,IF(SUM(AA7:AD7)&lt;8,3,IF(SUM(AA7:AD7)&lt;10,4,5)))))</f>
        <v>0</v>
      </c>
      <c r="AF7" s="207">
        <f>'Crisis Indicator Data'!AC4</f>
        <v>0</v>
      </c>
      <c r="AG7" s="207">
        <f>'Crisis Indicator Data'!AD4</f>
        <v>0</v>
      </c>
      <c r="AH7" s="207">
        <f t="shared" ref="AH7:AH70" si="11">IF(SUM(AF7:AG7)=0,0,IF(SUM(AF7,AG7)=1,1,IF(SUM(AF7:AG7)&lt;3,2,IF(SUM(AF7:AG7)&lt;4,3,IF(SUM(AF7:AG7)&lt;5,4,5)))))</f>
        <v>0</v>
      </c>
      <c r="AI7" s="207">
        <f>'Crisis Indicator Data'!AE4</f>
        <v>0</v>
      </c>
      <c r="AJ7" s="207">
        <f>'Crisis Indicator Data'!AF4</f>
        <v>1</v>
      </c>
      <c r="AK7" s="207">
        <f>'Crisis Indicator Data'!AG4</f>
        <v>0</v>
      </c>
      <c r="AL7" s="207">
        <f t="shared" ref="AL7:AL70" si="12">IF(SUM(AI7:AK7)=0,0,IF(SUM(AI7:AK7)=1,1,IF(SUM(AI7:AK7)&lt;3,2,IF(SUM(AI7:AK7)&lt;5,3,IF(SUM(AI7:AK7)&lt;7,4,5)))))</f>
        <v>1</v>
      </c>
      <c r="AM7" s="183">
        <f t="shared" si="8"/>
        <v>0</v>
      </c>
      <c r="AN7" s="183">
        <f t="shared" si="9"/>
        <v>1</v>
      </c>
    </row>
    <row r="8" spans="1:40" ht="13.5" customHeight="1" x14ac:dyDescent="0.3">
      <c r="A8" s="191" t="str">
        <f>'Crisis Indicator Data'!A5</f>
        <v>Sahrawi refugees in Algeria</v>
      </c>
      <c r="B8" s="192" t="str">
        <f>'Crisis Indicator Data'!B5</f>
        <v>International displacement</v>
      </c>
      <c r="C8" s="192" t="str">
        <f>'Crisis Indicator Data'!C5</f>
        <v>DZA003</v>
      </c>
      <c r="D8" s="192" t="str">
        <f>'Crisis Indicator Data'!D5</f>
        <v>Algeria</v>
      </c>
      <c r="E8" s="193" t="str">
        <f>'Crisis Indicator Data'!E5</f>
        <v>DZA</v>
      </c>
      <c r="F8" s="183">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3.9</v>
      </c>
      <c r="G8" s="183">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2.7</v>
      </c>
      <c r="H8" s="183">
        <f t="shared" si="0"/>
        <v>3.3</v>
      </c>
      <c r="I8" s="183">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2</v>
      </c>
      <c r="J8" s="183">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2.7</v>
      </c>
      <c r="K8" s="183">
        <f t="shared" si="1"/>
        <v>2.35</v>
      </c>
      <c r="L8" s="183">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3</v>
      </c>
      <c r="M8" s="183">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0.3</v>
      </c>
      <c r="N8" s="183">
        <f t="shared" si="2"/>
        <v>1.65</v>
      </c>
      <c r="O8" s="183">
        <f t="shared" si="3"/>
        <v>2.4333333333333336</v>
      </c>
      <c r="P8" s="183">
        <f>IF(B8="Regional crisis",VLOOKUP(C8,'Regional Crises'!$B$1:$R$69,12,FALSE),VLOOKUP(E8,'Country Indicator Data'!$B$4:$I$194,8,FALSE))</f>
        <v>3</v>
      </c>
      <c r="Q8" s="183">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4</v>
      </c>
      <c r="R8" s="183">
        <f t="shared" si="4"/>
        <v>3.5</v>
      </c>
      <c r="S8" s="183">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3.3</v>
      </c>
      <c r="T8" s="183">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3.3</v>
      </c>
      <c r="U8" s="183">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2.9</v>
      </c>
      <c r="V8" s="183">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3.3</v>
      </c>
      <c r="W8" s="183">
        <f t="shared" si="5"/>
        <v>3.2</v>
      </c>
      <c r="X8" s="183">
        <f t="shared" si="6"/>
        <v>3</v>
      </c>
      <c r="Y8" s="207">
        <f>IF('Core Indicators'!FC5="x","x",IF('Core Indicators'!FC5&gt;=5,5,IF('Core Indicators'!FC5&gt;=4,4,IF('Core Indicators'!FC5&gt;=3,3,IF('Core Indicators'!FC5&gt;=2,2,IF('Core Indicators'!FC5&gt;=1,1,0))))))</f>
        <v>1</v>
      </c>
      <c r="Z8" s="183">
        <f t="shared" si="7"/>
        <v>1</v>
      </c>
      <c r="AA8" s="207">
        <f>'Crisis Indicator Data'!Y5</f>
        <v>0</v>
      </c>
      <c r="AB8" s="207">
        <f>'Crisis Indicator Data'!Z5</f>
        <v>0</v>
      </c>
      <c r="AC8" s="207">
        <f>'Crisis Indicator Data'!AA5</f>
        <v>0</v>
      </c>
      <c r="AD8" s="207">
        <f>'Crisis Indicator Data'!AB5</f>
        <v>0</v>
      </c>
      <c r="AE8" s="207">
        <f t="shared" si="10"/>
        <v>0</v>
      </c>
      <c r="AF8" s="207">
        <f>'Crisis Indicator Data'!AC5</f>
        <v>0</v>
      </c>
      <c r="AG8" s="207">
        <f>'Crisis Indicator Data'!AD5</f>
        <v>0</v>
      </c>
      <c r="AH8" s="207">
        <f t="shared" si="11"/>
        <v>0</v>
      </c>
      <c r="AI8" s="207">
        <f>'Crisis Indicator Data'!AE5</f>
        <v>0</v>
      </c>
      <c r="AJ8" s="207">
        <f>'Crisis Indicator Data'!AF5</f>
        <v>1</v>
      </c>
      <c r="AK8" s="207">
        <f>'Crisis Indicator Data'!AG5</f>
        <v>1</v>
      </c>
      <c r="AL8" s="207">
        <f t="shared" si="12"/>
        <v>2</v>
      </c>
      <c r="AM8" s="183">
        <f t="shared" si="8"/>
        <v>1</v>
      </c>
      <c r="AN8" s="183">
        <f t="shared" si="9"/>
        <v>1</v>
      </c>
    </row>
    <row r="9" spans="1:40" ht="13.5" customHeight="1" x14ac:dyDescent="0.3">
      <c r="A9" s="191" t="str">
        <f>'Crisis Indicator Data'!A6</f>
        <v>Multiple crises in Algeria</v>
      </c>
      <c r="B9" s="192" t="str">
        <f>'Crisis Indicator Data'!B6</f>
        <v>Multiple crises country</v>
      </c>
      <c r="C9" s="192" t="str">
        <f>'Crisis Indicator Data'!C6</f>
        <v>DZA004</v>
      </c>
      <c r="D9" s="192" t="str">
        <f>'Crisis Indicator Data'!D6</f>
        <v>Algeria</v>
      </c>
      <c r="E9" s="193" t="str">
        <f>'Crisis Indicator Data'!E6</f>
        <v>DZA</v>
      </c>
      <c r="F9" s="183">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3.9</v>
      </c>
      <c r="G9" s="183">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2.7</v>
      </c>
      <c r="H9" s="183">
        <f t="shared" si="0"/>
        <v>3.3</v>
      </c>
      <c r="I9" s="183">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2</v>
      </c>
      <c r="J9" s="183">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2.7</v>
      </c>
      <c r="K9" s="183">
        <f t="shared" si="1"/>
        <v>2.35</v>
      </c>
      <c r="L9" s="183">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v>
      </c>
      <c r="M9" s="183">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0.3</v>
      </c>
      <c r="N9" s="183">
        <f t="shared" si="2"/>
        <v>1.65</v>
      </c>
      <c r="O9" s="183">
        <f t="shared" si="3"/>
        <v>2.4333333333333336</v>
      </c>
      <c r="P9" s="183">
        <f>IF(B9="Regional crisis",VLOOKUP(C9,'Regional Crises'!$B$1:$R$69,12,FALSE),VLOOKUP(E9,'Country Indicator Data'!$B$4:$I$194,8,FALSE))</f>
        <v>3</v>
      </c>
      <c r="Q9" s="183">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4</v>
      </c>
      <c r="R9" s="183">
        <f t="shared" si="4"/>
        <v>3.5</v>
      </c>
      <c r="S9" s="183">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3.3</v>
      </c>
      <c r="T9" s="183">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3.3</v>
      </c>
      <c r="U9" s="183">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2.9</v>
      </c>
      <c r="V9" s="183">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3.3</v>
      </c>
      <c r="W9" s="183">
        <f t="shared" si="5"/>
        <v>3.2</v>
      </c>
      <c r="X9" s="183">
        <f t="shared" si="6"/>
        <v>3</v>
      </c>
      <c r="Y9" s="207">
        <f>IF('Core Indicators'!FC6="x","x",IF('Core Indicators'!FC6&gt;=5,5,IF('Core Indicators'!FC6&gt;=4,4,IF('Core Indicators'!FC6&gt;=3,3,IF('Core Indicators'!FC6&gt;=2,2,IF('Core Indicators'!FC6&gt;=1,1,0))))))</f>
        <v>2</v>
      </c>
      <c r="Z9" s="183">
        <f t="shared" si="7"/>
        <v>2</v>
      </c>
      <c r="AA9" s="207">
        <f>'Crisis Indicator Data'!Y6</f>
        <v>1</v>
      </c>
      <c r="AB9" s="207">
        <f>'Crisis Indicator Data'!Z6</f>
        <v>1</v>
      </c>
      <c r="AC9" s="207">
        <f>'Crisis Indicator Data'!AA6</f>
        <v>1</v>
      </c>
      <c r="AD9" s="207">
        <f>'Crisis Indicator Data'!AB6</f>
        <v>0</v>
      </c>
      <c r="AE9" s="207">
        <f t="shared" si="10"/>
        <v>2</v>
      </c>
      <c r="AF9" s="207">
        <f>'Crisis Indicator Data'!AC6</f>
        <v>0</v>
      </c>
      <c r="AG9" s="207">
        <f>'Crisis Indicator Data'!AD6</f>
        <v>2</v>
      </c>
      <c r="AH9" s="207">
        <f t="shared" si="11"/>
        <v>2</v>
      </c>
      <c r="AI9" s="207">
        <f>'Crisis Indicator Data'!AE6</f>
        <v>0</v>
      </c>
      <c r="AJ9" s="207">
        <f>'Crisis Indicator Data'!AF6</f>
        <v>0</v>
      </c>
      <c r="AK9" s="207">
        <f>'Crisis Indicator Data'!AG6</f>
        <v>1</v>
      </c>
      <c r="AL9" s="207">
        <f t="shared" si="12"/>
        <v>1</v>
      </c>
      <c r="AM9" s="183">
        <f t="shared" si="8"/>
        <v>2</v>
      </c>
      <c r="AN9" s="183">
        <f t="shared" si="9"/>
        <v>2</v>
      </c>
    </row>
    <row r="10" spans="1:40" ht="13.5" customHeight="1" x14ac:dyDescent="0.3">
      <c r="A10" s="191" t="str">
        <f>'Crisis Indicator Data'!A7</f>
        <v>Western Mediterranean Route</v>
      </c>
      <c r="B10" s="192" t="str">
        <f>'Crisis Indicator Data'!B7</f>
        <v>Regional crisis</v>
      </c>
      <c r="C10" s="192" t="str">
        <f>'Crisis Indicator Data'!C7</f>
        <v>REG008</v>
      </c>
      <c r="D10" s="192" t="str">
        <f>'Crisis Indicator Data'!D7</f>
        <v>Algeria, Morocco, Spain</v>
      </c>
      <c r="E10" s="193" t="str">
        <f>'Crisis Indicator Data'!E7</f>
        <v>DZA, MAR, ESP</v>
      </c>
      <c r="F10" s="183">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2.7</v>
      </c>
      <c r="G10" s="183">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2.9</v>
      </c>
      <c r="H10" s="183">
        <f t="shared" si="0"/>
        <v>2.8</v>
      </c>
      <c r="I10" s="183">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2.2999999999999998</v>
      </c>
      <c r="J10" s="183">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3.2</v>
      </c>
      <c r="K10" s="183">
        <f t="shared" si="1"/>
        <v>2.75</v>
      </c>
      <c r="L10" s="183">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2.2000000000000002</v>
      </c>
      <c r="M10" s="183">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1.1000000000000001</v>
      </c>
      <c r="N10" s="183">
        <f t="shared" si="2"/>
        <v>1.6500000000000001</v>
      </c>
      <c r="O10" s="183">
        <f t="shared" si="3"/>
        <v>2.4</v>
      </c>
      <c r="P10" s="183">
        <f>IF(B10="Regional crisis",VLOOKUP(C10,'Regional Crises'!$B$1:$R$69,12,FALSE),VLOOKUP(E10,'Country Indicator Data'!$B$4:$I$194,8,FALSE))</f>
        <v>3</v>
      </c>
      <c r="Q10" s="183">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2.6</v>
      </c>
      <c r="R10" s="183">
        <f t="shared" si="4"/>
        <v>2.8</v>
      </c>
      <c r="S10" s="183">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2.7</v>
      </c>
      <c r="T10" s="183">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2.5</v>
      </c>
      <c r="U10" s="183">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3.1</v>
      </c>
      <c r="V10" s="183">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2.2999999999999998</v>
      </c>
      <c r="W10" s="183">
        <f t="shared" si="5"/>
        <v>2.7</v>
      </c>
      <c r="X10" s="183">
        <f t="shared" si="6"/>
        <v>2.6</v>
      </c>
      <c r="Y10" s="207">
        <f>IF('Core Indicators'!FC7="x","x",IF('Core Indicators'!FC7&gt;=5,5,IF('Core Indicators'!FC7&gt;=4,4,IF('Core Indicators'!FC7&gt;=3,3,IF('Core Indicators'!FC7&gt;=2,2,IF('Core Indicators'!FC7&gt;=1,1,0))))))</f>
        <v>2</v>
      </c>
      <c r="Z10" s="183">
        <f t="shared" si="7"/>
        <v>2</v>
      </c>
      <c r="AA10" s="207">
        <f>'Crisis Indicator Data'!Y7</f>
        <v>0</v>
      </c>
      <c r="AB10" s="207">
        <f>'Crisis Indicator Data'!Z7</f>
        <v>0.33</v>
      </c>
      <c r="AC10" s="207">
        <f>'Crisis Indicator Data'!AA7</f>
        <v>0.33</v>
      </c>
      <c r="AD10" s="207">
        <f>'Crisis Indicator Data'!AB7</f>
        <v>0</v>
      </c>
      <c r="AE10" s="207">
        <f t="shared" si="10"/>
        <v>1</v>
      </c>
      <c r="AF10" s="207">
        <f>'Crisis Indicator Data'!AC7</f>
        <v>0</v>
      </c>
      <c r="AG10" s="207">
        <f>'Crisis Indicator Data'!AD7</f>
        <v>0</v>
      </c>
      <c r="AH10" s="207">
        <f t="shared" si="11"/>
        <v>0</v>
      </c>
      <c r="AI10" s="207">
        <f>'Crisis Indicator Data'!AE7</f>
        <v>0</v>
      </c>
      <c r="AJ10" s="207">
        <f>'Crisis Indicator Data'!AF7</f>
        <v>0.33</v>
      </c>
      <c r="AK10" s="207">
        <f>'Crisis Indicator Data'!AG7</f>
        <v>0.33</v>
      </c>
      <c r="AL10" s="207">
        <f t="shared" si="12"/>
        <v>2</v>
      </c>
      <c r="AM10" s="183">
        <f t="shared" si="8"/>
        <v>1</v>
      </c>
      <c r="AN10" s="183">
        <f t="shared" si="9"/>
        <v>1.5</v>
      </c>
    </row>
    <row r="11" spans="1:40" ht="13.5" customHeight="1" x14ac:dyDescent="0.3">
      <c r="A11" s="191" t="str">
        <f>'Crisis Indicator Data'!A8</f>
        <v>Central Mediterranean Route</v>
      </c>
      <c r="B11" s="192" t="str">
        <f>'Crisis Indicator Data'!B8</f>
        <v>Regional crisis</v>
      </c>
      <c r="C11" s="192" t="str">
        <f>'Crisis Indicator Data'!C8</f>
        <v>REG007</v>
      </c>
      <c r="D11" s="192" t="str">
        <f>'Crisis Indicator Data'!D8</f>
        <v>Algeria, Tunisia, Libya, Italy</v>
      </c>
      <c r="E11" s="193" t="str">
        <f>'Crisis Indicator Data'!E8</f>
        <v>DZA, TUN, LBY, ITA</v>
      </c>
      <c r="F11" s="183">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2.9</v>
      </c>
      <c r="G11" s="183">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2.7</v>
      </c>
      <c r="H11" s="183">
        <f t="shared" si="0"/>
        <v>2.8</v>
      </c>
      <c r="I11" s="183">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1.1000000000000001</v>
      </c>
      <c r="J11" s="183">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0.7</v>
      </c>
      <c r="K11" s="183">
        <f t="shared" si="1"/>
        <v>0.9</v>
      </c>
      <c r="L11" s="183">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1.6</v>
      </c>
      <c r="M11" s="183">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83">
        <f t="shared" si="2"/>
        <v>1.25</v>
      </c>
      <c r="O11" s="183">
        <f t="shared" si="3"/>
        <v>1.6499999999999997</v>
      </c>
      <c r="P11" s="183">
        <f>IF(B11="Regional crisis",VLOOKUP(C11,'Regional Crises'!$B$1:$R$69,12,FALSE),VLOOKUP(E11,'Country Indicator Data'!$B$4:$I$194,8,FALSE))</f>
        <v>2.75</v>
      </c>
      <c r="Q11" s="183">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3.6</v>
      </c>
      <c r="R11" s="183">
        <f t="shared" si="4"/>
        <v>3.1749999999999998</v>
      </c>
      <c r="S11" s="183">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3.1</v>
      </c>
      <c r="T11" s="183">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83">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83">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2.5</v>
      </c>
      <c r="W11" s="183">
        <f t="shared" si="5"/>
        <v>2.9</v>
      </c>
      <c r="X11" s="183">
        <f t="shared" si="6"/>
        <v>2.6</v>
      </c>
      <c r="Y11" s="207">
        <f>IF('Core Indicators'!FC8="x","x",IF('Core Indicators'!FC8&gt;=5,5,IF('Core Indicators'!FC8&gt;=4,4,IF('Core Indicators'!FC8&gt;=3,3,IF('Core Indicators'!FC8&gt;=2,2,IF('Core Indicators'!FC8&gt;=1,1,0))))))</f>
        <v>2</v>
      </c>
      <c r="Z11" s="183">
        <f t="shared" si="7"/>
        <v>2</v>
      </c>
      <c r="AA11" s="207">
        <f>'Crisis Indicator Data'!Y8</f>
        <v>0.33333333333333298</v>
      </c>
      <c r="AB11" s="207">
        <f>'Crisis Indicator Data'!Z8</f>
        <v>1</v>
      </c>
      <c r="AC11" s="207">
        <f>'Crisis Indicator Data'!AA8</f>
        <v>1</v>
      </c>
      <c r="AD11" s="207">
        <f>'Crisis Indicator Data'!AB8</f>
        <v>0.33333333333333298</v>
      </c>
      <c r="AE11" s="207">
        <f t="shared" si="10"/>
        <v>2</v>
      </c>
      <c r="AF11" s="207">
        <f>'Crisis Indicator Data'!AC8</f>
        <v>0.66666666666666696</v>
      </c>
      <c r="AG11" s="207">
        <f>'Crisis Indicator Data'!AD8</f>
        <v>0.66666666666666696</v>
      </c>
      <c r="AH11" s="207">
        <f t="shared" si="11"/>
        <v>2</v>
      </c>
      <c r="AI11" s="207">
        <f>'Crisis Indicator Data'!AE8</f>
        <v>1</v>
      </c>
      <c r="AJ11" s="207">
        <f>'Crisis Indicator Data'!AF8</f>
        <v>1.6666666666666701</v>
      </c>
      <c r="AK11" s="207">
        <f>'Crisis Indicator Data'!AG8</f>
        <v>1</v>
      </c>
      <c r="AL11" s="207">
        <f t="shared" si="12"/>
        <v>3</v>
      </c>
      <c r="AM11" s="183">
        <f t="shared" si="8"/>
        <v>2</v>
      </c>
      <c r="AN11" s="183">
        <f t="shared" si="9"/>
        <v>2</v>
      </c>
    </row>
    <row r="12" spans="1:40" ht="13.5" customHeight="1" x14ac:dyDescent="0.3">
      <c r="A12" s="191" t="str">
        <f>'Crisis Indicator Data'!A9</f>
        <v>Nagorno-Karabakh Conflict in Armenia</v>
      </c>
      <c r="B12" s="192" t="str">
        <f>'Crisis Indicator Data'!B9</f>
        <v>Conflict</v>
      </c>
      <c r="C12" s="192" t="str">
        <f>'Crisis Indicator Data'!C9</f>
        <v>ARM002</v>
      </c>
      <c r="D12" s="192" t="str">
        <f>'Crisis Indicator Data'!D9</f>
        <v>Armenia</v>
      </c>
      <c r="E12" s="193" t="str">
        <f>'Crisis Indicator Data'!E9</f>
        <v>ARM</v>
      </c>
      <c r="F12" s="183">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2.9</v>
      </c>
      <c r="G12" s="183">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1.5</v>
      </c>
      <c r="H12" s="183">
        <f t="shared" si="0"/>
        <v>2.2000000000000002</v>
      </c>
      <c r="I12" s="183">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0.2</v>
      </c>
      <c r="J12" s="183">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0.2</v>
      </c>
      <c r="K12" s="183">
        <f t="shared" si="1"/>
        <v>0.2</v>
      </c>
      <c r="L12" s="183">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1.7</v>
      </c>
      <c r="M12" s="183">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1.2</v>
      </c>
      <c r="N12" s="183">
        <f t="shared" si="2"/>
        <v>1.45</v>
      </c>
      <c r="O12" s="183">
        <f t="shared" si="3"/>
        <v>1.2833333333333334</v>
      </c>
      <c r="P12" s="183">
        <f>IF(B12="Regional crisis",VLOOKUP(C12,'Regional Crises'!$B$1:$R$69,12,FALSE),VLOOKUP(E12,'Country Indicator Data'!$B$4:$I$194,8,FALSE))</f>
        <v>3</v>
      </c>
      <c r="Q12" s="183">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0.4</v>
      </c>
      <c r="R12" s="183">
        <f t="shared" si="4"/>
        <v>1.7</v>
      </c>
      <c r="S12" s="183">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2.9</v>
      </c>
      <c r="T12" s="183">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2.6</v>
      </c>
      <c r="U12" s="183">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2</v>
      </c>
      <c r="V12" s="183">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2.4</v>
      </c>
      <c r="W12" s="183">
        <f t="shared" si="5"/>
        <v>2.5</v>
      </c>
      <c r="X12" s="183">
        <f t="shared" si="6"/>
        <v>1.8</v>
      </c>
      <c r="Y12" s="207">
        <f>IF('Core Indicators'!FC9="x","x",IF('Core Indicators'!FC9&gt;=5,5,IF('Core Indicators'!FC9&gt;=4,4,IF('Core Indicators'!FC9&gt;=3,3,IF('Core Indicators'!FC9&gt;=2,2,IF('Core Indicators'!FC9&gt;=1,1,0))))))</f>
        <v>3</v>
      </c>
      <c r="Z12" s="183">
        <f t="shared" si="7"/>
        <v>3</v>
      </c>
      <c r="AA12" s="207">
        <f>'Crisis Indicator Data'!Y9</f>
        <v>0</v>
      </c>
      <c r="AB12" s="207">
        <f>'Crisis Indicator Data'!Z9</f>
        <v>0</v>
      </c>
      <c r="AC12" s="207">
        <f>'Crisis Indicator Data'!AA9</f>
        <v>0</v>
      </c>
      <c r="AD12" s="207">
        <f>'Crisis Indicator Data'!AB9</f>
        <v>0</v>
      </c>
      <c r="AE12" s="207">
        <f t="shared" si="10"/>
        <v>0</v>
      </c>
      <c r="AF12" s="207">
        <f>'Crisis Indicator Data'!AC9</f>
        <v>0</v>
      </c>
      <c r="AG12" s="207">
        <f>'Crisis Indicator Data'!AD9</f>
        <v>0</v>
      </c>
      <c r="AH12" s="207">
        <f t="shared" si="11"/>
        <v>0</v>
      </c>
      <c r="AI12" s="207">
        <f>'Crisis Indicator Data'!AE9</f>
        <v>0</v>
      </c>
      <c r="AJ12" s="207">
        <f>'Crisis Indicator Data'!AF9</f>
        <v>0</v>
      </c>
      <c r="AK12" s="207">
        <f>'Crisis Indicator Data'!AG9</f>
        <v>0</v>
      </c>
      <c r="AL12" s="207">
        <f t="shared" si="12"/>
        <v>0</v>
      </c>
      <c r="AM12" s="183">
        <f t="shared" si="8"/>
        <v>0</v>
      </c>
      <c r="AN12" s="183">
        <f t="shared" si="9"/>
        <v>1.5</v>
      </c>
    </row>
    <row r="13" spans="1:40" ht="13.5" customHeight="1" x14ac:dyDescent="0.3">
      <c r="A13" s="191" t="str">
        <f>'Crisis Indicator Data'!A10</f>
        <v>Nagorno-Karabakh Conflict</v>
      </c>
      <c r="B13" s="192" t="str">
        <f>'Crisis Indicator Data'!B10</f>
        <v>Regional crisis</v>
      </c>
      <c r="C13" s="192" t="str">
        <f>'Crisis Indicator Data'!C10</f>
        <v>REG013</v>
      </c>
      <c r="D13" s="192" t="str">
        <f>'Crisis Indicator Data'!D10</f>
        <v>Armenia, Azerbaijan</v>
      </c>
      <c r="E13" s="193" t="str">
        <f>'Crisis Indicator Data'!E10</f>
        <v>ARM, AZE</v>
      </c>
      <c r="F13" s="183">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3.2</v>
      </c>
      <c r="G13" s="183">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2.4</v>
      </c>
      <c r="H13" s="183">
        <f t="shared" si="0"/>
        <v>2.8</v>
      </c>
      <c r="I13" s="183">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0.5</v>
      </c>
      <c r="J13" s="183">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0.4</v>
      </c>
      <c r="K13" s="183">
        <f t="shared" si="1"/>
        <v>0.45</v>
      </c>
      <c r="L13" s="183">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1.9</v>
      </c>
      <c r="M13" s="183">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1.2</v>
      </c>
      <c r="N13" s="183">
        <f t="shared" si="2"/>
        <v>1.5499999999999998</v>
      </c>
      <c r="O13" s="183">
        <f t="shared" si="3"/>
        <v>1.5999999999999999</v>
      </c>
      <c r="P13" s="183">
        <f>IF(B13="Regional crisis",VLOOKUP(C13,'Regional Crises'!$B$1:$R$69,12,FALSE),VLOOKUP(E13,'Country Indicator Data'!$B$4:$I$194,8,FALSE))</f>
        <v>3</v>
      </c>
      <c r="Q13" s="183">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3.1</v>
      </c>
      <c r="R13" s="183">
        <f t="shared" si="4"/>
        <v>3.05</v>
      </c>
      <c r="S13" s="183">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3.2</v>
      </c>
      <c r="T13" s="183">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2.9</v>
      </c>
      <c r="U13" s="183">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2.8</v>
      </c>
      <c r="V13" s="183">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3.4</v>
      </c>
      <c r="W13" s="183">
        <f t="shared" si="5"/>
        <v>3.1</v>
      </c>
      <c r="X13" s="183">
        <f t="shared" si="6"/>
        <v>2.6</v>
      </c>
      <c r="Y13" s="207">
        <f>IF('Core Indicators'!FC10="x","x",IF('Core Indicators'!FC10&gt;=5,5,IF('Core Indicators'!FC10&gt;=4,4,IF('Core Indicators'!FC10&gt;=3,3,IF('Core Indicators'!FC10&gt;=2,2,IF('Core Indicators'!FC10&gt;=1,1,0))))))</f>
        <v>3</v>
      </c>
      <c r="Z13" s="183">
        <f t="shared" si="7"/>
        <v>3</v>
      </c>
      <c r="AA13" s="207">
        <f>'Crisis Indicator Data'!Y10</f>
        <v>2</v>
      </c>
      <c r="AB13" s="207">
        <f>'Crisis Indicator Data'!Z10</f>
        <v>2</v>
      </c>
      <c r="AC13" s="207">
        <f>'Crisis Indicator Data'!AA10</f>
        <v>0</v>
      </c>
      <c r="AD13" s="207">
        <f>'Crisis Indicator Data'!AB10</f>
        <v>0</v>
      </c>
      <c r="AE13" s="207">
        <f t="shared" si="10"/>
        <v>2</v>
      </c>
      <c r="AF13" s="207">
        <f>'Crisis Indicator Data'!AC10</f>
        <v>0</v>
      </c>
      <c r="AG13" s="207">
        <f>'Crisis Indicator Data'!AD10</f>
        <v>0</v>
      </c>
      <c r="AH13" s="207">
        <f t="shared" si="11"/>
        <v>0</v>
      </c>
      <c r="AI13" s="207">
        <f>'Crisis Indicator Data'!AE10</f>
        <v>1</v>
      </c>
      <c r="AJ13" s="207">
        <f>'Crisis Indicator Data'!AF10</f>
        <v>0</v>
      </c>
      <c r="AK13" s="207">
        <f>'Crisis Indicator Data'!AG10</f>
        <v>0</v>
      </c>
      <c r="AL13" s="207">
        <f t="shared" si="12"/>
        <v>1</v>
      </c>
      <c r="AM13" s="183">
        <f t="shared" si="8"/>
        <v>1</v>
      </c>
      <c r="AN13" s="183">
        <f t="shared" si="9"/>
        <v>2</v>
      </c>
    </row>
    <row r="14" spans="1:40" ht="13.5" customHeight="1" x14ac:dyDescent="0.3">
      <c r="A14" s="191" t="str">
        <f>'Crisis Indicator Data'!A11</f>
        <v>Nagorno-Karabakh conflict in Azerbaijan</v>
      </c>
      <c r="B14" s="192" t="str">
        <f>'Crisis Indicator Data'!B11</f>
        <v>Conflict</v>
      </c>
      <c r="C14" s="192" t="str">
        <f>'Crisis Indicator Data'!C11</f>
        <v>AZE002</v>
      </c>
      <c r="D14" s="192" t="str">
        <f>'Crisis Indicator Data'!D11</f>
        <v>Azerbaijan</v>
      </c>
      <c r="E14" s="193" t="str">
        <f>'Crisis Indicator Data'!E11</f>
        <v>AZE</v>
      </c>
      <c r="F14" s="183">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3.6</v>
      </c>
      <c r="G14" s="183">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3.3</v>
      </c>
      <c r="H14" s="183">
        <f t="shared" si="0"/>
        <v>3.45</v>
      </c>
      <c r="I14" s="183">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0.8</v>
      </c>
      <c r="J14" s="183">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0.6</v>
      </c>
      <c r="K14" s="183">
        <f t="shared" si="1"/>
        <v>0.7</v>
      </c>
      <c r="L14" s="183">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2.1</v>
      </c>
      <c r="M14" s="183" t="str">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x</v>
      </c>
      <c r="N14" s="183">
        <f t="shared" si="2"/>
        <v>2.1</v>
      </c>
      <c r="O14" s="183">
        <f t="shared" si="3"/>
        <v>2.0833333333333335</v>
      </c>
      <c r="P14" s="183">
        <f>IF(B14="Regional crisis",VLOOKUP(C14,'Regional Crises'!$B$1:$R$69,12,FALSE),VLOOKUP(E14,'Country Indicator Data'!$B$4:$I$194,8,FALSE))</f>
        <v>3</v>
      </c>
      <c r="Q14" s="183">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3.1</v>
      </c>
      <c r="R14" s="183">
        <f t="shared" si="4"/>
        <v>3.05</v>
      </c>
      <c r="S14" s="183">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3.5</v>
      </c>
      <c r="T14" s="183">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3.1</v>
      </c>
      <c r="U14" s="183">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3.5</v>
      </c>
      <c r="V14" s="183">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4.5</v>
      </c>
      <c r="W14" s="183">
        <f t="shared" si="5"/>
        <v>3.7</v>
      </c>
      <c r="X14" s="183">
        <f t="shared" si="6"/>
        <v>2.9</v>
      </c>
      <c r="Y14" s="207">
        <f>IF('Core Indicators'!FC11="x","x",IF('Core Indicators'!FC11&gt;=5,5,IF('Core Indicators'!FC11&gt;=4,4,IF('Core Indicators'!FC11&gt;=3,3,IF('Core Indicators'!FC11&gt;=2,2,IF('Core Indicators'!FC11&gt;=1,1,0))))))</f>
        <v>3</v>
      </c>
      <c r="Z14" s="183">
        <f t="shared" si="7"/>
        <v>3</v>
      </c>
      <c r="AA14" s="207">
        <f>'Crisis Indicator Data'!Y11</f>
        <v>2</v>
      </c>
      <c r="AB14" s="207">
        <f>'Crisis Indicator Data'!Z11</f>
        <v>1</v>
      </c>
      <c r="AC14" s="207">
        <f>'Crisis Indicator Data'!AA11</f>
        <v>0</v>
      </c>
      <c r="AD14" s="207">
        <f>'Crisis Indicator Data'!AB11</f>
        <v>0</v>
      </c>
      <c r="AE14" s="207">
        <f t="shared" si="10"/>
        <v>2</v>
      </c>
      <c r="AF14" s="207">
        <f>'Crisis Indicator Data'!AC11</f>
        <v>0</v>
      </c>
      <c r="AG14" s="207">
        <f>'Crisis Indicator Data'!AD11</f>
        <v>0</v>
      </c>
      <c r="AH14" s="207">
        <f t="shared" si="11"/>
        <v>0</v>
      </c>
      <c r="AI14" s="207">
        <f>'Crisis Indicator Data'!AE11</f>
        <v>1</v>
      </c>
      <c r="AJ14" s="207">
        <f>'Crisis Indicator Data'!AF11</f>
        <v>0</v>
      </c>
      <c r="AK14" s="207">
        <f>'Crisis Indicator Data'!AG11</f>
        <v>0</v>
      </c>
      <c r="AL14" s="207">
        <f t="shared" si="12"/>
        <v>1</v>
      </c>
      <c r="AM14" s="183">
        <f t="shared" si="8"/>
        <v>1</v>
      </c>
      <c r="AN14" s="183">
        <f t="shared" si="9"/>
        <v>2</v>
      </c>
    </row>
    <row r="15" spans="1:40" ht="13.5" customHeight="1" x14ac:dyDescent="0.3">
      <c r="A15" s="191" t="str">
        <f>'Crisis Indicator Data'!A12</f>
        <v>Mutliple crises in Bangladesh</v>
      </c>
      <c r="B15" s="192" t="str">
        <f>'Crisis Indicator Data'!B12</f>
        <v>Multiple crises country</v>
      </c>
      <c r="C15" s="192" t="str">
        <f>'Crisis Indicator Data'!C12</f>
        <v>BGD001</v>
      </c>
      <c r="D15" s="192" t="str">
        <f>'Crisis Indicator Data'!D12</f>
        <v>Bangladesh</v>
      </c>
      <c r="E15" s="193" t="str">
        <f>'Crisis Indicator Data'!E12</f>
        <v>BGD</v>
      </c>
      <c r="F15" s="183">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2.5</v>
      </c>
      <c r="G15" s="183">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2.8</v>
      </c>
      <c r="H15" s="183">
        <f t="shared" si="0"/>
        <v>2.65</v>
      </c>
      <c r="I15" s="183">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0.9</v>
      </c>
      <c r="J15" s="183">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1.2</v>
      </c>
      <c r="K15" s="183">
        <f t="shared" si="1"/>
        <v>1.05</v>
      </c>
      <c r="L15" s="183">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3.6</v>
      </c>
      <c r="M15" s="183">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0.9</v>
      </c>
      <c r="N15" s="183">
        <f t="shared" si="2"/>
        <v>2.25</v>
      </c>
      <c r="O15" s="183">
        <f t="shared" si="3"/>
        <v>1.9833333333333334</v>
      </c>
      <c r="P15" s="183">
        <f>IF(B15="Regional crisis",VLOOKUP(C15,'Regional Crises'!$B$1:$R$69,12,FALSE),VLOOKUP(E15,'Country Indicator Data'!$B$4:$I$194,8,FALSE))</f>
        <v>3</v>
      </c>
      <c r="Q15" s="183">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2.7</v>
      </c>
      <c r="R15" s="183">
        <f t="shared" si="4"/>
        <v>2.85</v>
      </c>
      <c r="S15" s="183">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3.7</v>
      </c>
      <c r="T15" s="183">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3.1</v>
      </c>
      <c r="U15" s="183">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3.3</v>
      </c>
      <c r="V15" s="183">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3.1</v>
      </c>
      <c r="W15" s="183">
        <f t="shared" si="5"/>
        <v>3.3</v>
      </c>
      <c r="X15" s="183">
        <f t="shared" si="6"/>
        <v>2.7</v>
      </c>
      <c r="Y15" s="207">
        <f>IF('Core Indicators'!FC12="x","x",IF('Core Indicators'!FC12&gt;=5,5,IF('Core Indicators'!FC12&gt;=4,4,IF('Core Indicators'!FC12&gt;=3,3,IF('Core Indicators'!FC12&gt;=2,2,IF('Core Indicators'!FC12&gt;=1,1,0))))))</f>
        <v>3</v>
      </c>
      <c r="Z15" s="183">
        <f t="shared" si="7"/>
        <v>3</v>
      </c>
      <c r="AA15" s="207">
        <f>'Crisis Indicator Data'!Y12</f>
        <v>2</v>
      </c>
      <c r="AB15" s="207">
        <f>'Crisis Indicator Data'!Z12</f>
        <v>1</v>
      </c>
      <c r="AC15" s="207">
        <f>'Crisis Indicator Data'!AA12</f>
        <v>2</v>
      </c>
      <c r="AD15" s="207">
        <f>'Crisis Indicator Data'!AB12</f>
        <v>0</v>
      </c>
      <c r="AE15" s="207">
        <f t="shared" si="10"/>
        <v>2</v>
      </c>
      <c r="AF15" s="207">
        <f>'Crisis Indicator Data'!AC12</f>
        <v>2</v>
      </c>
      <c r="AG15" s="207">
        <f>'Crisis Indicator Data'!AD12</f>
        <v>3</v>
      </c>
      <c r="AH15" s="207">
        <f t="shared" si="11"/>
        <v>5</v>
      </c>
      <c r="AI15" s="207">
        <f>'Crisis Indicator Data'!AE12</f>
        <v>3</v>
      </c>
      <c r="AJ15" s="207">
        <f>'Crisis Indicator Data'!AF12</f>
        <v>1</v>
      </c>
      <c r="AK15" s="207">
        <f>'Crisis Indicator Data'!AG12</f>
        <v>3</v>
      </c>
      <c r="AL15" s="207">
        <f t="shared" si="12"/>
        <v>5</v>
      </c>
      <c r="AM15" s="183">
        <f t="shared" si="8"/>
        <v>4</v>
      </c>
      <c r="AN15" s="183">
        <f t="shared" si="9"/>
        <v>3.5</v>
      </c>
    </row>
    <row r="16" spans="1:40" ht="13.5" customHeight="1" x14ac:dyDescent="0.3">
      <c r="A16" s="191" t="str">
        <f>'Crisis Indicator Data'!A13</f>
        <v>Rohingya refugee crisis</v>
      </c>
      <c r="B16" s="192" t="str">
        <f>'Crisis Indicator Data'!B13</f>
        <v>International displacement</v>
      </c>
      <c r="C16" s="192" t="str">
        <f>'Crisis Indicator Data'!C13</f>
        <v>BGD002</v>
      </c>
      <c r="D16" s="192" t="str">
        <f>'Crisis Indicator Data'!D13</f>
        <v>Bangladesh</v>
      </c>
      <c r="E16" s="193" t="str">
        <f>'Crisis Indicator Data'!E13</f>
        <v>BGD</v>
      </c>
      <c r="F16" s="183">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2.5</v>
      </c>
      <c r="G16" s="183">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2.8</v>
      </c>
      <c r="H16" s="183">
        <f t="shared" si="0"/>
        <v>2.65</v>
      </c>
      <c r="I16" s="183">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0.9</v>
      </c>
      <c r="J16" s="183">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1.2</v>
      </c>
      <c r="K16" s="183">
        <f t="shared" si="1"/>
        <v>1.05</v>
      </c>
      <c r="L16" s="183">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3.6</v>
      </c>
      <c r="M16" s="183">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0.9</v>
      </c>
      <c r="N16" s="183">
        <f t="shared" si="2"/>
        <v>2.25</v>
      </c>
      <c r="O16" s="183">
        <f t="shared" si="3"/>
        <v>1.9833333333333334</v>
      </c>
      <c r="P16" s="183">
        <f>IF(B16="Regional crisis",VLOOKUP(C16,'Regional Crises'!$B$1:$R$69,12,FALSE),VLOOKUP(E16,'Country Indicator Data'!$B$4:$I$194,8,FALSE))</f>
        <v>3</v>
      </c>
      <c r="Q16" s="183">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2.7</v>
      </c>
      <c r="R16" s="183">
        <f t="shared" si="4"/>
        <v>2.85</v>
      </c>
      <c r="S16" s="183">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3.7</v>
      </c>
      <c r="T16" s="183">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3.1</v>
      </c>
      <c r="U16" s="183">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3.3</v>
      </c>
      <c r="V16" s="183">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3.1</v>
      </c>
      <c r="W16" s="183">
        <f t="shared" si="5"/>
        <v>3.3</v>
      </c>
      <c r="X16" s="183">
        <f t="shared" si="6"/>
        <v>2.7</v>
      </c>
      <c r="Y16" s="207">
        <f>IF('Core Indicators'!FC13="x","x",IF('Core Indicators'!FC13&gt;=5,5,IF('Core Indicators'!FC13&gt;=4,4,IF('Core Indicators'!FC13&gt;=3,3,IF('Core Indicators'!FC13&gt;=2,2,IF('Core Indicators'!FC13&gt;=1,1,0))))))</f>
        <v>3</v>
      </c>
      <c r="Z16" s="183">
        <f t="shared" si="7"/>
        <v>3</v>
      </c>
      <c r="AA16" s="207">
        <f>'Crisis Indicator Data'!Y13</f>
        <v>2</v>
      </c>
      <c r="AB16" s="207">
        <f>'Crisis Indicator Data'!Z13</f>
        <v>1</v>
      </c>
      <c r="AC16" s="207">
        <f>'Crisis Indicator Data'!AA13</f>
        <v>1</v>
      </c>
      <c r="AD16" s="207">
        <f>'Crisis Indicator Data'!AB13</f>
        <v>0</v>
      </c>
      <c r="AE16" s="207">
        <f t="shared" si="10"/>
        <v>2</v>
      </c>
      <c r="AF16" s="207">
        <f>'Crisis Indicator Data'!AC13</f>
        <v>1</v>
      </c>
      <c r="AG16" s="207">
        <f>'Crisis Indicator Data'!AD13</f>
        <v>2</v>
      </c>
      <c r="AH16" s="207">
        <f t="shared" si="11"/>
        <v>3</v>
      </c>
      <c r="AI16" s="207">
        <f>'Crisis Indicator Data'!AE13</f>
        <v>3</v>
      </c>
      <c r="AJ16" s="207">
        <f>'Crisis Indicator Data'!AF13</f>
        <v>0</v>
      </c>
      <c r="AK16" s="207">
        <f>'Crisis Indicator Data'!AG13</f>
        <v>2</v>
      </c>
      <c r="AL16" s="207">
        <f t="shared" si="12"/>
        <v>4</v>
      </c>
      <c r="AM16" s="183">
        <f t="shared" si="8"/>
        <v>3</v>
      </c>
      <c r="AN16" s="183">
        <f t="shared" si="9"/>
        <v>3</v>
      </c>
    </row>
    <row r="17" spans="1:40" ht="13.5" customHeight="1" x14ac:dyDescent="0.3">
      <c r="A17" s="191" t="str">
        <f>'Crisis Indicator Data'!A14</f>
        <v>Floods in Bangladesh</v>
      </c>
      <c r="B17" s="192" t="str">
        <f>'Crisis Indicator Data'!B14</f>
        <v>Flood</v>
      </c>
      <c r="C17" s="192" t="str">
        <f>'Crisis Indicator Data'!C14</f>
        <v>BGD003</v>
      </c>
      <c r="D17" s="192" t="str">
        <f>'Crisis Indicator Data'!D14</f>
        <v>Bangladesh</v>
      </c>
      <c r="E17" s="193" t="str">
        <f>'Crisis Indicator Data'!E14</f>
        <v>BGD</v>
      </c>
      <c r="F17" s="183">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2.5</v>
      </c>
      <c r="G17" s="183">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2.8</v>
      </c>
      <c r="H17" s="183">
        <f t="shared" si="0"/>
        <v>2.65</v>
      </c>
      <c r="I17" s="183">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0.9</v>
      </c>
      <c r="J17" s="183">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1.2</v>
      </c>
      <c r="K17" s="183">
        <f t="shared" si="1"/>
        <v>1.05</v>
      </c>
      <c r="L17" s="183">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3.6</v>
      </c>
      <c r="M17" s="183">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0.9</v>
      </c>
      <c r="N17" s="183">
        <f t="shared" si="2"/>
        <v>2.25</v>
      </c>
      <c r="O17" s="183">
        <f t="shared" si="3"/>
        <v>1.9833333333333334</v>
      </c>
      <c r="P17" s="183">
        <f>IF(B17="Regional crisis",VLOOKUP(C17,'Regional Crises'!$B$1:$R$69,12,FALSE),VLOOKUP(E17,'Country Indicator Data'!$B$4:$I$194,8,FALSE))</f>
        <v>3</v>
      </c>
      <c r="Q17" s="183">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2.7</v>
      </c>
      <c r="R17" s="183">
        <f t="shared" si="4"/>
        <v>2.85</v>
      </c>
      <c r="S17" s="183">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3.7</v>
      </c>
      <c r="T17" s="183">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3.1</v>
      </c>
      <c r="U17" s="183">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3.3</v>
      </c>
      <c r="V17" s="183">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3.1</v>
      </c>
      <c r="W17" s="183">
        <f t="shared" si="5"/>
        <v>3.3</v>
      </c>
      <c r="X17" s="183">
        <f t="shared" si="6"/>
        <v>2.7</v>
      </c>
      <c r="Y17" s="207">
        <f>IF('Core Indicators'!FC14="x","x",IF('Core Indicators'!FC14&gt;=5,5,IF('Core Indicators'!FC14&gt;=4,4,IF('Core Indicators'!FC14&gt;=3,3,IF('Core Indicators'!FC14&gt;=2,2,IF('Core Indicators'!FC14&gt;=1,1,0))))))</f>
        <v>5</v>
      </c>
      <c r="Z17" s="183">
        <f t="shared" si="7"/>
        <v>5</v>
      </c>
      <c r="AA17" s="207" t="str">
        <f>'Crisis Indicator Data'!Y14</f>
        <v>x</v>
      </c>
      <c r="AB17" s="207" t="str">
        <f>'Crisis Indicator Data'!Z14</f>
        <v>x</v>
      </c>
      <c r="AC17" s="207" t="str">
        <f>'Crisis Indicator Data'!AA14</f>
        <v>x</v>
      </c>
      <c r="AD17" s="207" t="str">
        <f>'Crisis Indicator Data'!AB14</f>
        <v>x</v>
      </c>
      <c r="AE17" s="207">
        <f t="shared" si="10"/>
        <v>0</v>
      </c>
      <c r="AF17" s="207" t="str">
        <f>'Crisis Indicator Data'!AC14</f>
        <v>x</v>
      </c>
      <c r="AG17" s="207" t="str">
        <f>'Crisis Indicator Data'!AD14</f>
        <v>x</v>
      </c>
      <c r="AH17" s="207">
        <f t="shared" si="11"/>
        <v>0</v>
      </c>
      <c r="AI17" s="207" t="str">
        <f>'Crisis Indicator Data'!AE14</f>
        <v>x</v>
      </c>
      <c r="AJ17" s="207" t="str">
        <f>'Crisis Indicator Data'!AF14</f>
        <v>x</v>
      </c>
      <c r="AK17" s="207" t="str">
        <f>'Crisis Indicator Data'!AG14</f>
        <v>x</v>
      </c>
      <c r="AL17" s="207">
        <f t="shared" si="12"/>
        <v>0</v>
      </c>
      <c r="AM17" s="183">
        <f t="shared" si="8"/>
        <v>0</v>
      </c>
      <c r="AN17" s="183">
        <f t="shared" si="9"/>
        <v>2.5</v>
      </c>
    </row>
    <row r="18" spans="1:40" ht="13.5" customHeight="1" x14ac:dyDescent="0.3">
      <c r="A18" s="191" t="str">
        <f>'Crisis Indicator Data'!A15</f>
        <v>Cyclone Amphan Bangladesh</v>
      </c>
      <c r="B18" s="192" t="str">
        <f>'Crisis Indicator Data'!B15</f>
        <v>Tropical cyclone</v>
      </c>
      <c r="C18" s="192" t="str">
        <f>'Crisis Indicator Data'!C15</f>
        <v>BGD006</v>
      </c>
      <c r="D18" s="192" t="str">
        <f>'Crisis Indicator Data'!D15</f>
        <v>Bangladesh</v>
      </c>
      <c r="E18" s="193" t="str">
        <f>'Crisis Indicator Data'!E15</f>
        <v>BGD</v>
      </c>
      <c r="F18" s="183">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2.5</v>
      </c>
      <c r="G18" s="183">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2.8</v>
      </c>
      <c r="H18" s="183">
        <f t="shared" si="0"/>
        <v>2.65</v>
      </c>
      <c r="I18" s="183">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0.9</v>
      </c>
      <c r="J18" s="183">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1.2</v>
      </c>
      <c r="K18" s="183">
        <f t="shared" si="1"/>
        <v>1.05</v>
      </c>
      <c r="L18" s="183">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3.6</v>
      </c>
      <c r="M18" s="183">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0.9</v>
      </c>
      <c r="N18" s="183">
        <f t="shared" si="2"/>
        <v>2.25</v>
      </c>
      <c r="O18" s="183">
        <f t="shared" si="3"/>
        <v>1.9833333333333334</v>
      </c>
      <c r="P18" s="183">
        <f>IF(B18="Regional crisis",VLOOKUP(C18,'Regional Crises'!$B$1:$R$69,12,FALSE),VLOOKUP(E18,'Country Indicator Data'!$B$4:$I$194,8,FALSE))</f>
        <v>3</v>
      </c>
      <c r="Q18" s="183">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2.7</v>
      </c>
      <c r="R18" s="183">
        <f t="shared" si="4"/>
        <v>2.85</v>
      </c>
      <c r="S18" s="183">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3.7</v>
      </c>
      <c r="T18" s="183">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3.1</v>
      </c>
      <c r="U18" s="183">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3.3</v>
      </c>
      <c r="V18" s="183">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3.1</v>
      </c>
      <c r="W18" s="183">
        <f t="shared" si="5"/>
        <v>3.3</v>
      </c>
      <c r="X18" s="183">
        <f t="shared" si="6"/>
        <v>2.7</v>
      </c>
      <c r="Y18" s="207">
        <f>IF('Core Indicators'!FC15="x","x",IF('Core Indicators'!FC15&gt;=5,5,IF('Core Indicators'!FC15&gt;=4,4,IF('Core Indicators'!FC15&gt;=3,3,IF('Core Indicators'!FC15&gt;=2,2,IF('Core Indicators'!FC15&gt;=1,1,0))))))</f>
        <v>3</v>
      </c>
      <c r="Z18" s="183">
        <f t="shared" si="7"/>
        <v>3</v>
      </c>
      <c r="AA18" s="207">
        <f>'Crisis Indicator Data'!Y15</f>
        <v>0</v>
      </c>
      <c r="AB18" s="207">
        <f>'Crisis Indicator Data'!Z15</f>
        <v>0</v>
      </c>
      <c r="AC18" s="207">
        <f>'Crisis Indicator Data'!AA15</f>
        <v>0</v>
      </c>
      <c r="AD18" s="207">
        <f>'Crisis Indicator Data'!AB15</f>
        <v>0</v>
      </c>
      <c r="AE18" s="207">
        <f t="shared" si="10"/>
        <v>0</v>
      </c>
      <c r="AF18" s="207">
        <f>'Crisis Indicator Data'!AC15</f>
        <v>0</v>
      </c>
      <c r="AG18" s="207">
        <f>'Crisis Indicator Data'!AD15</f>
        <v>0</v>
      </c>
      <c r="AH18" s="207">
        <f t="shared" si="11"/>
        <v>0</v>
      </c>
      <c r="AI18" s="207">
        <f>'Crisis Indicator Data'!AE15</f>
        <v>0</v>
      </c>
      <c r="AJ18" s="207">
        <f>'Crisis Indicator Data'!AF15</f>
        <v>1</v>
      </c>
      <c r="AK18" s="207">
        <f>'Crisis Indicator Data'!AG15</f>
        <v>2</v>
      </c>
      <c r="AL18" s="207">
        <f t="shared" si="12"/>
        <v>3</v>
      </c>
      <c r="AM18" s="183">
        <f t="shared" si="8"/>
        <v>1</v>
      </c>
      <c r="AN18" s="183">
        <f t="shared" si="9"/>
        <v>2</v>
      </c>
    </row>
    <row r="19" spans="1:40" ht="13.5" customHeight="1" x14ac:dyDescent="0.3">
      <c r="A19" s="191" t="str">
        <f>'Crisis Indicator Data'!A16</f>
        <v>Rohingya Regional Crisis</v>
      </c>
      <c r="B19" s="192" t="str">
        <f>'Crisis Indicator Data'!B16</f>
        <v>Regional crisis</v>
      </c>
      <c r="C19" s="192" t="str">
        <f>'Crisis Indicator Data'!C16</f>
        <v>REG011</v>
      </c>
      <c r="D19" s="192" t="str">
        <f>'Crisis Indicator Data'!D16</f>
        <v>Bangladesh, Myanmar</v>
      </c>
      <c r="E19" s="193" t="str">
        <f>'Crisis Indicator Data'!E16</f>
        <v>BGD, MMR</v>
      </c>
      <c r="F19" s="183">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3.8</v>
      </c>
      <c r="G19" s="183">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3.1</v>
      </c>
      <c r="H19" s="183">
        <f t="shared" si="0"/>
        <v>3.45</v>
      </c>
      <c r="I19" s="183">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1.8</v>
      </c>
      <c r="J19" s="183">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2.1</v>
      </c>
      <c r="K19" s="183">
        <f t="shared" si="1"/>
        <v>1.9500000000000002</v>
      </c>
      <c r="L19" s="183">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3.3</v>
      </c>
      <c r="M19" s="183">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0.8</v>
      </c>
      <c r="N19" s="183">
        <f t="shared" si="2"/>
        <v>2.0499999999999998</v>
      </c>
      <c r="O19" s="183">
        <f t="shared" si="3"/>
        <v>2.4833333333333334</v>
      </c>
      <c r="P19" s="183">
        <f>IF(B19="Regional crisis",VLOOKUP(C19,'Regional Crises'!$B$1:$R$69,12,FALSE),VLOOKUP(E19,'Country Indicator Data'!$B$4:$I$194,8,FALSE))</f>
        <v>3.5</v>
      </c>
      <c r="Q19" s="183">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3.6</v>
      </c>
      <c r="R19" s="183">
        <f t="shared" si="4"/>
        <v>3.55</v>
      </c>
      <c r="S19" s="183">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3.6</v>
      </c>
      <c r="T19" s="183">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3.3</v>
      </c>
      <c r="U19" s="183">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3.4</v>
      </c>
      <c r="V19" s="183">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3.3</v>
      </c>
      <c r="W19" s="183">
        <f t="shared" si="5"/>
        <v>3.4</v>
      </c>
      <c r="X19" s="183">
        <f t="shared" si="6"/>
        <v>3.1</v>
      </c>
      <c r="Y19" s="207">
        <f>IF('Core Indicators'!FC16="x","x",IF('Core Indicators'!FC16&gt;=5,5,IF('Core Indicators'!FC16&gt;=4,4,IF('Core Indicators'!FC16&gt;=3,3,IF('Core Indicators'!FC16&gt;=2,2,IF('Core Indicators'!FC16&gt;=1,1,0))))))</f>
        <v>4</v>
      </c>
      <c r="Z19" s="183">
        <f t="shared" si="7"/>
        <v>4</v>
      </c>
      <c r="AA19" s="207">
        <f>'Crisis Indicator Data'!Y16</f>
        <v>2</v>
      </c>
      <c r="AB19" s="207">
        <f>'Crisis Indicator Data'!Z16</f>
        <v>2</v>
      </c>
      <c r="AC19" s="207">
        <f>'Crisis Indicator Data'!AA16</f>
        <v>1</v>
      </c>
      <c r="AD19" s="207">
        <f>'Crisis Indicator Data'!AB16</f>
        <v>0</v>
      </c>
      <c r="AE19" s="207">
        <f t="shared" si="10"/>
        <v>2</v>
      </c>
      <c r="AF19" s="207">
        <f>'Crisis Indicator Data'!AC16</f>
        <v>2</v>
      </c>
      <c r="AG19" s="207">
        <f>'Crisis Indicator Data'!AD16</f>
        <v>3</v>
      </c>
      <c r="AH19" s="207">
        <f t="shared" si="11"/>
        <v>5</v>
      </c>
      <c r="AI19" s="207">
        <f>'Crisis Indicator Data'!AE16</f>
        <v>3</v>
      </c>
      <c r="AJ19" s="207">
        <f>'Crisis Indicator Data'!AF16</f>
        <v>0</v>
      </c>
      <c r="AK19" s="207">
        <f>'Crisis Indicator Data'!AG16</f>
        <v>2</v>
      </c>
      <c r="AL19" s="207">
        <f t="shared" si="12"/>
        <v>4</v>
      </c>
      <c r="AM19" s="183">
        <f t="shared" si="8"/>
        <v>4</v>
      </c>
      <c r="AN19" s="183">
        <f t="shared" si="9"/>
        <v>4</v>
      </c>
    </row>
    <row r="20" spans="1:40" ht="13.5" customHeight="1" x14ac:dyDescent="0.3">
      <c r="A20" s="191" t="str">
        <f>'Crisis Indicator Data'!A17</f>
        <v>Venezuela displacement in Brazil</v>
      </c>
      <c r="B20" s="192" t="str">
        <f>'Crisis Indicator Data'!B17</f>
        <v>International displacement</v>
      </c>
      <c r="C20" s="192" t="str">
        <f>'Crisis Indicator Data'!C17</f>
        <v>BRA002</v>
      </c>
      <c r="D20" s="192" t="str">
        <f>'Crisis Indicator Data'!D17</f>
        <v>Brazil</v>
      </c>
      <c r="E20" s="193" t="str">
        <f>'Crisis Indicator Data'!E17</f>
        <v>BRA</v>
      </c>
      <c r="F20" s="183">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0.7</v>
      </c>
      <c r="G20" s="183">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1.3</v>
      </c>
      <c r="H20" s="183">
        <f t="shared" si="0"/>
        <v>1</v>
      </c>
      <c r="I20" s="183">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2.6</v>
      </c>
      <c r="J20" s="183">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0.7</v>
      </c>
      <c r="K20" s="183">
        <f t="shared" si="1"/>
        <v>1.65</v>
      </c>
      <c r="L20" s="183">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2.6</v>
      </c>
      <c r="M20" s="183">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3.6</v>
      </c>
      <c r="N20" s="183">
        <f t="shared" si="2"/>
        <v>3.1</v>
      </c>
      <c r="O20" s="183">
        <f t="shared" si="3"/>
        <v>1.9166666666666667</v>
      </c>
      <c r="P20" s="183">
        <f>IF(B20="Regional crisis",VLOOKUP(C20,'Regional Crises'!$B$1:$R$69,12,FALSE),VLOOKUP(E20,'Country Indicator Data'!$B$4:$I$194,8,FALSE))</f>
        <v>5</v>
      </c>
      <c r="Q20" s="183">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0</v>
      </c>
      <c r="R20" s="183">
        <f t="shared" si="4"/>
        <v>2.5</v>
      </c>
      <c r="S20" s="183">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3.3</v>
      </c>
      <c r="T20" s="183">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2.7</v>
      </c>
      <c r="U20" s="183">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1.3</v>
      </c>
      <c r="V20" s="183">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1.3</v>
      </c>
      <c r="W20" s="183">
        <f t="shared" si="5"/>
        <v>2.2000000000000002</v>
      </c>
      <c r="X20" s="183">
        <f t="shared" si="6"/>
        <v>2.2000000000000002</v>
      </c>
      <c r="Y20" s="207">
        <f>IF('Core Indicators'!FC17="x","x",IF('Core Indicators'!FC17&gt;=5,5,IF('Core Indicators'!FC17&gt;=4,4,IF('Core Indicators'!FC17&gt;=3,3,IF('Core Indicators'!FC17&gt;=2,2,IF('Core Indicators'!FC17&gt;=1,1,0))))))</f>
        <v>2</v>
      </c>
      <c r="Z20" s="183">
        <f t="shared" si="7"/>
        <v>2</v>
      </c>
      <c r="AA20" s="207">
        <f>'Crisis Indicator Data'!Y17</f>
        <v>0</v>
      </c>
      <c r="AB20" s="207">
        <f>'Crisis Indicator Data'!Z17</f>
        <v>0</v>
      </c>
      <c r="AC20" s="207">
        <f>'Crisis Indicator Data'!AA17</f>
        <v>0</v>
      </c>
      <c r="AD20" s="207">
        <f>'Crisis Indicator Data'!AB17</f>
        <v>0</v>
      </c>
      <c r="AE20" s="207">
        <f t="shared" si="10"/>
        <v>0</v>
      </c>
      <c r="AF20" s="207">
        <f>'Crisis Indicator Data'!AC17</f>
        <v>0</v>
      </c>
      <c r="AG20" s="207">
        <f>'Crisis Indicator Data'!AD17</f>
        <v>0</v>
      </c>
      <c r="AH20" s="207">
        <f t="shared" si="11"/>
        <v>0</v>
      </c>
      <c r="AI20" s="207">
        <f>'Crisis Indicator Data'!AE17</f>
        <v>0</v>
      </c>
      <c r="AJ20" s="207">
        <f>'Crisis Indicator Data'!AF17</f>
        <v>0</v>
      </c>
      <c r="AK20" s="207">
        <f>'Crisis Indicator Data'!AG17</f>
        <v>0</v>
      </c>
      <c r="AL20" s="207">
        <f t="shared" si="12"/>
        <v>0</v>
      </c>
      <c r="AM20" s="183">
        <f t="shared" si="8"/>
        <v>0</v>
      </c>
      <c r="AN20" s="183">
        <f t="shared" si="9"/>
        <v>1</v>
      </c>
    </row>
    <row r="21" spans="1:40" ht="13.5" customHeight="1" x14ac:dyDescent="0.3">
      <c r="A21" s="191" t="str">
        <f>'Crisis Indicator Data'!A18</f>
        <v>Conflict in Burkina Faso</v>
      </c>
      <c r="B21" s="192" t="str">
        <f>'Crisis Indicator Data'!B18</f>
        <v>Conflict</v>
      </c>
      <c r="C21" s="192" t="str">
        <f>'Crisis Indicator Data'!C18</f>
        <v>BFA002</v>
      </c>
      <c r="D21" s="192" t="str">
        <f>'Crisis Indicator Data'!D18</f>
        <v>Burkina Faso</v>
      </c>
      <c r="E21" s="193" t="str">
        <f>'Crisis Indicator Data'!E18</f>
        <v>BFA</v>
      </c>
      <c r="F21" s="183">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1.1000000000000001</v>
      </c>
      <c r="G21" s="183">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1.9</v>
      </c>
      <c r="H21" s="183">
        <f t="shared" si="0"/>
        <v>1.5</v>
      </c>
      <c r="I21" s="183">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2.8</v>
      </c>
      <c r="J21" s="183">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0</v>
      </c>
      <c r="K21" s="183">
        <f t="shared" si="1"/>
        <v>1.4</v>
      </c>
      <c r="L21" s="183">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4.0999999999999996</v>
      </c>
      <c r="M21" s="183">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1.3</v>
      </c>
      <c r="N21" s="183">
        <f t="shared" si="2"/>
        <v>2.6999999999999997</v>
      </c>
      <c r="O21" s="183">
        <f t="shared" si="3"/>
        <v>1.8666666666666665</v>
      </c>
      <c r="P21" s="183">
        <f>IF(B21="Regional crisis",VLOOKUP(C21,'Regional Crises'!$B$1:$R$69,12,FALSE),VLOOKUP(E21,'Country Indicator Data'!$B$4:$I$194,8,FALSE))</f>
        <v>3</v>
      </c>
      <c r="Q21" s="183">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4.4000000000000004</v>
      </c>
      <c r="R21" s="183">
        <f t="shared" si="4"/>
        <v>3.7</v>
      </c>
      <c r="S21" s="183">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v>
      </c>
      <c r="T21" s="183">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83">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2.9</v>
      </c>
      <c r="V21" s="183">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2.2000000000000002</v>
      </c>
      <c r="W21" s="183">
        <f t="shared" si="5"/>
        <v>2.8</v>
      </c>
      <c r="X21" s="183">
        <f t="shared" si="6"/>
        <v>2.8</v>
      </c>
      <c r="Y21" s="207">
        <f>IF('Core Indicators'!FC18="x","x",IF('Core Indicators'!FC18&gt;=5,5,IF('Core Indicators'!FC18&gt;=4,4,IF('Core Indicators'!FC18&gt;=3,3,IF('Core Indicators'!FC18&gt;=2,2,IF('Core Indicators'!FC18&gt;=1,1,0))))))</f>
        <v>4</v>
      </c>
      <c r="Z21" s="183">
        <f t="shared" si="7"/>
        <v>4</v>
      </c>
      <c r="AA21" s="207">
        <f>'Crisis Indicator Data'!Y18</f>
        <v>0</v>
      </c>
      <c r="AB21" s="207">
        <f>'Crisis Indicator Data'!Z18</f>
        <v>2</v>
      </c>
      <c r="AC21" s="207">
        <f>'Crisis Indicator Data'!AA18</f>
        <v>0</v>
      </c>
      <c r="AD21" s="207">
        <f>'Crisis Indicator Data'!AB18</f>
        <v>3</v>
      </c>
      <c r="AE21" s="207">
        <f t="shared" si="10"/>
        <v>2</v>
      </c>
      <c r="AF21" s="207">
        <f>'Crisis Indicator Data'!AC18</f>
        <v>0</v>
      </c>
      <c r="AG21" s="207">
        <f>'Crisis Indicator Data'!AD18</f>
        <v>2</v>
      </c>
      <c r="AH21" s="207">
        <f t="shared" si="11"/>
        <v>2</v>
      </c>
      <c r="AI21" s="207">
        <f>'Crisis Indicator Data'!AE18</f>
        <v>3</v>
      </c>
      <c r="AJ21" s="207">
        <f>'Crisis Indicator Data'!AF18</f>
        <v>0</v>
      </c>
      <c r="AK21" s="207">
        <f>'Crisis Indicator Data'!AG18</f>
        <v>0</v>
      </c>
      <c r="AL21" s="207">
        <f t="shared" si="12"/>
        <v>3</v>
      </c>
      <c r="AM21" s="183">
        <f t="shared" si="8"/>
        <v>2</v>
      </c>
      <c r="AN21" s="183">
        <f t="shared" si="9"/>
        <v>3</v>
      </c>
    </row>
    <row r="22" spans="1:40" ht="13.5" customHeight="1" x14ac:dyDescent="0.3">
      <c r="A22" s="191" t="str">
        <f>'Crisis Indicator Data'!A19</f>
        <v>Floods in Burkina Faso</v>
      </c>
      <c r="B22" s="192" t="str">
        <f>'Crisis Indicator Data'!B19</f>
        <v>Flood</v>
      </c>
      <c r="C22" s="192" t="str">
        <f>'Crisis Indicator Data'!C19</f>
        <v>BFA003</v>
      </c>
      <c r="D22" s="192" t="str">
        <f>'Crisis Indicator Data'!D19</f>
        <v>Burkina Faso</v>
      </c>
      <c r="E22" s="193" t="str">
        <f>'Crisis Indicator Data'!E19</f>
        <v>BFA</v>
      </c>
      <c r="F22" s="183">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1.1000000000000001</v>
      </c>
      <c r="G22" s="183">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1.9</v>
      </c>
      <c r="H22" s="183">
        <f t="shared" si="0"/>
        <v>1.5</v>
      </c>
      <c r="I22" s="183">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2.8</v>
      </c>
      <c r="J22" s="183">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v>
      </c>
      <c r="K22" s="183">
        <f t="shared" si="1"/>
        <v>1.4</v>
      </c>
      <c r="L22" s="183">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4.0999999999999996</v>
      </c>
      <c r="M22" s="183">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1.3</v>
      </c>
      <c r="N22" s="183">
        <f t="shared" si="2"/>
        <v>2.6999999999999997</v>
      </c>
      <c r="O22" s="183">
        <f t="shared" si="3"/>
        <v>1.8666666666666665</v>
      </c>
      <c r="P22" s="183">
        <f>IF(B22="Regional crisis",VLOOKUP(C22,'Regional Crises'!$B$1:$R$69,12,FALSE),VLOOKUP(E22,'Country Indicator Data'!$B$4:$I$194,8,FALSE))</f>
        <v>3</v>
      </c>
      <c r="Q22" s="183">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4.4000000000000004</v>
      </c>
      <c r="R22" s="183">
        <f t="shared" si="4"/>
        <v>3.7</v>
      </c>
      <c r="S22" s="183">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v>
      </c>
      <c r="T22" s="183">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83">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2.9</v>
      </c>
      <c r="V22" s="183">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2.2000000000000002</v>
      </c>
      <c r="W22" s="183">
        <f t="shared" si="5"/>
        <v>2.8</v>
      </c>
      <c r="X22" s="183">
        <f t="shared" si="6"/>
        <v>2.8</v>
      </c>
      <c r="Y22" s="207">
        <f>IF('Core Indicators'!FC19="x","x",IF('Core Indicators'!FC19&gt;=5,5,IF('Core Indicators'!FC19&gt;=4,4,IF('Core Indicators'!FC19&gt;=3,3,IF('Core Indicators'!FC19&gt;=2,2,IF('Core Indicators'!FC19&gt;=1,1,0))))))</f>
        <v>5</v>
      </c>
      <c r="Z22" s="183">
        <f t="shared" si="7"/>
        <v>5</v>
      </c>
      <c r="AA22" s="207">
        <f>'Crisis Indicator Data'!Y19</f>
        <v>0</v>
      </c>
      <c r="AB22" s="207">
        <f>'Crisis Indicator Data'!Z19</f>
        <v>2</v>
      </c>
      <c r="AC22" s="207">
        <f>'Crisis Indicator Data'!AA19</f>
        <v>0</v>
      </c>
      <c r="AD22" s="207">
        <f>'Crisis Indicator Data'!AB19</f>
        <v>3</v>
      </c>
      <c r="AE22" s="207">
        <f t="shared" si="10"/>
        <v>2</v>
      </c>
      <c r="AF22" s="207">
        <f>'Crisis Indicator Data'!AC19</f>
        <v>0</v>
      </c>
      <c r="AG22" s="207">
        <f>'Crisis Indicator Data'!AD19</f>
        <v>2</v>
      </c>
      <c r="AH22" s="207">
        <f t="shared" si="11"/>
        <v>2</v>
      </c>
      <c r="AI22" s="207">
        <f>'Crisis Indicator Data'!AE19</f>
        <v>3</v>
      </c>
      <c r="AJ22" s="207">
        <f>'Crisis Indicator Data'!AF19</f>
        <v>0</v>
      </c>
      <c r="AK22" s="207">
        <f>'Crisis Indicator Data'!AG19</f>
        <v>0</v>
      </c>
      <c r="AL22" s="207">
        <f t="shared" si="12"/>
        <v>3</v>
      </c>
      <c r="AM22" s="183">
        <f t="shared" si="8"/>
        <v>2</v>
      </c>
      <c r="AN22" s="183">
        <f t="shared" si="9"/>
        <v>3.5</v>
      </c>
    </row>
    <row r="23" spans="1:40" ht="13.5" customHeight="1" x14ac:dyDescent="0.3">
      <c r="A23" s="191" t="str">
        <f>'Crisis Indicator Data'!A20</f>
        <v>Multiple crises in Burkina Faso</v>
      </c>
      <c r="B23" s="192" t="str">
        <f>'Crisis Indicator Data'!B20</f>
        <v>Multiple crises country</v>
      </c>
      <c r="C23" s="192" t="str">
        <f>'Crisis Indicator Data'!C20</f>
        <v>BFA004</v>
      </c>
      <c r="D23" s="192" t="str">
        <f>'Crisis Indicator Data'!D20</f>
        <v>Burkina Faso</v>
      </c>
      <c r="E23" s="193" t="str">
        <f>'Crisis Indicator Data'!E20</f>
        <v>BFA</v>
      </c>
      <c r="F23" s="183">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1.1000000000000001</v>
      </c>
      <c r="G23" s="183">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1.9</v>
      </c>
      <c r="H23" s="183">
        <f t="shared" si="0"/>
        <v>1.5</v>
      </c>
      <c r="I23" s="183">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2.8</v>
      </c>
      <c r="J23" s="183">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183">
        <f t="shared" si="1"/>
        <v>1.4</v>
      </c>
      <c r="L23" s="183">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4.0999999999999996</v>
      </c>
      <c r="M23" s="183">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1.3</v>
      </c>
      <c r="N23" s="183">
        <f t="shared" si="2"/>
        <v>2.6999999999999997</v>
      </c>
      <c r="O23" s="183">
        <f t="shared" si="3"/>
        <v>1.8666666666666665</v>
      </c>
      <c r="P23" s="183">
        <f>IF(B23="Regional crisis",VLOOKUP(C23,'Regional Crises'!$B$1:$R$69,12,FALSE),VLOOKUP(E23,'Country Indicator Data'!$B$4:$I$194,8,FALSE))</f>
        <v>3</v>
      </c>
      <c r="Q23" s="183">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4.4000000000000004</v>
      </c>
      <c r="R23" s="183">
        <f t="shared" si="4"/>
        <v>3.7</v>
      </c>
      <c r="S23" s="183">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v>
      </c>
      <c r="T23" s="183">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2.9</v>
      </c>
      <c r="U23" s="183">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2.9</v>
      </c>
      <c r="V23" s="183">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2.2000000000000002</v>
      </c>
      <c r="W23" s="183">
        <f t="shared" si="5"/>
        <v>2.8</v>
      </c>
      <c r="X23" s="183">
        <f t="shared" si="6"/>
        <v>2.8</v>
      </c>
      <c r="Y23" s="207">
        <f>IF('Core Indicators'!FC20="x","x",IF('Core Indicators'!FC20&gt;=5,5,IF('Core Indicators'!FC20&gt;=4,4,IF('Core Indicators'!FC20&gt;=3,3,IF('Core Indicators'!FC20&gt;=2,2,IF('Core Indicators'!FC20&gt;=1,1,0))))))</f>
        <v>5</v>
      </c>
      <c r="Z23" s="183">
        <f t="shared" si="7"/>
        <v>5</v>
      </c>
      <c r="AA23" s="207">
        <f>'Crisis Indicator Data'!Y20</f>
        <v>0</v>
      </c>
      <c r="AB23" s="207">
        <f>'Crisis Indicator Data'!Z20</f>
        <v>2</v>
      </c>
      <c r="AC23" s="207">
        <f>'Crisis Indicator Data'!AA20</f>
        <v>0</v>
      </c>
      <c r="AD23" s="207">
        <f>'Crisis Indicator Data'!AB20</f>
        <v>3</v>
      </c>
      <c r="AE23" s="207">
        <f t="shared" si="10"/>
        <v>2</v>
      </c>
      <c r="AF23" s="207">
        <f>'Crisis Indicator Data'!AC20</f>
        <v>0</v>
      </c>
      <c r="AG23" s="207">
        <f>'Crisis Indicator Data'!AD20</f>
        <v>2</v>
      </c>
      <c r="AH23" s="207">
        <f t="shared" si="11"/>
        <v>2</v>
      </c>
      <c r="AI23" s="207">
        <f>'Crisis Indicator Data'!AE20</f>
        <v>3</v>
      </c>
      <c r="AJ23" s="207">
        <f>'Crisis Indicator Data'!AF20</f>
        <v>0</v>
      </c>
      <c r="AK23" s="207">
        <f>'Crisis Indicator Data'!AG20</f>
        <v>0</v>
      </c>
      <c r="AL23" s="207">
        <f t="shared" si="12"/>
        <v>3</v>
      </c>
      <c r="AM23" s="183">
        <f t="shared" si="8"/>
        <v>2</v>
      </c>
      <c r="AN23" s="183">
        <f t="shared" si="9"/>
        <v>3.5</v>
      </c>
    </row>
    <row r="24" spans="1:40" ht="13.5" customHeight="1" x14ac:dyDescent="0.3">
      <c r="A24" s="191" t="str">
        <f>'Crisis Indicator Data'!A21</f>
        <v>Complex in Burundi</v>
      </c>
      <c r="B24" s="192" t="str">
        <f>'Crisis Indicator Data'!B21</f>
        <v>Complex crisis</v>
      </c>
      <c r="C24" s="192" t="str">
        <f>'Crisis Indicator Data'!C21</f>
        <v>BDI001</v>
      </c>
      <c r="D24" s="192" t="str">
        <f>'Crisis Indicator Data'!D21</f>
        <v>Burundi</v>
      </c>
      <c r="E24" s="193" t="str">
        <f>'Crisis Indicator Data'!E21</f>
        <v>BDI</v>
      </c>
      <c r="F24" s="183">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2.1</v>
      </c>
      <c r="G24" s="183">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3.2</v>
      </c>
      <c r="H24" s="183">
        <f t="shared" si="0"/>
        <v>2.6500000000000004</v>
      </c>
      <c r="I24" s="183">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1.3</v>
      </c>
      <c r="J24" s="183">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83">
        <f t="shared" si="1"/>
        <v>0.65</v>
      </c>
      <c r="L24" s="183">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3.5</v>
      </c>
      <c r="M24" s="183">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1.7</v>
      </c>
      <c r="N24" s="183">
        <f t="shared" si="2"/>
        <v>2.6</v>
      </c>
      <c r="O24" s="183">
        <f t="shared" si="3"/>
        <v>1.9666666666666668</v>
      </c>
      <c r="P24" s="183">
        <f>IF(B24="Regional crisis",VLOOKUP(C24,'Regional Crises'!$B$1:$R$69,12,FALSE),VLOOKUP(E24,'Country Indicator Data'!$B$4:$I$194,8,FALSE))</f>
        <v>3</v>
      </c>
      <c r="Q24" s="183">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3.4</v>
      </c>
      <c r="R24" s="183">
        <f t="shared" si="4"/>
        <v>3.2</v>
      </c>
      <c r="S24" s="183">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4.0999999999999996</v>
      </c>
      <c r="T24" s="183">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3.9</v>
      </c>
      <c r="U24" s="183">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3.8</v>
      </c>
      <c r="V24" s="183">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4.4000000000000004</v>
      </c>
      <c r="W24" s="183">
        <f t="shared" si="5"/>
        <v>4.0999999999999996</v>
      </c>
      <c r="X24" s="183">
        <f t="shared" si="6"/>
        <v>3.1</v>
      </c>
      <c r="Y24" s="207">
        <f>IF('Core Indicators'!FC21="x","x",IF('Core Indicators'!FC21&gt;=5,5,IF('Core Indicators'!FC21&gt;=4,4,IF('Core Indicators'!FC21&gt;=3,3,IF('Core Indicators'!FC21&gt;=2,2,IF('Core Indicators'!FC21&gt;=1,1,0))))))</f>
        <v>5</v>
      </c>
      <c r="Z24" s="183">
        <f t="shared" si="7"/>
        <v>5</v>
      </c>
      <c r="AA24" s="207">
        <f>'Crisis Indicator Data'!Y21</f>
        <v>2</v>
      </c>
      <c r="AB24" s="207">
        <f>'Crisis Indicator Data'!Z21</f>
        <v>2</v>
      </c>
      <c r="AC24" s="207">
        <f>'Crisis Indicator Data'!AA21</f>
        <v>1</v>
      </c>
      <c r="AD24" s="207">
        <f>'Crisis Indicator Data'!AB21</f>
        <v>0</v>
      </c>
      <c r="AE24" s="207">
        <f t="shared" si="10"/>
        <v>2</v>
      </c>
      <c r="AF24" s="207">
        <f>'Crisis Indicator Data'!AC21</f>
        <v>3</v>
      </c>
      <c r="AG24" s="207">
        <f>'Crisis Indicator Data'!AD21</f>
        <v>1</v>
      </c>
      <c r="AH24" s="207">
        <f t="shared" si="11"/>
        <v>4</v>
      </c>
      <c r="AI24" s="207">
        <f>'Crisis Indicator Data'!AE21</f>
        <v>1</v>
      </c>
      <c r="AJ24" s="207">
        <f>'Crisis Indicator Data'!AF21</f>
        <v>0</v>
      </c>
      <c r="AK24" s="207">
        <f>'Crisis Indicator Data'!AG21</f>
        <v>2</v>
      </c>
      <c r="AL24" s="207">
        <f t="shared" si="12"/>
        <v>3</v>
      </c>
      <c r="AM24" s="183">
        <f t="shared" si="8"/>
        <v>3</v>
      </c>
      <c r="AN24" s="183">
        <f t="shared" si="9"/>
        <v>4</v>
      </c>
    </row>
    <row r="25" spans="1:40" ht="13.5" customHeight="1" x14ac:dyDescent="0.3">
      <c r="A25" s="191" t="str">
        <f>'Crisis Indicator Data'!A22</f>
        <v>Multiple crises in Cameroon</v>
      </c>
      <c r="B25" s="192" t="str">
        <f>'Crisis Indicator Data'!B22</f>
        <v>Multiple crises country</v>
      </c>
      <c r="C25" s="192" t="str">
        <f>'Crisis Indicator Data'!C22</f>
        <v>CMR001</v>
      </c>
      <c r="D25" s="192" t="str">
        <f>'Crisis Indicator Data'!D22</f>
        <v>Cameroon</v>
      </c>
      <c r="E25" s="193" t="str">
        <f>'Crisis Indicator Data'!E22</f>
        <v>CMR</v>
      </c>
      <c r="F25" s="183">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3.2</v>
      </c>
      <c r="G25" s="183">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3.2</v>
      </c>
      <c r="H25" s="183">
        <f t="shared" si="0"/>
        <v>3.2</v>
      </c>
      <c r="I25" s="183">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4.3</v>
      </c>
      <c r="J25" s="183">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83">
        <f t="shared" si="1"/>
        <v>2.15</v>
      </c>
      <c r="L25" s="183">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3.8</v>
      </c>
      <c r="M25" s="183">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2.7</v>
      </c>
      <c r="N25" s="183">
        <f t="shared" si="2"/>
        <v>3.25</v>
      </c>
      <c r="O25" s="183">
        <f t="shared" si="3"/>
        <v>2.8666666666666667</v>
      </c>
      <c r="P25" s="183">
        <f>IF(B25="Regional crisis",VLOOKUP(C25,'Regional Crises'!$B$1:$R$69,12,FALSE),VLOOKUP(E25,'Country Indicator Data'!$B$4:$I$194,8,FALSE))</f>
        <v>4</v>
      </c>
      <c r="Q25" s="183">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3.9</v>
      </c>
      <c r="R25" s="183">
        <f t="shared" si="4"/>
        <v>3.95</v>
      </c>
      <c r="S25" s="183">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3.8</v>
      </c>
      <c r="T25" s="183">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3.6</v>
      </c>
      <c r="U25" s="183">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3.4</v>
      </c>
      <c r="V25" s="183">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4.0999999999999996</v>
      </c>
      <c r="W25" s="183">
        <f t="shared" si="5"/>
        <v>3.7</v>
      </c>
      <c r="X25" s="183">
        <f t="shared" si="6"/>
        <v>3.5</v>
      </c>
      <c r="Y25" s="207">
        <f>IF('Core Indicators'!FC22="x","x",IF('Core Indicators'!FC22&gt;=5,5,IF('Core Indicators'!FC22&gt;=4,4,IF('Core Indicators'!FC22&gt;=3,3,IF('Core Indicators'!FC22&gt;=2,2,IF('Core Indicators'!FC22&gt;=1,1,0))))))</f>
        <v>5</v>
      </c>
      <c r="Z25" s="183">
        <f t="shared" si="7"/>
        <v>5</v>
      </c>
      <c r="AA25" s="207">
        <f>'Crisis Indicator Data'!Y22</f>
        <v>0</v>
      </c>
      <c r="AB25" s="207">
        <f>'Crisis Indicator Data'!Z22</f>
        <v>3</v>
      </c>
      <c r="AC25" s="207">
        <f>'Crisis Indicator Data'!AA22</f>
        <v>3</v>
      </c>
      <c r="AD25" s="207">
        <f>'Crisis Indicator Data'!AB22</f>
        <v>0</v>
      </c>
      <c r="AE25" s="207">
        <f t="shared" si="10"/>
        <v>3</v>
      </c>
      <c r="AF25" s="207">
        <f>'Crisis Indicator Data'!AC22</f>
        <v>1</v>
      </c>
      <c r="AG25" s="207">
        <f>'Crisis Indicator Data'!AD22</f>
        <v>3</v>
      </c>
      <c r="AH25" s="207">
        <f t="shared" si="11"/>
        <v>4</v>
      </c>
      <c r="AI25" s="207">
        <f>'Crisis Indicator Data'!AE22</f>
        <v>2</v>
      </c>
      <c r="AJ25" s="207">
        <f>'Crisis Indicator Data'!AF22</f>
        <v>1</v>
      </c>
      <c r="AK25" s="207">
        <f>'Crisis Indicator Data'!AG22</f>
        <v>3</v>
      </c>
      <c r="AL25" s="207">
        <f t="shared" si="12"/>
        <v>4</v>
      </c>
      <c r="AM25" s="183">
        <f t="shared" si="8"/>
        <v>4</v>
      </c>
      <c r="AN25" s="183">
        <f t="shared" si="9"/>
        <v>4.5</v>
      </c>
    </row>
    <row r="26" spans="1:40" ht="13.5" customHeight="1" x14ac:dyDescent="0.3">
      <c r="A26" s="191" t="str">
        <f>'Crisis Indicator Data'!A23</f>
        <v>Boko Haram in Cameroon</v>
      </c>
      <c r="B26" s="192" t="str">
        <f>'Crisis Indicator Data'!B23</f>
        <v>Conflict</v>
      </c>
      <c r="C26" s="192" t="str">
        <f>'Crisis Indicator Data'!C23</f>
        <v>CMR002</v>
      </c>
      <c r="D26" s="192" t="str">
        <f>'Crisis Indicator Data'!D23</f>
        <v>Cameroon</v>
      </c>
      <c r="E26" s="193" t="str">
        <f>'Crisis Indicator Data'!E23</f>
        <v>CMR</v>
      </c>
      <c r="F26" s="183">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3.2</v>
      </c>
      <c r="G26" s="183">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3.2</v>
      </c>
      <c r="H26" s="183">
        <f t="shared" si="0"/>
        <v>3.2</v>
      </c>
      <c r="I26" s="183">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4.3</v>
      </c>
      <c r="J26" s="183">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83">
        <f t="shared" si="1"/>
        <v>2.15</v>
      </c>
      <c r="L26" s="183">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3.8</v>
      </c>
      <c r="M26" s="183">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2.7</v>
      </c>
      <c r="N26" s="183">
        <f t="shared" si="2"/>
        <v>3.25</v>
      </c>
      <c r="O26" s="183">
        <f t="shared" si="3"/>
        <v>2.8666666666666667</v>
      </c>
      <c r="P26" s="183">
        <f>IF(B26="Regional crisis",VLOOKUP(C26,'Regional Crises'!$B$1:$R$69,12,FALSE),VLOOKUP(E26,'Country Indicator Data'!$B$4:$I$194,8,FALSE))</f>
        <v>4</v>
      </c>
      <c r="Q26" s="183">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3.9</v>
      </c>
      <c r="R26" s="183">
        <f t="shared" si="4"/>
        <v>3.95</v>
      </c>
      <c r="S26" s="183">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3.8</v>
      </c>
      <c r="T26" s="183">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3.6</v>
      </c>
      <c r="U26" s="183">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3.4</v>
      </c>
      <c r="V26" s="183">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4.0999999999999996</v>
      </c>
      <c r="W26" s="183">
        <f t="shared" si="5"/>
        <v>3.7</v>
      </c>
      <c r="X26" s="183">
        <f t="shared" si="6"/>
        <v>3.5</v>
      </c>
      <c r="Y26" s="207">
        <f>IF('Core Indicators'!FC23="x","x",IF('Core Indicators'!FC23&gt;=5,5,IF('Core Indicators'!FC23&gt;=4,4,IF('Core Indicators'!FC23&gt;=3,3,IF('Core Indicators'!FC23&gt;=2,2,IF('Core Indicators'!FC23&gt;=1,1,0))))))</f>
        <v>5</v>
      </c>
      <c r="Z26" s="183">
        <f t="shared" si="7"/>
        <v>5</v>
      </c>
      <c r="AA26" s="207">
        <f>'Crisis Indicator Data'!Y23</f>
        <v>0</v>
      </c>
      <c r="AB26" s="207">
        <f>'Crisis Indicator Data'!Z23</f>
        <v>0</v>
      </c>
      <c r="AC26" s="207">
        <f>'Crisis Indicator Data'!AA23</f>
        <v>0</v>
      </c>
      <c r="AD26" s="207">
        <f>'Crisis Indicator Data'!AB23</f>
        <v>0</v>
      </c>
      <c r="AE26" s="207">
        <f t="shared" si="10"/>
        <v>0</v>
      </c>
      <c r="AF26" s="207">
        <f>'Crisis Indicator Data'!AC23</f>
        <v>0</v>
      </c>
      <c r="AG26" s="207">
        <f>'Crisis Indicator Data'!AD23</f>
        <v>2</v>
      </c>
      <c r="AH26" s="207">
        <f t="shared" si="11"/>
        <v>2</v>
      </c>
      <c r="AI26" s="207">
        <f>'Crisis Indicator Data'!AE23</f>
        <v>1</v>
      </c>
      <c r="AJ26" s="207">
        <f>'Crisis Indicator Data'!AF23</f>
        <v>2</v>
      </c>
      <c r="AK26" s="207">
        <f>'Crisis Indicator Data'!AG23</f>
        <v>2</v>
      </c>
      <c r="AL26" s="207">
        <f t="shared" si="12"/>
        <v>4</v>
      </c>
      <c r="AM26" s="183">
        <f t="shared" si="8"/>
        <v>2</v>
      </c>
      <c r="AN26" s="183">
        <f t="shared" si="9"/>
        <v>3.5</v>
      </c>
    </row>
    <row r="27" spans="1:40" ht="13.5" customHeight="1" x14ac:dyDescent="0.3">
      <c r="A27" s="191" t="str">
        <f>'Crisis Indicator Data'!A24</f>
        <v>Anglophone Crisis in Cameroon</v>
      </c>
      <c r="B27" s="192" t="str">
        <f>'Crisis Indicator Data'!B24</f>
        <v>Conflict</v>
      </c>
      <c r="C27" s="192" t="str">
        <f>'Crisis Indicator Data'!C24</f>
        <v>CMR003</v>
      </c>
      <c r="D27" s="192" t="str">
        <f>'Crisis Indicator Data'!D24</f>
        <v>Cameroon</v>
      </c>
      <c r="E27" s="193" t="str">
        <f>'Crisis Indicator Data'!E24</f>
        <v>CMR</v>
      </c>
      <c r="F27" s="183">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3.2</v>
      </c>
      <c r="G27" s="183">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3.2</v>
      </c>
      <c r="H27" s="183">
        <f t="shared" si="0"/>
        <v>3.2</v>
      </c>
      <c r="I27" s="183">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4.3</v>
      </c>
      <c r="J27" s="183">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0</v>
      </c>
      <c r="K27" s="183">
        <f t="shared" si="1"/>
        <v>2.15</v>
      </c>
      <c r="L27" s="183">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3.8</v>
      </c>
      <c r="M27" s="183">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2.7</v>
      </c>
      <c r="N27" s="183">
        <f t="shared" si="2"/>
        <v>3.25</v>
      </c>
      <c r="O27" s="183">
        <f t="shared" si="3"/>
        <v>2.8666666666666667</v>
      </c>
      <c r="P27" s="183">
        <f>IF(B27="Regional crisis",VLOOKUP(C27,'Regional Crises'!$B$1:$R$69,12,FALSE),VLOOKUP(E27,'Country Indicator Data'!$B$4:$I$194,8,FALSE))</f>
        <v>4</v>
      </c>
      <c r="Q27" s="183">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3.9</v>
      </c>
      <c r="R27" s="183">
        <f t="shared" si="4"/>
        <v>3.95</v>
      </c>
      <c r="S27" s="183">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3.8</v>
      </c>
      <c r="T27" s="183">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3.6</v>
      </c>
      <c r="U27" s="183">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3.4</v>
      </c>
      <c r="V27" s="183">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4.0999999999999996</v>
      </c>
      <c r="W27" s="183">
        <f t="shared" si="5"/>
        <v>3.7</v>
      </c>
      <c r="X27" s="183">
        <f t="shared" si="6"/>
        <v>3.5</v>
      </c>
      <c r="Y27" s="207">
        <f>IF('Core Indicators'!FC24="x","x",IF('Core Indicators'!FC24&gt;=5,5,IF('Core Indicators'!FC24&gt;=4,4,IF('Core Indicators'!FC24&gt;=3,3,IF('Core Indicators'!FC24&gt;=2,2,IF('Core Indicators'!FC24&gt;=1,1,0))))))</f>
        <v>4</v>
      </c>
      <c r="Z27" s="183">
        <f t="shared" si="7"/>
        <v>4</v>
      </c>
      <c r="AA27" s="207">
        <f>'Crisis Indicator Data'!Y24</f>
        <v>1</v>
      </c>
      <c r="AB27" s="207">
        <f>'Crisis Indicator Data'!Z24</f>
        <v>2</v>
      </c>
      <c r="AC27" s="207">
        <f>'Crisis Indicator Data'!AA24</f>
        <v>3</v>
      </c>
      <c r="AD27" s="207">
        <f>'Crisis Indicator Data'!AB24</f>
        <v>0</v>
      </c>
      <c r="AE27" s="207">
        <f t="shared" si="10"/>
        <v>3</v>
      </c>
      <c r="AF27" s="207">
        <f>'Crisis Indicator Data'!AC24</f>
        <v>1</v>
      </c>
      <c r="AG27" s="207">
        <f>'Crisis Indicator Data'!AD24</f>
        <v>3</v>
      </c>
      <c r="AH27" s="207">
        <f t="shared" si="11"/>
        <v>4</v>
      </c>
      <c r="AI27" s="207">
        <f>'Crisis Indicator Data'!AE24</f>
        <v>0</v>
      </c>
      <c r="AJ27" s="207">
        <f>'Crisis Indicator Data'!AF24</f>
        <v>2</v>
      </c>
      <c r="AK27" s="207">
        <f>'Crisis Indicator Data'!AG24</f>
        <v>2</v>
      </c>
      <c r="AL27" s="207">
        <f t="shared" si="12"/>
        <v>3</v>
      </c>
      <c r="AM27" s="183">
        <f t="shared" si="8"/>
        <v>3</v>
      </c>
      <c r="AN27" s="183">
        <f t="shared" si="9"/>
        <v>3.5</v>
      </c>
    </row>
    <row r="28" spans="1:40" ht="13.5" customHeight="1" x14ac:dyDescent="0.3">
      <c r="A28" s="191" t="str">
        <f>'Crisis Indicator Data'!A25</f>
        <v>CAR refugees in Cameroon</v>
      </c>
      <c r="B28" s="192" t="str">
        <f>'Crisis Indicator Data'!B25</f>
        <v>International displacement</v>
      </c>
      <c r="C28" s="192" t="str">
        <f>'Crisis Indicator Data'!C25</f>
        <v>CMR004</v>
      </c>
      <c r="D28" s="192" t="str">
        <f>'Crisis Indicator Data'!D25</f>
        <v>Cameroon</v>
      </c>
      <c r="E28" s="193" t="str">
        <f>'Crisis Indicator Data'!E25</f>
        <v>CMR</v>
      </c>
      <c r="F28" s="183">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3.2</v>
      </c>
      <c r="G28" s="183">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3.2</v>
      </c>
      <c r="H28" s="183">
        <f t="shared" si="0"/>
        <v>3.2</v>
      </c>
      <c r="I28" s="183">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4.3</v>
      </c>
      <c r="J28" s="183">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0</v>
      </c>
      <c r="K28" s="183">
        <f t="shared" si="1"/>
        <v>2.15</v>
      </c>
      <c r="L28" s="183">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3.8</v>
      </c>
      <c r="M28" s="183">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2.7</v>
      </c>
      <c r="N28" s="183">
        <f t="shared" si="2"/>
        <v>3.25</v>
      </c>
      <c r="O28" s="183">
        <f t="shared" si="3"/>
        <v>2.8666666666666667</v>
      </c>
      <c r="P28" s="183">
        <f>IF(B28="Regional crisis",VLOOKUP(C28,'Regional Crises'!$B$1:$R$69,12,FALSE),VLOOKUP(E28,'Country Indicator Data'!$B$4:$I$194,8,FALSE))</f>
        <v>4</v>
      </c>
      <c r="Q28" s="183">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3.9</v>
      </c>
      <c r="R28" s="183">
        <f t="shared" si="4"/>
        <v>3.95</v>
      </c>
      <c r="S28" s="183">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3.8</v>
      </c>
      <c r="T28" s="183">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3.6</v>
      </c>
      <c r="U28" s="183">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3.4</v>
      </c>
      <c r="V28" s="183">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4.0999999999999996</v>
      </c>
      <c r="W28" s="183">
        <f t="shared" si="5"/>
        <v>3.7</v>
      </c>
      <c r="X28" s="183">
        <f t="shared" si="6"/>
        <v>3.5</v>
      </c>
      <c r="Y28" s="207">
        <f>IF('Core Indicators'!FC25="x","x",IF('Core Indicators'!FC25&gt;=5,5,IF('Core Indicators'!FC25&gt;=4,4,IF('Core Indicators'!FC25&gt;=3,3,IF('Core Indicators'!FC25&gt;=2,2,IF('Core Indicators'!FC25&gt;=1,1,0))))))</f>
        <v>3</v>
      </c>
      <c r="Z28" s="183">
        <f t="shared" si="7"/>
        <v>3</v>
      </c>
      <c r="AA28" s="207">
        <f>'Crisis Indicator Data'!Y25</f>
        <v>0</v>
      </c>
      <c r="AB28" s="207">
        <f>'Crisis Indicator Data'!Z25</f>
        <v>0</v>
      </c>
      <c r="AC28" s="207">
        <f>'Crisis Indicator Data'!AA25</f>
        <v>0</v>
      </c>
      <c r="AD28" s="207">
        <f>'Crisis Indicator Data'!AB25</f>
        <v>0</v>
      </c>
      <c r="AE28" s="207">
        <f t="shared" si="10"/>
        <v>0</v>
      </c>
      <c r="AF28" s="207">
        <f>'Crisis Indicator Data'!AC25</f>
        <v>0</v>
      </c>
      <c r="AG28" s="207">
        <f>'Crisis Indicator Data'!AD25</f>
        <v>0</v>
      </c>
      <c r="AH28" s="207">
        <f t="shared" si="11"/>
        <v>0</v>
      </c>
      <c r="AI28" s="207">
        <f>'Crisis Indicator Data'!AE25</f>
        <v>0</v>
      </c>
      <c r="AJ28" s="207">
        <f>'Crisis Indicator Data'!AF25</f>
        <v>2</v>
      </c>
      <c r="AK28" s="207">
        <f>'Crisis Indicator Data'!AG25</f>
        <v>0</v>
      </c>
      <c r="AL28" s="207">
        <f t="shared" si="12"/>
        <v>2</v>
      </c>
      <c r="AM28" s="183">
        <f t="shared" si="8"/>
        <v>1</v>
      </c>
      <c r="AN28" s="183">
        <f t="shared" si="9"/>
        <v>2</v>
      </c>
    </row>
    <row r="29" spans="1:40" ht="13.5" customHeight="1" x14ac:dyDescent="0.3">
      <c r="A29" s="191" t="str">
        <f>'Crisis Indicator Data'!A26</f>
        <v>Complex crisis in CAR</v>
      </c>
      <c r="B29" s="192" t="str">
        <f>'Crisis Indicator Data'!B26</f>
        <v>Complex crisis</v>
      </c>
      <c r="C29" s="192" t="str">
        <f>'Crisis Indicator Data'!C26</f>
        <v>CAF001</v>
      </c>
      <c r="D29" s="192" t="str">
        <f>'Crisis Indicator Data'!D26</f>
        <v>CAR</v>
      </c>
      <c r="E29" s="193" t="str">
        <f>'Crisis Indicator Data'!E26</f>
        <v>CAF</v>
      </c>
      <c r="F29" s="183">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3.6</v>
      </c>
      <c r="G29" s="183">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3.2</v>
      </c>
      <c r="H29" s="183">
        <f t="shared" si="0"/>
        <v>3.4000000000000004</v>
      </c>
      <c r="I29" s="183">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4.4000000000000004</v>
      </c>
      <c r="J29" s="183">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1.8</v>
      </c>
      <c r="K29" s="183">
        <f t="shared" si="1"/>
        <v>3.1</v>
      </c>
      <c r="L29" s="183">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4.5</v>
      </c>
      <c r="M29" s="183">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3.9</v>
      </c>
      <c r="N29" s="183">
        <f t="shared" si="2"/>
        <v>4.2</v>
      </c>
      <c r="O29" s="183">
        <f t="shared" si="3"/>
        <v>3.5666666666666664</v>
      </c>
      <c r="P29" s="183">
        <f>IF(B29="Regional crisis",VLOOKUP(C29,'Regional Crises'!$B$1:$R$69,12,FALSE),VLOOKUP(E29,'Country Indicator Data'!$B$4:$I$194,8,FALSE))</f>
        <v>4</v>
      </c>
      <c r="Q29" s="183">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3</v>
      </c>
      <c r="R29" s="183">
        <f t="shared" si="4"/>
        <v>3.5</v>
      </c>
      <c r="S29" s="183">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3.8</v>
      </c>
      <c r="T29" s="183">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4.2</v>
      </c>
      <c r="U29" s="183">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3.4</v>
      </c>
      <c r="V29" s="183">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4.5</v>
      </c>
      <c r="W29" s="183">
        <f t="shared" si="5"/>
        <v>4</v>
      </c>
      <c r="X29" s="183">
        <f t="shared" si="6"/>
        <v>3.7</v>
      </c>
      <c r="Y29" s="207">
        <f>IF('Core Indicators'!FC26="x","x",IF('Core Indicators'!FC26&gt;=5,5,IF('Core Indicators'!FC26&gt;=4,4,IF('Core Indicators'!FC26&gt;=3,3,IF('Core Indicators'!FC26&gt;=2,2,IF('Core Indicators'!FC26&gt;=1,1,0))))))</f>
        <v>5</v>
      </c>
      <c r="Z29" s="183">
        <f t="shared" si="7"/>
        <v>5</v>
      </c>
      <c r="AA29" s="207">
        <f>'Crisis Indicator Data'!Y26</f>
        <v>0</v>
      </c>
      <c r="AB29" s="207">
        <f>'Crisis Indicator Data'!Z26</f>
        <v>3</v>
      </c>
      <c r="AC29" s="207">
        <f>'Crisis Indicator Data'!AA26</f>
        <v>2</v>
      </c>
      <c r="AD29" s="207">
        <f>'Crisis Indicator Data'!AB26</f>
        <v>3</v>
      </c>
      <c r="AE29" s="207">
        <f t="shared" si="10"/>
        <v>4</v>
      </c>
      <c r="AF29" s="207">
        <f>'Crisis Indicator Data'!AC26</f>
        <v>0</v>
      </c>
      <c r="AG29" s="207">
        <f>'Crisis Indicator Data'!AD26</f>
        <v>2</v>
      </c>
      <c r="AH29" s="207">
        <f t="shared" si="11"/>
        <v>2</v>
      </c>
      <c r="AI29" s="207">
        <f>'Crisis Indicator Data'!AE26</f>
        <v>3</v>
      </c>
      <c r="AJ29" s="207">
        <f>'Crisis Indicator Data'!AF26</f>
        <v>0</v>
      </c>
      <c r="AK29" s="207">
        <f>'Crisis Indicator Data'!AG26</f>
        <v>3</v>
      </c>
      <c r="AL29" s="207">
        <f t="shared" si="12"/>
        <v>4</v>
      </c>
      <c r="AM29" s="183">
        <f t="shared" si="8"/>
        <v>3</v>
      </c>
      <c r="AN29" s="183">
        <f t="shared" si="9"/>
        <v>4</v>
      </c>
    </row>
    <row r="30" spans="1:40" ht="13.5" customHeight="1" x14ac:dyDescent="0.3">
      <c r="A30" s="191" t="str">
        <f>'Crisis Indicator Data'!A27</f>
        <v>Complex crisis in Chad</v>
      </c>
      <c r="B30" s="192" t="str">
        <f>'Crisis Indicator Data'!B27</f>
        <v>Multiple crises country</v>
      </c>
      <c r="C30" s="192" t="str">
        <f>'Crisis Indicator Data'!C27</f>
        <v>TCD001</v>
      </c>
      <c r="D30" s="192" t="str">
        <f>'Crisis Indicator Data'!D27</f>
        <v>Chad</v>
      </c>
      <c r="E30" s="193" t="str">
        <f>'Crisis Indicator Data'!E27</f>
        <v>TCD</v>
      </c>
      <c r="F30" s="183">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83">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3.5</v>
      </c>
      <c r="H30" s="183">
        <f t="shared" si="0"/>
        <v>2.65</v>
      </c>
      <c r="I30" s="183">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4.5999999999999996</v>
      </c>
      <c r="J30" s="183">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1.9</v>
      </c>
      <c r="K30" s="183">
        <f t="shared" si="1"/>
        <v>3.25</v>
      </c>
      <c r="L30" s="183">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4.7</v>
      </c>
      <c r="M30" s="183">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2.2999999999999998</v>
      </c>
      <c r="N30" s="183">
        <f t="shared" si="2"/>
        <v>3.5</v>
      </c>
      <c r="O30" s="183">
        <f t="shared" si="3"/>
        <v>3.1333333333333333</v>
      </c>
      <c r="P30" s="183">
        <f>IF(B30="Regional crisis",VLOOKUP(C30,'Regional Crises'!$B$1:$R$69,12,FALSE),VLOOKUP(E30,'Country Indicator Data'!$B$4:$I$194,8,FALSE))</f>
        <v>3</v>
      </c>
      <c r="Q30" s="183">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3.7</v>
      </c>
      <c r="R30" s="183">
        <f t="shared" si="4"/>
        <v>3.35</v>
      </c>
      <c r="S30" s="183">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4</v>
      </c>
      <c r="T30" s="183">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3.8</v>
      </c>
      <c r="U30" s="183">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4.0999999999999996</v>
      </c>
      <c r="V30" s="183">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4.2</v>
      </c>
      <c r="W30" s="183">
        <f t="shared" si="5"/>
        <v>4</v>
      </c>
      <c r="X30" s="183">
        <f t="shared" si="6"/>
        <v>3.5</v>
      </c>
      <c r="Y30" s="207">
        <f>IF('Core Indicators'!FC27="x","x",IF('Core Indicators'!FC27&gt;=5,5,IF('Core Indicators'!FC27&gt;=4,4,IF('Core Indicators'!FC27&gt;=3,3,IF('Core Indicators'!FC27&gt;=2,2,IF('Core Indicators'!FC27&gt;=1,1,0))))))</f>
        <v>5</v>
      </c>
      <c r="Z30" s="183">
        <f t="shared" si="7"/>
        <v>5</v>
      </c>
      <c r="AA30" s="207">
        <f>'Crisis Indicator Data'!Y27</f>
        <v>1</v>
      </c>
      <c r="AB30" s="207">
        <f>'Crisis Indicator Data'!Z27</f>
        <v>2</v>
      </c>
      <c r="AC30" s="207">
        <f>'Crisis Indicator Data'!AA27</f>
        <v>2</v>
      </c>
      <c r="AD30" s="207">
        <f>'Crisis Indicator Data'!AB27</f>
        <v>0</v>
      </c>
      <c r="AE30" s="207">
        <f t="shared" si="10"/>
        <v>2</v>
      </c>
      <c r="AF30" s="207">
        <f>'Crisis Indicator Data'!AC27</f>
        <v>0</v>
      </c>
      <c r="AG30" s="207">
        <f>'Crisis Indicator Data'!AD27</f>
        <v>2</v>
      </c>
      <c r="AH30" s="207">
        <f t="shared" si="11"/>
        <v>2</v>
      </c>
      <c r="AI30" s="207">
        <f>'Crisis Indicator Data'!AE27</f>
        <v>3</v>
      </c>
      <c r="AJ30" s="207">
        <f>'Crisis Indicator Data'!AF27</f>
        <v>2</v>
      </c>
      <c r="AK30" s="207">
        <f>'Crisis Indicator Data'!AG27</f>
        <v>3</v>
      </c>
      <c r="AL30" s="207">
        <f t="shared" si="12"/>
        <v>5</v>
      </c>
      <c r="AM30" s="183">
        <f t="shared" si="8"/>
        <v>3</v>
      </c>
      <c r="AN30" s="183">
        <f t="shared" si="9"/>
        <v>4</v>
      </c>
    </row>
    <row r="31" spans="1:40" ht="13.5" customHeight="1" x14ac:dyDescent="0.3">
      <c r="A31" s="191" t="str">
        <f>'Crisis Indicator Data'!A28</f>
        <v>Boko Haram in Chad</v>
      </c>
      <c r="B31" s="192" t="str">
        <f>'Crisis Indicator Data'!B28</f>
        <v>Conflict</v>
      </c>
      <c r="C31" s="192" t="str">
        <f>'Crisis Indicator Data'!C28</f>
        <v>TCD003</v>
      </c>
      <c r="D31" s="192" t="str">
        <f>'Crisis Indicator Data'!D28</f>
        <v>Chad</v>
      </c>
      <c r="E31" s="193" t="str">
        <f>'Crisis Indicator Data'!E28</f>
        <v>TCD</v>
      </c>
      <c r="F31" s="183">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83">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3.5</v>
      </c>
      <c r="H31" s="183">
        <f t="shared" si="0"/>
        <v>2.65</v>
      </c>
      <c r="I31" s="183">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4.5999999999999996</v>
      </c>
      <c r="J31" s="183">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1.9</v>
      </c>
      <c r="K31" s="183">
        <f t="shared" si="1"/>
        <v>3.25</v>
      </c>
      <c r="L31" s="183">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4.7</v>
      </c>
      <c r="M31" s="183">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2.2999999999999998</v>
      </c>
      <c r="N31" s="183">
        <f t="shared" si="2"/>
        <v>3.5</v>
      </c>
      <c r="O31" s="183">
        <f t="shared" si="3"/>
        <v>3.1333333333333333</v>
      </c>
      <c r="P31" s="183">
        <f>IF(B31="Regional crisis",VLOOKUP(C31,'Regional Crises'!$B$1:$R$69,12,FALSE),VLOOKUP(E31,'Country Indicator Data'!$B$4:$I$194,8,FALSE))</f>
        <v>3</v>
      </c>
      <c r="Q31" s="183">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3.7</v>
      </c>
      <c r="R31" s="183">
        <f t="shared" si="4"/>
        <v>3.35</v>
      </c>
      <c r="S31" s="183">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4</v>
      </c>
      <c r="T31" s="183">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3.8</v>
      </c>
      <c r="U31" s="183">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4.0999999999999996</v>
      </c>
      <c r="V31" s="183">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4.2</v>
      </c>
      <c r="W31" s="183">
        <f t="shared" si="5"/>
        <v>4</v>
      </c>
      <c r="X31" s="183">
        <f t="shared" si="6"/>
        <v>3.5</v>
      </c>
      <c r="Y31" s="207">
        <f>IF('Core Indicators'!FC28="x","x",IF('Core Indicators'!FC28&gt;=5,5,IF('Core Indicators'!FC28&gt;=4,4,IF('Core Indicators'!FC28&gt;=3,3,IF('Core Indicators'!FC28&gt;=2,2,IF('Core Indicators'!FC28&gt;=1,1,0))))))</f>
        <v>5</v>
      </c>
      <c r="Z31" s="183">
        <f t="shared" si="7"/>
        <v>5</v>
      </c>
      <c r="AA31" s="207">
        <f>'Crisis Indicator Data'!Y28</f>
        <v>1</v>
      </c>
      <c r="AB31" s="207">
        <f>'Crisis Indicator Data'!Z28</f>
        <v>2</v>
      </c>
      <c r="AC31" s="207">
        <f>'Crisis Indicator Data'!AA28</f>
        <v>2</v>
      </c>
      <c r="AD31" s="207">
        <f>'Crisis Indicator Data'!AB28</f>
        <v>0</v>
      </c>
      <c r="AE31" s="207">
        <f t="shared" si="10"/>
        <v>2</v>
      </c>
      <c r="AF31" s="207">
        <f>'Crisis Indicator Data'!AC28</f>
        <v>0</v>
      </c>
      <c r="AG31" s="207">
        <f>'Crisis Indicator Data'!AD28</f>
        <v>2</v>
      </c>
      <c r="AH31" s="207">
        <f t="shared" si="11"/>
        <v>2</v>
      </c>
      <c r="AI31" s="207">
        <f>'Crisis Indicator Data'!AE28</f>
        <v>3</v>
      </c>
      <c r="AJ31" s="207">
        <f>'Crisis Indicator Data'!AF28</f>
        <v>2</v>
      </c>
      <c r="AK31" s="207">
        <f>'Crisis Indicator Data'!AG28</f>
        <v>3</v>
      </c>
      <c r="AL31" s="207">
        <f t="shared" si="12"/>
        <v>5</v>
      </c>
      <c r="AM31" s="183">
        <f t="shared" si="8"/>
        <v>3</v>
      </c>
      <c r="AN31" s="183">
        <f t="shared" si="9"/>
        <v>4</v>
      </c>
    </row>
    <row r="32" spans="1:40" ht="13.5" customHeight="1" x14ac:dyDescent="0.3">
      <c r="A32" s="191" t="str">
        <f>'Crisis Indicator Data'!A29</f>
        <v>CAR refugees in Chad</v>
      </c>
      <c r="B32" s="192" t="str">
        <f>'Crisis Indicator Data'!B29</f>
        <v>International displacement</v>
      </c>
      <c r="C32" s="192" t="str">
        <f>'Crisis Indicator Data'!C29</f>
        <v>TCD004</v>
      </c>
      <c r="D32" s="192" t="str">
        <f>'Crisis Indicator Data'!D29</f>
        <v>Chad</v>
      </c>
      <c r="E32" s="193" t="str">
        <f>'Crisis Indicator Data'!E29</f>
        <v>TCD</v>
      </c>
      <c r="F32" s="183">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1.8</v>
      </c>
      <c r="G32" s="183">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3.5</v>
      </c>
      <c r="H32" s="183">
        <f t="shared" si="0"/>
        <v>2.65</v>
      </c>
      <c r="I32" s="183">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4.5999999999999996</v>
      </c>
      <c r="J32" s="183">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1.9</v>
      </c>
      <c r="K32" s="183">
        <f t="shared" si="1"/>
        <v>3.25</v>
      </c>
      <c r="L32" s="183">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4.7</v>
      </c>
      <c r="M32" s="183">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2.2999999999999998</v>
      </c>
      <c r="N32" s="183">
        <f t="shared" si="2"/>
        <v>3.5</v>
      </c>
      <c r="O32" s="183">
        <f t="shared" si="3"/>
        <v>3.1333333333333333</v>
      </c>
      <c r="P32" s="183">
        <f>IF(B32="Regional crisis",VLOOKUP(C32,'Regional Crises'!$B$1:$R$69,12,FALSE),VLOOKUP(E32,'Country Indicator Data'!$B$4:$I$194,8,FALSE))</f>
        <v>3</v>
      </c>
      <c r="Q32" s="183">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3.7</v>
      </c>
      <c r="R32" s="183">
        <f t="shared" si="4"/>
        <v>3.35</v>
      </c>
      <c r="S32" s="183">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4</v>
      </c>
      <c r="T32" s="183">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3.8</v>
      </c>
      <c r="U32" s="183">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4.0999999999999996</v>
      </c>
      <c r="V32" s="183">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4.2</v>
      </c>
      <c r="W32" s="183">
        <f t="shared" si="5"/>
        <v>4</v>
      </c>
      <c r="X32" s="183">
        <f t="shared" si="6"/>
        <v>3.5</v>
      </c>
      <c r="Y32" s="207">
        <f>IF('Core Indicators'!FC29="x","x",IF('Core Indicators'!FC29&gt;=5,5,IF('Core Indicators'!FC29&gt;=4,4,IF('Core Indicators'!FC29&gt;=3,3,IF('Core Indicators'!FC29&gt;=2,2,IF('Core Indicators'!FC29&gt;=1,1,0))))))</f>
        <v>3</v>
      </c>
      <c r="Z32" s="183">
        <f t="shared" si="7"/>
        <v>3</v>
      </c>
      <c r="AA32" s="207">
        <f>'Crisis Indicator Data'!Y29</f>
        <v>1</v>
      </c>
      <c r="AB32" s="207">
        <f>'Crisis Indicator Data'!Z29</f>
        <v>2</v>
      </c>
      <c r="AC32" s="207">
        <f>'Crisis Indicator Data'!AA29</f>
        <v>2</v>
      </c>
      <c r="AD32" s="207">
        <f>'Crisis Indicator Data'!AB29</f>
        <v>0</v>
      </c>
      <c r="AE32" s="207">
        <f t="shared" si="10"/>
        <v>2</v>
      </c>
      <c r="AF32" s="207">
        <f>'Crisis Indicator Data'!AC29</f>
        <v>0</v>
      </c>
      <c r="AG32" s="207">
        <f>'Crisis Indicator Data'!AD29</f>
        <v>2</v>
      </c>
      <c r="AH32" s="207">
        <f t="shared" si="11"/>
        <v>2</v>
      </c>
      <c r="AI32" s="207">
        <f>'Crisis Indicator Data'!AE29</f>
        <v>3</v>
      </c>
      <c r="AJ32" s="207">
        <f>'Crisis Indicator Data'!AF29</f>
        <v>2</v>
      </c>
      <c r="AK32" s="207">
        <f>'Crisis Indicator Data'!AG29</f>
        <v>3</v>
      </c>
      <c r="AL32" s="207">
        <f t="shared" si="12"/>
        <v>5</v>
      </c>
      <c r="AM32" s="183">
        <f t="shared" si="8"/>
        <v>3</v>
      </c>
      <c r="AN32" s="183">
        <f t="shared" si="9"/>
        <v>3</v>
      </c>
    </row>
    <row r="33" spans="1:40" ht="13.5" customHeight="1" x14ac:dyDescent="0.3">
      <c r="A33" s="191" t="str">
        <f>'Crisis Indicator Data'!A30</f>
        <v>Darfur refugees in Chad</v>
      </c>
      <c r="B33" s="192" t="str">
        <f>'Crisis Indicator Data'!B30</f>
        <v>International displacement</v>
      </c>
      <c r="C33" s="192" t="str">
        <f>'Crisis Indicator Data'!C30</f>
        <v>TCD005</v>
      </c>
      <c r="D33" s="192" t="str">
        <f>'Crisis Indicator Data'!D30</f>
        <v>Chad</v>
      </c>
      <c r="E33" s="193" t="str">
        <f>'Crisis Indicator Data'!E30</f>
        <v>TCD</v>
      </c>
      <c r="F33" s="183">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1.8</v>
      </c>
      <c r="G33" s="183">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3.5</v>
      </c>
      <c r="H33" s="183">
        <f t="shared" si="0"/>
        <v>2.65</v>
      </c>
      <c r="I33" s="183">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4.5999999999999996</v>
      </c>
      <c r="J33" s="183">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1.9</v>
      </c>
      <c r="K33" s="183">
        <f t="shared" si="1"/>
        <v>3.25</v>
      </c>
      <c r="L33" s="183">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4.7</v>
      </c>
      <c r="M33" s="183">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2.2999999999999998</v>
      </c>
      <c r="N33" s="183">
        <f t="shared" si="2"/>
        <v>3.5</v>
      </c>
      <c r="O33" s="183">
        <f t="shared" si="3"/>
        <v>3.1333333333333333</v>
      </c>
      <c r="P33" s="183">
        <f>IF(B33="Regional crisis",VLOOKUP(C33,'Regional Crises'!$B$1:$R$69,12,FALSE),VLOOKUP(E33,'Country Indicator Data'!$B$4:$I$194,8,FALSE))</f>
        <v>3</v>
      </c>
      <c r="Q33" s="183">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3.7</v>
      </c>
      <c r="R33" s="183">
        <f t="shared" si="4"/>
        <v>3.35</v>
      </c>
      <c r="S33" s="183">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4</v>
      </c>
      <c r="T33" s="183">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3.8</v>
      </c>
      <c r="U33" s="183">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4.0999999999999996</v>
      </c>
      <c r="V33" s="183">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4.2</v>
      </c>
      <c r="W33" s="183">
        <f t="shared" si="5"/>
        <v>4</v>
      </c>
      <c r="X33" s="183">
        <f t="shared" si="6"/>
        <v>3.5</v>
      </c>
      <c r="Y33" s="207">
        <f>IF('Core Indicators'!FC30="x","x",IF('Core Indicators'!FC30&gt;=5,5,IF('Core Indicators'!FC30&gt;=4,4,IF('Core Indicators'!FC30&gt;=3,3,IF('Core Indicators'!FC30&gt;=2,2,IF('Core Indicators'!FC30&gt;=1,1,0))))))</f>
        <v>2</v>
      </c>
      <c r="Z33" s="183">
        <f t="shared" si="7"/>
        <v>2</v>
      </c>
      <c r="AA33" s="207">
        <f>'Crisis Indicator Data'!Y30</f>
        <v>1</v>
      </c>
      <c r="AB33" s="207">
        <f>'Crisis Indicator Data'!Z30</f>
        <v>2</v>
      </c>
      <c r="AC33" s="207">
        <f>'Crisis Indicator Data'!AA30</f>
        <v>2</v>
      </c>
      <c r="AD33" s="207">
        <f>'Crisis Indicator Data'!AB30</f>
        <v>0</v>
      </c>
      <c r="AE33" s="207">
        <f t="shared" si="10"/>
        <v>2</v>
      </c>
      <c r="AF33" s="207">
        <f>'Crisis Indicator Data'!AC30</f>
        <v>0</v>
      </c>
      <c r="AG33" s="207">
        <f>'Crisis Indicator Data'!AD30</f>
        <v>2</v>
      </c>
      <c r="AH33" s="207">
        <f t="shared" si="11"/>
        <v>2</v>
      </c>
      <c r="AI33" s="207">
        <f>'Crisis Indicator Data'!AE30</f>
        <v>3</v>
      </c>
      <c r="AJ33" s="207">
        <f>'Crisis Indicator Data'!AF30</f>
        <v>2</v>
      </c>
      <c r="AK33" s="207">
        <f>'Crisis Indicator Data'!AG30</f>
        <v>3</v>
      </c>
      <c r="AL33" s="207">
        <f t="shared" si="12"/>
        <v>5</v>
      </c>
      <c r="AM33" s="183">
        <f t="shared" si="8"/>
        <v>3</v>
      </c>
      <c r="AN33" s="183">
        <f t="shared" si="9"/>
        <v>2.5</v>
      </c>
    </row>
    <row r="34" spans="1:40" ht="13.5" customHeight="1" x14ac:dyDescent="0.3">
      <c r="A34" s="191" t="str">
        <f>'Crisis Indicator Data'!A31</f>
        <v>Tibesti Conflict in Chad</v>
      </c>
      <c r="B34" s="192" t="str">
        <f>'Crisis Indicator Data'!B31</f>
        <v>Conflict</v>
      </c>
      <c r="C34" s="192" t="str">
        <f>'Crisis Indicator Data'!C31</f>
        <v>TCD006</v>
      </c>
      <c r="D34" s="192" t="str">
        <f>'Crisis Indicator Data'!D31</f>
        <v>Chad</v>
      </c>
      <c r="E34" s="193" t="str">
        <f>'Crisis Indicator Data'!E31</f>
        <v>TCD</v>
      </c>
      <c r="F34" s="183">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1.8</v>
      </c>
      <c r="G34" s="183">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3.5</v>
      </c>
      <c r="H34" s="183">
        <f t="shared" si="0"/>
        <v>2.65</v>
      </c>
      <c r="I34" s="183">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4.5999999999999996</v>
      </c>
      <c r="J34" s="183">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1.9</v>
      </c>
      <c r="K34" s="183">
        <f t="shared" si="1"/>
        <v>3.25</v>
      </c>
      <c r="L34" s="183">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4.7</v>
      </c>
      <c r="M34" s="183">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2.2999999999999998</v>
      </c>
      <c r="N34" s="183">
        <f t="shared" si="2"/>
        <v>3.5</v>
      </c>
      <c r="O34" s="183">
        <f t="shared" si="3"/>
        <v>3.1333333333333333</v>
      </c>
      <c r="P34" s="183">
        <f>IF(B34="Regional crisis",VLOOKUP(C34,'Regional Crises'!$B$1:$R$69,12,FALSE),VLOOKUP(E34,'Country Indicator Data'!$B$4:$I$194,8,FALSE))</f>
        <v>3</v>
      </c>
      <c r="Q34" s="183">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3.7</v>
      </c>
      <c r="R34" s="183">
        <f t="shared" si="4"/>
        <v>3.35</v>
      </c>
      <c r="S34" s="183">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4</v>
      </c>
      <c r="T34" s="183">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3.8</v>
      </c>
      <c r="U34" s="183">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4.0999999999999996</v>
      </c>
      <c r="V34" s="183">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4.2</v>
      </c>
      <c r="W34" s="183">
        <f t="shared" si="5"/>
        <v>4</v>
      </c>
      <c r="X34" s="183">
        <f t="shared" si="6"/>
        <v>3.5</v>
      </c>
      <c r="Y34" s="207">
        <f>IF('Core Indicators'!FC31="x","x",IF('Core Indicators'!FC31&gt;=5,5,IF('Core Indicators'!FC31&gt;=4,4,IF('Core Indicators'!FC31&gt;=3,3,IF('Core Indicators'!FC31&gt;=2,2,IF('Core Indicators'!FC31&gt;=1,1,0))))))</f>
        <v>3</v>
      </c>
      <c r="Z34" s="183">
        <f t="shared" si="7"/>
        <v>3</v>
      </c>
      <c r="AA34" s="207">
        <f>'Crisis Indicator Data'!Y31</f>
        <v>1</v>
      </c>
      <c r="AB34" s="207">
        <f>'Crisis Indicator Data'!Z31</f>
        <v>2</v>
      </c>
      <c r="AC34" s="207">
        <f>'Crisis Indicator Data'!AA31</f>
        <v>0</v>
      </c>
      <c r="AD34" s="207">
        <f>'Crisis Indicator Data'!AB31</f>
        <v>0</v>
      </c>
      <c r="AE34" s="207">
        <f t="shared" si="10"/>
        <v>2</v>
      </c>
      <c r="AF34" s="207">
        <f>'Crisis Indicator Data'!AC31</f>
        <v>0</v>
      </c>
      <c r="AG34" s="207">
        <f>'Crisis Indicator Data'!AD31</f>
        <v>0</v>
      </c>
      <c r="AH34" s="207">
        <f t="shared" si="11"/>
        <v>0</v>
      </c>
      <c r="AI34" s="207">
        <f>'Crisis Indicator Data'!AE31</f>
        <v>0</v>
      </c>
      <c r="AJ34" s="207">
        <f>'Crisis Indicator Data'!AF31</f>
        <v>2</v>
      </c>
      <c r="AK34" s="207">
        <f>'Crisis Indicator Data'!AG31</f>
        <v>3</v>
      </c>
      <c r="AL34" s="207">
        <f t="shared" si="12"/>
        <v>4</v>
      </c>
      <c r="AM34" s="183">
        <f t="shared" si="8"/>
        <v>2</v>
      </c>
      <c r="AN34" s="183">
        <f t="shared" si="9"/>
        <v>2.5</v>
      </c>
    </row>
    <row r="35" spans="1:40" ht="13.5" customHeight="1" x14ac:dyDescent="0.3">
      <c r="A35" s="191" t="str">
        <f>'Crisis Indicator Data'!A32</f>
        <v>Floods in Chad</v>
      </c>
      <c r="B35" s="192" t="str">
        <f>'Crisis Indicator Data'!B32</f>
        <v>Flood</v>
      </c>
      <c r="C35" s="192" t="str">
        <f>'Crisis Indicator Data'!C32</f>
        <v>TCD008</v>
      </c>
      <c r="D35" s="192" t="str">
        <f>'Crisis Indicator Data'!D32</f>
        <v>Chad</v>
      </c>
      <c r="E35" s="193" t="str">
        <f>'Crisis Indicator Data'!E32</f>
        <v>TCD</v>
      </c>
      <c r="F35" s="183">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1.8</v>
      </c>
      <c r="G35" s="183">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3.5</v>
      </c>
      <c r="H35" s="183">
        <f t="shared" si="0"/>
        <v>2.65</v>
      </c>
      <c r="I35" s="183">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4.5999999999999996</v>
      </c>
      <c r="J35" s="183">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1.9</v>
      </c>
      <c r="K35" s="183">
        <f t="shared" si="1"/>
        <v>3.25</v>
      </c>
      <c r="L35" s="183">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4.7</v>
      </c>
      <c r="M35" s="183">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2.2999999999999998</v>
      </c>
      <c r="N35" s="183">
        <f t="shared" si="2"/>
        <v>3.5</v>
      </c>
      <c r="O35" s="183">
        <f t="shared" si="3"/>
        <v>3.1333333333333333</v>
      </c>
      <c r="P35" s="183">
        <f>IF(B35="Regional crisis",VLOOKUP(C35,'Regional Crises'!$B$1:$R$69,12,FALSE),VLOOKUP(E35,'Country Indicator Data'!$B$4:$I$194,8,FALSE))</f>
        <v>3</v>
      </c>
      <c r="Q35" s="183">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3.7</v>
      </c>
      <c r="R35" s="183">
        <f t="shared" si="4"/>
        <v>3.35</v>
      </c>
      <c r="S35" s="183">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4</v>
      </c>
      <c r="T35" s="183">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3.8</v>
      </c>
      <c r="U35" s="183">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4.0999999999999996</v>
      </c>
      <c r="V35" s="183">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4.2</v>
      </c>
      <c r="W35" s="183">
        <f t="shared" si="5"/>
        <v>4</v>
      </c>
      <c r="X35" s="183">
        <f t="shared" si="6"/>
        <v>3.5</v>
      </c>
      <c r="Y35" s="207">
        <f>IF('Core Indicators'!FC32="x","x",IF('Core Indicators'!FC32&gt;=5,5,IF('Core Indicators'!FC32&gt;=4,4,IF('Core Indicators'!FC32&gt;=3,3,IF('Core Indicators'!FC32&gt;=2,2,IF('Core Indicators'!FC32&gt;=1,1,0))))))</f>
        <v>5</v>
      </c>
      <c r="Z35" s="183">
        <f t="shared" si="7"/>
        <v>5</v>
      </c>
      <c r="AA35" s="207">
        <f>'Crisis Indicator Data'!Y32</f>
        <v>1</v>
      </c>
      <c r="AB35" s="207">
        <f>'Crisis Indicator Data'!Z32</f>
        <v>2</v>
      </c>
      <c r="AC35" s="207">
        <f>'Crisis Indicator Data'!AA32</f>
        <v>2</v>
      </c>
      <c r="AD35" s="207">
        <f>'Crisis Indicator Data'!AB32</f>
        <v>0</v>
      </c>
      <c r="AE35" s="207">
        <f t="shared" si="10"/>
        <v>2</v>
      </c>
      <c r="AF35" s="207">
        <f>'Crisis Indicator Data'!AC32</f>
        <v>0</v>
      </c>
      <c r="AG35" s="207">
        <f>'Crisis Indicator Data'!AD32</f>
        <v>2</v>
      </c>
      <c r="AH35" s="207">
        <f t="shared" si="11"/>
        <v>2</v>
      </c>
      <c r="AI35" s="207">
        <f>'Crisis Indicator Data'!AE32</f>
        <v>3</v>
      </c>
      <c r="AJ35" s="207">
        <f>'Crisis Indicator Data'!AF32</f>
        <v>2</v>
      </c>
      <c r="AK35" s="207">
        <f>'Crisis Indicator Data'!AG32</f>
        <v>3</v>
      </c>
      <c r="AL35" s="207">
        <f t="shared" si="12"/>
        <v>5</v>
      </c>
      <c r="AM35" s="183">
        <f t="shared" si="8"/>
        <v>3</v>
      </c>
      <c r="AN35" s="183">
        <f t="shared" si="9"/>
        <v>4</v>
      </c>
    </row>
    <row r="36" spans="1:40" ht="13.5" customHeight="1" x14ac:dyDescent="0.3">
      <c r="A36" s="191" t="str">
        <f>'Crisis Indicator Data'!A33</f>
        <v>Complex crisis in Colombia</v>
      </c>
      <c r="B36" s="192" t="str">
        <f>'Crisis Indicator Data'!B33</f>
        <v>Complex crisis</v>
      </c>
      <c r="C36" s="192" t="str">
        <f>'Crisis Indicator Data'!C33</f>
        <v>COL001</v>
      </c>
      <c r="D36" s="192" t="str">
        <f>'Crisis Indicator Data'!D33</f>
        <v>Colombia</v>
      </c>
      <c r="E36" s="193" t="str">
        <f>'Crisis Indicator Data'!E33</f>
        <v>COL</v>
      </c>
      <c r="F36" s="183">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1.4</v>
      </c>
      <c r="G36" s="183">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1.7</v>
      </c>
      <c r="H36" s="183">
        <f t="shared" si="0"/>
        <v>1.5499999999999998</v>
      </c>
      <c r="I36" s="183">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2.1</v>
      </c>
      <c r="J36" s="183">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2.5</v>
      </c>
      <c r="K36" s="183">
        <f t="shared" si="1"/>
        <v>2.2999999999999998</v>
      </c>
      <c r="L36" s="183">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2.7</v>
      </c>
      <c r="M36" s="183">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3.2</v>
      </c>
      <c r="N36" s="183">
        <f t="shared" si="2"/>
        <v>2.95</v>
      </c>
      <c r="O36" s="183">
        <f t="shared" si="3"/>
        <v>2.2666666666666666</v>
      </c>
      <c r="P36" s="183">
        <f>IF(B36="Regional crisis",VLOOKUP(C36,'Regional Crises'!$B$1:$R$69,12,FALSE),VLOOKUP(E36,'Country Indicator Data'!$B$4:$I$194,8,FALSE))</f>
        <v>4</v>
      </c>
      <c r="Q36" s="183" t="str">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x</v>
      </c>
      <c r="R36" s="183">
        <f t="shared" si="4"/>
        <v>4</v>
      </c>
      <c r="S36" s="183">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83">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2.9</v>
      </c>
      <c r="U36" s="183">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1.9</v>
      </c>
      <c r="V36" s="183">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1.7</v>
      </c>
      <c r="W36" s="183">
        <f t="shared" si="5"/>
        <v>2.4</v>
      </c>
      <c r="X36" s="183">
        <f t="shared" si="6"/>
        <v>2.9</v>
      </c>
      <c r="Y36" s="207">
        <f>IF('Core Indicators'!FC33="x","x",IF('Core Indicators'!FC33&gt;=5,5,IF('Core Indicators'!FC33&gt;=4,4,IF('Core Indicators'!FC33&gt;=3,3,IF('Core Indicators'!FC33&gt;=2,2,IF('Core Indicators'!FC33&gt;=1,1,0))))))</f>
        <v>5</v>
      </c>
      <c r="Z36" s="183">
        <f t="shared" si="7"/>
        <v>5</v>
      </c>
      <c r="AA36" s="207">
        <f>'Crisis Indicator Data'!Y33</f>
        <v>0</v>
      </c>
      <c r="AB36" s="207">
        <f>'Crisis Indicator Data'!Z33</f>
        <v>2</v>
      </c>
      <c r="AC36" s="207">
        <f>'Crisis Indicator Data'!AA33</f>
        <v>0</v>
      </c>
      <c r="AD36" s="207">
        <f>'Crisis Indicator Data'!AB33</f>
        <v>0</v>
      </c>
      <c r="AE36" s="207">
        <f t="shared" si="10"/>
        <v>2</v>
      </c>
      <c r="AF36" s="207">
        <f>'Crisis Indicator Data'!AC33</f>
        <v>0</v>
      </c>
      <c r="AG36" s="207">
        <f>'Crisis Indicator Data'!AD33</f>
        <v>2</v>
      </c>
      <c r="AH36" s="207">
        <f t="shared" si="11"/>
        <v>2</v>
      </c>
      <c r="AI36" s="207">
        <f>'Crisis Indicator Data'!AE33</f>
        <v>1</v>
      </c>
      <c r="AJ36" s="207">
        <f>'Crisis Indicator Data'!AF33</f>
        <v>3</v>
      </c>
      <c r="AK36" s="207">
        <f>'Crisis Indicator Data'!AG33</f>
        <v>1</v>
      </c>
      <c r="AL36" s="207">
        <f t="shared" si="12"/>
        <v>4</v>
      </c>
      <c r="AM36" s="183">
        <f t="shared" si="8"/>
        <v>3</v>
      </c>
      <c r="AN36" s="183">
        <f t="shared" si="9"/>
        <v>4</v>
      </c>
    </row>
    <row r="37" spans="1:40" ht="13.5" customHeight="1" x14ac:dyDescent="0.3">
      <c r="A37" s="191" t="str">
        <f>'Crisis Indicator Data'!A34</f>
        <v>Venezuela displacement in Colombia</v>
      </c>
      <c r="B37" s="192" t="str">
        <f>'Crisis Indicator Data'!B34</f>
        <v>International displacement</v>
      </c>
      <c r="C37" s="192" t="str">
        <f>'Crisis Indicator Data'!C34</f>
        <v>COL002</v>
      </c>
      <c r="D37" s="192" t="str">
        <f>'Crisis Indicator Data'!D34</f>
        <v>Colombia</v>
      </c>
      <c r="E37" s="193" t="str">
        <f>'Crisis Indicator Data'!E34</f>
        <v>COL</v>
      </c>
      <c r="F37" s="183">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1.4</v>
      </c>
      <c r="G37" s="183">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1.7</v>
      </c>
      <c r="H37" s="183">
        <f t="shared" si="0"/>
        <v>1.5499999999999998</v>
      </c>
      <c r="I37" s="183">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2.1</v>
      </c>
      <c r="J37" s="183">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2.5</v>
      </c>
      <c r="K37" s="183">
        <f t="shared" si="1"/>
        <v>2.2999999999999998</v>
      </c>
      <c r="L37" s="183">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2.7</v>
      </c>
      <c r="M37" s="183">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3.2</v>
      </c>
      <c r="N37" s="183">
        <f t="shared" si="2"/>
        <v>2.95</v>
      </c>
      <c r="O37" s="183">
        <f t="shared" si="3"/>
        <v>2.2666666666666666</v>
      </c>
      <c r="P37" s="183">
        <f>IF(B37="Regional crisis",VLOOKUP(C37,'Regional Crises'!$B$1:$R$69,12,FALSE),VLOOKUP(E37,'Country Indicator Data'!$B$4:$I$194,8,FALSE))</f>
        <v>4</v>
      </c>
      <c r="Q37" s="183" t="str">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x</v>
      </c>
      <c r="R37" s="183">
        <f t="shared" si="4"/>
        <v>4</v>
      </c>
      <c r="S37" s="183">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83">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2.9</v>
      </c>
      <c r="U37" s="183">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1.9</v>
      </c>
      <c r="V37" s="183">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1.7</v>
      </c>
      <c r="W37" s="183">
        <f t="shared" si="5"/>
        <v>2.4</v>
      </c>
      <c r="X37" s="183">
        <f t="shared" si="6"/>
        <v>2.9</v>
      </c>
      <c r="Y37" s="207">
        <f>IF('Core Indicators'!FC34="x","x",IF('Core Indicators'!FC34&gt;=5,5,IF('Core Indicators'!FC34&gt;=4,4,IF('Core Indicators'!FC34&gt;=3,3,IF('Core Indicators'!FC34&gt;=2,2,IF('Core Indicators'!FC34&gt;=1,1,0))))))</f>
        <v>3</v>
      </c>
      <c r="Z37" s="183">
        <f t="shared" si="7"/>
        <v>3</v>
      </c>
      <c r="AA37" s="207">
        <f>'Crisis Indicator Data'!Y34</f>
        <v>0</v>
      </c>
      <c r="AB37" s="207">
        <f>'Crisis Indicator Data'!Z34</f>
        <v>2</v>
      </c>
      <c r="AC37" s="207">
        <f>'Crisis Indicator Data'!AA34</f>
        <v>0</v>
      </c>
      <c r="AD37" s="207">
        <f>'Crisis Indicator Data'!AB34</f>
        <v>0</v>
      </c>
      <c r="AE37" s="207">
        <f t="shared" si="10"/>
        <v>2</v>
      </c>
      <c r="AF37" s="207">
        <f>'Crisis Indicator Data'!AC34</f>
        <v>0</v>
      </c>
      <c r="AG37" s="207">
        <f>'Crisis Indicator Data'!AD34</f>
        <v>2</v>
      </c>
      <c r="AH37" s="207">
        <f t="shared" si="11"/>
        <v>2</v>
      </c>
      <c r="AI37" s="207">
        <f>'Crisis Indicator Data'!AE34</f>
        <v>1</v>
      </c>
      <c r="AJ37" s="207">
        <f>'Crisis Indicator Data'!AF34</f>
        <v>3</v>
      </c>
      <c r="AK37" s="207">
        <f>'Crisis Indicator Data'!AG34</f>
        <v>1</v>
      </c>
      <c r="AL37" s="207">
        <f t="shared" si="12"/>
        <v>4</v>
      </c>
      <c r="AM37" s="183">
        <f t="shared" si="8"/>
        <v>3</v>
      </c>
      <c r="AN37" s="183">
        <f t="shared" si="9"/>
        <v>3</v>
      </c>
    </row>
    <row r="38" spans="1:40" ht="13.5" customHeight="1" x14ac:dyDescent="0.3">
      <c r="A38" s="191" t="str">
        <f>'Crisis Indicator Data'!A35</f>
        <v>Floods in Congo</v>
      </c>
      <c r="B38" s="192" t="str">
        <f>'Crisis Indicator Data'!B35</f>
        <v>Flood</v>
      </c>
      <c r="C38" s="192" t="str">
        <f>'Crisis Indicator Data'!C35</f>
        <v>COG004</v>
      </c>
      <c r="D38" s="192" t="str">
        <f>'Crisis Indicator Data'!D35</f>
        <v>Congo</v>
      </c>
      <c r="E38" s="193" t="str">
        <f>'Crisis Indicator Data'!E35</f>
        <v>COG</v>
      </c>
      <c r="F38" s="183">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1.4</v>
      </c>
      <c r="G38" s="183">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3.4</v>
      </c>
      <c r="H38" s="183">
        <f t="shared" ref="H38:H69" si="13">IF(AND(F38="x",G38="x"),"x",AVERAGE(F38,G38))</f>
        <v>2.4</v>
      </c>
      <c r="I38" s="183">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4.4000000000000004</v>
      </c>
      <c r="J38" s="183">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5</v>
      </c>
      <c r="K38" s="183">
        <f t="shared" ref="K38:K69" si="14">IF(AND(I38="x",J38="x"),"x",AVERAGE(I38,J38))</f>
        <v>4.7</v>
      </c>
      <c r="L38" s="183">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3.9</v>
      </c>
      <c r="M38" s="183">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3</v>
      </c>
      <c r="N38" s="183">
        <f t="shared" ref="N38:N69" si="15">IF(AND(L38="x",M38="x"),"x",AVERAGE(L38,M38))</f>
        <v>3.45</v>
      </c>
      <c r="O38" s="183">
        <f t="shared" ref="O38:O69" si="16">AVERAGE(H38,K38,N38)</f>
        <v>3.5166666666666671</v>
      </c>
      <c r="P38" s="183">
        <f>IF(B38="Regional crisis",VLOOKUP(C38,'Regional Crises'!$B$1:$R$69,12,FALSE),VLOOKUP(E38,'Country Indicator Data'!$B$4:$I$194,8,FALSE))</f>
        <v>1</v>
      </c>
      <c r="Q38" s="183" t="str">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x</v>
      </c>
      <c r="R38" s="183">
        <f t="shared" ref="R38:R69" si="17">AVERAGE(P38:Q38)</f>
        <v>1</v>
      </c>
      <c r="S38" s="183">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4.0999999999999996</v>
      </c>
      <c r="T38" s="183">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3.6</v>
      </c>
      <c r="U38" s="183">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3.8</v>
      </c>
      <c r="V38" s="183">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4</v>
      </c>
      <c r="W38" s="183">
        <f t="shared" ref="W38:W69" si="18">IF(AND(S38="x",V38="x"),"x",ROUND(AVERAGE(S38,V38,T38,U38),1))</f>
        <v>3.9</v>
      </c>
      <c r="X38" s="183">
        <f t="shared" ref="X38:X69" si="19">ROUND(AVERAGE(O38,W38,R38),1)</f>
        <v>2.8</v>
      </c>
      <c r="Y38" s="207">
        <f>IF('Core Indicators'!FC35="x","x",IF('Core Indicators'!FC35&gt;=5,5,IF('Core Indicators'!FC35&gt;=4,4,IF('Core Indicators'!FC35&gt;=3,3,IF('Core Indicators'!FC35&gt;=2,2,IF('Core Indicators'!FC35&gt;=1,1,0))))))</f>
        <v>4</v>
      </c>
      <c r="Z38" s="183">
        <f t="shared" ref="Z38:Z69" si="20">Y38</f>
        <v>4</v>
      </c>
      <c r="AA38" s="207">
        <f>'Crisis Indicator Data'!Y35</f>
        <v>0</v>
      </c>
      <c r="AB38" s="207">
        <f>'Crisis Indicator Data'!Z35</f>
        <v>0</v>
      </c>
      <c r="AC38" s="207">
        <f>'Crisis Indicator Data'!AA35</f>
        <v>0</v>
      </c>
      <c r="AD38" s="207">
        <f>'Crisis Indicator Data'!AB35</f>
        <v>0</v>
      </c>
      <c r="AE38" s="207">
        <f t="shared" si="10"/>
        <v>0</v>
      </c>
      <c r="AF38" s="207">
        <f>'Crisis Indicator Data'!AC35</f>
        <v>0</v>
      </c>
      <c r="AG38" s="207">
        <f>'Crisis Indicator Data'!AD35</f>
        <v>0</v>
      </c>
      <c r="AH38" s="207">
        <f t="shared" si="11"/>
        <v>0</v>
      </c>
      <c r="AI38" s="207">
        <f>'Crisis Indicator Data'!AE35</f>
        <v>0</v>
      </c>
      <c r="AJ38" s="207">
        <f>'Crisis Indicator Data'!AF35</f>
        <v>0</v>
      </c>
      <c r="AK38" s="207">
        <f>'Crisis Indicator Data'!AG35</f>
        <v>1</v>
      </c>
      <c r="AL38" s="207">
        <f t="shared" si="12"/>
        <v>1</v>
      </c>
      <c r="AM38" s="183">
        <f t="shared" ref="AM38:AM69" si="21">IF(AA38=3,5,ROUND(AVERAGE(AE38,AH38,AL38),0))</f>
        <v>0</v>
      </c>
      <c r="AN38" s="183">
        <f t="shared" ref="AN38:AN69" si="22">IF(AND(Z38="x",AM38="x"),"x",ROUND(AVERAGE(Z38,AM38),1))</f>
        <v>2</v>
      </c>
    </row>
    <row r="39" spans="1:40" ht="13.5" customHeight="1" x14ac:dyDescent="0.3">
      <c r="A39" s="191" t="str">
        <f>'Crisis Indicator Data'!A36</f>
        <v>Nicaraguan refugees in Costa Rica</v>
      </c>
      <c r="B39" s="192" t="str">
        <f>'Crisis Indicator Data'!B36</f>
        <v>International displacement</v>
      </c>
      <c r="C39" s="192" t="str">
        <f>'Crisis Indicator Data'!C36</f>
        <v>CRI002</v>
      </c>
      <c r="D39" s="192" t="str">
        <f>'Crisis Indicator Data'!D36</f>
        <v>Costa Rica</v>
      </c>
      <c r="E39" s="193" t="str">
        <f>'Crisis Indicator Data'!E36</f>
        <v>CRI</v>
      </c>
      <c r="F39" s="183">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1.1000000000000001</v>
      </c>
      <c r="G39" s="183">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0.5</v>
      </c>
      <c r="H39" s="183">
        <f t="shared" si="13"/>
        <v>0.8</v>
      </c>
      <c r="I39" s="183">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1.5</v>
      </c>
      <c r="J39" s="183">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0.2</v>
      </c>
      <c r="K39" s="183">
        <f t="shared" si="14"/>
        <v>0.85</v>
      </c>
      <c r="L39" s="183">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1.9</v>
      </c>
      <c r="M39" s="183">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2.9</v>
      </c>
      <c r="N39" s="183">
        <f t="shared" si="15"/>
        <v>2.4</v>
      </c>
      <c r="O39" s="183">
        <f t="shared" si="16"/>
        <v>1.3499999999999999</v>
      </c>
      <c r="P39" s="183">
        <f>IF(B39="Regional crisis",VLOOKUP(C39,'Regional Crises'!$B$1:$R$69,12,FALSE),VLOOKUP(E39,'Country Indicator Data'!$B$4:$I$194,8,FALSE))</f>
        <v>0</v>
      </c>
      <c r="Q39" s="183">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0</v>
      </c>
      <c r="R39" s="183">
        <f t="shared" si="17"/>
        <v>0</v>
      </c>
      <c r="S39" s="183">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2.2000000000000002</v>
      </c>
      <c r="T39" s="183">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v>
      </c>
      <c r="U39" s="183">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0.3</v>
      </c>
      <c r="V39" s="183">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0.5</v>
      </c>
      <c r="W39" s="183">
        <f t="shared" si="18"/>
        <v>1.3</v>
      </c>
      <c r="X39" s="183">
        <f t="shared" si="19"/>
        <v>0.9</v>
      </c>
      <c r="Y39" s="207">
        <f>IF('Core Indicators'!FC36="x","x",IF('Core Indicators'!FC36&gt;=5,5,IF('Core Indicators'!FC36&gt;=4,4,IF('Core Indicators'!FC36&gt;=3,3,IF('Core Indicators'!FC36&gt;=2,2,IF('Core Indicators'!FC36&gt;=1,1,0))))))</f>
        <v>2</v>
      </c>
      <c r="Z39" s="183">
        <f t="shared" si="20"/>
        <v>2</v>
      </c>
      <c r="AA39" s="207">
        <f>'Crisis Indicator Data'!Y36</f>
        <v>0</v>
      </c>
      <c r="AB39" s="207">
        <f>'Crisis Indicator Data'!Z36</f>
        <v>0</v>
      </c>
      <c r="AC39" s="207">
        <f>'Crisis Indicator Data'!AA36</f>
        <v>0</v>
      </c>
      <c r="AD39" s="207">
        <f>'Crisis Indicator Data'!AB36</f>
        <v>0</v>
      </c>
      <c r="AE39" s="207">
        <f t="shared" si="10"/>
        <v>0</v>
      </c>
      <c r="AF39" s="207">
        <f>'Crisis Indicator Data'!AC36</f>
        <v>0</v>
      </c>
      <c r="AG39" s="207">
        <f>'Crisis Indicator Data'!AD36</f>
        <v>0</v>
      </c>
      <c r="AH39" s="207">
        <f t="shared" si="11"/>
        <v>0</v>
      </c>
      <c r="AI39" s="207">
        <f>'Crisis Indicator Data'!AE36</f>
        <v>0</v>
      </c>
      <c r="AJ39" s="207">
        <f>'Crisis Indicator Data'!AF36</f>
        <v>0</v>
      </c>
      <c r="AK39" s="207">
        <f>'Crisis Indicator Data'!AG36</f>
        <v>0</v>
      </c>
      <c r="AL39" s="207">
        <f t="shared" si="12"/>
        <v>0</v>
      </c>
      <c r="AM39" s="183">
        <f t="shared" si="21"/>
        <v>0</v>
      </c>
      <c r="AN39" s="183">
        <f t="shared" si="22"/>
        <v>1</v>
      </c>
    </row>
    <row r="40" spans="1:40" ht="13.5" customHeight="1" x14ac:dyDescent="0.3">
      <c r="A40" s="191" t="str">
        <f>'Crisis Indicator Data'!A37</f>
        <v>Multiple crises in Djibouti</v>
      </c>
      <c r="B40" s="192" t="str">
        <f>'Crisis Indicator Data'!B37</f>
        <v>Multiple crises country</v>
      </c>
      <c r="C40" s="192" t="str">
        <f>'Crisis Indicator Data'!C37</f>
        <v>DJI001</v>
      </c>
      <c r="D40" s="192" t="str">
        <f>'Crisis Indicator Data'!D37</f>
        <v>Djibouti</v>
      </c>
      <c r="E40" s="193" t="str">
        <f>'Crisis Indicator Data'!E37</f>
        <v>DJI</v>
      </c>
      <c r="F40" s="183">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2.9</v>
      </c>
      <c r="G40" s="183">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3.1</v>
      </c>
      <c r="H40" s="183">
        <f t="shared" si="13"/>
        <v>3</v>
      </c>
      <c r="I40" s="183">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2.8</v>
      </c>
      <c r="J40" s="183">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v>
      </c>
      <c r="K40" s="183">
        <f t="shared" si="14"/>
        <v>1.4</v>
      </c>
      <c r="L40" s="183" t="str">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x</v>
      </c>
      <c r="M40" s="183">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2.1</v>
      </c>
      <c r="N40" s="183">
        <f t="shared" si="15"/>
        <v>2.1</v>
      </c>
      <c r="O40" s="183">
        <f t="shared" si="16"/>
        <v>2.1666666666666665</v>
      </c>
      <c r="P40" s="183">
        <f>IF(B40="Regional crisis",VLOOKUP(C40,'Regional Crises'!$B$1:$R$69,12,FALSE),VLOOKUP(E40,'Country Indicator Data'!$B$4:$I$194,8,FALSE))</f>
        <v>3</v>
      </c>
      <c r="Q40" s="183">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1.4</v>
      </c>
      <c r="R40" s="183">
        <f t="shared" si="17"/>
        <v>2.2000000000000002</v>
      </c>
      <c r="S40" s="183">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3.5</v>
      </c>
      <c r="T40" s="183">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3.4</v>
      </c>
      <c r="U40" s="183">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3.5</v>
      </c>
      <c r="V40" s="183">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3.8</v>
      </c>
      <c r="W40" s="183">
        <f t="shared" si="18"/>
        <v>3.6</v>
      </c>
      <c r="X40" s="183">
        <f t="shared" si="19"/>
        <v>2.7</v>
      </c>
      <c r="Y40" s="207">
        <f>IF('Core Indicators'!FC37="x","x",IF('Core Indicators'!FC37&gt;=5,5,IF('Core Indicators'!FC37&gt;=4,4,IF('Core Indicators'!FC37&gt;=3,3,IF('Core Indicators'!FC37&gt;=2,2,IF('Core Indicators'!FC37&gt;=1,1,0))))))</f>
        <v>5</v>
      </c>
      <c r="Z40" s="183">
        <f t="shared" si="20"/>
        <v>5</v>
      </c>
      <c r="AA40" s="207">
        <f>'Crisis Indicator Data'!Y37</f>
        <v>1</v>
      </c>
      <c r="AB40" s="207">
        <f>'Crisis Indicator Data'!Z37</f>
        <v>0</v>
      </c>
      <c r="AC40" s="207">
        <f>'Crisis Indicator Data'!AA37</f>
        <v>0</v>
      </c>
      <c r="AD40" s="207">
        <f>'Crisis Indicator Data'!AB37</f>
        <v>0</v>
      </c>
      <c r="AE40" s="207">
        <f t="shared" si="10"/>
        <v>1</v>
      </c>
      <c r="AF40" s="207">
        <f>'Crisis Indicator Data'!AC37</f>
        <v>0</v>
      </c>
      <c r="AG40" s="207">
        <f>'Crisis Indicator Data'!AD37</f>
        <v>0</v>
      </c>
      <c r="AH40" s="207">
        <f t="shared" si="11"/>
        <v>0</v>
      </c>
      <c r="AI40" s="207">
        <f>'Crisis Indicator Data'!AE37</f>
        <v>0</v>
      </c>
      <c r="AJ40" s="207">
        <f>'Crisis Indicator Data'!AF37</f>
        <v>0</v>
      </c>
      <c r="AK40" s="207">
        <f>'Crisis Indicator Data'!AG37</f>
        <v>3</v>
      </c>
      <c r="AL40" s="207">
        <f t="shared" si="12"/>
        <v>3</v>
      </c>
      <c r="AM40" s="183">
        <f t="shared" si="21"/>
        <v>1</v>
      </c>
      <c r="AN40" s="183">
        <f t="shared" si="22"/>
        <v>3</v>
      </c>
    </row>
    <row r="41" spans="1:40" ht="13.5" customHeight="1" x14ac:dyDescent="0.3">
      <c r="A41" s="191" t="str">
        <f>'Crisis Indicator Data'!A38</f>
        <v>Mixed migration in Djibouti</v>
      </c>
      <c r="B41" s="192" t="str">
        <f>'Crisis Indicator Data'!B38</f>
        <v>International displacement</v>
      </c>
      <c r="C41" s="192" t="str">
        <f>'Crisis Indicator Data'!C38</f>
        <v>DJI002</v>
      </c>
      <c r="D41" s="192" t="str">
        <f>'Crisis Indicator Data'!D38</f>
        <v>Djibouti</v>
      </c>
      <c r="E41" s="193" t="str">
        <f>'Crisis Indicator Data'!E38</f>
        <v>DJI</v>
      </c>
      <c r="F41" s="183">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2.9</v>
      </c>
      <c r="G41" s="183">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3.1</v>
      </c>
      <c r="H41" s="183">
        <f t="shared" si="13"/>
        <v>3</v>
      </c>
      <c r="I41" s="183">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2.8</v>
      </c>
      <c r="J41" s="183">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v>
      </c>
      <c r="K41" s="183">
        <f t="shared" si="14"/>
        <v>1.4</v>
      </c>
      <c r="L41" s="183" t="str">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x</v>
      </c>
      <c r="M41" s="183">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2.1</v>
      </c>
      <c r="N41" s="183">
        <f t="shared" si="15"/>
        <v>2.1</v>
      </c>
      <c r="O41" s="183">
        <f t="shared" si="16"/>
        <v>2.1666666666666665</v>
      </c>
      <c r="P41" s="183">
        <f>IF(B41="Regional crisis",VLOOKUP(C41,'Regional Crises'!$B$1:$R$69,12,FALSE),VLOOKUP(E41,'Country Indicator Data'!$B$4:$I$194,8,FALSE))</f>
        <v>3</v>
      </c>
      <c r="Q41" s="183">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1.4</v>
      </c>
      <c r="R41" s="183">
        <f t="shared" si="17"/>
        <v>2.2000000000000002</v>
      </c>
      <c r="S41" s="183">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3.5</v>
      </c>
      <c r="T41" s="183">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3.4</v>
      </c>
      <c r="U41" s="183">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3.5</v>
      </c>
      <c r="V41" s="183">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3.8</v>
      </c>
      <c r="W41" s="183">
        <f t="shared" si="18"/>
        <v>3.6</v>
      </c>
      <c r="X41" s="183">
        <f t="shared" si="19"/>
        <v>2.7</v>
      </c>
      <c r="Y41" s="207">
        <f>IF('Core Indicators'!FC38="x","x",IF('Core Indicators'!FC38&gt;=5,5,IF('Core Indicators'!FC38&gt;=4,4,IF('Core Indicators'!FC38&gt;=3,3,IF('Core Indicators'!FC38&gt;=2,2,IF('Core Indicators'!FC38&gt;=1,1,0))))))</f>
        <v>2</v>
      </c>
      <c r="Z41" s="183">
        <f t="shared" si="20"/>
        <v>2</v>
      </c>
      <c r="AA41" s="207">
        <f>'Crisis Indicator Data'!Y38</f>
        <v>1</v>
      </c>
      <c r="AB41" s="207">
        <f>'Crisis Indicator Data'!Z38</f>
        <v>0</v>
      </c>
      <c r="AC41" s="207">
        <f>'Crisis Indicator Data'!AA38</f>
        <v>0</v>
      </c>
      <c r="AD41" s="207">
        <f>'Crisis Indicator Data'!AB38</f>
        <v>0</v>
      </c>
      <c r="AE41" s="207">
        <f t="shared" si="10"/>
        <v>1</v>
      </c>
      <c r="AF41" s="207">
        <f>'Crisis Indicator Data'!AC38</f>
        <v>0</v>
      </c>
      <c r="AG41" s="207">
        <f>'Crisis Indicator Data'!AD38</f>
        <v>0</v>
      </c>
      <c r="AH41" s="207">
        <f t="shared" si="11"/>
        <v>0</v>
      </c>
      <c r="AI41" s="207">
        <f>'Crisis Indicator Data'!AE38</f>
        <v>0</v>
      </c>
      <c r="AJ41" s="207">
        <f>'Crisis Indicator Data'!AF38</f>
        <v>0</v>
      </c>
      <c r="AK41" s="207">
        <f>'Crisis Indicator Data'!AG38</f>
        <v>1</v>
      </c>
      <c r="AL41" s="207">
        <f t="shared" si="12"/>
        <v>1</v>
      </c>
      <c r="AM41" s="183">
        <f t="shared" si="21"/>
        <v>1</v>
      </c>
      <c r="AN41" s="183">
        <f t="shared" si="22"/>
        <v>1.5</v>
      </c>
    </row>
    <row r="42" spans="1:40" ht="13.5" customHeight="1" x14ac:dyDescent="0.3">
      <c r="A42" s="191" t="str">
        <f>'Crisis Indicator Data'!A39</f>
        <v>Drought in Djibouti</v>
      </c>
      <c r="B42" s="192" t="str">
        <f>'Crisis Indicator Data'!B39</f>
        <v>Drought</v>
      </c>
      <c r="C42" s="192" t="str">
        <f>'Crisis Indicator Data'!C39</f>
        <v>DJI003</v>
      </c>
      <c r="D42" s="192" t="str">
        <f>'Crisis Indicator Data'!D39</f>
        <v>Djibouti</v>
      </c>
      <c r="E42" s="193" t="str">
        <f>'Crisis Indicator Data'!E39</f>
        <v>DJI</v>
      </c>
      <c r="F42" s="183">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2.9</v>
      </c>
      <c r="G42" s="183">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3.1</v>
      </c>
      <c r="H42" s="183">
        <f t="shared" si="13"/>
        <v>3</v>
      </c>
      <c r="I42" s="183">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2.8</v>
      </c>
      <c r="J42" s="183">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183">
        <f t="shared" si="14"/>
        <v>1.4</v>
      </c>
      <c r="L42" s="183" t="str">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x</v>
      </c>
      <c r="M42" s="183">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2.1</v>
      </c>
      <c r="N42" s="183">
        <f t="shared" si="15"/>
        <v>2.1</v>
      </c>
      <c r="O42" s="183">
        <f t="shared" si="16"/>
        <v>2.1666666666666665</v>
      </c>
      <c r="P42" s="183">
        <f>IF(B42="Regional crisis",VLOOKUP(C42,'Regional Crises'!$B$1:$R$69,12,FALSE),VLOOKUP(E42,'Country Indicator Data'!$B$4:$I$194,8,FALSE))</f>
        <v>3</v>
      </c>
      <c r="Q42" s="183">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1.4</v>
      </c>
      <c r="R42" s="183">
        <f t="shared" si="17"/>
        <v>2.2000000000000002</v>
      </c>
      <c r="S42" s="183">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3.5</v>
      </c>
      <c r="T42" s="183">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3.4</v>
      </c>
      <c r="U42" s="183">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3.5</v>
      </c>
      <c r="V42" s="183">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3.8</v>
      </c>
      <c r="W42" s="183">
        <f t="shared" si="18"/>
        <v>3.6</v>
      </c>
      <c r="X42" s="183">
        <f t="shared" si="19"/>
        <v>2.7</v>
      </c>
      <c r="Y42" s="207">
        <f>IF('Core Indicators'!FC39="x","x",IF('Core Indicators'!FC39&gt;=5,5,IF('Core Indicators'!FC39&gt;=4,4,IF('Core Indicators'!FC39&gt;=3,3,IF('Core Indicators'!FC39&gt;=2,2,IF('Core Indicators'!FC39&gt;=1,1,0))))))</f>
        <v>5</v>
      </c>
      <c r="Z42" s="183">
        <f t="shared" si="20"/>
        <v>5</v>
      </c>
      <c r="AA42" s="207">
        <f>'Crisis Indicator Data'!Y39</f>
        <v>1</v>
      </c>
      <c r="AB42" s="207">
        <f>'Crisis Indicator Data'!Z39</f>
        <v>0</v>
      </c>
      <c r="AC42" s="207">
        <f>'Crisis Indicator Data'!AA39</f>
        <v>0</v>
      </c>
      <c r="AD42" s="207">
        <f>'Crisis Indicator Data'!AB39</f>
        <v>0</v>
      </c>
      <c r="AE42" s="207">
        <f t="shared" si="10"/>
        <v>1</v>
      </c>
      <c r="AF42" s="207">
        <f>'Crisis Indicator Data'!AC39</f>
        <v>0</v>
      </c>
      <c r="AG42" s="207">
        <f>'Crisis Indicator Data'!AD39</f>
        <v>0</v>
      </c>
      <c r="AH42" s="207">
        <f t="shared" si="11"/>
        <v>0</v>
      </c>
      <c r="AI42" s="207">
        <f>'Crisis Indicator Data'!AE39</f>
        <v>0</v>
      </c>
      <c r="AJ42" s="207">
        <f>'Crisis Indicator Data'!AF39</f>
        <v>0</v>
      </c>
      <c r="AK42" s="207">
        <f>'Crisis Indicator Data'!AG39</f>
        <v>1</v>
      </c>
      <c r="AL42" s="207">
        <f t="shared" si="12"/>
        <v>1</v>
      </c>
      <c r="AM42" s="183">
        <f t="shared" si="21"/>
        <v>1</v>
      </c>
      <c r="AN42" s="183">
        <f t="shared" si="22"/>
        <v>3</v>
      </c>
    </row>
    <row r="43" spans="1:40" ht="13.5" customHeight="1" x14ac:dyDescent="0.3">
      <c r="A43" s="191" t="str">
        <f>'Crisis Indicator Data'!A40</f>
        <v>Complex crisis in DPRK</v>
      </c>
      <c r="B43" s="192" t="str">
        <f>'Crisis Indicator Data'!B40</f>
        <v>Complex crisis</v>
      </c>
      <c r="C43" s="192" t="str">
        <f>'Crisis Indicator Data'!C40</f>
        <v>PRK001</v>
      </c>
      <c r="D43" s="192" t="str">
        <f>'Crisis Indicator Data'!D40</f>
        <v>DPRK</v>
      </c>
      <c r="E43" s="193" t="str">
        <f>'Crisis Indicator Data'!E40</f>
        <v>PRK</v>
      </c>
      <c r="F43" s="183">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5</v>
      </c>
      <c r="G43" s="183">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3.7</v>
      </c>
      <c r="H43" s="183">
        <f t="shared" si="13"/>
        <v>4.3499999999999996</v>
      </c>
      <c r="I43" s="183">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v>
      </c>
      <c r="J43" s="183">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v>
      </c>
      <c r="K43" s="183">
        <f t="shared" si="14"/>
        <v>0</v>
      </c>
      <c r="L43" s="183" t="str">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x</v>
      </c>
      <c r="M43" s="183" t="str">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x</v>
      </c>
      <c r="N43" s="183" t="str">
        <f t="shared" si="15"/>
        <v>x</v>
      </c>
      <c r="O43" s="183">
        <f t="shared" si="16"/>
        <v>2.1749999999999998</v>
      </c>
      <c r="P43" s="183">
        <f>IF(B43="Regional crisis",VLOOKUP(C43,'Regional Crises'!$B$1:$R$69,12,FALSE),VLOOKUP(E43,'Country Indicator Data'!$B$4:$I$194,8,FALSE))</f>
        <v>3</v>
      </c>
      <c r="Q43" s="183" t="str">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x</v>
      </c>
      <c r="R43" s="183">
        <f t="shared" si="17"/>
        <v>3</v>
      </c>
      <c r="S43" s="183">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4.2</v>
      </c>
      <c r="T43" s="183">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4.2</v>
      </c>
      <c r="U43" s="183">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4.4000000000000004</v>
      </c>
      <c r="V43" s="183">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4.9000000000000004</v>
      </c>
      <c r="W43" s="183">
        <f t="shared" si="18"/>
        <v>4.4000000000000004</v>
      </c>
      <c r="X43" s="183">
        <f t="shared" si="19"/>
        <v>3.2</v>
      </c>
      <c r="Y43" s="207">
        <f>IF('Core Indicators'!FC40="x","x",IF('Core Indicators'!FC40&gt;=5,5,IF('Core Indicators'!FC40&gt;=4,4,IF('Core Indicators'!FC40&gt;=3,3,IF('Core Indicators'!FC40&gt;=2,2,IF('Core Indicators'!FC40&gt;=1,1,0))))))</f>
        <v>1</v>
      </c>
      <c r="Z43" s="183">
        <f t="shared" si="20"/>
        <v>1</v>
      </c>
      <c r="AA43" s="207">
        <f>'Crisis Indicator Data'!Y40</f>
        <v>2</v>
      </c>
      <c r="AB43" s="207">
        <f>'Crisis Indicator Data'!Z40</f>
        <v>2</v>
      </c>
      <c r="AC43" s="207">
        <f>'Crisis Indicator Data'!AA40</f>
        <v>2</v>
      </c>
      <c r="AD43" s="207">
        <f>'Crisis Indicator Data'!AB40</f>
        <v>0</v>
      </c>
      <c r="AE43" s="207">
        <f t="shared" si="10"/>
        <v>3</v>
      </c>
      <c r="AF43" s="207">
        <f>'Crisis Indicator Data'!AC40</f>
        <v>3</v>
      </c>
      <c r="AG43" s="207">
        <f>'Crisis Indicator Data'!AD40</f>
        <v>2</v>
      </c>
      <c r="AH43" s="207">
        <f t="shared" si="11"/>
        <v>5</v>
      </c>
      <c r="AI43" s="207">
        <f>'Crisis Indicator Data'!AE40</f>
        <v>0</v>
      </c>
      <c r="AJ43" s="207">
        <f>'Crisis Indicator Data'!AF40</f>
        <v>1</v>
      </c>
      <c r="AK43" s="207">
        <f>'Crisis Indicator Data'!AG40</f>
        <v>2</v>
      </c>
      <c r="AL43" s="207">
        <f t="shared" si="12"/>
        <v>3</v>
      </c>
      <c r="AM43" s="183">
        <f t="shared" si="21"/>
        <v>4</v>
      </c>
      <c r="AN43" s="183">
        <f t="shared" si="22"/>
        <v>2.5</v>
      </c>
    </row>
    <row r="44" spans="1:40" ht="13.5" customHeight="1" x14ac:dyDescent="0.3">
      <c r="A44" s="191" t="str">
        <f>'Crisis Indicator Data'!A41</f>
        <v>Complex crisis in DRC</v>
      </c>
      <c r="B44" s="192" t="str">
        <f>'Crisis Indicator Data'!B41</f>
        <v>Complex crisis</v>
      </c>
      <c r="C44" s="192" t="str">
        <f>'Crisis Indicator Data'!C41</f>
        <v>COD001</v>
      </c>
      <c r="D44" s="192" t="str">
        <f>'Crisis Indicator Data'!D41</f>
        <v>DRC</v>
      </c>
      <c r="E44" s="193" t="str">
        <f>'Crisis Indicator Data'!E41</f>
        <v>COD</v>
      </c>
      <c r="F44" s="183">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3.9</v>
      </c>
      <c r="G44" s="183">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3.2</v>
      </c>
      <c r="H44" s="183">
        <f t="shared" si="13"/>
        <v>3.55</v>
      </c>
      <c r="I44" s="183">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4.7</v>
      </c>
      <c r="J44" s="183">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5</v>
      </c>
      <c r="K44" s="183">
        <f t="shared" si="14"/>
        <v>4.8499999999999996</v>
      </c>
      <c r="L44" s="183">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4.4000000000000004</v>
      </c>
      <c r="M44" s="183">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2.1</v>
      </c>
      <c r="N44" s="183">
        <f t="shared" si="15"/>
        <v>3.25</v>
      </c>
      <c r="O44" s="183">
        <f t="shared" si="16"/>
        <v>3.8833333333333329</v>
      </c>
      <c r="P44" s="183">
        <f>IF(B44="Regional crisis",VLOOKUP(C44,'Regional Crises'!$B$1:$R$69,12,FALSE),VLOOKUP(E44,'Country Indicator Data'!$B$4:$I$194,8,FALSE))</f>
        <v>5</v>
      </c>
      <c r="Q44" s="183">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5</v>
      </c>
      <c r="R44" s="183">
        <f t="shared" si="17"/>
        <v>5</v>
      </c>
      <c r="S44" s="183">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83">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4.3</v>
      </c>
      <c r="U44" s="183">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3.6</v>
      </c>
      <c r="V44" s="183">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4.0999999999999996</v>
      </c>
      <c r="W44" s="183">
        <f t="shared" si="18"/>
        <v>4</v>
      </c>
      <c r="X44" s="183">
        <f t="shared" si="19"/>
        <v>4.3</v>
      </c>
      <c r="Y44" s="207">
        <f>IF('Core Indicators'!FC41="x","x",IF('Core Indicators'!FC41&gt;=5,5,IF('Core Indicators'!FC41&gt;=4,4,IF('Core Indicators'!FC41&gt;=3,3,IF('Core Indicators'!FC41&gt;=2,2,IF('Core Indicators'!FC41&gt;=1,1,0))))))</f>
        <v>5</v>
      </c>
      <c r="Z44" s="183">
        <f t="shared" si="20"/>
        <v>5</v>
      </c>
      <c r="AA44" s="207">
        <f>'Crisis Indicator Data'!Y41</f>
        <v>1</v>
      </c>
      <c r="AB44" s="207">
        <f>'Crisis Indicator Data'!Z41</f>
        <v>3</v>
      </c>
      <c r="AC44" s="207">
        <f>'Crisis Indicator Data'!AA41</f>
        <v>2</v>
      </c>
      <c r="AD44" s="207">
        <f>'Crisis Indicator Data'!AB41</f>
        <v>3</v>
      </c>
      <c r="AE44" s="207">
        <f t="shared" si="10"/>
        <v>4</v>
      </c>
      <c r="AF44" s="207">
        <f>'Crisis Indicator Data'!AC41</f>
        <v>1</v>
      </c>
      <c r="AG44" s="207">
        <f>'Crisis Indicator Data'!AD41</f>
        <v>2</v>
      </c>
      <c r="AH44" s="207">
        <f t="shared" si="11"/>
        <v>3</v>
      </c>
      <c r="AI44" s="207">
        <f>'Crisis Indicator Data'!AE41</f>
        <v>3</v>
      </c>
      <c r="AJ44" s="207">
        <f>'Crisis Indicator Data'!AF41</f>
        <v>1</v>
      </c>
      <c r="AK44" s="207">
        <f>'Crisis Indicator Data'!AG41</f>
        <v>3</v>
      </c>
      <c r="AL44" s="207">
        <f t="shared" si="12"/>
        <v>5</v>
      </c>
      <c r="AM44" s="183">
        <f t="shared" si="21"/>
        <v>4</v>
      </c>
      <c r="AN44" s="183">
        <f t="shared" si="22"/>
        <v>4.5</v>
      </c>
    </row>
    <row r="45" spans="1:40" ht="13.5" customHeight="1" x14ac:dyDescent="0.3">
      <c r="A45" s="191" t="str">
        <f>'Crisis Indicator Data'!A42</f>
        <v>Floods in south-eastern DRC</v>
      </c>
      <c r="B45" s="192" t="str">
        <f>'Crisis Indicator Data'!B42</f>
        <v>Flood</v>
      </c>
      <c r="C45" s="192" t="str">
        <f>'Crisis Indicator Data'!C42</f>
        <v>COD003</v>
      </c>
      <c r="D45" s="192" t="str">
        <f>'Crisis Indicator Data'!D42</f>
        <v>DRC</v>
      </c>
      <c r="E45" s="193" t="str">
        <f>'Crisis Indicator Data'!E42</f>
        <v>COD</v>
      </c>
      <c r="F45" s="183">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3.9</v>
      </c>
      <c r="G45" s="183">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3.2</v>
      </c>
      <c r="H45" s="183">
        <f t="shared" si="13"/>
        <v>3.55</v>
      </c>
      <c r="I45" s="183">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4.7</v>
      </c>
      <c r="J45" s="183">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5</v>
      </c>
      <c r="K45" s="183">
        <f t="shared" si="14"/>
        <v>4.8499999999999996</v>
      </c>
      <c r="L45" s="183">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4.4000000000000004</v>
      </c>
      <c r="M45" s="183">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2.1</v>
      </c>
      <c r="N45" s="183">
        <f t="shared" si="15"/>
        <v>3.25</v>
      </c>
      <c r="O45" s="183">
        <f t="shared" si="16"/>
        <v>3.8833333333333329</v>
      </c>
      <c r="P45" s="183">
        <f>IF(B45="Regional crisis",VLOOKUP(C45,'Regional Crises'!$B$1:$R$69,12,FALSE),VLOOKUP(E45,'Country Indicator Data'!$B$4:$I$194,8,FALSE))</f>
        <v>5</v>
      </c>
      <c r="Q45" s="183">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5</v>
      </c>
      <c r="R45" s="183">
        <f t="shared" si="17"/>
        <v>5</v>
      </c>
      <c r="S45" s="183">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4.0999999999999996</v>
      </c>
      <c r="T45" s="183">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4.3</v>
      </c>
      <c r="U45" s="183">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3.6</v>
      </c>
      <c r="V45" s="183">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4.0999999999999996</v>
      </c>
      <c r="W45" s="183">
        <f t="shared" si="18"/>
        <v>4</v>
      </c>
      <c r="X45" s="183">
        <f t="shared" si="19"/>
        <v>4.3</v>
      </c>
      <c r="Y45" s="207">
        <f>IF('Core Indicators'!FC42="x","x",IF('Core Indicators'!FC42&gt;=5,5,IF('Core Indicators'!FC42&gt;=4,4,IF('Core Indicators'!FC42&gt;=3,3,IF('Core Indicators'!FC42&gt;=2,2,IF('Core Indicators'!FC42&gt;=1,1,0))))))</f>
        <v>5</v>
      </c>
      <c r="Z45" s="183">
        <f t="shared" si="20"/>
        <v>5</v>
      </c>
      <c r="AA45" s="207">
        <f>'Crisis Indicator Data'!Y42</f>
        <v>1</v>
      </c>
      <c r="AB45" s="207">
        <f>'Crisis Indicator Data'!Z42</f>
        <v>2</v>
      </c>
      <c r="AC45" s="207">
        <f>'Crisis Indicator Data'!AA42</f>
        <v>1</v>
      </c>
      <c r="AD45" s="207">
        <f>'Crisis Indicator Data'!AB42</f>
        <v>3</v>
      </c>
      <c r="AE45" s="207">
        <f t="shared" si="10"/>
        <v>3</v>
      </c>
      <c r="AF45" s="207">
        <f>'Crisis Indicator Data'!AC42</f>
        <v>0</v>
      </c>
      <c r="AG45" s="207">
        <f>'Crisis Indicator Data'!AD42</f>
        <v>2</v>
      </c>
      <c r="AH45" s="207">
        <f t="shared" si="11"/>
        <v>2</v>
      </c>
      <c r="AI45" s="207">
        <f>'Crisis Indicator Data'!AE42</f>
        <v>2</v>
      </c>
      <c r="AJ45" s="207">
        <f>'Crisis Indicator Data'!AF42</f>
        <v>1</v>
      </c>
      <c r="AK45" s="207">
        <f>'Crisis Indicator Data'!AG42</f>
        <v>3</v>
      </c>
      <c r="AL45" s="207">
        <f t="shared" si="12"/>
        <v>4</v>
      </c>
      <c r="AM45" s="183">
        <f t="shared" si="21"/>
        <v>3</v>
      </c>
      <c r="AN45" s="183">
        <f t="shared" si="22"/>
        <v>4</v>
      </c>
    </row>
    <row r="46" spans="1:40" ht="13.5" customHeight="1" x14ac:dyDescent="0.3">
      <c r="A46" s="191" t="str">
        <f>'Crisis Indicator Data'!A43</f>
        <v>Venezuela displacement in Ecuador</v>
      </c>
      <c r="B46" s="192" t="str">
        <f>'Crisis Indicator Data'!B43</f>
        <v>International displacement</v>
      </c>
      <c r="C46" s="192" t="str">
        <f>'Crisis Indicator Data'!C43</f>
        <v>ECU002</v>
      </c>
      <c r="D46" s="192" t="str">
        <f>'Crisis Indicator Data'!D43</f>
        <v>Ecuador</v>
      </c>
      <c r="E46" s="193" t="str">
        <f>'Crisis Indicator Data'!E43</f>
        <v>ECU</v>
      </c>
      <c r="F46" s="183">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1.8</v>
      </c>
      <c r="G46" s="183">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1.4</v>
      </c>
      <c r="H46" s="183">
        <f t="shared" si="13"/>
        <v>1.6</v>
      </c>
      <c r="I46" s="183">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1.6</v>
      </c>
      <c r="J46" s="183">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3.1</v>
      </c>
      <c r="K46" s="183">
        <f t="shared" si="14"/>
        <v>2.35</v>
      </c>
      <c r="L46" s="183">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2.6</v>
      </c>
      <c r="M46" s="183">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2.6</v>
      </c>
      <c r="N46" s="183">
        <f t="shared" si="15"/>
        <v>2.6</v>
      </c>
      <c r="O46" s="183">
        <f t="shared" si="16"/>
        <v>2.1833333333333336</v>
      </c>
      <c r="P46" s="183">
        <f>IF(B46="Regional crisis",VLOOKUP(C46,'Regional Crises'!$B$1:$R$69,12,FALSE),VLOOKUP(E46,'Country Indicator Data'!$B$4:$I$194,8,FALSE))</f>
        <v>3</v>
      </c>
      <c r="Q46" s="183">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0</v>
      </c>
      <c r="R46" s="183">
        <f t="shared" si="17"/>
        <v>1.5</v>
      </c>
      <c r="S46" s="183">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3.1</v>
      </c>
      <c r="T46" s="183">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3.1</v>
      </c>
      <c r="U46" s="183">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1.8</v>
      </c>
      <c r="V46" s="183">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1.8</v>
      </c>
      <c r="W46" s="183">
        <f t="shared" si="18"/>
        <v>2.5</v>
      </c>
      <c r="X46" s="183">
        <f t="shared" si="19"/>
        <v>2.1</v>
      </c>
      <c r="Y46" s="207">
        <f>IF('Core Indicators'!FC43="x","x",IF('Core Indicators'!FC43&gt;=5,5,IF('Core Indicators'!FC43&gt;=4,4,IF('Core Indicators'!FC43&gt;=3,3,IF('Core Indicators'!FC43&gt;=2,2,IF('Core Indicators'!FC43&gt;=1,1,0))))))</f>
        <v>2</v>
      </c>
      <c r="Z46" s="183">
        <f t="shared" si="20"/>
        <v>2</v>
      </c>
      <c r="AA46" s="207">
        <f>'Crisis Indicator Data'!Y43</f>
        <v>0</v>
      </c>
      <c r="AB46" s="207">
        <f>'Crisis Indicator Data'!Z43</f>
        <v>0</v>
      </c>
      <c r="AC46" s="207">
        <f>'Crisis Indicator Data'!AA43</f>
        <v>0</v>
      </c>
      <c r="AD46" s="207">
        <f>'Crisis Indicator Data'!AB43</f>
        <v>0</v>
      </c>
      <c r="AE46" s="207">
        <f t="shared" si="10"/>
        <v>0</v>
      </c>
      <c r="AF46" s="207">
        <f>'Crisis Indicator Data'!AC43</f>
        <v>0</v>
      </c>
      <c r="AG46" s="207">
        <f>'Crisis Indicator Data'!AD43</f>
        <v>1</v>
      </c>
      <c r="AH46" s="207">
        <f t="shared" si="11"/>
        <v>1</v>
      </c>
      <c r="AI46" s="207">
        <f>'Crisis Indicator Data'!AE43</f>
        <v>0</v>
      </c>
      <c r="AJ46" s="207">
        <f>'Crisis Indicator Data'!AF43</f>
        <v>0</v>
      </c>
      <c r="AK46" s="207">
        <f>'Crisis Indicator Data'!AG43</f>
        <v>1</v>
      </c>
      <c r="AL46" s="207">
        <f t="shared" si="12"/>
        <v>1</v>
      </c>
      <c r="AM46" s="183">
        <f t="shared" si="21"/>
        <v>1</v>
      </c>
      <c r="AN46" s="183">
        <f t="shared" si="22"/>
        <v>1.5</v>
      </c>
    </row>
    <row r="47" spans="1:40" ht="13.5" customHeight="1" x14ac:dyDescent="0.3">
      <c r="A47" s="191" t="str">
        <f>'Crisis Indicator Data'!A44</f>
        <v>Syrian Refugee Crisis in Egypt</v>
      </c>
      <c r="B47" s="192" t="str">
        <f>'Crisis Indicator Data'!B44</f>
        <v>International displacement</v>
      </c>
      <c r="C47" s="192" t="str">
        <f>'Crisis Indicator Data'!C44</f>
        <v>EGY002</v>
      </c>
      <c r="D47" s="192" t="str">
        <f>'Crisis Indicator Data'!D44</f>
        <v>Egypt</v>
      </c>
      <c r="E47" s="193" t="str">
        <f>'Crisis Indicator Data'!E44</f>
        <v>EGY</v>
      </c>
      <c r="F47" s="183">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3.9</v>
      </c>
      <c r="G47" s="183">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3.3</v>
      </c>
      <c r="H47" s="183">
        <f t="shared" si="13"/>
        <v>3.5999999999999996</v>
      </c>
      <c r="I47" s="183">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0.8</v>
      </c>
      <c r="J47" s="183">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0.9</v>
      </c>
      <c r="K47" s="183">
        <f t="shared" si="14"/>
        <v>0.85000000000000009</v>
      </c>
      <c r="L47" s="183">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83">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0.8</v>
      </c>
      <c r="N47" s="183">
        <f t="shared" si="15"/>
        <v>1.9</v>
      </c>
      <c r="O47" s="183">
        <f t="shared" si="16"/>
        <v>2.1166666666666667</v>
      </c>
      <c r="P47" s="183">
        <f>IF(B47="Regional crisis",VLOOKUP(C47,'Regional Crises'!$B$1:$R$69,12,FALSE),VLOOKUP(E47,'Country Indicator Data'!$B$4:$I$194,8,FALSE))</f>
        <v>5</v>
      </c>
      <c r="Q47" s="183">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0</v>
      </c>
      <c r="R47" s="183">
        <f t="shared" si="17"/>
        <v>2.5</v>
      </c>
      <c r="S47" s="183">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3.3</v>
      </c>
      <c r="T47" s="183">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2.9</v>
      </c>
      <c r="U47" s="183">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3.5</v>
      </c>
      <c r="V47" s="183">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4</v>
      </c>
      <c r="W47" s="183">
        <f t="shared" si="18"/>
        <v>3.4</v>
      </c>
      <c r="X47" s="183">
        <f t="shared" si="19"/>
        <v>2.7</v>
      </c>
      <c r="Y47" s="207">
        <f>IF('Core Indicators'!FC44="x","x",IF('Core Indicators'!FC44&gt;=5,5,IF('Core Indicators'!FC44&gt;=4,4,IF('Core Indicators'!FC44&gt;=3,3,IF('Core Indicators'!FC44&gt;=2,2,IF('Core Indicators'!FC44&gt;=1,1,0))))))</f>
        <v>2</v>
      </c>
      <c r="Z47" s="183">
        <f t="shared" si="20"/>
        <v>2</v>
      </c>
      <c r="AA47" s="207">
        <f>'Crisis Indicator Data'!Y44</f>
        <v>1</v>
      </c>
      <c r="AB47" s="207">
        <f>'Crisis Indicator Data'!Z44</f>
        <v>1</v>
      </c>
      <c r="AC47" s="207">
        <f>'Crisis Indicator Data'!AA44</f>
        <v>1</v>
      </c>
      <c r="AD47" s="207">
        <f>'Crisis Indicator Data'!AB44</f>
        <v>0</v>
      </c>
      <c r="AE47" s="207">
        <f t="shared" si="10"/>
        <v>2</v>
      </c>
      <c r="AF47" s="207">
        <f>'Crisis Indicator Data'!AC44</f>
        <v>2</v>
      </c>
      <c r="AG47" s="207">
        <f>'Crisis Indicator Data'!AD44</f>
        <v>0</v>
      </c>
      <c r="AH47" s="207">
        <f t="shared" si="11"/>
        <v>2</v>
      </c>
      <c r="AI47" s="207">
        <f>'Crisis Indicator Data'!AE44</f>
        <v>0</v>
      </c>
      <c r="AJ47" s="207">
        <f>'Crisis Indicator Data'!AF44</f>
        <v>2</v>
      </c>
      <c r="AK47" s="207">
        <f>'Crisis Indicator Data'!AG44</f>
        <v>0</v>
      </c>
      <c r="AL47" s="207">
        <f t="shared" si="12"/>
        <v>2</v>
      </c>
      <c r="AM47" s="183">
        <f t="shared" si="21"/>
        <v>2</v>
      </c>
      <c r="AN47" s="183">
        <f t="shared" si="22"/>
        <v>2</v>
      </c>
    </row>
    <row r="48" spans="1:40" ht="13.5" customHeight="1" x14ac:dyDescent="0.3">
      <c r="A48" s="191" t="str">
        <f>'Crisis Indicator Data'!A45</f>
        <v>Complex crisis in El Salvador</v>
      </c>
      <c r="B48" s="192" t="str">
        <f>'Crisis Indicator Data'!B45</f>
        <v>Complex crisis</v>
      </c>
      <c r="C48" s="192" t="str">
        <f>'Crisis Indicator Data'!C45</f>
        <v>SLV001</v>
      </c>
      <c r="D48" s="192" t="str">
        <f>'Crisis Indicator Data'!D45</f>
        <v>El Salvador</v>
      </c>
      <c r="E48" s="193" t="str">
        <f>'Crisis Indicator Data'!E45</f>
        <v>SLV</v>
      </c>
      <c r="F48" s="183">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0.7</v>
      </c>
      <c r="G48" s="183">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83">
        <f t="shared" si="13"/>
        <v>1.0499999999999998</v>
      </c>
      <c r="I48" s="183">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0.9</v>
      </c>
      <c r="J48" s="183">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183">
        <f t="shared" si="14"/>
        <v>0.45</v>
      </c>
      <c r="L48" s="183">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2.6</v>
      </c>
      <c r="M48" s="183">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1.7</v>
      </c>
      <c r="N48" s="183">
        <f t="shared" si="15"/>
        <v>2.15</v>
      </c>
      <c r="O48" s="183">
        <f t="shared" si="16"/>
        <v>1.2166666666666666</v>
      </c>
      <c r="P48" s="183">
        <f>IF(B48="Regional crisis",VLOOKUP(C48,'Regional Crises'!$B$1:$R$69,12,FALSE),VLOOKUP(E48,'Country Indicator Data'!$B$4:$I$194,8,FALSE))</f>
        <v>3</v>
      </c>
      <c r="Q48" s="183">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3.7</v>
      </c>
      <c r="R48" s="183">
        <f t="shared" si="17"/>
        <v>3.35</v>
      </c>
      <c r="S48" s="183">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3.3</v>
      </c>
      <c r="T48" s="183">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3.3</v>
      </c>
      <c r="U48" s="183">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2</v>
      </c>
      <c r="V48" s="183">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1.7</v>
      </c>
      <c r="W48" s="183">
        <f t="shared" si="18"/>
        <v>2.6</v>
      </c>
      <c r="X48" s="183">
        <f t="shared" si="19"/>
        <v>2.4</v>
      </c>
      <c r="Y48" s="207">
        <f>IF('Core Indicators'!FC45="x","x",IF('Core Indicators'!FC45&gt;=5,5,IF('Core Indicators'!FC45&gt;=4,4,IF('Core Indicators'!FC45&gt;=3,3,IF('Core Indicators'!FC45&gt;=2,2,IF('Core Indicators'!FC45&gt;=1,1,0))))))</f>
        <v>3</v>
      </c>
      <c r="Z48" s="183">
        <f t="shared" si="20"/>
        <v>3</v>
      </c>
      <c r="AA48" s="207">
        <f>'Crisis Indicator Data'!Y45</f>
        <v>0</v>
      </c>
      <c r="AB48" s="207">
        <f>'Crisis Indicator Data'!Z45</f>
        <v>2</v>
      </c>
      <c r="AC48" s="207">
        <f>'Crisis Indicator Data'!AA45</f>
        <v>1</v>
      </c>
      <c r="AD48" s="207">
        <f>'Crisis Indicator Data'!AB45</f>
        <v>0</v>
      </c>
      <c r="AE48" s="207">
        <f t="shared" si="10"/>
        <v>2</v>
      </c>
      <c r="AF48" s="207">
        <f>'Crisis Indicator Data'!AC45</f>
        <v>0</v>
      </c>
      <c r="AG48" s="207">
        <f>'Crisis Indicator Data'!AD45</f>
        <v>2</v>
      </c>
      <c r="AH48" s="207">
        <f t="shared" si="11"/>
        <v>2</v>
      </c>
      <c r="AI48" s="207">
        <f>'Crisis Indicator Data'!AE45</f>
        <v>1</v>
      </c>
      <c r="AJ48" s="207">
        <f>'Crisis Indicator Data'!AF45</f>
        <v>0</v>
      </c>
      <c r="AK48" s="207">
        <f>'Crisis Indicator Data'!AG45</f>
        <v>2</v>
      </c>
      <c r="AL48" s="207">
        <f t="shared" si="12"/>
        <v>3</v>
      </c>
      <c r="AM48" s="183">
        <f t="shared" si="21"/>
        <v>2</v>
      </c>
      <c r="AN48" s="183">
        <f t="shared" si="22"/>
        <v>2.5</v>
      </c>
    </row>
    <row r="49" spans="1:40" ht="13.5" customHeight="1" x14ac:dyDescent="0.3">
      <c r="A49" s="191" t="str">
        <f>'Crisis Indicator Data'!A46</f>
        <v>Complex crisis in Eritrea</v>
      </c>
      <c r="B49" s="192" t="str">
        <f>'Crisis Indicator Data'!B46</f>
        <v>Complex crisis</v>
      </c>
      <c r="C49" s="192" t="str">
        <f>'Crisis Indicator Data'!C46</f>
        <v>ERI001</v>
      </c>
      <c r="D49" s="192" t="str">
        <f>'Crisis Indicator Data'!D46</f>
        <v>Eritrea</v>
      </c>
      <c r="E49" s="193" t="str">
        <f>'Crisis Indicator Data'!E46</f>
        <v>ERI</v>
      </c>
      <c r="F49" s="183">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83">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3.9</v>
      </c>
      <c r="H49" s="183">
        <f t="shared" si="13"/>
        <v>4.45</v>
      </c>
      <c r="I49" s="183">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3.1</v>
      </c>
      <c r="J49" s="183">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v>
      </c>
      <c r="K49" s="183">
        <f t="shared" si="14"/>
        <v>1.55</v>
      </c>
      <c r="L49" s="183" t="str">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x</v>
      </c>
      <c r="M49" s="183" t="str">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x</v>
      </c>
      <c r="N49" s="183" t="str">
        <f t="shared" si="15"/>
        <v>x</v>
      </c>
      <c r="O49" s="183">
        <f t="shared" si="16"/>
        <v>3</v>
      </c>
      <c r="P49" s="183">
        <f>IF(B49="Regional crisis",VLOOKUP(C49,'Regional Crises'!$B$1:$R$69,12,FALSE),VLOOKUP(E49,'Country Indicator Data'!$B$4:$I$194,8,FALSE))</f>
        <v>1</v>
      </c>
      <c r="Q49" s="183" t="str">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x</v>
      </c>
      <c r="R49" s="183">
        <f t="shared" si="17"/>
        <v>1</v>
      </c>
      <c r="S49" s="183">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3.9</v>
      </c>
      <c r="T49" s="183">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4.0999999999999996</v>
      </c>
      <c r="U49" s="183">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4.4000000000000004</v>
      </c>
      <c r="V49" s="183">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4.9000000000000004</v>
      </c>
      <c r="W49" s="183">
        <f t="shared" si="18"/>
        <v>4.3</v>
      </c>
      <c r="X49" s="183">
        <f t="shared" si="19"/>
        <v>2.8</v>
      </c>
      <c r="Y49" s="207">
        <f>IF('Core Indicators'!FC46="x","x",IF('Core Indicators'!FC46&gt;=5,5,IF('Core Indicators'!FC46&gt;=4,4,IF('Core Indicators'!FC46&gt;=3,3,IF('Core Indicators'!FC46&gt;=2,2,IF('Core Indicators'!FC46&gt;=1,1,0))))))</f>
        <v>5</v>
      </c>
      <c r="Z49" s="183">
        <f t="shared" si="20"/>
        <v>5</v>
      </c>
      <c r="AA49" s="207">
        <f>'Crisis Indicator Data'!Y46</f>
        <v>3</v>
      </c>
      <c r="AB49" s="207" t="str">
        <f>'Crisis Indicator Data'!Z46</f>
        <v>x</v>
      </c>
      <c r="AC49" s="207" t="str">
        <f>'Crisis Indicator Data'!AA46</f>
        <v>x</v>
      </c>
      <c r="AD49" s="207">
        <f>'Crisis Indicator Data'!AB46</f>
        <v>0</v>
      </c>
      <c r="AE49" s="207">
        <f t="shared" si="10"/>
        <v>2</v>
      </c>
      <c r="AF49" s="207" t="str">
        <f>'Crisis Indicator Data'!AC46</f>
        <v>x</v>
      </c>
      <c r="AG49" s="207" t="str">
        <f>'Crisis Indicator Data'!AD46</f>
        <v>x</v>
      </c>
      <c r="AH49" s="207">
        <f t="shared" si="11"/>
        <v>0</v>
      </c>
      <c r="AI49" s="207">
        <f>'Crisis Indicator Data'!AE46</f>
        <v>0</v>
      </c>
      <c r="AJ49" s="207">
        <f>'Crisis Indicator Data'!AF46</f>
        <v>2</v>
      </c>
      <c r="AK49" s="207" t="str">
        <f>'Crisis Indicator Data'!AG46</f>
        <v>x</v>
      </c>
      <c r="AL49" s="207">
        <f t="shared" si="12"/>
        <v>2</v>
      </c>
      <c r="AM49" s="183">
        <f t="shared" si="21"/>
        <v>5</v>
      </c>
      <c r="AN49" s="183">
        <f t="shared" si="22"/>
        <v>5</v>
      </c>
    </row>
    <row r="50" spans="1:40" ht="13.5" customHeight="1" x14ac:dyDescent="0.3">
      <c r="A50" s="191" t="str">
        <f>'Crisis Indicator Data'!A47</f>
        <v>Food Security Crisis in Eswatini</v>
      </c>
      <c r="B50" s="192" t="str">
        <f>'Crisis Indicator Data'!B47</f>
        <v>Food Security</v>
      </c>
      <c r="C50" s="192" t="str">
        <f>'Crisis Indicator Data'!C47</f>
        <v>SWZ001</v>
      </c>
      <c r="D50" s="192" t="str">
        <f>'Crisis Indicator Data'!D47</f>
        <v>Eswatini</v>
      </c>
      <c r="E50" s="193" t="str">
        <f>'Crisis Indicator Data'!E47</f>
        <v>SWZ</v>
      </c>
      <c r="F50" s="183">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3.2</v>
      </c>
      <c r="G50" s="183">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3.2</v>
      </c>
      <c r="H50" s="183">
        <f t="shared" si="13"/>
        <v>3.2</v>
      </c>
      <c r="I50" s="183">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0</v>
      </c>
      <c r="J50" s="183">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83">
        <f t="shared" si="14"/>
        <v>0</v>
      </c>
      <c r="L50" s="183">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3.9</v>
      </c>
      <c r="M50" s="183">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3.7</v>
      </c>
      <c r="N50" s="183">
        <f t="shared" si="15"/>
        <v>3.8</v>
      </c>
      <c r="O50" s="183">
        <f t="shared" si="16"/>
        <v>2.3333333333333335</v>
      </c>
      <c r="P50" s="183">
        <f>IF(B50="Regional crisis",VLOOKUP(C50,'Regional Crises'!$B$1:$R$69,12,FALSE),VLOOKUP(E50,'Country Indicator Data'!$B$4:$I$194,8,FALSE))</f>
        <v>3</v>
      </c>
      <c r="Q50" s="183" t="str">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x</v>
      </c>
      <c r="R50" s="183">
        <f t="shared" si="17"/>
        <v>3</v>
      </c>
      <c r="S50" s="183">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3.3</v>
      </c>
      <c r="T50" s="183">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v>
      </c>
      <c r="U50" s="183">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3.8</v>
      </c>
      <c r="V50" s="183">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4.0999999999999996</v>
      </c>
      <c r="W50" s="183">
        <f t="shared" si="18"/>
        <v>3.6</v>
      </c>
      <c r="X50" s="183">
        <f t="shared" si="19"/>
        <v>3</v>
      </c>
      <c r="Y50" s="207">
        <f>IF('Core Indicators'!FC47="x","x",IF('Core Indicators'!FC47&gt;=5,5,IF('Core Indicators'!FC47&gt;=4,4,IF('Core Indicators'!FC47&gt;=3,3,IF('Core Indicators'!FC47&gt;=2,2,IF('Core Indicators'!FC47&gt;=1,1,0))))))</f>
        <v>1</v>
      </c>
      <c r="Z50" s="183">
        <f t="shared" si="20"/>
        <v>1</v>
      </c>
      <c r="AA50" s="207">
        <f>'Crisis Indicator Data'!Y47</f>
        <v>0</v>
      </c>
      <c r="AB50" s="207">
        <f>'Crisis Indicator Data'!Z47</f>
        <v>0</v>
      </c>
      <c r="AC50" s="207">
        <f>'Crisis Indicator Data'!AA47</f>
        <v>0</v>
      </c>
      <c r="AD50" s="207">
        <f>'Crisis Indicator Data'!AB47</f>
        <v>0</v>
      </c>
      <c r="AE50" s="207">
        <f t="shared" si="10"/>
        <v>0</v>
      </c>
      <c r="AF50" s="207">
        <f>'Crisis Indicator Data'!AC47</f>
        <v>0</v>
      </c>
      <c r="AG50" s="207">
        <f>'Crisis Indicator Data'!AD47</f>
        <v>0</v>
      </c>
      <c r="AH50" s="207">
        <f t="shared" si="11"/>
        <v>0</v>
      </c>
      <c r="AI50" s="207">
        <f>'Crisis Indicator Data'!AE47</f>
        <v>0</v>
      </c>
      <c r="AJ50" s="207">
        <f>'Crisis Indicator Data'!AF47</f>
        <v>0</v>
      </c>
      <c r="AK50" s="207">
        <f>'Crisis Indicator Data'!AG47</f>
        <v>0</v>
      </c>
      <c r="AL50" s="207">
        <f t="shared" si="12"/>
        <v>0</v>
      </c>
      <c r="AM50" s="183">
        <f t="shared" si="21"/>
        <v>0</v>
      </c>
      <c r="AN50" s="183">
        <f t="shared" si="22"/>
        <v>0.5</v>
      </c>
    </row>
    <row r="51" spans="1:40" ht="13.5" customHeight="1" x14ac:dyDescent="0.3">
      <c r="A51" s="191" t="str">
        <f>'Crisis Indicator Data'!A48</f>
        <v>Complex crisis in Ethiopia</v>
      </c>
      <c r="B51" s="192" t="str">
        <f>'Crisis Indicator Data'!B48</f>
        <v>Complex crisis</v>
      </c>
      <c r="C51" s="192" t="str">
        <f>'Crisis Indicator Data'!C48</f>
        <v>ETH001</v>
      </c>
      <c r="D51" s="192" t="str">
        <f>'Crisis Indicator Data'!D48</f>
        <v>Ethiopia</v>
      </c>
      <c r="E51" s="193" t="str">
        <f>'Crisis Indicator Data'!E48</f>
        <v>ETH</v>
      </c>
      <c r="F51" s="183">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3.9</v>
      </c>
      <c r="G51" s="183">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83">
        <f t="shared" si="13"/>
        <v>3.45</v>
      </c>
      <c r="I51" s="183">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3.8</v>
      </c>
      <c r="J51" s="183">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2.7</v>
      </c>
      <c r="K51" s="183">
        <f t="shared" si="14"/>
        <v>3.25</v>
      </c>
      <c r="L51" s="183">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3.4</v>
      </c>
      <c r="M51" s="183">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1.3</v>
      </c>
      <c r="N51" s="183">
        <f t="shared" si="15"/>
        <v>2.35</v>
      </c>
      <c r="O51" s="183">
        <f t="shared" si="16"/>
        <v>3.0166666666666671</v>
      </c>
      <c r="P51" s="183">
        <f>IF(B51="Regional crisis",VLOOKUP(C51,'Regional Crises'!$B$1:$R$69,12,FALSE),VLOOKUP(E51,'Country Indicator Data'!$B$4:$I$194,8,FALSE))</f>
        <v>3</v>
      </c>
      <c r="Q51" s="183">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3.7</v>
      </c>
      <c r="R51" s="183">
        <f t="shared" si="17"/>
        <v>3.35</v>
      </c>
      <c r="S51" s="183">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3.2</v>
      </c>
      <c r="T51" s="183">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183">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3.4</v>
      </c>
      <c r="V51" s="183">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3.8</v>
      </c>
      <c r="W51" s="183">
        <f t="shared" si="18"/>
        <v>3.4</v>
      </c>
      <c r="X51" s="183">
        <f t="shared" si="19"/>
        <v>3.3</v>
      </c>
      <c r="Y51" s="207">
        <f>IF('Core Indicators'!FC48="x","x",IF('Core Indicators'!FC48&gt;=5,5,IF('Core Indicators'!FC48&gt;=4,4,IF('Core Indicators'!FC48&gt;=3,3,IF('Core Indicators'!FC48&gt;=2,2,IF('Core Indicators'!FC48&gt;=1,1,0))))))</f>
        <v>4</v>
      </c>
      <c r="Z51" s="183">
        <f t="shared" si="20"/>
        <v>4</v>
      </c>
      <c r="AA51" s="207">
        <f>'Crisis Indicator Data'!Y48</f>
        <v>2</v>
      </c>
      <c r="AB51" s="207">
        <f>'Crisis Indicator Data'!Z48</f>
        <v>1</v>
      </c>
      <c r="AC51" s="207">
        <f>'Crisis Indicator Data'!AA48</f>
        <v>2</v>
      </c>
      <c r="AD51" s="207">
        <f>'Crisis Indicator Data'!AB48</f>
        <v>0</v>
      </c>
      <c r="AE51" s="207">
        <f t="shared" si="10"/>
        <v>2</v>
      </c>
      <c r="AF51" s="207">
        <f>'Crisis Indicator Data'!AC48</f>
        <v>2</v>
      </c>
      <c r="AG51" s="207" t="str">
        <f>'Crisis Indicator Data'!AD48</f>
        <v>x</v>
      </c>
      <c r="AH51" s="207">
        <f t="shared" si="11"/>
        <v>2</v>
      </c>
      <c r="AI51" s="207">
        <f>'Crisis Indicator Data'!AE48</f>
        <v>2</v>
      </c>
      <c r="AJ51" s="207">
        <f>'Crisis Indicator Data'!AF48</f>
        <v>2</v>
      </c>
      <c r="AK51" s="207">
        <f>'Crisis Indicator Data'!AG48</f>
        <v>2</v>
      </c>
      <c r="AL51" s="207">
        <f t="shared" si="12"/>
        <v>4</v>
      </c>
      <c r="AM51" s="183">
        <f t="shared" si="21"/>
        <v>3</v>
      </c>
      <c r="AN51" s="183">
        <f t="shared" si="22"/>
        <v>3.5</v>
      </c>
    </row>
    <row r="52" spans="1:40" ht="13.5" customHeight="1" x14ac:dyDescent="0.3">
      <c r="A52" s="191" t="str">
        <f>'Crisis Indicator Data'!A49</f>
        <v>Flood Crisis in Ethiopia</v>
      </c>
      <c r="B52" s="192" t="str">
        <f>'Crisis Indicator Data'!B49</f>
        <v>Flood</v>
      </c>
      <c r="C52" s="192" t="str">
        <f>'Crisis Indicator Data'!C49</f>
        <v>ETH002</v>
      </c>
      <c r="D52" s="192" t="str">
        <f>'Crisis Indicator Data'!D49</f>
        <v>Ethiopia</v>
      </c>
      <c r="E52" s="193" t="str">
        <f>'Crisis Indicator Data'!E49</f>
        <v>ETH</v>
      </c>
      <c r="F52" s="183">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3.9</v>
      </c>
      <c r="G52" s="183">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83">
        <f t="shared" si="13"/>
        <v>3.45</v>
      </c>
      <c r="I52" s="183">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3.8</v>
      </c>
      <c r="J52" s="183">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2.7</v>
      </c>
      <c r="K52" s="183">
        <f t="shared" si="14"/>
        <v>3.25</v>
      </c>
      <c r="L52" s="183">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3.4</v>
      </c>
      <c r="M52" s="183">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1.3</v>
      </c>
      <c r="N52" s="183">
        <f t="shared" si="15"/>
        <v>2.35</v>
      </c>
      <c r="O52" s="183">
        <f t="shared" si="16"/>
        <v>3.0166666666666671</v>
      </c>
      <c r="P52" s="183">
        <f>IF(B52="Regional crisis",VLOOKUP(C52,'Regional Crises'!$B$1:$R$69,12,FALSE),VLOOKUP(E52,'Country Indicator Data'!$B$4:$I$194,8,FALSE))</f>
        <v>3</v>
      </c>
      <c r="Q52" s="183">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3.7</v>
      </c>
      <c r="R52" s="183">
        <f t="shared" si="17"/>
        <v>3.35</v>
      </c>
      <c r="S52" s="183">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3.2</v>
      </c>
      <c r="T52" s="183">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v>
      </c>
      <c r="U52" s="183">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3.4</v>
      </c>
      <c r="V52" s="183">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3.8</v>
      </c>
      <c r="W52" s="183">
        <f t="shared" si="18"/>
        <v>3.4</v>
      </c>
      <c r="X52" s="183">
        <f t="shared" si="19"/>
        <v>3.3</v>
      </c>
      <c r="Y52" s="207">
        <f>IF('Core Indicators'!FC49="x","x",IF('Core Indicators'!FC49&gt;=5,5,IF('Core Indicators'!FC49&gt;=4,4,IF('Core Indicators'!FC49&gt;=3,3,IF('Core Indicators'!FC49&gt;=2,2,IF('Core Indicators'!FC49&gt;=1,1,0))))))</f>
        <v>3</v>
      </c>
      <c r="Z52" s="183">
        <f t="shared" si="20"/>
        <v>3</v>
      </c>
      <c r="AA52" s="207" t="str">
        <f>'Crisis Indicator Data'!Y49</f>
        <v>x</v>
      </c>
      <c r="AB52" s="207" t="str">
        <f>'Crisis Indicator Data'!Z49</f>
        <v>x</v>
      </c>
      <c r="AC52" s="207" t="str">
        <f>'Crisis Indicator Data'!AA49</f>
        <v>x</v>
      </c>
      <c r="AD52" s="207" t="str">
        <f>'Crisis Indicator Data'!AB49</f>
        <v>x</v>
      </c>
      <c r="AE52" s="207">
        <f t="shared" si="10"/>
        <v>0</v>
      </c>
      <c r="AF52" s="207" t="str">
        <f>'Crisis Indicator Data'!AC49</f>
        <v>x</v>
      </c>
      <c r="AG52" s="207" t="str">
        <f>'Crisis Indicator Data'!AD49</f>
        <v>x</v>
      </c>
      <c r="AH52" s="207">
        <f t="shared" si="11"/>
        <v>0</v>
      </c>
      <c r="AI52" s="207" t="str">
        <f>'Crisis Indicator Data'!AE49</f>
        <v>x</v>
      </c>
      <c r="AJ52" s="207" t="str">
        <f>'Crisis Indicator Data'!AF49</f>
        <v>x</v>
      </c>
      <c r="AK52" s="207">
        <f>'Crisis Indicator Data'!AG49</f>
        <v>2</v>
      </c>
      <c r="AL52" s="207">
        <f t="shared" si="12"/>
        <v>2</v>
      </c>
      <c r="AM52" s="183">
        <f t="shared" si="21"/>
        <v>1</v>
      </c>
      <c r="AN52" s="183">
        <f t="shared" si="22"/>
        <v>2</v>
      </c>
    </row>
    <row r="53" spans="1:40" ht="13.5" customHeight="1" x14ac:dyDescent="0.3">
      <c r="A53" s="191" t="str">
        <f>'Crisis Indicator Data'!A50</f>
        <v>International Displacement</v>
      </c>
      <c r="B53" s="192" t="str">
        <f>'Crisis Indicator Data'!B50</f>
        <v>International displacement</v>
      </c>
      <c r="C53" s="192" t="str">
        <f>'Crisis Indicator Data'!C50</f>
        <v>ETH003</v>
      </c>
      <c r="D53" s="192" t="str">
        <f>'Crisis Indicator Data'!D50</f>
        <v>Ethiopia</v>
      </c>
      <c r="E53" s="193" t="str">
        <f>'Crisis Indicator Data'!E50</f>
        <v>ETH</v>
      </c>
      <c r="F53" s="183">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3.9</v>
      </c>
      <c r="G53" s="183">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3</v>
      </c>
      <c r="H53" s="183">
        <f t="shared" si="13"/>
        <v>3.45</v>
      </c>
      <c r="I53" s="183">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3.8</v>
      </c>
      <c r="J53" s="183">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2.7</v>
      </c>
      <c r="K53" s="183">
        <f t="shared" si="14"/>
        <v>3.25</v>
      </c>
      <c r="L53" s="183">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3.4</v>
      </c>
      <c r="M53" s="183">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1.3</v>
      </c>
      <c r="N53" s="183">
        <f t="shared" si="15"/>
        <v>2.35</v>
      </c>
      <c r="O53" s="183">
        <f t="shared" si="16"/>
        <v>3.0166666666666671</v>
      </c>
      <c r="P53" s="183">
        <f>IF(B53="Regional crisis",VLOOKUP(C53,'Regional Crises'!$B$1:$R$69,12,FALSE),VLOOKUP(E53,'Country Indicator Data'!$B$4:$I$194,8,FALSE))</f>
        <v>3</v>
      </c>
      <c r="Q53" s="183">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3.7</v>
      </c>
      <c r="R53" s="183">
        <f t="shared" si="17"/>
        <v>3.35</v>
      </c>
      <c r="S53" s="183">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3.2</v>
      </c>
      <c r="T53" s="183">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v>
      </c>
      <c r="U53" s="183">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3.4</v>
      </c>
      <c r="V53" s="183">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3.8</v>
      </c>
      <c r="W53" s="183">
        <f t="shared" si="18"/>
        <v>3.4</v>
      </c>
      <c r="X53" s="183">
        <f t="shared" si="19"/>
        <v>3.3</v>
      </c>
      <c r="Y53" s="207">
        <f>IF('Core Indicators'!FC50="x","x",IF('Core Indicators'!FC50&gt;=5,5,IF('Core Indicators'!FC50&gt;=4,4,IF('Core Indicators'!FC50&gt;=3,3,IF('Core Indicators'!FC50&gt;=2,2,IF('Core Indicators'!FC50&gt;=1,1,0))))))</f>
        <v>3</v>
      </c>
      <c r="Z53" s="183">
        <f t="shared" si="20"/>
        <v>3</v>
      </c>
      <c r="AA53" s="207">
        <f>'Crisis Indicator Data'!Y50</f>
        <v>2</v>
      </c>
      <c r="AB53" s="207">
        <f>'Crisis Indicator Data'!Z50</f>
        <v>1</v>
      </c>
      <c r="AC53" s="207">
        <f>'Crisis Indicator Data'!AA50</f>
        <v>2</v>
      </c>
      <c r="AD53" s="207">
        <f>'Crisis Indicator Data'!AB50</f>
        <v>0</v>
      </c>
      <c r="AE53" s="207">
        <f t="shared" si="10"/>
        <v>2</v>
      </c>
      <c r="AF53" s="207">
        <f>'Crisis Indicator Data'!AC50</f>
        <v>2</v>
      </c>
      <c r="AG53" s="207">
        <f>'Crisis Indicator Data'!AD50</f>
        <v>2</v>
      </c>
      <c r="AH53" s="207">
        <f t="shared" si="11"/>
        <v>4</v>
      </c>
      <c r="AI53" s="207">
        <f>'Crisis Indicator Data'!AE50</f>
        <v>1</v>
      </c>
      <c r="AJ53" s="207">
        <f>'Crisis Indicator Data'!AF50</f>
        <v>3</v>
      </c>
      <c r="AK53" s="207" t="str">
        <f>'Crisis Indicator Data'!AG50</f>
        <v>x</v>
      </c>
      <c r="AL53" s="207">
        <f t="shared" si="12"/>
        <v>3</v>
      </c>
      <c r="AM53" s="183">
        <f t="shared" si="21"/>
        <v>3</v>
      </c>
      <c r="AN53" s="183">
        <f t="shared" si="22"/>
        <v>3</v>
      </c>
    </row>
    <row r="54" spans="1:40" ht="13.5" customHeight="1" x14ac:dyDescent="0.3">
      <c r="A54" s="194" t="str">
        <f>'Crisis Indicator Data'!A51</f>
        <v>Mixed migration flows in Greece</v>
      </c>
      <c r="B54" s="195" t="str">
        <f>'Crisis Indicator Data'!B51</f>
        <v>International displacement</v>
      </c>
      <c r="C54" s="195" t="str">
        <f>'Crisis Indicator Data'!C51</f>
        <v>GRC002</v>
      </c>
      <c r="D54" s="195" t="str">
        <f>'Crisis Indicator Data'!D51</f>
        <v>Greece</v>
      </c>
      <c r="E54" s="196" t="str">
        <f>'Crisis Indicator Data'!E51</f>
        <v>GRC</v>
      </c>
      <c r="F54" s="183">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1.8</v>
      </c>
      <c r="G54" s="183" t="str">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x</v>
      </c>
      <c r="H54" s="183">
        <f t="shared" si="13"/>
        <v>1.8</v>
      </c>
      <c r="I54" s="183">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0.4</v>
      </c>
      <c r="J54" s="183">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0.3</v>
      </c>
      <c r="K54" s="183">
        <f t="shared" si="14"/>
        <v>0.35</v>
      </c>
      <c r="L54" s="183">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0.8</v>
      </c>
      <c r="M54" s="183">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1.2</v>
      </c>
      <c r="N54" s="183">
        <f t="shared" si="15"/>
        <v>1</v>
      </c>
      <c r="O54" s="183">
        <f t="shared" si="16"/>
        <v>1.05</v>
      </c>
      <c r="P54" s="183">
        <f>IF(B54="Regional crisis",VLOOKUP(C54,'Regional Crises'!$B$1:$R$69,12,FALSE),VLOOKUP(E54,'Country Indicator Data'!$B$4:$I$194,8,FALSE))</f>
        <v>3</v>
      </c>
      <c r="Q54" s="183">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1.8</v>
      </c>
      <c r="R54" s="183">
        <f t="shared" si="17"/>
        <v>2.4</v>
      </c>
      <c r="S54" s="183">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2.6</v>
      </c>
      <c r="T54" s="183">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2.2999999999999998</v>
      </c>
      <c r="U54" s="183" t="str">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x</v>
      </c>
      <c r="V54" s="183">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0.6</v>
      </c>
      <c r="W54" s="183">
        <f t="shared" si="18"/>
        <v>1.8</v>
      </c>
      <c r="X54" s="183">
        <f t="shared" si="19"/>
        <v>1.8</v>
      </c>
      <c r="Y54" s="207">
        <f>IF('Core Indicators'!FC51="x","x",IF('Core Indicators'!FC51&gt;=5,5,IF('Core Indicators'!FC51&gt;=4,4,IF('Core Indicators'!FC51&gt;=3,3,IF('Core Indicators'!FC51&gt;=2,2,IF('Core Indicators'!FC51&gt;=1,1,0))))))</f>
        <v>2</v>
      </c>
      <c r="Z54" s="183">
        <f t="shared" si="20"/>
        <v>2</v>
      </c>
      <c r="AA54" s="207">
        <f>'Crisis Indicator Data'!Y51</f>
        <v>0</v>
      </c>
      <c r="AB54" s="207">
        <f>'Crisis Indicator Data'!Z51</f>
        <v>0</v>
      </c>
      <c r="AC54" s="207">
        <f>'Crisis Indicator Data'!AA51</f>
        <v>1</v>
      </c>
      <c r="AD54" s="207">
        <f>'Crisis Indicator Data'!AB51</f>
        <v>0</v>
      </c>
      <c r="AE54" s="207">
        <f t="shared" si="10"/>
        <v>1</v>
      </c>
      <c r="AF54" s="207">
        <f>'Crisis Indicator Data'!AC51</f>
        <v>0</v>
      </c>
      <c r="AG54" s="207">
        <f>'Crisis Indicator Data'!AD51</f>
        <v>2</v>
      </c>
      <c r="AH54" s="207">
        <f t="shared" si="11"/>
        <v>2</v>
      </c>
      <c r="AI54" s="207">
        <f>'Crisis Indicator Data'!AE51</f>
        <v>0</v>
      </c>
      <c r="AJ54" s="207">
        <f>'Crisis Indicator Data'!AF51</f>
        <v>0</v>
      </c>
      <c r="AK54" s="207">
        <f>'Crisis Indicator Data'!AG51</f>
        <v>0</v>
      </c>
      <c r="AL54" s="207">
        <f t="shared" si="12"/>
        <v>0</v>
      </c>
      <c r="AM54" s="183">
        <f t="shared" si="21"/>
        <v>1</v>
      </c>
      <c r="AN54" s="183">
        <f t="shared" si="22"/>
        <v>1.5</v>
      </c>
    </row>
    <row r="55" spans="1:40" ht="13.5" customHeight="1" x14ac:dyDescent="0.3">
      <c r="A55" s="194" t="str">
        <f>'Crisis Indicator Data'!A52</f>
        <v>Complex crisis in Guatemala</v>
      </c>
      <c r="B55" s="195" t="str">
        <f>'Crisis Indicator Data'!B52</f>
        <v>Complex crisis</v>
      </c>
      <c r="C55" s="195" t="str">
        <f>'Crisis Indicator Data'!C52</f>
        <v>GTM001</v>
      </c>
      <c r="D55" s="195" t="str">
        <f>'Crisis Indicator Data'!D52</f>
        <v>Guatemala</v>
      </c>
      <c r="E55" s="196" t="str">
        <f>'Crisis Indicator Data'!E52</f>
        <v>GTM</v>
      </c>
      <c r="F55" s="183">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1.1000000000000001</v>
      </c>
      <c r="G55" s="183">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v>
      </c>
      <c r="H55" s="183">
        <f t="shared" si="13"/>
        <v>2.0499999999999998</v>
      </c>
      <c r="I55" s="183">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2.5</v>
      </c>
      <c r="J55" s="183">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3.9</v>
      </c>
      <c r="K55" s="183">
        <f t="shared" si="14"/>
        <v>3.2</v>
      </c>
      <c r="L55" s="183">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3.3</v>
      </c>
      <c r="M55" s="183">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2.9</v>
      </c>
      <c r="N55" s="183">
        <f t="shared" si="15"/>
        <v>3.0999999999999996</v>
      </c>
      <c r="O55" s="183">
        <f t="shared" si="16"/>
        <v>2.7833333333333332</v>
      </c>
      <c r="P55" s="183">
        <f>IF(B55="Regional crisis",VLOOKUP(C55,'Regional Crises'!$B$1:$R$69,12,FALSE),VLOOKUP(E55,'Country Indicator Data'!$B$4:$I$194,8,FALSE))</f>
        <v>3</v>
      </c>
      <c r="Q55" s="183">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4.5999999999999996</v>
      </c>
      <c r="R55" s="183">
        <f t="shared" si="17"/>
        <v>3.8</v>
      </c>
      <c r="S55" s="183">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3.7</v>
      </c>
      <c r="T55" s="183">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3.6</v>
      </c>
      <c r="U55" s="183">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3.4</v>
      </c>
      <c r="V55" s="183">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2.4</v>
      </c>
      <c r="W55" s="183">
        <f t="shared" si="18"/>
        <v>3.3</v>
      </c>
      <c r="X55" s="183">
        <f t="shared" si="19"/>
        <v>3.3</v>
      </c>
      <c r="Y55" s="207">
        <f>IF('Core Indicators'!FC52="x","x",IF('Core Indicators'!FC52&gt;=5,5,IF('Core Indicators'!FC52&gt;=4,4,IF('Core Indicators'!FC52&gt;=3,3,IF('Core Indicators'!FC52&gt;=2,2,IF('Core Indicators'!FC52&gt;=1,1,0))))))</f>
        <v>3</v>
      </c>
      <c r="Z55" s="183">
        <f t="shared" si="20"/>
        <v>3</v>
      </c>
      <c r="AA55" s="207">
        <f>'Crisis Indicator Data'!Y52</f>
        <v>0</v>
      </c>
      <c r="AB55" s="207">
        <f>'Crisis Indicator Data'!Z52</f>
        <v>1</v>
      </c>
      <c r="AC55" s="207">
        <f>'Crisis Indicator Data'!AA52</f>
        <v>0</v>
      </c>
      <c r="AD55" s="207">
        <f>'Crisis Indicator Data'!AB52</f>
        <v>1</v>
      </c>
      <c r="AE55" s="207">
        <f t="shared" si="10"/>
        <v>2</v>
      </c>
      <c r="AF55" s="207">
        <f>'Crisis Indicator Data'!AC52</f>
        <v>0</v>
      </c>
      <c r="AG55" s="207">
        <f>'Crisis Indicator Data'!AD52</f>
        <v>2</v>
      </c>
      <c r="AH55" s="207">
        <f t="shared" si="11"/>
        <v>2</v>
      </c>
      <c r="AI55" s="207">
        <f>'Crisis Indicator Data'!AE52</f>
        <v>0</v>
      </c>
      <c r="AJ55" s="207">
        <f>'Crisis Indicator Data'!AF52</f>
        <v>0</v>
      </c>
      <c r="AK55" s="207">
        <f>'Crisis Indicator Data'!AG52</f>
        <v>1</v>
      </c>
      <c r="AL55" s="207">
        <f t="shared" si="12"/>
        <v>1</v>
      </c>
      <c r="AM55" s="183">
        <f t="shared" si="21"/>
        <v>2</v>
      </c>
      <c r="AN55" s="183">
        <f t="shared" si="22"/>
        <v>2.5</v>
      </c>
    </row>
    <row r="56" spans="1:40" ht="13.5" customHeight="1" x14ac:dyDescent="0.3">
      <c r="A56" s="194" t="str">
        <f>'Crisis Indicator Data'!A53</f>
        <v>Complex crisis in Haiti</v>
      </c>
      <c r="B56" s="195" t="str">
        <f>'Crisis Indicator Data'!B53</f>
        <v>Complex crisis</v>
      </c>
      <c r="C56" s="195" t="str">
        <f>'Crisis Indicator Data'!C53</f>
        <v>HTI001</v>
      </c>
      <c r="D56" s="195" t="str">
        <f>'Crisis Indicator Data'!D53</f>
        <v>Haiti</v>
      </c>
      <c r="E56" s="196" t="str">
        <f>'Crisis Indicator Data'!E53</f>
        <v>HTI</v>
      </c>
      <c r="F56" s="183">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2.1</v>
      </c>
      <c r="G56" s="183">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2.9</v>
      </c>
      <c r="H56" s="183">
        <f t="shared" si="13"/>
        <v>2.5</v>
      </c>
      <c r="I56" s="183">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0</v>
      </c>
      <c r="J56" s="183">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183">
        <f t="shared" si="14"/>
        <v>0</v>
      </c>
      <c r="L56" s="183">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4.0999999999999996</v>
      </c>
      <c r="M56" s="183">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v>
      </c>
      <c r="N56" s="183">
        <f t="shared" si="15"/>
        <v>3.05</v>
      </c>
      <c r="O56" s="183">
        <f t="shared" si="16"/>
        <v>1.8499999999999999</v>
      </c>
      <c r="P56" s="183">
        <f>IF(B56="Regional crisis",VLOOKUP(C56,'Regional Crises'!$B$1:$R$69,12,FALSE),VLOOKUP(E56,'Country Indicator Data'!$B$4:$I$194,8,FALSE))</f>
        <v>3</v>
      </c>
      <c r="Q56" s="183">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3.4</v>
      </c>
      <c r="R56" s="183">
        <f t="shared" si="17"/>
        <v>3.2</v>
      </c>
      <c r="S56" s="183">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4.0999999999999996</v>
      </c>
      <c r="T56" s="183">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3.5</v>
      </c>
      <c r="U56" s="183">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3.5</v>
      </c>
      <c r="V56" s="183">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3.1</v>
      </c>
      <c r="W56" s="183">
        <f t="shared" si="18"/>
        <v>3.6</v>
      </c>
      <c r="X56" s="183">
        <f t="shared" si="19"/>
        <v>2.9</v>
      </c>
      <c r="Y56" s="207">
        <f>IF('Core Indicators'!FC53="x","x",IF('Core Indicators'!FC53&gt;=5,5,IF('Core Indicators'!FC53&gt;=4,4,IF('Core Indicators'!FC53&gt;=3,3,IF('Core Indicators'!FC53&gt;=2,2,IF('Core Indicators'!FC53&gt;=1,1,0))))))</f>
        <v>2</v>
      </c>
      <c r="Z56" s="183">
        <f t="shared" si="20"/>
        <v>2</v>
      </c>
      <c r="AA56" s="207">
        <f>'Crisis Indicator Data'!Y53</f>
        <v>0</v>
      </c>
      <c r="AB56" s="207">
        <f>'Crisis Indicator Data'!Z53</f>
        <v>1</v>
      </c>
      <c r="AC56" s="207">
        <f>'Crisis Indicator Data'!AA53</f>
        <v>0</v>
      </c>
      <c r="AD56" s="207">
        <f>'Crisis Indicator Data'!AB53</f>
        <v>0</v>
      </c>
      <c r="AE56" s="207">
        <f t="shared" si="10"/>
        <v>1</v>
      </c>
      <c r="AF56" s="207">
        <f>'Crisis Indicator Data'!AC53</f>
        <v>0</v>
      </c>
      <c r="AG56" s="207">
        <f>'Crisis Indicator Data'!AD53</f>
        <v>0</v>
      </c>
      <c r="AH56" s="207">
        <f t="shared" si="11"/>
        <v>0</v>
      </c>
      <c r="AI56" s="207">
        <f>'Crisis Indicator Data'!AE53</f>
        <v>2</v>
      </c>
      <c r="AJ56" s="207">
        <f>'Crisis Indicator Data'!AF53</f>
        <v>0</v>
      </c>
      <c r="AK56" s="207">
        <f>'Crisis Indicator Data'!AG53</f>
        <v>3</v>
      </c>
      <c r="AL56" s="207">
        <f t="shared" si="12"/>
        <v>4</v>
      </c>
      <c r="AM56" s="183">
        <f t="shared" si="21"/>
        <v>2</v>
      </c>
      <c r="AN56" s="183">
        <f t="shared" si="22"/>
        <v>2</v>
      </c>
    </row>
    <row r="57" spans="1:40" ht="13.5" customHeight="1" x14ac:dyDescent="0.3">
      <c r="A57" s="194" t="str">
        <f>'Crisis Indicator Data'!A54</f>
        <v>Complex crisis in Honduras</v>
      </c>
      <c r="B57" s="195" t="str">
        <f>'Crisis Indicator Data'!B54</f>
        <v>Complex crisis</v>
      </c>
      <c r="C57" s="195" t="str">
        <f>'Crisis Indicator Data'!C54</f>
        <v>HND001</v>
      </c>
      <c r="D57" s="195" t="str">
        <f>'Crisis Indicator Data'!D54</f>
        <v>Honduras</v>
      </c>
      <c r="E57" s="196" t="str">
        <f>'Crisis Indicator Data'!E54</f>
        <v>HND</v>
      </c>
      <c r="F57" s="183">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1.8</v>
      </c>
      <c r="G57" s="183">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2.7</v>
      </c>
      <c r="H57" s="183">
        <f t="shared" si="13"/>
        <v>2.25</v>
      </c>
      <c r="I57" s="183">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0.8</v>
      </c>
      <c r="J57" s="183">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0.7</v>
      </c>
      <c r="K57" s="183">
        <f t="shared" si="14"/>
        <v>0.75</v>
      </c>
      <c r="L57" s="183">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3.2</v>
      </c>
      <c r="M57" s="183">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3.4</v>
      </c>
      <c r="N57" s="183">
        <f t="shared" si="15"/>
        <v>3.3</v>
      </c>
      <c r="O57" s="183">
        <f t="shared" si="16"/>
        <v>2.1</v>
      </c>
      <c r="P57" s="183">
        <f>IF(B57="Regional crisis",VLOOKUP(C57,'Regional Crises'!$B$1:$R$69,12,FALSE),VLOOKUP(E57,'Country Indicator Data'!$B$4:$I$194,8,FALSE))</f>
        <v>3</v>
      </c>
      <c r="Q57" s="183">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4.8</v>
      </c>
      <c r="R57" s="183">
        <f t="shared" si="17"/>
        <v>3.9</v>
      </c>
      <c r="S57" s="183">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3.7</v>
      </c>
      <c r="T57" s="183">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3.5</v>
      </c>
      <c r="U57" s="183">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183">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83">
        <f t="shared" si="18"/>
        <v>3.4</v>
      </c>
      <c r="X57" s="183">
        <f t="shared" si="19"/>
        <v>3.1</v>
      </c>
      <c r="Y57" s="207">
        <f>IF('Core Indicators'!FC54="x","x",IF('Core Indicators'!FC54&gt;=5,5,IF('Core Indicators'!FC54&gt;=4,4,IF('Core Indicators'!FC54&gt;=3,3,IF('Core Indicators'!FC54&gt;=2,2,IF('Core Indicators'!FC54&gt;=1,1,0))))))</f>
        <v>3</v>
      </c>
      <c r="Z57" s="183">
        <f t="shared" si="20"/>
        <v>3</v>
      </c>
      <c r="AA57" s="207">
        <f>'Crisis Indicator Data'!Y54</f>
        <v>0</v>
      </c>
      <c r="AB57" s="207">
        <f>'Crisis Indicator Data'!Z54</f>
        <v>2</v>
      </c>
      <c r="AC57" s="207">
        <f>'Crisis Indicator Data'!AA54</f>
        <v>1</v>
      </c>
      <c r="AD57" s="207">
        <f>'Crisis Indicator Data'!AB54</f>
        <v>1</v>
      </c>
      <c r="AE57" s="207">
        <f t="shared" si="10"/>
        <v>2</v>
      </c>
      <c r="AF57" s="207">
        <f>'Crisis Indicator Data'!AC54</f>
        <v>0</v>
      </c>
      <c r="AG57" s="207">
        <f>'Crisis Indicator Data'!AD54</f>
        <v>2</v>
      </c>
      <c r="AH57" s="207">
        <f t="shared" si="11"/>
        <v>2</v>
      </c>
      <c r="AI57" s="207">
        <f>'Crisis Indicator Data'!AE54</f>
        <v>1</v>
      </c>
      <c r="AJ57" s="207">
        <f>'Crisis Indicator Data'!AF54</f>
        <v>0</v>
      </c>
      <c r="AK57" s="207">
        <f>'Crisis Indicator Data'!AG54</f>
        <v>0</v>
      </c>
      <c r="AL57" s="207">
        <f t="shared" si="12"/>
        <v>1</v>
      </c>
      <c r="AM57" s="183">
        <f t="shared" si="21"/>
        <v>2</v>
      </c>
      <c r="AN57" s="183">
        <f t="shared" si="22"/>
        <v>2.5</v>
      </c>
    </row>
    <row r="58" spans="1:40" ht="13.5" customHeight="1" x14ac:dyDescent="0.3">
      <c r="A58" s="194" t="str">
        <f>'Crisis Indicator Data'!A55</f>
        <v>Multiple Crises in India</v>
      </c>
      <c r="B58" s="195" t="str">
        <f>'Crisis Indicator Data'!B55</f>
        <v>Multiple crises country</v>
      </c>
      <c r="C58" s="195" t="str">
        <f>'Crisis Indicator Data'!C55</f>
        <v>IND001</v>
      </c>
      <c r="D58" s="195" t="str">
        <f>'Crisis Indicator Data'!D55</f>
        <v>India</v>
      </c>
      <c r="E58" s="196" t="str">
        <f>'Crisis Indicator Data'!E55</f>
        <v>IND</v>
      </c>
      <c r="F58" s="183">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2.5</v>
      </c>
      <c r="G58" s="183">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1.4</v>
      </c>
      <c r="H58" s="183">
        <f t="shared" si="13"/>
        <v>1.95</v>
      </c>
      <c r="I58" s="183">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4.4000000000000004</v>
      </c>
      <c r="J58" s="183">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0.1</v>
      </c>
      <c r="K58" s="183">
        <f t="shared" si="14"/>
        <v>2.25</v>
      </c>
      <c r="L58" s="183">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3.3</v>
      </c>
      <c r="M58" s="183">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1.6</v>
      </c>
      <c r="N58" s="183">
        <f t="shared" si="15"/>
        <v>2.4500000000000002</v>
      </c>
      <c r="O58" s="183">
        <f t="shared" si="16"/>
        <v>2.2166666666666668</v>
      </c>
      <c r="P58" s="183">
        <f>IF(B58="Regional crisis",VLOOKUP(C58,'Regional Crises'!$B$1:$R$69,12,FALSE),VLOOKUP(E58,'Country Indicator Data'!$B$4:$I$194,8,FALSE))</f>
        <v>4</v>
      </c>
      <c r="Q58" s="183">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4.8</v>
      </c>
      <c r="R58" s="183">
        <f t="shared" si="17"/>
        <v>4.4000000000000004</v>
      </c>
      <c r="S58" s="183">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v>
      </c>
      <c r="T58" s="183">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2.5</v>
      </c>
      <c r="U58" s="183">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1.5</v>
      </c>
      <c r="V58" s="183">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1.5</v>
      </c>
      <c r="W58" s="183">
        <f t="shared" si="18"/>
        <v>2.1</v>
      </c>
      <c r="X58" s="183">
        <f t="shared" si="19"/>
        <v>2.9</v>
      </c>
      <c r="Y58" s="207" t="str">
        <f>IF('Core Indicators'!FC55="x","x",IF('Core Indicators'!FC55&gt;=5,5,IF('Core Indicators'!FC55&gt;=4,4,IF('Core Indicators'!FC55&gt;=3,3,IF('Core Indicators'!FC55&gt;=2,2,IF('Core Indicators'!FC55&gt;=1,1,0))))))</f>
        <v>x</v>
      </c>
      <c r="Z58" s="183" t="str">
        <f t="shared" si="20"/>
        <v>x</v>
      </c>
      <c r="AA58" s="207" t="str">
        <f>'Crisis Indicator Data'!Y55</f>
        <v>x</v>
      </c>
      <c r="AB58" s="207">
        <f>'Crisis Indicator Data'!Z55</f>
        <v>1</v>
      </c>
      <c r="AC58" s="207" t="str">
        <f>'Crisis Indicator Data'!AA55</f>
        <v>x</v>
      </c>
      <c r="AD58" s="207" t="str">
        <f>'Crisis Indicator Data'!AB55</f>
        <v>x</v>
      </c>
      <c r="AE58" s="207">
        <f t="shared" si="10"/>
        <v>1</v>
      </c>
      <c r="AF58" s="207" t="str">
        <f>'Crisis Indicator Data'!AC55</f>
        <v>x</v>
      </c>
      <c r="AG58" s="207" t="str">
        <f>'Crisis Indicator Data'!AD55</f>
        <v>x</v>
      </c>
      <c r="AH58" s="207">
        <f t="shared" si="11"/>
        <v>0</v>
      </c>
      <c r="AI58" s="207" t="str">
        <f>'Crisis Indicator Data'!AE55</f>
        <v>x</v>
      </c>
      <c r="AJ58" s="207" t="str">
        <f>'Crisis Indicator Data'!AF55</f>
        <v>x</v>
      </c>
      <c r="AK58" s="207" t="str">
        <f>'Crisis Indicator Data'!AG55</f>
        <v>x</v>
      </c>
      <c r="AL58" s="207">
        <f t="shared" si="12"/>
        <v>0</v>
      </c>
      <c r="AM58" s="183">
        <f t="shared" si="21"/>
        <v>0</v>
      </c>
      <c r="AN58" s="183">
        <f t="shared" si="22"/>
        <v>0</v>
      </c>
    </row>
    <row r="59" spans="1:40" ht="13.5" customHeight="1" x14ac:dyDescent="0.3">
      <c r="A59" s="194" t="str">
        <f>'Crisis Indicator Data'!A56</f>
        <v>Conflict in Jammu and Kashmir</v>
      </c>
      <c r="B59" s="195" t="str">
        <f>'Crisis Indicator Data'!B56</f>
        <v>Conflict</v>
      </c>
      <c r="C59" s="195" t="str">
        <f>'Crisis Indicator Data'!C56</f>
        <v>IND002</v>
      </c>
      <c r="D59" s="195" t="str">
        <f>'Crisis Indicator Data'!D56</f>
        <v>India</v>
      </c>
      <c r="E59" s="196" t="str">
        <f>'Crisis Indicator Data'!E56</f>
        <v>IND</v>
      </c>
      <c r="F59" s="183">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2.5</v>
      </c>
      <c r="G59" s="183">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1.4</v>
      </c>
      <c r="H59" s="183">
        <f t="shared" si="13"/>
        <v>1.95</v>
      </c>
      <c r="I59" s="183">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4.4000000000000004</v>
      </c>
      <c r="J59" s="183">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0.1</v>
      </c>
      <c r="K59" s="183">
        <f t="shared" si="14"/>
        <v>2.25</v>
      </c>
      <c r="L59" s="183">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3.3</v>
      </c>
      <c r="M59" s="183">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1.6</v>
      </c>
      <c r="N59" s="183">
        <f t="shared" si="15"/>
        <v>2.4500000000000002</v>
      </c>
      <c r="O59" s="183">
        <f t="shared" si="16"/>
        <v>2.2166666666666668</v>
      </c>
      <c r="P59" s="183">
        <f>IF(B59="Regional crisis",VLOOKUP(C59,'Regional Crises'!$B$1:$R$69,12,FALSE),VLOOKUP(E59,'Country Indicator Data'!$B$4:$I$194,8,FALSE))</f>
        <v>4</v>
      </c>
      <c r="Q59" s="183">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4.8</v>
      </c>
      <c r="R59" s="183">
        <f t="shared" si="17"/>
        <v>4.4000000000000004</v>
      </c>
      <c r="S59" s="183">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v>
      </c>
      <c r="T59" s="183">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2.5</v>
      </c>
      <c r="U59" s="183">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1.5</v>
      </c>
      <c r="V59" s="183">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1.5</v>
      </c>
      <c r="W59" s="183">
        <f t="shared" si="18"/>
        <v>2.1</v>
      </c>
      <c r="X59" s="183">
        <f t="shared" si="19"/>
        <v>2.9</v>
      </c>
      <c r="Y59" s="207" t="str">
        <f>IF('Core Indicators'!FC56="x","x",IF('Core Indicators'!FC56&gt;=5,5,IF('Core Indicators'!FC56&gt;=4,4,IF('Core Indicators'!FC56&gt;=3,3,IF('Core Indicators'!FC56&gt;=2,2,IF('Core Indicators'!FC56&gt;=1,1,0))))))</f>
        <v>x</v>
      </c>
      <c r="Z59" s="183" t="str">
        <f t="shared" si="20"/>
        <v>x</v>
      </c>
      <c r="AA59" s="207">
        <f>'Crisis Indicator Data'!Y56</f>
        <v>1</v>
      </c>
      <c r="AB59" s="207">
        <f>'Crisis Indicator Data'!Z56</f>
        <v>1</v>
      </c>
      <c r="AC59" s="207">
        <f>'Crisis Indicator Data'!AA56</f>
        <v>1</v>
      </c>
      <c r="AD59" s="207">
        <f>'Crisis Indicator Data'!AB56</f>
        <v>0</v>
      </c>
      <c r="AE59" s="207">
        <f t="shared" si="10"/>
        <v>2</v>
      </c>
      <c r="AF59" s="207">
        <f>'Crisis Indicator Data'!AC56</f>
        <v>1</v>
      </c>
      <c r="AG59" s="207">
        <f>'Crisis Indicator Data'!AD56</f>
        <v>1</v>
      </c>
      <c r="AH59" s="207">
        <f t="shared" si="11"/>
        <v>2</v>
      </c>
      <c r="AI59" s="207">
        <f>'Crisis Indicator Data'!AE56</f>
        <v>1</v>
      </c>
      <c r="AJ59" s="207">
        <f>'Crisis Indicator Data'!AF56</f>
        <v>1</v>
      </c>
      <c r="AK59" s="207">
        <f>'Crisis Indicator Data'!AG56</f>
        <v>1</v>
      </c>
      <c r="AL59" s="207">
        <f t="shared" si="12"/>
        <v>3</v>
      </c>
      <c r="AM59" s="183">
        <f t="shared" si="21"/>
        <v>2</v>
      </c>
      <c r="AN59" s="183">
        <f t="shared" si="22"/>
        <v>2</v>
      </c>
    </row>
    <row r="60" spans="1:40" ht="13.5" customHeight="1" x14ac:dyDescent="0.3">
      <c r="A60" s="194" t="str">
        <f>'Crisis Indicator Data'!A57</f>
        <v>Cyclone Amphan India</v>
      </c>
      <c r="B60" s="195" t="str">
        <f>'Crisis Indicator Data'!B57</f>
        <v>Tropical cyclone</v>
      </c>
      <c r="C60" s="195" t="str">
        <f>'Crisis Indicator Data'!C57</f>
        <v>IND003</v>
      </c>
      <c r="D60" s="195" t="str">
        <f>'Crisis Indicator Data'!D57</f>
        <v>India</v>
      </c>
      <c r="E60" s="196" t="str">
        <f>'Crisis Indicator Data'!E57</f>
        <v>IND</v>
      </c>
      <c r="F60" s="183">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2.5</v>
      </c>
      <c r="G60" s="183">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1.4</v>
      </c>
      <c r="H60" s="183">
        <f t="shared" si="13"/>
        <v>1.95</v>
      </c>
      <c r="I60" s="183">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4.4000000000000004</v>
      </c>
      <c r="J60" s="183">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0.1</v>
      </c>
      <c r="K60" s="183">
        <f t="shared" si="14"/>
        <v>2.25</v>
      </c>
      <c r="L60" s="183">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3.3</v>
      </c>
      <c r="M60" s="183">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1.6</v>
      </c>
      <c r="N60" s="183">
        <f t="shared" si="15"/>
        <v>2.4500000000000002</v>
      </c>
      <c r="O60" s="183">
        <f t="shared" si="16"/>
        <v>2.2166666666666668</v>
      </c>
      <c r="P60" s="183">
        <f>IF(B60="Regional crisis",VLOOKUP(C60,'Regional Crises'!$B$1:$R$69,12,FALSE),VLOOKUP(E60,'Country Indicator Data'!$B$4:$I$194,8,FALSE))</f>
        <v>4</v>
      </c>
      <c r="Q60" s="183">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4.8</v>
      </c>
      <c r="R60" s="183">
        <f t="shared" si="17"/>
        <v>4.4000000000000004</v>
      </c>
      <c r="S60" s="183">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83">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2.5</v>
      </c>
      <c r="U60" s="183">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1.5</v>
      </c>
      <c r="V60" s="183">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1.5</v>
      </c>
      <c r="W60" s="183">
        <f t="shared" si="18"/>
        <v>2.1</v>
      </c>
      <c r="X60" s="183">
        <f t="shared" si="19"/>
        <v>2.9</v>
      </c>
      <c r="Y60" s="207" t="str">
        <f>IF('Core Indicators'!FC57="x","x",IF('Core Indicators'!FC57&gt;=5,5,IF('Core Indicators'!FC57&gt;=4,4,IF('Core Indicators'!FC57&gt;=3,3,IF('Core Indicators'!FC57&gt;=2,2,IF('Core Indicators'!FC57&gt;=1,1,0))))))</f>
        <v>x</v>
      </c>
      <c r="Z60" s="183" t="str">
        <f t="shared" si="20"/>
        <v>x</v>
      </c>
      <c r="AA60" s="207" t="str">
        <f>'Crisis Indicator Data'!Y57</f>
        <v>x</v>
      </c>
      <c r="AB60" s="207" t="str">
        <f>'Crisis Indicator Data'!Z57</f>
        <v>x</v>
      </c>
      <c r="AC60" s="207" t="str">
        <f>'Crisis Indicator Data'!AA57</f>
        <v>x</v>
      </c>
      <c r="AD60" s="207" t="str">
        <f>'Crisis Indicator Data'!AB57</f>
        <v>x</v>
      </c>
      <c r="AE60" s="207">
        <f t="shared" si="10"/>
        <v>0</v>
      </c>
      <c r="AF60" s="207" t="str">
        <f>'Crisis Indicator Data'!AC57</f>
        <v>x</v>
      </c>
      <c r="AG60" s="207" t="str">
        <f>'Crisis Indicator Data'!AD57</f>
        <v>x</v>
      </c>
      <c r="AH60" s="207">
        <f t="shared" si="11"/>
        <v>0</v>
      </c>
      <c r="AI60" s="207" t="str">
        <f>'Crisis Indicator Data'!AE57</f>
        <v>x</v>
      </c>
      <c r="AJ60" s="207" t="str">
        <f>'Crisis Indicator Data'!AF57</f>
        <v>x</v>
      </c>
      <c r="AK60" s="207" t="str">
        <f>'Crisis Indicator Data'!AG57</f>
        <v>x</v>
      </c>
      <c r="AL60" s="207">
        <f t="shared" si="12"/>
        <v>0</v>
      </c>
      <c r="AM60" s="183">
        <f t="shared" si="21"/>
        <v>0</v>
      </c>
      <c r="AN60" s="183">
        <f t="shared" si="22"/>
        <v>0</v>
      </c>
    </row>
    <row r="61" spans="1:40" ht="13.5" customHeight="1" x14ac:dyDescent="0.3">
      <c r="A61" s="194" t="str">
        <f>'Crisis Indicator Data'!A58</f>
        <v>Floods in India</v>
      </c>
      <c r="B61" s="195" t="str">
        <f>'Crisis Indicator Data'!B58</f>
        <v>Flood</v>
      </c>
      <c r="C61" s="195" t="str">
        <f>'Crisis Indicator Data'!C58</f>
        <v>IND005</v>
      </c>
      <c r="D61" s="195" t="str">
        <f>'Crisis Indicator Data'!D58</f>
        <v>India</v>
      </c>
      <c r="E61" s="196" t="str">
        <f>'Crisis Indicator Data'!E58</f>
        <v>IND</v>
      </c>
      <c r="F61" s="183">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2.5</v>
      </c>
      <c r="G61" s="183">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1.4</v>
      </c>
      <c r="H61" s="183">
        <f t="shared" si="13"/>
        <v>1.95</v>
      </c>
      <c r="I61" s="183">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4.4000000000000004</v>
      </c>
      <c r="J61" s="183">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0.1</v>
      </c>
      <c r="K61" s="183">
        <f t="shared" si="14"/>
        <v>2.25</v>
      </c>
      <c r="L61" s="183">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83">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1.6</v>
      </c>
      <c r="N61" s="183">
        <f t="shared" si="15"/>
        <v>2.4500000000000002</v>
      </c>
      <c r="O61" s="183">
        <f t="shared" si="16"/>
        <v>2.2166666666666668</v>
      </c>
      <c r="P61" s="183">
        <f>IF(B61="Regional crisis",VLOOKUP(C61,'Regional Crises'!$B$1:$R$69,12,FALSE),VLOOKUP(E61,'Country Indicator Data'!$B$4:$I$194,8,FALSE))</f>
        <v>4</v>
      </c>
      <c r="Q61" s="183">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4.8</v>
      </c>
      <c r="R61" s="183">
        <f t="shared" si="17"/>
        <v>4.4000000000000004</v>
      </c>
      <c r="S61" s="183">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83">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2.5</v>
      </c>
      <c r="U61" s="183">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1.5</v>
      </c>
      <c r="V61" s="183">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1.5</v>
      </c>
      <c r="W61" s="183">
        <f t="shared" si="18"/>
        <v>2.1</v>
      </c>
      <c r="X61" s="183">
        <f t="shared" si="19"/>
        <v>2.9</v>
      </c>
      <c r="Y61" s="207">
        <f>IF('Core Indicators'!FC58="x","x",IF('Core Indicators'!FC58&gt;=5,5,IF('Core Indicators'!FC58&gt;=4,4,IF('Core Indicators'!FC58&gt;=3,3,IF('Core Indicators'!FC58&gt;=2,2,IF('Core Indicators'!FC58&gt;=1,1,0))))))</f>
        <v>2</v>
      </c>
      <c r="Z61" s="183">
        <f t="shared" si="20"/>
        <v>2</v>
      </c>
      <c r="AA61" s="207">
        <f>'Crisis Indicator Data'!Y58</f>
        <v>1</v>
      </c>
      <c r="AB61" s="207">
        <f>'Crisis Indicator Data'!Z58</f>
        <v>1</v>
      </c>
      <c r="AC61" s="207">
        <f>'Crisis Indicator Data'!AA58</f>
        <v>0</v>
      </c>
      <c r="AD61" s="207">
        <f>'Crisis Indicator Data'!AB58</f>
        <v>0</v>
      </c>
      <c r="AE61" s="207">
        <f t="shared" si="10"/>
        <v>2</v>
      </c>
      <c r="AF61" s="207">
        <f>'Crisis Indicator Data'!AC58</f>
        <v>0</v>
      </c>
      <c r="AG61" s="207">
        <f>'Crisis Indicator Data'!AD58</f>
        <v>2</v>
      </c>
      <c r="AH61" s="207">
        <f t="shared" si="11"/>
        <v>2</v>
      </c>
      <c r="AI61" s="207">
        <f>'Crisis Indicator Data'!AE58</f>
        <v>0</v>
      </c>
      <c r="AJ61" s="207">
        <f>'Crisis Indicator Data'!AF58</f>
        <v>0</v>
      </c>
      <c r="AK61" s="207">
        <f>'Crisis Indicator Data'!AG58</f>
        <v>3</v>
      </c>
      <c r="AL61" s="207">
        <f t="shared" si="12"/>
        <v>3</v>
      </c>
      <c r="AM61" s="183">
        <f t="shared" si="21"/>
        <v>2</v>
      </c>
      <c r="AN61" s="183">
        <f t="shared" si="22"/>
        <v>2</v>
      </c>
    </row>
    <row r="62" spans="1:40" ht="13.5" customHeight="1" x14ac:dyDescent="0.3">
      <c r="A62" s="194" t="str">
        <f>'Crisis Indicator Data'!A59</f>
        <v>Regional Kashmir conflict</v>
      </c>
      <c r="B62" s="195" t="str">
        <f>'Crisis Indicator Data'!B59</f>
        <v>Regional crisis</v>
      </c>
      <c r="C62" s="195" t="str">
        <f>'Crisis Indicator Data'!C59</f>
        <v>REG003</v>
      </c>
      <c r="D62" s="195" t="str">
        <f>'Crisis Indicator Data'!D59</f>
        <v>India, Pakistan</v>
      </c>
      <c r="E62" s="196" t="str">
        <f>'Crisis Indicator Data'!E59</f>
        <v>IND, PAK</v>
      </c>
      <c r="F62" s="183">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3.2</v>
      </c>
      <c r="G62" s="183">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83">
        <f t="shared" si="13"/>
        <v>2.75</v>
      </c>
      <c r="I62" s="183">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3.8</v>
      </c>
      <c r="J62" s="183">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0.8</v>
      </c>
      <c r="K62" s="183">
        <f t="shared" si="14"/>
        <v>2.2999999999999998</v>
      </c>
      <c r="L62" s="183">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3.5</v>
      </c>
      <c r="M62" s="183">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1.3</v>
      </c>
      <c r="N62" s="183">
        <f t="shared" si="15"/>
        <v>2.4</v>
      </c>
      <c r="O62" s="183">
        <f t="shared" si="16"/>
        <v>2.4833333333333329</v>
      </c>
      <c r="P62" s="183">
        <f>IF(B62="Regional crisis",VLOOKUP(C62,'Regional Crises'!$B$1:$R$69,12,FALSE),VLOOKUP(E62,'Country Indicator Data'!$B$4:$I$194,8,FALSE))</f>
        <v>3.5</v>
      </c>
      <c r="Q62" s="183">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5</v>
      </c>
      <c r="R62" s="183">
        <f t="shared" si="17"/>
        <v>4.25</v>
      </c>
      <c r="S62" s="183">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3.2</v>
      </c>
      <c r="T62" s="183">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2.8</v>
      </c>
      <c r="U62" s="183">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2.4</v>
      </c>
      <c r="V62" s="183">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2.2999999999999998</v>
      </c>
      <c r="W62" s="183">
        <f t="shared" si="18"/>
        <v>2.7</v>
      </c>
      <c r="X62" s="183">
        <f t="shared" si="19"/>
        <v>3.1</v>
      </c>
      <c r="Y62" s="207">
        <f>IF('Core Indicators'!FC59="x","x",IF('Core Indicators'!FC59&gt;=5,5,IF('Core Indicators'!FC59&gt;=4,4,IF('Core Indicators'!FC59&gt;=3,3,IF('Core Indicators'!FC59&gt;=2,2,IF('Core Indicators'!FC59&gt;=1,1,0))))))</f>
        <v>3</v>
      </c>
      <c r="Z62" s="183">
        <f t="shared" si="20"/>
        <v>3</v>
      </c>
      <c r="AA62" s="207">
        <f>'Crisis Indicator Data'!Y59</f>
        <v>1</v>
      </c>
      <c r="AB62" s="207">
        <f>'Crisis Indicator Data'!Z59</f>
        <v>1</v>
      </c>
      <c r="AC62" s="207">
        <f>'Crisis Indicator Data'!AA59</f>
        <v>1</v>
      </c>
      <c r="AD62" s="207">
        <f>'Crisis Indicator Data'!AB59</f>
        <v>0</v>
      </c>
      <c r="AE62" s="207">
        <f t="shared" si="10"/>
        <v>2</v>
      </c>
      <c r="AF62" s="207">
        <f>'Crisis Indicator Data'!AC59</f>
        <v>0</v>
      </c>
      <c r="AG62" s="207">
        <f>'Crisis Indicator Data'!AD59</f>
        <v>2</v>
      </c>
      <c r="AH62" s="207">
        <f t="shared" si="11"/>
        <v>2</v>
      </c>
      <c r="AI62" s="207">
        <f>'Crisis Indicator Data'!AE59</f>
        <v>1</v>
      </c>
      <c r="AJ62" s="207">
        <f>'Crisis Indicator Data'!AF59</f>
        <v>1</v>
      </c>
      <c r="AK62" s="207">
        <f>'Crisis Indicator Data'!AG59</f>
        <v>2</v>
      </c>
      <c r="AL62" s="207">
        <f t="shared" si="12"/>
        <v>3</v>
      </c>
      <c r="AM62" s="183">
        <f t="shared" si="21"/>
        <v>2</v>
      </c>
      <c r="AN62" s="183">
        <f t="shared" si="22"/>
        <v>2.5</v>
      </c>
    </row>
    <row r="63" spans="1:40" ht="13.5" customHeight="1" x14ac:dyDescent="0.3">
      <c r="A63" s="194" t="str">
        <f>'Crisis Indicator Data'!A60</f>
        <v>Papua Conflict</v>
      </c>
      <c r="B63" s="195" t="str">
        <f>'Crisis Indicator Data'!B60</f>
        <v>Conflict</v>
      </c>
      <c r="C63" s="195" t="str">
        <f>'Crisis Indicator Data'!C60</f>
        <v>IDN002</v>
      </c>
      <c r="D63" s="195" t="str">
        <f>'Crisis Indicator Data'!D60</f>
        <v>Indonesia</v>
      </c>
      <c r="E63" s="196" t="str">
        <f>'Crisis Indicator Data'!E60</f>
        <v>IDN</v>
      </c>
      <c r="F63" s="183">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3.2</v>
      </c>
      <c r="G63" s="183">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1.8</v>
      </c>
      <c r="H63" s="183">
        <f t="shared" si="13"/>
        <v>2.5</v>
      </c>
      <c r="I63" s="183">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3.9</v>
      </c>
      <c r="J63" s="183">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83">
        <f t="shared" si="14"/>
        <v>2.5</v>
      </c>
      <c r="L63" s="183">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v>
      </c>
      <c r="M63" s="183">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1.8</v>
      </c>
      <c r="N63" s="183">
        <f t="shared" si="15"/>
        <v>2.4</v>
      </c>
      <c r="O63" s="183">
        <f t="shared" si="16"/>
        <v>2.4666666666666668</v>
      </c>
      <c r="P63" s="183">
        <f>IF(B63="Regional crisis",VLOOKUP(C63,'Regional Crises'!$B$1:$R$69,12,FALSE),VLOOKUP(E63,'Country Indicator Data'!$B$4:$I$194,8,FALSE))</f>
        <v>4</v>
      </c>
      <c r="Q63" s="183">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2.2000000000000002</v>
      </c>
      <c r="R63" s="183">
        <f t="shared" si="17"/>
        <v>3.1</v>
      </c>
      <c r="S63" s="183">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v>
      </c>
      <c r="T63" s="183">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2.8</v>
      </c>
      <c r="U63" s="183">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v>
      </c>
      <c r="V63" s="183">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2</v>
      </c>
      <c r="W63" s="183">
        <f t="shared" si="18"/>
        <v>2.5</v>
      </c>
      <c r="X63" s="183">
        <f t="shared" si="19"/>
        <v>2.7</v>
      </c>
      <c r="Y63" s="207">
        <f>IF('Core Indicators'!FC60="x","x",IF('Core Indicators'!FC60&gt;=5,5,IF('Core Indicators'!FC60&gt;=4,4,IF('Core Indicators'!FC60&gt;=3,3,IF('Core Indicators'!FC60&gt;=2,2,IF('Core Indicators'!FC60&gt;=1,1,0))))))</f>
        <v>4</v>
      </c>
      <c r="Z63" s="183">
        <f t="shared" si="20"/>
        <v>4</v>
      </c>
      <c r="AA63" s="207">
        <f>'Crisis Indicator Data'!Y60</f>
        <v>0</v>
      </c>
      <c r="AB63" s="207">
        <f>'Crisis Indicator Data'!Z60</f>
        <v>2</v>
      </c>
      <c r="AC63" s="207">
        <f>'Crisis Indicator Data'!AA60</f>
        <v>2</v>
      </c>
      <c r="AD63" s="207">
        <f>'Crisis Indicator Data'!AB60</f>
        <v>0</v>
      </c>
      <c r="AE63" s="207">
        <f t="shared" si="10"/>
        <v>2</v>
      </c>
      <c r="AF63" s="207">
        <f>'Crisis Indicator Data'!AC60</f>
        <v>1</v>
      </c>
      <c r="AG63" s="207">
        <f>'Crisis Indicator Data'!AD60</f>
        <v>1</v>
      </c>
      <c r="AH63" s="207">
        <f t="shared" si="11"/>
        <v>2</v>
      </c>
      <c r="AI63" s="207">
        <f>'Crisis Indicator Data'!AE60</f>
        <v>1</v>
      </c>
      <c r="AJ63" s="207">
        <f>'Crisis Indicator Data'!AF60</f>
        <v>1</v>
      </c>
      <c r="AK63" s="207">
        <f>'Crisis Indicator Data'!AG60</f>
        <v>1</v>
      </c>
      <c r="AL63" s="207">
        <f t="shared" si="12"/>
        <v>3</v>
      </c>
      <c r="AM63" s="183">
        <f t="shared" si="21"/>
        <v>2</v>
      </c>
      <c r="AN63" s="183">
        <f t="shared" si="22"/>
        <v>3</v>
      </c>
    </row>
    <row r="64" spans="1:40" ht="13.5" customHeight="1" x14ac:dyDescent="0.3">
      <c r="A64" s="194" t="str">
        <f>'Crisis Indicator Data'!A61</f>
        <v>Afghan Refugees in Iran</v>
      </c>
      <c r="B64" s="195" t="str">
        <f>'Crisis Indicator Data'!B61</f>
        <v>International displacement</v>
      </c>
      <c r="C64" s="195" t="str">
        <f>'Crisis Indicator Data'!C61</f>
        <v>IRN004</v>
      </c>
      <c r="D64" s="195" t="str">
        <f>'Crisis Indicator Data'!D61</f>
        <v>Iran</v>
      </c>
      <c r="E64" s="196" t="str">
        <f>'Crisis Indicator Data'!E61</f>
        <v>IRN</v>
      </c>
      <c r="F64" s="183">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5</v>
      </c>
      <c r="G64" s="183">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3.6</v>
      </c>
      <c r="H64" s="183">
        <f t="shared" si="13"/>
        <v>4.3</v>
      </c>
      <c r="I64" s="183">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3.4</v>
      </c>
      <c r="J64" s="183">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1.6</v>
      </c>
      <c r="K64" s="183">
        <f t="shared" si="14"/>
        <v>2.5</v>
      </c>
      <c r="L64" s="183">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3.3</v>
      </c>
      <c r="M64" s="183">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v>
      </c>
      <c r="N64" s="183">
        <f t="shared" si="15"/>
        <v>2.65</v>
      </c>
      <c r="O64" s="183">
        <f t="shared" si="16"/>
        <v>3.15</v>
      </c>
      <c r="P64" s="183">
        <f>IF(B64="Regional crisis",VLOOKUP(C64,'Regional Crises'!$B$1:$R$69,12,FALSE),VLOOKUP(E64,'Country Indicator Data'!$B$4:$I$194,8,FALSE))</f>
        <v>3</v>
      </c>
      <c r="Q64" s="183">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0</v>
      </c>
      <c r="R64" s="183">
        <f t="shared" si="17"/>
        <v>1.5</v>
      </c>
      <c r="S64" s="183">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3.7</v>
      </c>
      <c r="T64" s="183">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83">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3.9</v>
      </c>
      <c r="V64" s="183">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4.2</v>
      </c>
      <c r="W64" s="183">
        <f t="shared" si="18"/>
        <v>3.8</v>
      </c>
      <c r="X64" s="183">
        <f t="shared" si="19"/>
        <v>2.8</v>
      </c>
      <c r="Y64" s="207">
        <f>IF('Core Indicators'!FC61="x","x",IF('Core Indicators'!FC61&gt;=5,5,IF('Core Indicators'!FC61&gt;=4,4,IF('Core Indicators'!FC61&gt;=3,3,IF('Core Indicators'!FC61&gt;=2,2,IF('Core Indicators'!FC61&gt;=1,1,0))))))</f>
        <v>2</v>
      </c>
      <c r="Z64" s="183">
        <f t="shared" si="20"/>
        <v>2</v>
      </c>
      <c r="AA64" s="207">
        <f>'Crisis Indicator Data'!Y61</f>
        <v>2</v>
      </c>
      <c r="AB64" s="207">
        <f>'Crisis Indicator Data'!Z61</f>
        <v>1</v>
      </c>
      <c r="AC64" s="207">
        <f>'Crisis Indicator Data'!AA61</f>
        <v>3</v>
      </c>
      <c r="AD64" s="207">
        <f>'Crisis Indicator Data'!AB61</f>
        <v>0</v>
      </c>
      <c r="AE64" s="207">
        <f t="shared" si="10"/>
        <v>3</v>
      </c>
      <c r="AF64" s="207">
        <f>'Crisis Indicator Data'!AC61</f>
        <v>2</v>
      </c>
      <c r="AG64" s="207">
        <f>'Crisis Indicator Data'!AD61</f>
        <v>2</v>
      </c>
      <c r="AH64" s="207">
        <f t="shared" si="11"/>
        <v>4</v>
      </c>
      <c r="AI64" s="207">
        <f>'Crisis Indicator Data'!AE61</f>
        <v>1</v>
      </c>
      <c r="AJ64" s="207">
        <f>'Crisis Indicator Data'!AF61</f>
        <v>0</v>
      </c>
      <c r="AK64" s="207">
        <f>'Crisis Indicator Data'!AG61</f>
        <v>3</v>
      </c>
      <c r="AL64" s="207">
        <f t="shared" si="12"/>
        <v>3</v>
      </c>
      <c r="AM64" s="183">
        <f t="shared" si="21"/>
        <v>3</v>
      </c>
      <c r="AN64" s="183">
        <f t="shared" si="22"/>
        <v>2.5</v>
      </c>
    </row>
    <row r="65" spans="1:40" ht="13.5" customHeight="1" x14ac:dyDescent="0.3">
      <c r="A65" s="194" t="str">
        <f>'Crisis Indicator Data'!A62</f>
        <v>Multiple crises in Iraq</v>
      </c>
      <c r="B65" s="195" t="str">
        <f>'Crisis Indicator Data'!B62</f>
        <v>Multiple crises country</v>
      </c>
      <c r="C65" s="195" t="str">
        <f>'Crisis Indicator Data'!C62</f>
        <v>IRQ001</v>
      </c>
      <c r="D65" s="195" t="str">
        <f>'Crisis Indicator Data'!D62</f>
        <v>Iraq</v>
      </c>
      <c r="E65" s="196" t="str">
        <f>'Crisis Indicator Data'!E62</f>
        <v>IRQ</v>
      </c>
      <c r="F65" s="183">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4.3</v>
      </c>
      <c r="G65" s="183">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v>
      </c>
      <c r="H65" s="183">
        <f t="shared" si="13"/>
        <v>3.65</v>
      </c>
      <c r="I65" s="183">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2.7</v>
      </c>
      <c r="J65" s="183">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0</v>
      </c>
      <c r="K65" s="183">
        <f t="shared" si="14"/>
        <v>1.35</v>
      </c>
      <c r="L65" s="183">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3.6</v>
      </c>
      <c r="M65" s="183">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0.6</v>
      </c>
      <c r="N65" s="183">
        <f t="shared" si="15"/>
        <v>2.1</v>
      </c>
      <c r="O65" s="183">
        <f t="shared" si="16"/>
        <v>2.3666666666666667</v>
      </c>
      <c r="P65" s="183">
        <f>IF(B65="Regional crisis",VLOOKUP(C65,'Regional Crises'!$B$1:$R$69,12,FALSE),VLOOKUP(E65,'Country Indicator Data'!$B$4:$I$194,8,FALSE))</f>
        <v>4</v>
      </c>
      <c r="Q65" s="183">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4.5</v>
      </c>
      <c r="R65" s="183">
        <f t="shared" si="17"/>
        <v>4.25</v>
      </c>
      <c r="S65" s="183">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4</v>
      </c>
      <c r="T65" s="183">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4.2</v>
      </c>
      <c r="U65" s="183">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3.1</v>
      </c>
      <c r="V65" s="183">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3.5</v>
      </c>
      <c r="W65" s="183">
        <f t="shared" si="18"/>
        <v>3.7</v>
      </c>
      <c r="X65" s="183">
        <f t="shared" si="19"/>
        <v>3.4</v>
      </c>
      <c r="Y65" s="207">
        <f>IF('Core Indicators'!FC62="x","x",IF('Core Indicators'!FC62&gt;=5,5,IF('Core Indicators'!FC62&gt;=4,4,IF('Core Indicators'!FC62&gt;=3,3,IF('Core Indicators'!FC62&gt;=2,2,IF('Core Indicators'!FC62&gt;=1,1,0))))))</f>
        <v>5</v>
      </c>
      <c r="Z65" s="183">
        <f t="shared" si="20"/>
        <v>5</v>
      </c>
      <c r="AA65" s="207">
        <f>'Crisis Indicator Data'!Y62</f>
        <v>1</v>
      </c>
      <c r="AB65" s="207">
        <f>'Crisis Indicator Data'!Z62</f>
        <v>2</v>
      </c>
      <c r="AC65" s="207">
        <f>'Crisis Indicator Data'!AA62</f>
        <v>1</v>
      </c>
      <c r="AD65" s="207">
        <f>'Crisis Indicator Data'!AB62</f>
        <v>0</v>
      </c>
      <c r="AE65" s="207">
        <f t="shared" si="10"/>
        <v>2</v>
      </c>
      <c r="AF65" s="207">
        <f>'Crisis Indicator Data'!AC62</f>
        <v>0</v>
      </c>
      <c r="AG65" s="207">
        <f>'Crisis Indicator Data'!AD62</f>
        <v>3</v>
      </c>
      <c r="AH65" s="207">
        <f t="shared" si="11"/>
        <v>3</v>
      </c>
      <c r="AI65" s="207">
        <f>'Crisis Indicator Data'!AE62</f>
        <v>1</v>
      </c>
      <c r="AJ65" s="207">
        <f>'Crisis Indicator Data'!AF62</f>
        <v>3</v>
      </c>
      <c r="AK65" s="207">
        <f>'Crisis Indicator Data'!AG62</f>
        <v>2</v>
      </c>
      <c r="AL65" s="207">
        <f t="shared" si="12"/>
        <v>4</v>
      </c>
      <c r="AM65" s="183">
        <f t="shared" si="21"/>
        <v>3</v>
      </c>
      <c r="AN65" s="183">
        <f t="shared" si="22"/>
        <v>4</v>
      </c>
    </row>
    <row r="66" spans="1:40" ht="13.5" customHeight="1" x14ac:dyDescent="0.3">
      <c r="A66" s="194" t="str">
        <f>'Crisis Indicator Data'!A63</f>
        <v>Conflict  in Iraq</v>
      </c>
      <c r="B66" s="195" t="str">
        <f>'Crisis Indicator Data'!B63</f>
        <v>Conflict</v>
      </c>
      <c r="C66" s="195" t="str">
        <f>'Crisis Indicator Data'!C63</f>
        <v>IRQ002</v>
      </c>
      <c r="D66" s="195" t="str">
        <f>'Crisis Indicator Data'!D63</f>
        <v>Iraq</v>
      </c>
      <c r="E66" s="196" t="str">
        <f>'Crisis Indicator Data'!E63</f>
        <v>IRQ</v>
      </c>
      <c r="F66" s="183">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4.3</v>
      </c>
      <c r="G66" s="183">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v>
      </c>
      <c r="H66" s="183">
        <f t="shared" si="13"/>
        <v>3.65</v>
      </c>
      <c r="I66" s="183">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2.7</v>
      </c>
      <c r="J66" s="183">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83">
        <f t="shared" si="14"/>
        <v>1.35</v>
      </c>
      <c r="L66" s="183">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3.6</v>
      </c>
      <c r="M66" s="183">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0.6</v>
      </c>
      <c r="N66" s="183">
        <f t="shared" si="15"/>
        <v>2.1</v>
      </c>
      <c r="O66" s="183">
        <f t="shared" si="16"/>
        <v>2.3666666666666667</v>
      </c>
      <c r="P66" s="183">
        <f>IF(B66="Regional crisis",VLOOKUP(C66,'Regional Crises'!$B$1:$R$69,12,FALSE),VLOOKUP(E66,'Country Indicator Data'!$B$4:$I$194,8,FALSE))</f>
        <v>4</v>
      </c>
      <c r="Q66" s="183">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4.5</v>
      </c>
      <c r="R66" s="183">
        <f t="shared" si="17"/>
        <v>4.25</v>
      </c>
      <c r="S66" s="183">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4</v>
      </c>
      <c r="T66" s="183">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4.2</v>
      </c>
      <c r="U66" s="183">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3.1</v>
      </c>
      <c r="V66" s="183">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3.5</v>
      </c>
      <c r="W66" s="183">
        <f t="shared" si="18"/>
        <v>3.7</v>
      </c>
      <c r="X66" s="183">
        <f t="shared" si="19"/>
        <v>3.4</v>
      </c>
      <c r="Y66" s="207">
        <f>IF('Core Indicators'!FC63="x","x",IF('Core Indicators'!FC63&gt;=5,5,IF('Core Indicators'!FC63&gt;=4,4,IF('Core Indicators'!FC63&gt;=3,3,IF('Core Indicators'!FC63&gt;=2,2,IF('Core Indicators'!FC63&gt;=1,1,0))))))</f>
        <v>5</v>
      </c>
      <c r="Z66" s="183">
        <f t="shared" si="20"/>
        <v>5</v>
      </c>
      <c r="AA66" s="207">
        <f>'Crisis Indicator Data'!Y63</f>
        <v>1</v>
      </c>
      <c r="AB66" s="207">
        <f>'Crisis Indicator Data'!Z63</f>
        <v>2</v>
      </c>
      <c r="AC66" s="207">
        <f>'Crisis Indicator Data'!AA63</f>
        <v>1</v>
      </c>
      <c r="AD66" s="207">
        <f>'Crisis Indicator Data'!AB63</f>
        <v>0</v>
      </c>
      <c r="AE66" s="207">
        <f t="shared" si="10"/>
        <v>2</v>
      </c>
      <c r="AF66" s="207">
        <f>'Crisis Indicator Data'!AC63</f>
        <v>0</v>
      </c>
      <c r="AG66" s="207">
        <f>'Crisis Indicator Data'!AD63</f>
        <v>3</v>
      </c>
      <c r="AH66" s="207">
        <f t="shared" si="11"/>
        <v>3</v>
      </c>
      <c r="AI66" s="207">
        <f>'Crisis Indicator Data'!AE63</f>
        <v>1</v>
      </c>
      <c r="AJ66" s="207">
        <f>'Crisis Indicator Data'!AF63</f>
        <v>3</v>
      </c>
      <c r="AK66" s="207">
        <f>'Crisis Indicator Data'!AG63</f>
        <v>2</v>
      </c>
      <c r="AL66" s="207">
        <f t="shared" si="12"/>
        <v>4</v>
      </c>
      <c r="AM66" s="183">
        <f t="shared" si="21"/>
        <v>3</v>
      </c>
      <c r="AN66" s="183">
        <f t="shared" si="22"/>
        <v>4</v>
      </c>
    </row>
    <row r="67" spans="1:40" ht="13.5" customHeight="1" x14ac:dyDescent="0.3">
      <c r="A67" s="194" t="str">
        <f>'Crisis Indicator Data'!A64</f>
        <v>Syrian and Palestinian refugees in iraq</v>
      </c>
      <c r="B67" s="195" t="str">
        <f>'Crisis Indicator Data'!B64</f>
        <v>International displacement</v>
      </c>
      <c r="C67" s="195" t="str">
        <f>'Crisis Indicator Data'!C64</f>
        <v>IRQ003</v>
      </c>
      <c r="D67" s="195" t="str">
        <f>'Crisis Indicator Data'!D64</f>
        <v>Iraq</v>
      </c>
      <c r="E67" s="196" t="str">
        <f>'Crisis Indicator Data'!E64</f>
        <v>IRQ</v>
      </c>
      <c r="F67" s="183">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4.3</v>
      </c>
      <c r="G67" s="183">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v>
      </c>
      <c r="H67" s="183">
        <f t="shared" si="13"/>
        <v>3.65</v>
      </c>
      <c r="I67" s="183">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2.7</v>
      </c>
      <c r="J67" s="183">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v>
      </c>
      <c r="K67" s="183">
        <f t="shared" si="14"/>
        <v>1.35</v>
      </c>
      <c r="L67" s="183">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83">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0.6</v>
      </c>
      <c r="N67" s="183">
        <f t="shared" si="15"/>
        <v>2.1</v>
      </c>
      <c r="O67" s="183">
        <f t="shared" si="16"/>
        <v>2.3666666666666667</v>
      </c>
      <c r="P67" s="183">
        <f>IF(B67="Regional crisis",VLOOKUP(C67,'Regional Crises'!$B$1:$R$69,12,FALSE),VLOOKUP(E67,'Country Indicator Data'!$B$4:$I$194,8,FALSE))</f>
        <v>4</v>
      </c>
      <c r="Q67" s="183">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4.5</v>
      </c>
      <c r="R67" s="183">
        <f t="shared" si="17"/>
        <v>4.25</v>
      </c>
      <c r="S67" s="183">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4</v>
      </c>
      <c r="T67" s="183">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4.2</v>
      </c>
      <c r="U67" s="183">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3.1</v>
      </c>
      <c r="V67" s="183">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83">
        <f t="shared" si="18"/>
        <v>3.7</v>
      </c>
      <c r="X67" s="183">
        <f t="shared" si="19"/>
        <v>3.4</v>
      </c>
      <c r="Y67" s="207">
        <f>IF('Core Indicators'!FC64="x","x",IF('Core Indicators'!FC64&gt;=5,5,IF('Core Indicators'!FC64&gt;=4,4,IF('Core Indicators'!FC64&gt;=3,3,IF('Core Indicators'!FC64&gt;=2,2,IF('Core Indicators'!FC64&gt;=1,1,0))))))</f>
        <v>5</v>
      </c>
      <c r="Z67" s="183">
        <f t="shared" si="20"/>
        <v>5</v>
      </c>
      <c r="AA67" s="207">
        <f>'Crisis Indicator Data'!Y64</f>
        <v>0</v>
      </c>
      <c r="AB67" s="207">
        <f>'Crisis Indicator Data'!Z64</f>
        <v>2</v>
      </c>
      <c r="AC67" s="207">
        <f>'Crisis Indicator Data'!AA64</f>
        <v>0</v>
      </c>
      <c r="AD67" s="207">
        <f>'Crisis Indicator Data'!AB64</f>
        <v>0</v>
      </c>
      <c r="AE67" s="207">
        <f t="shared" si="10"/>
        <v>2</v>
      </c>
      <c r="AF67" s="207">
        <f>'Crisis Indicator Data'!AC64</f>
        <v>0</v>
      </c>
      <c r="AG67" s="207">
        <f>'Crisis Indicator Data'!AD64</f>
        <v>1</v>
      </c>
      <c r="AH67" s="207">
        <f t="shared" si="11"/>
        <v>1</v>
      </c>
      <c r="AI67" s="207">
        <f>'Crisis Indicator Data'!AE64</f>
        <v>0</v>
      </c>
      <c r="AJ67" s="207">
        <f>'Crisis Indicator Data'!AF64</f>
        <v>3</v>
      </c>
      <c r="AK67" s="207">
        <f>'Crisis Indicator Data'!AG64</f>
        <v>0</v>
      </c>
      <c r="AL67" s="207">
        <f t="shared" si="12"/>
        <v>3</v>
      </c>
      <c r="AM67" s="183">
        <f t="shared" si="21"/>
        <v>2</v>
      </c>
      <c r="AN67" s="183">
        <f t="shared" si="22"/>
        <v>3.5</v>
      </c>
    </row>
    <row r="68" spans="1:40" ht="13.5" customHeight="1" x14ac:dyDescent="0.3">
      <c r="A68" s="194" t="str">
        <f>'Crisis Indicator Data'!A65</f>
        <v>Syrian refugees in Jordan</v>
      </c>
      <c r="B68" s="195" t="str">
        <f>'Crisis Indicator Data'!B65</f>
        <v>International displacement</v>
      </c>
      <c r="C68" s="195" t="str">
        <f>'Crisis Indicator Data'!C65</f>
        <v>JOR002</v>
      </c>
      <c r="D68" s="195" t="str">
        <f>'Crisis Indicator Data'!D65</f>
        <v>Jordan</v>
      </c>
      <c r="E68" s="196" t="str">
        <f>'Crisis Indicator Data'!E65</f>
        <v>JOR</v>
      </c>
      <c r="F68" s="183">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4.3</v>
      </c>
      <c r="G68" s="183">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2.8</v>
      </c>
      <c r="H68" s="183">
        <f t="shared" si="13"/>
        <v>3.55</v>
      </c>
      <c r="I68" s="183">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2.9</v>
      </c>
      <c r="J68" s="183">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5</v>
      </c>
      <c r="K68" s="183">
        <f t="shared" si="14"/>
        <v>3.95</v>
      </c>
      <c r="L68" s="183">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3.1</v>
      </c>
      <c r="M68" s="183">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1.1000000000000001</v>
      </c>
      <c r="N68" s="183">
        <f t="shared" si="15"/>
        <v>2.1</v>
      </c>
      <c r="O68" s="183">
        <f t="shared" si="16"/>
        <v>3.1999999999999997</v>
      </c>
      <c r="P68" s="183">
        <f>IF(B68="Regional crisis",VLOOKUP(C68,'Regional Crises'!$B$1:$R$69,12,FALSE),VLOOKUP(E68,'Country Indicator Data'!$B$4:$I$194,8,FALSE))</f>
        <v>3</v>
      </c>
      <c r="Q68" s="183">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0</v>
      </c>
      <c r="R68" s="183">
        <f t="shared" si="17"/>
        <v>1.5</v>
      </c>
      <c r="S68" s="183">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2.6</v>
      </c>
      <c r="T68" s="183">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2.4</v>
      </c>
      <c r="U68" s="183">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2.9</v>
      </c>
      <c r="V68" s="183">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3.2</v>
      </c>
      <c r="W68" s="183">
        <f t="shared" si="18"/>
        <v>2.8</v>
      </c>
      <c r="X68" s="183">
        <f t="shared" si="19"/>
        <v>2.5</v>
      </c>
      <c r="Y68" s="207">
        <f>IF('Core Indicators'!FC65="x","x",IF('Core Indicators'!FC65&gt;=5,5,IF('Core Indicators'!FC65&gt;=4,4,IF('Core Indicators'!FC65&gt;=3,3,IF('Core Indicators'!FC65&gt;=2,2,IF('Core Indicators'!FC65&gt;=1,1,0))))))</f>
        <v>2</v>
      </c>
      <c r="Z68" s="183">
        <f t="shared" si="20"/>
        <v>2</v>
      </c>
      <c r="AA68" s="207">
        <f>'Crisis Indicator Data'!Y65</f>
        <v>0</v>
      </c>
      <c r="AB68" s="207">
        <f>'Crisis Indicator Data'!Z65</f>
        <v>0</v>
      </c>
      <c r="AC68" s="207">
        <f>'Crisis Indicator Data'!AA65</f>
        <v>0</v>
      </c>
      <c r="AD68" s="207">
        <f>'Crisis Indicator Data'!AB65</f>
        <v>0</v>
      </c>
      <c r="AE68" s="207">
        <f t="shared" si="10"/>
        <v>0</v>
      </c>
      <c r="AF68" s="207">
        <f>'Crisis Indicator Data'!AC65</f>
        <v>0</v>
      </c>
      <c r="AG68" s="207">
        <f>'Crisis Indicator Data'!AD65</f>
        <v>1</v>
      </c>
      <c r="AH68" s="207">
        <f t="shared" si="11"/>
        <v>1</v>
      </c>
      <c r="AI68" s="207">
        <f>'Crisis Indicator Data'!AE65</f>
        <v>0</v>
      </c>
      <c r="AJ68" s="207">
        <f>'Crisis Indicator Data'!AF65</f>
        <v>0</v>
      </c>
      <c r="AK68" s="207">
        <f>'Crisis Indicator Data'!AG65</f>
        <v>0</v>
      </c>
      <c r="AL68" s="207">
        <f t="shared" si="12"/>
        <v>0</v>
      </c>
      <c r="AM68" s="183">
        <f t="shared" si="21"/>
        <v>0</v>
      </c>
      <c r="AN68" s="183">
        <f t="shared" si="22"/>
        <v>1</v>
      </c>
    </row>
    <row r="69" spans="1:40" ht="13.5" customHeight="1" x14ac:dyDescent="0.3">
      <c r="A69" s="194" t="str">
        <f>'Crisis Indicator Data'!A66</f>
        <v xml:space="preserve">Multiple crisis in Kenya </v>
      </c>
      <c r="B69" s="195" t="str">
        <f>'Crisis Indicator Data'!B66</f>
        <v>Multiple crises country</v>
      </c>
      <c r="C69" s="195" t="str">
        <f>'Crisis Indicator Data'!C66</f>
        <v>KEN001</v>
      </c>
      <c r="D69" s="195" t="str">
        <f>'Crisis Indicator Data'!D66</f>
        <v>Kenya</v>
      </c>
      <c r="E69" s="196" t="str">
        <f>'Crisis Indicator Data'!E66</f>
        <v>KEN</v>
      </c>
      <c r="F69" s="183">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3.6</v>
      </c>
      <c r="G69" s="183">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2.6</v>
      </c>
      <c r="H69" s="183">
        <f t="shared" si="13"/>
        <v>3.1</v>
      </c>
      <c r="I69" s="183">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4.3</v>
      </c>
      <c r="J69" s="183">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0.8</v>
      </c>
      <c r="K69" s="183">
        <f t="shared" si="14"/>
        <v>2.5499999999999998</v>
      </c>
      <c r="L69" s="183">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3.6</v>
      </c>
      <c r="M69" s="183">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2</v>
      </c>
      <c r="N69" s="183">
        <f t="shared" si="15"/>
        <v>2.8</v>
      </c>
      <c r="O69" s="183">
        <f t="shared" si="16"/>
        <v>2.8166666666666664</v>
      </c>
      <c r="P69" s="183">
        <f>IF(B69="Regional crisis",VLOOKUP(C69,'Regional Crises'!$B$1:$R$69,12,FALSE),VLOOKUP(E69,'Country Indicator Data'!$B$4:$I$194,8,FALSE))</f>
        <v>3</v>
      </c>
      <c r="Q69" s="183">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3.4</v>
      </c>
      <c r="R69" s="183">
        <f t="shared" si="17"/>
        <v>3.2</v>
      </c>
      <c r="S69" s="183">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83">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v>
      </c>
      <c r="U69" s="183">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2.2999999999999998</v>
      </c>
      <c r="V69" s="183">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2.6</v>
      </c>
      <c r="W69" s="183">
        <f t="shared" si="18"/>
        <v>2.9</v>
      </c>
      <c r="X69" s="183">
        <f t="shared" si="19"/>
        <v>3</v>
      </c>
      <c r="Y69" s="207">
        <f>IF('Core Indicators'!FC66="x","x",IF('Core Indicators'!FC66&gt;=5,5,IF('Core Indicators'!FC66&gt;=4,4,IF('Core Indicators'!FC66&gt;=3,3,IF('Core Indicators'!FC66&gt;=2,2,IF('Core Indicators'!FC66&gt;=1,1,0))))))</f>
        <v>3</v>
      </c>
      <c r="Z69" s="183">
        <f t="shared" si="20"/>
        <v>3</v>
      </c>
      <c r="AA69" s="207">
        <f>'Crisis Indicator Data'!Y66</f>
        <v>0</v>
      </c>
      <c r="AB69" s="207">
        <f>'Crisis Indicator Data'!Z66</f>
        <v>0</v>
      </c>
      <c r="AC69" s="207">
        <f>'Crisis Indicator Data'!AA66</f>
        <v>0</v>
      </c>
      <c r="AD69" s="207">
        <f>'Crisis Indicator Data'!AB66</f>
        <v>0</v>
      </c>
      <c r="AE69" s="207">
        <f t="shared" si="10"/>
        <v>0</v>
      </c>
      <c r="AF69" s="207">
        <f>'Crisis Indicator Data'!AC66</f>
        <v>0</v>
      </c>
      <c r="AG69" s="207">
        <f>'Crisis Indicator Data'!AD66</f>
        <v>1</v>
      </c>
      <c r="AH69" s="207">
        <f t="shared" si="11"/>
        <v>1</v>
      </c>
      <c r="AI69" s="207">
        <f>'Crisis Indicator Data'!AE66</f>
        <v>0</v>
      </c>
      <c r="AJ69" s="207">
        <f>'Crisis Indicator Data'!AF66</f>
        <v>1</v>
      </c>
      <c r="AK69" s="207">
        <f>'Crisis Indicator Data'!AG66</f>
        <v>1</v>
      </c>
      <c r="AL69" s="207">
        <f t="shared" si="12"/>
        <v>2</v>
      </c>
      <c r="AM69" s="183">
        <f t="shared" si="21"/>
        <v>1</v>
      </c>
      <c r="AN69" s="183">
        <f t="shared" si="22"/>
        <v>2</v>
      </c>
    </row>
    <row r="70" spans="1:40" ht="13.5" customHeight="1" x14ac:dyDescent="0.3">
      <c r="A70" s="194" t="str">
        <f>'Crisis Indicator Data'!A67</f>
        <v>Refugee situation in Kenya</v>
      </c>
      <c r="B70" s="195" t="str">
        <f>'Crisis Indicator Data'!B67</f>
        <v>International displacement</v>
      </c>
      <c r="C70" s="195" t="str">
        <f>'Crisis Indicator Data'!C67</f>
        <v>KEN002</v>
      </c>
      <c r="D70" s="195" t="str">
        <f>'Crisis Indicator Data'!D67</f>
        <v>Kenya</v>
      </c>
      <c r="E70" s="196" t="str">
        <f>'Crisis Indicator Data'!E67</f>
        <v>KEN</v>
      </c>
      <c r="F70" s="183">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3.6</v>
      </c>
      <c r="G70" s="183">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2.6</v>
      </c>
      <c r="H70" s="183">
        <f t="shared" ref="H70:H101" si="23">IF(AND(F70="x",G70="x"),"x",AVERAGE(F70,G70))</f>
        <v>3.1</v>
      </c>
      <c r="I70" s="183">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4.3</v>
      </c>
      <c r="J70" s="183">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0.8</v>
      </c>
      <c r="K70" s="183">
        <f t="shared" ref="K70:K101" si="24">IF(AND(I70="x",J70="x"),"x",AVERAGE(I70,J70))</f>
        <v>2.5499999999999998</v>
      </c>
      <c r="L70" s="183">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3.6</v>
      </c>
      <c r="M70" s="183">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2</v>
      </c>
      <c r="N70" s="183">
        <f t="shared" ref="N70:N101" si="25">IF(AND(L70="x",M70="x"),"x",AVERAGE(L70,M70))</f>
        <v>2.8</v>
      </c>
      <c r="O70" s="183">
        <f t="shared" ref="O70:O101" si="26">AVERAGE(H70,K70,N70)</f>
        <v>2.8166666666666664</v>
      </c>
      <c r="P70" s="183">
        <f>IF(B70="Regional crisis",VLOOKUP(C70,'Regional Crises'!$B$1:$R$69,12,FALSE),VLOOKUP(E70,'Country Indicator Data'!$B$4:$I$194,8,FALSE))</f>
        <v>3</v>
      </c>
      <c r="Q70" s="183">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3.4</v>
      </c>
      <c r="R70" s="183">
        <f t="shared" ref="R70:R101" si="27">AVERAGE(P70:Q70)</f>
        <v>3.2</v>
      </c>
      <c r="S70" s="183">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83">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v>
      </c>
      <c r="U70" s="183">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2.2999999999999998</v>
      </c>
      <c r="V70" s="183">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2.6</v>
      </c>
      <c r="W70" s="183">
        <f t="shared" ref="W70:W101" si="28">IF(AND(S70="x",V70="x"),"x",ROUND(AVERAGE(S70,V70,T70,U70),1))</f>
        <v>2.9</v>
      </c>
      <c r="X70" s="183">
        <f t="shared" ref="X70:X101" si="29">ROUND(AVERAGE(O70,W70,R70),1)</f>
        <v>3</v>
      </c>
      <c r="Y70" s="207">
        <f>IF('Core Indicators'!FC67="x","x",IF('Core Indicators'!FC67&gt;=5,5,IF('Core Indicators'!FC67&gt;=4,4,IF('Core Indicators'!FC67&gt;=3,3,IF('Core Indicators'!FC67&gt;=2,2,IF('Core Indicators'!FC67&gt;=1,1,0))))))</f>
        <v>2</v>
      </c>
      <c r="Z70" s="183">
        <f t="shared" ref="Z70:Z101" si="30">Y70</f>
        <v>2</v>
      </c>
      <c r="AA70" s="207">
        <f>'Crisis Indicator Data'!Y67</f>
        <v>0</v>
      </c>
      <c r="AB70" s="207">
        <f>'Crisis Indicator Data'!Z67</f>
        <v>0</v>
      </c>
      <c r="AC70" s="207">
        <f>'Crisis Indicator Data'!AA67</f>
        <v>0</v>
      </c>
      <c r="AD70" s="207">
        <f>'Crisis Indicator Data'!AB67</f>
        <v>0</v>
      </c>
      <c r="AE70" s="207">
        <f t="shared" si="10"/>
        <v>0</v>
      </c>
      <c r="AF70" s="207">
        <f>'Crisis Indicator Data'!AC67</f>
        <v>0</v>
      </c>
      <c r="AG70" s="207">
        <f>'Crisis Indicator Data'!AD67</f>
        <v>0</v>
      </c>
      <c r="AH70" s="207">
        <f t="shared" si="11"/>
        <v>0</v>
      </c>
      <c r="AI70" s="207">
        <f>'Crisis Indicator Data'!AE67</f>
        <v>0</v>
      </c>
      <c r="AJ70" s="207">
        <f>'Crisis Indicator Data'!AF67</f>
        <v>1</v>
      </c>
      <c r="AK70" s="207">
        <f>'Crisis Indicator Data'!AG67</f>
        <v>0</v>
      </c>
      <c r="AL70" s="207">
        <f t="shared" si="12"/>
        <v>1</v>
      </c>
      <c r="AM70" s="183">
        <f t="shared" ref="AM70:AM101" si="31">IF(AA70=3,5,ROUND(AVERAGE(AE70,AH70,AL70),0))</f>
        <v>0</v>
      </c>
      <c r="AN70" s="183">
        <f t="shared" ref="AN70:AN101" si="32">IF(AND(Z70="x",AM70="x"),"x",ROUND(AVERAGE(Z70,AM70),1))</f>
        <v>1</v>
      </c>
    </row>
    <row r="71" spans="1:40" ht="13.5" customHeight="1" x14ac:dyDescent="0.3">
      <c r="A71" s="194" t="str">
        <f>'Crisis Indicator Data'!A68</f>
        <v>Drought in Kenya</v>
      </c>
      <c r="B71" s="195" t="str">
        <f>'Crisis Indicator Data'!B68</f>
        <v>Drought</v>
      </c>
      <c r="C71" s="195" t="str">
        <f>'Crisis Indicator Data'!C68</f>
        <v>KEN003</v>
      </c>
      <c r="D71" s="195" t="str">
        <f>'Crisis Indicator Data'!D68</f>
        <v>Kenya</v>
      </c>
      <c r="E71" s="196" t="str">
        <f>'Crisis Indicator Data'!E68</f>
        <v>KEN</v>
      </c>
      <c r="F71" s="183">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3.6</v>
      </c>
      <c r="G71" s="183">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2.6</v>
      </c>
      <c r="H71" s="183">
        <f t="shared" si="23"/>
        <v>3.1</v>
      </c>
      <c r="I71" s="183">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4.3</v>
      </c>
      <c r="J71" s="183">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0.8</v>
      </c>
      <c r="K71" s="183">
        <f t="shared" si="24"/>
        <v>2.5499999999999998</v>
      </c>
      <c r="L71" s="183">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3.6</v>
      </c>
      <c r="M71" s="183">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2</v>
      </c>
      <c r="N71" s="183">
        <f t="shared" si="25"/>
        <v>2.8</v>
      </c>
      <c r="O71" s="183">
        <f t="shared" si="26"/>
        <v>2.8166666666666664</v>
      </c>
      <c r="P71" s="183">
        <f>IF(B71="Regional crisis",VLOOKUP(C71,'Regional Crises'!$B$1:$R$69,12,FALSE),VLOOKUP(E71,'Country Indicator Data'!$B$4:$I$194,8,FALSE))</f>
        <v>3</v>
      </c>
      <c r="Q71" s="183">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3.4</v>
      </c>
      <c r="R71" s="183">
        <f t="shared" si="27"/>
        <v>3.2</v>
      </c>
      <c r="S71" s="183">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83">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v>
      </c>
      <c r="U71" s="183">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2.2999999999999998</v>
      </c>
      <c r="V71" s="183">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2.6</v>
      </c>
      <c r="W71" s="183">
        <f t="shared" si="28"/>
        <v>2.9</v>
      </c>
      <c r="X71" s="183">
        <f t="shared" si="29"/>
        <v>3</v>
      </c>
      <c r="Y71" s="207">
        <f>IF('Core Indicators'!FC68="x","x",IF('Core Indicators'!FC68&gt;=5,5,IF('Core Indicators'!FC68&gt;=4,4,IF('Core Indicators'!FC68&gt;=3,3,IF('Core Indicators'!FC68&gt;=2,2,IF('Core Indicators'!FC68&gt;=1,1,0))))))</f>
        <v>3</v>
      </c>
      <c r="Z71" s="183">
        <f t="shared" si="30"/>
        <v>3</v>
      </c>
      <c r="AA71" s="207">
        <f>'Crisis Indicator Data'!Y68</f>
        <v>0</v>
      </c>
      <c r="AB71" s="207">
        <f>'Crisis Indicator Data'!Z68</f>
        <v>0</v>
      </c>
      <c r="AC71" s="207">
        <f>'Crisis Indicator Data'!AA68</f>
        <v>0</v>
      </c>
      <c r="AD71" s="207">
        <f>'Crisis Indicator Data'!AB68</f>
        <v>0</v>
      </c>
      <c r="AE71" s="207">
        <f t="shared" ref="AE71:AE134" si="33">IF(SUM(AA71:AD71)=0,0,IF(SUM(AA71,AB71,AC71,AD71)&lt;2,1,IF(SUM(AA71:AD71)&lt;6,2,IF(SUM(AA71:AD71)&lt;8,3,IF(SUM(AA71:AD71)&lt;10,4,5)))))</f>
        <v>0</v>
      </c>
      <c r="AF71" s="207">
        <f>'Crisis Indicator Data'!AC68</f>
        <v>0</v>
      </c>
      <c r="AG71" s="207">
        <f>'Crisis Indicator Data'!AD68</f>
        <v>0</v>
      </c>
      <c r="AH71" s="207">
        <f t="shared" ref="AH71:AH134" si="34">IF(SUM(AF71:AG71)=0,0,IF(SUM(AF71,AG71)=1,1,IF(SUM(AF71:AG71)&lt;3,2,IF(SUM(AF71:AG71)&lt;4,3,IF(SUM(AF71:AG71)&lt;5,4,5)))))</f>
        <v>0</v>
      </c>
      <c r="AI71" s="207">
        <f>'Crisis Indicator Data'!AE68</f>
        <v>0</v>
      </c>
      <c r="AJ71" s="207">
        <f>'Crisis Indicator Data'!AF68</f>
        <v>1</v>
      </c>
      <c r="AK71" s="207">
        <f>'Crisis Indicator Data'!AG68</f>
        <v>0</v>
      </c>
      <c r="AL71" s="207">
        <f t="shared" ref="AL71:AL134" si="35">IF(SUM(AI71:AK71)=0,0,IF(SUM(AI71:AK71)=1,1,IF(SUM(AI71:AK71)&lt;3,2,IF(SUM(AI71:AK71)&lt;5,3,IF(SUM(AI71:AK71)&lt;7,4,5)))))</f>
        <v>1</v>
      </c>
      <c r="AM71" s="183">
        <f t="shared" si="31"/>
        <v>0</v>
      </c>
      <c r="AN71" s="183">
        <f t="shared" si="32"/>
        <v>1.5</v>
      </c>
    </row>
    <row r="72" spans="1:40" ht="13.5" customHeight="1" x14ac:dyDescent="0.3">
      <c r="A72" s="194" t="str">
        <f>'Crisis Indicator Data'!A69</f>
        <v>Flooding and Landslides in Kenya</v>
      </c>
      <c r="B72" s="195" t="str">
        <f>'Crisis Indicator Data'!B69</f>
        <v>Flood</v>
      </c>
      <c r="C72" s="195" t="str">
        <f>'Crisis Indicator Data'!C69</f>
        <v>KEN005</v>
      </c>
      <c r="D72" s="195" t="str">
        <f>'Crisis Indicator Data'!D69</f>
        <v>Kenya</v>
      </c>
      <c r="E72" s="196" t="str">
        <f>'Crisis Indicator Data'!E69</f>
        <v>KEN</v>
      </c>
      <c r="F72" s="183">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3.6</v>
      </c>
      <c r="G72" s="183">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2.6</v>
      </c>
      <c r="H72" s="183">
        <f t="shared" si="23"/>
        <v>3.1</v>
      </c>
      <c r="I72" s="183">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4.3</v>
      </c>
      <c r="J72" s="183">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0.8</v>
      </c>
      <c r="K72" s="183">
        <f t="shared" si="24"/>
        <v>2.5499999999999998</v>
      </c>
      <c r="L72" s="183">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3.6</v>
      </c>
      <c r="M72" s="183">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v>
      </c>
      <c r="N72" s="183">
        <f t="shared" si="25"/>
        <v>2.8</v>
      </c>
      <c r="O72" s="183">
        <f t="shared" si="26"/>
        <v>2.8166666666666664</v>
      </c>
      <c r="P72" s="183">
        <f>IF(B72="Regional crisis",VLOOKUP(C72,'Regional Crises'!$B$1:$R$69,12,FALSE),VLOOKUP(E72,'Country Indicator Data'!$B$4:$I$194,8,FALSE))</f>
        <v>3</v>
      </c>
      <c r="Q72" s="183">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3.4</v>
      </c>
      <c r="R72" s="183">
        <f t="shared" si="27"/>
        <v>3.2</v>
      </c>
      <c r="S72" s="183">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83">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v>
      </c>
      <c r="U72" s="183">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2.2999999999999998</v>
      </c>
      <c r="V72" s="183">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2.6</v>
      </c>
      <c r="W72" s="183">
        <f t="shared" si="28"/>
        <v>2.9</v>
      </c>
      <c r="X72" s="183">
        <f t="shared" si="29"/>
        <v>3</v>
      </c>
      <c r="Y72" s="207" t="str">
        <f>IF('Core Indicators'!FC69="x","x",IF('Core Indicators'!FC69&gt;=5,5,IF('Core Indicators'!FC69&gt;=4,4,IF('Core Indicators'!FC69&gt;=3,3,IF('Core Indicators'!FC69&gt;=2,2,IF('Core Indicators'!FC69&gt;=1,1,0))))))</f>
        <v>x</v>
      </c>
      <c r="Z72" s="183" t="str">
        <f t="shared" si="30"/>
        <v>x</v>
      </c>
      <c r="AA72" s="207">
        <f>'Crisis Indicator Data'!Y69</f>
        <v>0</v>
      </c>
      <c r="AB72" s="207">
        <f>'Crisis Indicator Data'!Z69</f>
        <v>1</v>
      </c>
      <c r="AC72" s="207">
        <f>'Crisis Indicator Data'!AA69</f>
        <v>1</v>
      </c>
      <c r="AD72" s="207">
        <f>'Crisis Indicator Data'!AB69</f>
        <v>0</v>
      </c>
      <c r="AE72" s="207">
        <f t="shared" si="33"/>
        <v>2</v>
      </c>
      <c r="AF72" s="207">
        <f>'Crisis Indicator Data'!AC69</f>
        <v>0</v>
      </c>
      <c r="AG72" s="207">
        <f>'Crisis Indicator Data'!AD69</f>
        <v>0</v>
      </c>
      <c r="AH72" s="207">
        <f t="shared" si="34"/>
        <v>0</v>
      </c>
      <c r="AI72" s="207">
        <f>'Crisis Indicator Data'!AE69</f>
        <v>0</v>
      </c>
      <c r="AJ72" s="207">
        <f>'Crisis Indicator Data'!AF69</f>
        <v>1</v>
      </c>
      <c r="AK72" s="207">
        <f>'Crisis Indicator Data'!AG69</f>
        <v>3</v>
      </c>
      <c r="AL72" s="207">
        <f t="shared" si="35"/>
        <v>3</v>
      </c>
      <c r="AM72" s="183">
        <f t="shared" si="31"/>
        <v>2</v>
      </c>
      <c r="AN72" s="183">
        <f t="shared" si="32"/>
        <v>2</v>
      </c>
    </row>
    <row r="73" spans="1:40" ht="13.5" customHeight="1" x14ac:dyDescent="0.3">
      <c r="A73" s="194" t="str">
        <f>'Crisis Indicator Data'!A70</f>
        <v>Syrian refugees in Lebanon</v>
      </c>
      <c r="B73" s="195" t="str">
        <f>'Crisis Indicator Data'!B70</f>
        <v>International displacement</v>
      </c>
      <c r="C73" s="195" t="str">
        <f>'Crisis Indicator Data'!C70</f>
        <v>LBN002</v>
      </c>
      <c r="D73" s="195" t="str">
        <f>'Crisis Indicator Data'!D70</f>
        <v>Lebanon</v>
      </c>
      <c r="E73" s="196" t="str">
        <f>'Crisis Indicator Data'!E70</f>
        <v>LBN</v>
      </c>
      <c r="F73" s="183">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2.9</v>
      </c>
      <c r="G73" s="183">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2.4</v>
      </c>
      <c r="H73" s="183">
        <f t="shared" si="23"/>
        <v>2.65</v>
      </c>
      <c r="I73" s="183">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4.0999999999999996</v>
      </c>
      <c r="J73" s="183">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v>
      </c>
      <c r="K73" s="183">
        <f t="shared" si="24"/>
        <v>2.5499999999999998</v>
      </c>
      <c r="L73" s="183">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2.4</v>
      </c>
      <c r="M73" s="183">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0.8</v>
      </c>
      <c r="N73" s="183">
        <f t="shared" si="25"/>
        <v>1.6</v>
      </c>
      <c r="O73" s="183">
        <f t="shared" si="26"/>
        <v>2.2666666666666662</v>
      </c>
      <c r="P73" s="183">
        <f>IF(B73="Regional crisis",VLOOKUP(C73,'Regional Crises'!$B$1:$R$69,12,FALSE),VLOOKUP(E73,'Country Indicator Data'!$B$4:$I$194,8,FALSE))</f>
        <v>3</v>
      </c>
      <c r="Q73" s="183">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3.3</v>
      </c>
      <c r="R73" s="183">
        <f t="shared" si="27"/>
        <v>3.15</v>
      </c>
      <c r="S73" s="183">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3.6</v>
      </c>
      <c r="T73" s="183">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3.4</v>
      </c>
      <c r="U73" s="183">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2.6</v>
      </c>
      <c r="V73" s="183">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83">
        <f t="shared" si="28"/>
        <v>3.1</v>
      </c>
      <c r="X73" s="183">
        <f t="shared" si="29"/>
        <v>2.8</v>
      </c>
      <c r="Y73" s="207">
        <f>IF('Core Indicators'!FC70="x","x",IF('Core Indicators'!FC70&gt;=5,5,IF('Core Indicators'!FC70&gt;=4,4,IF('Core Indicators'!FC70&gt;=3,3,IF('Core Indicators'!FC70&gt;=2,2,IF('Core Indicators'!FC70&gt;=1,1,0))))))</f>
        <v>2</v>
      </c>
      <c r="Z73" s="183">
        <f t="shared" si="30"/>
        <v>2</v>
      </c>
      <c r="AA73" s="207">
        <f>'Crisis Indicator Data'!Y70</f>
        <v>1</v>
      </c>
      <c r="AB73" s="207">
        <f>'Crisis Indicator Data'!Z70</f>
        <v>0</v>
      </c>
      <c r="AC73" s="207">
        <f>'Crisis Indicator Data'!AA70</f>
        <v>1</v>
      </c>
      <c r="AD73" s="207">
        <f>'Crisis Indicator Data'!AB70</f>
        <v>0</v>
      </c>
      <c r="AE73" s="207">
        <f t="shared" si="33"/>
        <v>2</v>
      </c>
      <c r="AF73" s="207">
        <f>'Crisis Indicator Data'!AC70</f>
        <v>1</v>
      </c>
      <c r="AG73" s="207">
        <f>'Crisis Indicator Data'!AD70</f>
        <v>2</v>
      </c>
      <c r="AH73" s="207">
        <f t="shared" si="34"/>
        <v>3</v>
      </c>
      <c r="AI73" s="207">
        <f>'Crisis Indicator Data'!AE70</f>
        <v>0</v>
      </c>
      <c r="AJ73" s="207">
        <f>'Crisis Indicator Data'!AF70</f>
        <v>2</v>
      </c>
      <c r="AK73" s="207">
        <f>'Crisis Indicator Data'!AG70</f>
        <v>2</v>
      </c>
      <c r="AL73" s="207">
        <f t="shared" si="35"/>
        <v>3</v>
      </c>
      <c r="AM73" s="183">
        <f t="shared" si="31"/>
        <v>3</v>
      </c>
      <c r="AN73" s="183">
        <f t="shared" si="32"/>
        <v>2.5</v>
      </c>
    </row>
    <row r="74" spans="1:40" ht="13.5" customHeight="1" x14ac:dyDescent="0.3">
      <c r="A74" s="194" t="str">
        <f>'Crisis Indicator Data'!A71</f>
        <v>Socioeconomic crisis in Lebanon</v>
      </c>
      <c r="B74" s="195" t="str">
        <f>'Crisis Indicator Data'!B71</f>
        <v>Political and economic crisis</v>
      </c>
      <c r="C74" s="195" t="str">
        <f>'Crisis Indicator Data'!C71</f>
        <v>LBN004</v>
      </c>
      <c r="D74" s="195" t="str">
        <f>'Crisis Indicator Data'!D71</f>
        <v>Lebanon</v>
      </c>
      <c r="E74" s="196" t="str">
        <f>'Crisis Indicator Data'!E71</f>
        <v>LBN</v>
      </c>
      <c r="F74" s="183">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2.9</v>
      </c>
      <c r="G74" s="183">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2.4</v>
      </c>
      <c r="H74" s="183">
        <f t="shared" si="23"/>
        <v>2.65</v>
      </c>
      <c r="I74" s="183">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4.0999999999999996</v>
      </c>
      <c r="J74" s="183">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1</v>
      </c>
      <c r="K74" s="183">
        <f t="shared" si="24"/>
        <v>2.5499999999999998</v>
      </c>
      <c r="L74" s="183">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2.4</v>
      </c>
      <c r="M74" s="183">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0.8</v>
      </c>
      <c r="N74" s="183">
        <f t="shared" si="25"/>
        <v>1.6</v>
      </c>
      <c r="O74" s="183">
        <f t="shared" si="26"/>
        <v>2.2666666666666662</v>
      </c>
      <c r="P74" s="183">
        <f>IF(B74="Regional crisis",VLOOKUP(C74,'Regional Crises'!$B$1:$R$69,12,FALSE),VLOOKUP(E74,'Country Indicator Data'!$B$4:$I$194,8,FALSE))</f>
        <v>3</v>
      </c>
      <c r="Q74" s="183">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3.3</v>
      </c>
      <c r="R74" s="183">
        <f t="shared" si="27"/>
        <v>3.15</v>
      </c>
      <c r="S74" s="183">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83">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3.4</v>
      </c>
      <c r="U74" s="183">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2.6</v>
      </c>
      <c r="V74" s="183">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2.8</v>
      </c>
      <c r="W74" s="183">
        <f t="shared" si="28"/>
        <v>3.1</v>
      </c>
      <c r="X74" s="183">
        <f t="shared" si="29"/>
        <v>2.8</v>
      </c>
      <c r="Y74" s="207">
        <f>IF('Core Indicators'!FC71="x","x",IF('Core Indicators'!FC71&gt;=5,5,IF('Core Indicators'!FC71&gt;=4,4,IF('Core Indicators'!FC71&gt;=3,3,IF('Core Indicators'!FC71&gt;=2,2,IF('Core Indicators'!FC71&gt;=1,1,0))))))</f>
        <v>3</v>
      </c>
      <c r="Z74" s="183">
        <f t="shared" si="30"/>
        <v>3</v>
      </c>
      <c r="AA74" s="207">
        <f>'Crisis Indicator Data'!Y71</f>
        <v>1</v>
      </c>
      <c r="AB74" s="207">
        <f>'Crisis Indicator Data'!Z71</f>
        <v>2</v>
      </c>
      <c r="AC74" s="207">
        <f>'Crisis Indicator Data'!AA71</f>
        <v>2</v>
      </c>
      <c r="AD74" s="207">
        <f>'Crisis Indicator Data'!AB71</f>
        <v>0</v>
      </c>
      <c r="AE74" s="207">
        <f t="shared" si="33"/>
        <v>2</v>
      </c>
      <c r="AF74" s="207">
        <f>'Crisis Indicator Data'!AC71</f>
        <v>2</v>
      </c>
      <c r="AG74" s="207">
        <f>'Crisis Indicator Data'!AD71</f>
        <v>3</v>
      </c>
      <c r="AH74" s="207">
        <f t="shared" si="34"/>
        <v>5</v>
      </c>
      <c r="AI74" s="207">
        <f>'Crisis Indicator Data'!AE71</f>
        <v>0</v>
      </c>
      <c r="AJ74" s="207">
        <f>'Crisis Indicator Data'!AF71</f>
        <v>3</v>
      </c>
      <c r="AK74" s="207">
        <f>'Crisis Indicator Data'!AG71</f>
        <v>0</v>
      </c>
      <c r="AL74" s="207">
        <f t="shared" si="35"/>
        <v>3</v>
      </c>
      <c r="AM74" s="183">
        <f t="shared" si="31"/>
        <v>3</v>
      </c>
      <c r="AN74" s="183">
        <f t="shared" si="32"/>
        <v>3</v>
      </c>
    </row>
    <row r="75" spans="1:40" ht="13.5" customHeight="1" x14ac:dyDescent="0.3">
      <c r="A75" s="194" t="str">
        <f>'Crisis Indicator Data'!A72</f>
        <v>Explosion in Beirut</v>
      </c>
      <c r="B75" s="195" t="str">
        <f>'Crisis Indicator Data'!B72</f>
        <v>Industrial Accidents</v>
      </c>
      <c r="C75" s="195" t="str">
        <f>'Crisis Indicator Data'!C72</f>
        <v>LBN005</v>
      </c>
      <c r="D75" s="195" t="str">
        <f>'Crisis Indicator Data'!D72</f>
        <v>Lebanon</v>
      </c>
      <c r="E75" s="196" t="str">
        <f>'Crisis Indicator Data'!E72</f>
        <v>LBN</v>
      </c>
      <c r="F75" s="183">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2.9</v>
      </c>
      <c r="G75" s="183">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2.4</v>
      </c>
      <c r="H75" s="183">
        <f t="shared" si="23"/>
        <v>2.65</v>
      </c>
      <c r="I75" s="183">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4.0999999999999996</v>
      </c>
      <c r="J75" s="183">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v>
      </c>
      <c r="K75" s="183">
        <f t="shared" si="24"/>
        <v>2.5499999999999998</v>
      </c>
      <c r="L75" s="183">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2.4</v>
      </c>
      <c r="M75" s="183">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0.8</v>
      </c>
      <c r="N75" s="183">
        <f t="shared" si="25"/>
        <v>1.6</v>
      </c>
      <c r="O75" s="183">
        <f t="shared" si="26"/>
        <v>2.2666666666666662</v>
      </c>
      <c r="P75" s="183">
        <f>IF(B75="Regional crisis",VLOOKUP(C75,'Regional Crises'!$B$1:$R$69,12,FALSE),VLOOKUP(E75,'Country Indicator Data'!$B$4:$I$194,8,FALSE))</f>
        <v>3</v>
      </c>
      <c r="Q75" s="183">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3.3</v>
      </c>
      <c r="R75" s="183">
        <f t="shared" si="27"/>
        <v>3.15</v>
      </c>
      <c r="S75" s="183">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83">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3.4</v>
      </c>
      <c r="U75" s="183">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2.6</v>
      </c>
      <c r="V75" s="183">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2.8</v>
      </c>
      <c r="W75" s="183">
        <f t="shared" si="28"/>
        <v>3.1</v>
      </c>
      <c r="X75" s="183">
        <f t="shared" si="29"/>
        <v>2.8</v>
      </c>
      <c r="Y75" s="207">
        <f>IF('Core Indicators'!FC72="x","x",IF('Core Indicators'!FC72&gt;=5,5,IF('Core Indicators'!FC72&gt;=4,4,IF('Core Indicators'!FC72&gt;=3,3,IF('Core Indicators'!FC72&gt;=2,2,IF('Core Indicators'!FC72&gt;=1,1,0))))))</f>
        <v>4</v>
      </c>
      <c r="Z75" s="183">
        <f t="shared" si="30"/>
        <v>4</v>
      </c>
      <c r="AA75" s="207">
        <f>'Crisis Indicator Data'!Y72</f>
        <v>1</v>
      </c>
      <c r="AB75" s="207">
        <f>'Crisis Indicator Data'!Z72</f>
        <v>2</v>
      </c>
      <c r="AC75" s="207">
        <f>'Crisis Indicator Data'!AA72</f>
        <v>2</v>
      </c>
      <c r="AD75" s="207">
        <f>'Crisis Indicator Data'!AB72</f>
        <v>0</v>
      </c>
      <c r="AE75" s="207">
        <f t="shared" si="33"/>
        <v>2</v>
      </c>
      <c r="AF75" s="207">
        <f>'Crisis Indicator Data'!AC72</f>
        <v>2</v>
      </c>
      <c r="AG75" s="207">
        <f>'Crisis Indicator Data'!AD72</f>
        <v>3</v>
      </c>
      <c r="AH75" s="207">
        <f t="shared" si="34"/>
        <v>5</v>
      </c>
      <c r="AI75" s="207">
        <f>'Crisis Indicator Data'!AE72</f>
        <v>0</v>
      </c>
      <c r="AJ75" s="207">
        <f>'Crisis Indicator Data'!AF72</f>
        <v>0</v>
      </c>
      <c r="AK75" s="207">
        <f>'Crisis Indicator Data'!AG72</f>
        <v>1</v>
      </c>
      <c r="AL75" s="207">
        <f t="shared" si="35"/>
        <v>1</v>
      </c>
      <c r="AM75" s="183">
        <f t="shared" si="31"/>
        <v>3</v>
      </c>
      <c r="AN75" s="183">
        <f t="shared" si="32"/>
        <v>3.5</v>
      </c>
    </row>
    <row r="76" spans="1:40" ht="13.5" customHeight="1" x14ac:dyDescent="0.3">
      <c r="A76" s="194" t="str">
        <f>'Crisis Indicator Data'!A73</f>
        <v>Drought in Lesotho</v>
      </c>
      <c r="B76" s="195" t="str">
        <f>'Crisis Indicator Data'!B73</f>
        <v>Drought</v>
      </c>
      <c r="C76" s="195" t="str">
        <f>'Crisis Indicator Data'!C73</f>
        <v>LSO002</v>
      </c>
      <c r="D76" s="195" t="str">
        <f>'Crisis Indicator Data'!D73</f>
        <v>Lesotho</v>
      </c>
      <c r="E76" s="196" t="str">
        <f>'Crisis Indicator Data'!E73</f>
        <v>LSO</v>
      </c>
      <c r="F76" s="183">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1.1000000000000001</v>
      </c>
      <c r="G76" s="183">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2.2999999999999998</v>
      </c>
      <c r="H76" s="183">
        <f t="shared" si="23"/>
        <v>1.7</v>
      </c>
      <c r="I76" s="183">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0</v>
      </c>
      <c r="J76" s="183">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83">
        <f t="shared" si="24"/>
        <v>0</v>
      </c>
      <c r="L76" s="183">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3.6</v>
      </c>
      <c r="M76" s="183">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2.5</v>
      </c>
      <c r="N76" s="183">
        <f t="shared" si="25"/>
        <v>3.05</v>
      </c>
      <c r="O76" s="183">
        <f t="shared" si="26"/>
        <v>1.5833333333333333</v>
      </c>
      <c r="P76" s="183">
        <f>IF(B76="Regional crisis",VLOOKUP(C76,'Regional Crises'!$B$1:$R$69,12,FALSE),VLOOKUP(E76,'Country Indicator Data'!$B$4:$I$194,8,FALSE))</f>
        <v>0</v>
      </c>
      <c r="Q76" s="183">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0</v>
      </c>
      <c r="R76" s="183">
        <f t="shared" si="27"/>
        <v>0</v>
      </c>
      <c r="S76" s="183">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v>
      </c>
      <c r="T76" s="183">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2.9</v>
      </c>
      <c r="U76" s="183">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2.5</v>
      </c>
      <c r="V76" s="183">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1.9</v>
      </c>
      <c r="W76" s="183">
        <f t="shared" si="28"/>
        <v>2.6</v>
      </c>
      <c r="X76" s="183">
        <f t="shared" si="29"/>
        <v>1.4</v>
      </c>
      <c r="Y76" s="207">
        <f>IF('Core Indicators'!FC73="x","x",IF('Core Indicators'!FC73&gt;=5,5,IF('Core Indicators'!FC73&gt;=4,4,IF('Core Indicators'!FC73&gt;=3,3,IF('Core Indicators'!FC73&gt;=2,2,IF('Core Indicators'!FC73&gt;=1,1,0))))))</f>
        <v>1</v>
      </c>
      <c r="Z76" s="183">
        <f t="shared" si="30"/>
        <v>1</v>
      </c>
      <c r="AA76" s="207">
        <f>'Crisis Indicator Data'!Y73</f>
        <v>0</v>
      </c>
      <c r="AB76" s="207">
        <f>'Crisis Indicator Data'!Z73</f>
        <v>0</v>
      </c>
      <c r="AC76" s="207">
        <f>'Crisis Indicator Data'!AA73</f>
        <v>0</v>
      </c>
      <c r="AD76" s="207">
        <f>'Crisis Indicator Data'!AB73</f>
        <v>0</v>
      </c>
      <c r="AE76" s="207">
        <f t="shared" si="33"/>
        <v>0</v>
      </c>
      <c r="AF76" s="207">
        <f>'Crisis Indicator Data'!AC73</f>
        <v>0</v>
      </c>
      <c r="AG76" s="207">
        <f>'Crisis Indicator Data'!AD73</f>
        <v>0</v>
      </c>
      <c r="AH76" s="207">
        <f t="shared" si="34"/>
        <v>0</v>
      </c>
      <c r="AI76" s="207">
        <f>'Crisis Indicator Data'!AE73</f>
        <v>0</v>
      </c>
      <c r="AJ76" s="207">
        <f>'Crisis Indicator Data'!AF73</f>
        <v>0</v>
      </c>
      <c r="AK76" s="207">
        <f>'Crisis Indicator Data'!AG73</f>
        <v>1</v>
      </c>
      <c r="AL76" s="207">
        <f t="shared" si="35"/>
        <v>1</v>
      </c>
      <c r="AM76" s="183">
        <f t="shared" si="31"/>
        <v>0</v>
      </c>
      <c r="AN76" s="183">
        <f t="shared" si="32"/>
        <v>0.5</v>
      </c>
    </row>
    <row r="77" spans="1:40" ht="13.5" customHeight="1" x14ac:dyDescent="0.3">
      <c r="A77" s="194" t="str">
        <f>'Crisis Indicator Data'!A74</f>
        <v>Southern Africa Regional Food Security Crisis</v>
      </c>
      <c r="B77" s="195" t="str">
        <f>'Crisis Indicator Data'!B74</f>
        <v>Regional crisis</v>
      </c>
      <c r="C77" s="195" t="str">
        <f>'Crisis Indicator Data'!C74</f>
        <v>REG012</v>
      </c>
      <c r="D77" s="195" t="str">
        <f>'Crisis Indicator Data'!D74</f>
        <v>Lesotho,Madagascar,Malawi,Mozambique,Namibia,Eswatini,Tanzania,Zambia,Zimbabwe</v>
      </c>
      <c r="E77" s="196" t="str">
        <f>'Crisis Indicator Data'!E74</f>
        <v>LSO, MDG, MWI, MOZ, NAM, SWZ, TZA, ZMB, ZWE</v>
      </c>
      <c r="F77" s="183">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2.4</v>
      </c>
      <c r="G77" s="183">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2.2999999999999998</v>
      </c>
      <c r="H77" s="183">
        <f t="shared" si="23"/>
        <v>2.3499999999999996</v>
      </c>
      <c r="I77" s="183">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2.4</v>
      </c>
      <c r="J77" s="183">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0.4</v>
      </c>
      <c r="K77" s="183">
        <f t="shared" si="24"/>
        <v>1.4</v>
      </c>
      <c r="L77" s="183">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3.6</v>
      </c>
      <c r="M77" s="183">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3</v>
      </c>
      <c r="N77" s="183">
        <f t="shared" si="25"/>
        <v>3.3</v>
      </c>
      <c r="O77" s="183">
        <f t="shared" si="26"/>
        <v>2.3499999999999996</v>
      </c>
      <c r="P77" s="183">
        <f>IF(B77="Regional crisis",VLOOKUP(C77,'Regional Crises'!$B$1:$R$69,12,FALSE),VLOOKUP(E77,'Country Indicator Data'!$B$4:$I$194,8,FALSE))</f>
        <v>1.1111111111111112</v>
      </c>
      <c r="Q77" s="183">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4.7</v>
      </c>
      <c r="R77" s="183">
        <f t="shared" si="27"/>
        <v>2.9055555555555559</v>
      </c>
      <c r="S77" s="183">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3.3</v>
      </c>
      <c r="T77" s="183">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3.1</v>
      </c>
      <c r="U77" s="183">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2.8</v>
      </c>
      <c r="V77" s="183">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2.5</v>
      </c>
      <c r="W77" s="183">
        <f t="shared" si="28"/>
        <v>2.9</v>
      </c>
      <c r="X77" s="183">
        <f t="shared" si="29"/>
        <v>2.7</v>
      </c>
      <c r="Y77" s="207">
        <f>IF('Core Indicators'!FC74="x","x",IF('Core Indicators'!FC74&gt;=5,5,IF('Core Indicators'!FC74&gt;=4,4,IF('Core Indicators'!FC74&gt;=3,3,IF('Core Indicators'!FC74&gt;=2,2,IF('Core Indicators'!FC74&gt;=1,1,0))))))</f>
        <v>5</v>
      </c>
      <c r="Z77" s="183">
        <f t="shared" si="30"/>
        <v>5</v>
      </c>
      <c r="AA77" s="207">
        <f>'Crisis Indicator Data'!Y74</f>
        <v>0</v>
      </c>
      <c r="AB77" s="207">
        <f>'Crisis Indicator Data'!Z74</f>
        <v>0</v>
      </c>
      <c r="AC77" s="207">
        <f>'Crisis Indicator Data'!AA74</f>
        <v>0</v>
      </c>
      <c r="AD77" s="207">
        <f>'Crisis Indicator Data'!AB74</f>
        <v>0</v>
      </c>
      <c r="AE77" s="207">
        <f t="shared" si="33"/>
        <v>0</v>
      </c>
      <c r="AF77" s="207">
        <f>'Crisis Indicator Data'!AC74</f>
        <v>0</v>
      </c>
      <c r="AG77" s="207">
        <f>'Crisis Indicator Data'!AD74</f>
        <v>0</v>
      </c>
      <c r="AH77" s="207">
        <f t="shared" si="34"/>
        <v>0</v>
      </c>
      <c r="AI77" s="207">
        <f>'Crisis Indicator Data'!AE74</f>
        <v>3</v>
      </c>
      <c r="AJ77" s="207">
        <f>'Crisis Indicator Data'!AF74</f>
        <v>0</v>
      </c>
      <c r="AK77" s="207">
        <f>'Crisis Indicator Data'!AG74</f>
        <v>2</v>
      </c>
      <c r="AL77" s="207">
        <f t="shared" si="35"/>
        <v>4</v>
      </c>
      <c r="AM77" s="183">
        <f t="shared" si="31"/>
        <v>1</v>
      </c>
      <c r="AN77" s="183">
        <f t="shared" si="32"/>
        <v>3</v>
      </c>
    </row>
    <row r="78" spans="1:40" ht="13.5" customHeight="1" x14ac:dyDescent="0.3">
      <c r="A78" s="194" t="str">
        <f>'Crisis Indicator Data'!A75</f>
        <v>Complex crisis in Libya</v>
      </c>
      <c r="B78" s="195" t="str">
        <f>'Crisis Indicator Data'!B75</f>
        <v>Multiple crises country</v>
      </c>
      <c r="C78" s="195" t="str">
        <f>'Crisis Indicator Data'!C75</f>
        <v>LBY001</v>
      </c>
      <c r="D78" s="195" t="str">
        <f>'Crisis Indicator Data'!D75</f>
        <v>Libya</v>
      </c>
      <c r="E78" s="196" t="str">
        <f>'Crisis Indicator Data'!E75</f>
        <v>LBY</v>
      </c>
      <c r="F78" s="183">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4.5999999999999996</v>
      </c>
      <c r="G78" s="183">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3.8</v>
      </c>
      <c r="H78" s="183">
        <f t="shared" si="23"/>
        <v>4.1999999999999993</v>
      </c>
      <c r="I78" s="183">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1.4</v>
      </c>
      <c r="J78" s="183">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v>
      </c>
      <c r="K78" s="183">
        <f t="shared" si="24"/>
        <v>0.7</v>
      </c>
      <c r="L78" s="183">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1.1000000000000001</v>
      </c>
      <c r="M78" s="183" t="str">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x</v>
      </c>
      <c r="N78" s="183">
        <f t="shared" si="25"/>
        <v>1.1000000000000001</v>
      </c>
      <c r="O78" s="183">
        <f t="shared" si="26"/>
        <v>2</v>
      </c>
      <c r="P78" s="183">
        <f>IF(B78="Regional crisis",VLOOKUP(C78,'Regional Crises'!$B$1:$R$69,12,FALSE),VLOOKUP(E78,'Country Indicator Data'!$B$4:$I$194,8,FALSE))</f>
        <v>5</v>
      </c>
      <c r="Q78" s="183">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4.0999999999999996</v>
      </c>
      <c r="R78" s="183">
        <f t="shared" si="27"/>
        <v>4.55</v>
      </c>
      <c r="S78" s="183">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4.0999999999999996</v>
      </c>
      <c r="T78" s="183">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4.3</v>
      </c>
      <c r="U78" s="183">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3.6</v>
      </c>
      <c r="V78" s="183">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4.5999999999999996</v>
      </c>
      <c r="W78" s="183">
        <f t="shared" si="28"/>
        <v>4.2</v>
      </c>
      <c r="X78" s="183">
        <f t="shared" si="29"/>
        <v>3.6</v>
      </c>
      <c r="Y78" s="207">
        <f>IF('Core Indicators'!FC75="x","x",IF('Core Indicators'!FC75&gt;=5,5,IF('Core Indicators'!FC75&gt;=4,4,IF('Core Indicators'!FC75&gt;=3,3,IF('Core Indicators'!FC75&gt;=2,2,IF('Core Indicators'!FC75&gt;=1,1,0))))))</f>
        <v>5</v>
      </c>
      <c r="Z78" s="183">
        <f t="shared" si="30"/>
        <v>5</v>
      </c>
      <c r="AA78" s="207">
        <f>'Crisis Indicator Data'!Y75</f>
        <v>1</v>
      </c>
      <c r="AB78" s="207">
        <f>'Crisis Indicator Data'!Z75</f>
        <v>3</v>
      </c>
      <c r="AC78" s="207">
        <f>'Crisis Indicator Data'!AA75</f>
        <v>3</v>
      </c>
      <c r="AD78" s="207">
        <f>'Crisis Indicator Data'!AB75</f>
        <v>1</v>
      </c>
      <c r="AE78" s="207">
        <f t="shared" si="33"/>
        <v>4</v>
      </c>
      <c r="AF78" s="207">
        <f>'Crisis Indicator Data'!AC75</f>
        <v>2</v>
      </c>
      <c r="AG78" s="207">
        <f>'Crisis Indicator Data'!AD75</f>
        <v>2</v>
      </c>
      <c r="AH78" s="207">
        <f t="shared" si="34"/>
        <v>4</v>
      </c>
      <c r="AI78" s="207">
        <f>'Crisis Indicator Data'!AE75</f>
        <v>3</v>
      </c>
      <c r="AJ78" s="207">
        <f>'Crisis Indicator Data'!AF75</f>
        <v>3</v>
      </c>
      <c r="AK78" s="207">
        <f>'Crisis Indicator Data'!AG75</f>
        <v>3</v>
      </c>
      <c r="AL78" s="207">
        <f t="shared" si="35"/>
        <v>5</v>
      </c>
      <c r="AM78" s="183">
        <f t="shared" si="31"/>
        <v>4</v>
      </c>
      <c r="AN78" s="183">
        <f t="shared" si="32"/>
        <v>4.5</v>
      </c>
    </row>
    <row r="79" spans="1:40" ht="13.5" customHeight="1" x14ac:dyDescent="0.3">
      <c r="A79" s="194" t="str">
        <f>'Crisis Indicator Data'!A76</f>
        <v>Mixed migration flows in Libya</v>
      </c>
      <c r="B79" s="195" t="str">
        <f>'Crisis Indicator Data'!B76</f>
        <v>International displacement</v>
      </c>
      <c r="C79" s="195" t="str">
        <f>'Crisis Indicator Data'!C76</f>
        <v>LBY002</v>
      </c>
      <c r="D79" s="195" t="str">
        <f>'Crisis Indicator Data'!D76</f>
        <v>Libya</v>
      </c>
      <c r="E79" s="196" t="str">
        <f>'Crisis Indicator Data'!E76</f>
        <v>LBY</v>
      </c>
      <c r="F79" s="183">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4.5999999999999996</v>
      </c>
      <c r="G79" s="183">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3.8</v>
      </c>
      <c r="H79" s="183">
        <f t="shared" si="23"/>
        <v>4.1999999999999993</v>
      </c>
      <c r="I79" s="183">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1.4</v>
      </c>
      <c r="J79" s="183">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v>
      </c>
      <c r="K79" s="183">
        <f t="shared" si="24"/>
        <v>0.7</v>
      </c>
      <c r="L79" s="183">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1.1000000000000001</v>
      </c>
      <c r="M79" s="183" t="str">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x</v>
      </c>
      <c r="N79" s="183">
        <f t="shared" si="25"/>
        <v>1.1000000000000001</v>
      </c>
      <c r="O79" s="183">
        <f t="shared" si="26"/>
        <v>2</v>
      </c>
      <c r="P79" s="183">
        <f>IF(B79="Regional crisis",VLOOKUP(C79,'Regional Crises'!$B$1:$R$69,12,FALSE),VLOOKUP(E79,'Country Indicator Data'!$B$4:$I$194,8,FALSE))</f>
        <v>5</v>
      </c>
      <c r="Q79" s="183">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4.0999999999999996</v>
      </c>
      <c r="R79" s="183">
        <f t="shared" si="27"/>
        <v>4.55</v>
      </c>
      <c r="S79" s="183">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4.0999999999999996</v>
      </c>
      <c r="T79" s="183">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4.3</v>
      </c>
      <c r="U79" s="183">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3.6</v>
      </c>
      <c r="V79" s="183">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4.5999999999999996</v>
      </c>
      <c r="W79" s="183">
        <f t="shared" si="28"/>
        <v>4.2</v>
      </c>
      <c r="X79" s="183">
        <f t="shared" si="29"/>
        <v>3.6</v>
      </c>
      <c r="Y79" s="207">
        <f>IF('Core Indicators'!FC76="x","x",IF('Core Indicators'!FC76&gt;=5,5,IF('Core Indicators'!FC76&gt;=4,4,IF('Core Indicators'!FC76&gt;=3,3,IF('Core Indicators'!FC76&gt;=2,2,IF('Core Indicators'!FC76&gt;=1,1,0))))))</f>
        <v>2</v>
      </c>
      <c r="Z79" s="183">
        <f t="shared" si="30"/>
        <v>2</v>
      </c>
      <c r="AA79" s="207">
        <f>'Crisis Indicator Data'!Y76</f>
        <v>1</v>
      </c>
      <c r="AB79" s="207">
        <f>'Crisis Indicator Data'!Z76</f>
        <v>3</v>
      </c>
      <c r="AC79" s="207">
        <f>'Crisis Indicator Data'!AA76</f>
        <v>3</v>
      </c>
      <c r="AD79" s="207">
        <f>'Crisis Indicator Data'!AB76</f>
        <v>1</v>
      </c>
      <c r="AE79" s="207">
        <f t="shared" si="33"/>
        <v>4</v>
      </c>
      <c r="AF79" s="207">
        <f>'Crisis Indicator Data'!AC76</f>
        <v>2</v>
      </c>
      <c r="AG79" s="207">
        <f>'Crisis Indicator Data'!AD76</f>
        <v>2</v>
      </c>
      <c r="AH79" s="207">
        <f t="shared" si="34"/>
        <v>4</v>
      </c>
      <c r="AI79" s="207">
        <f>'Crisis Indicator Data'!AE76</f>
        <v>3</v>
      </c>
      <c r="AJ79" s="207">
        <f>'Crisis Indicator Data'!AF76</f>
        <v>3</v>
      </c>
      <c r="AK79" s="207">
        <f>'Crisis Indicator Data'!AG76</f>
        <v>3</v>
      </c>
      <c r="AL79" s="207">
        <f t="shared" si="35"/>
        <v>5</v>
      </c>
      <c r="AM79" s="183">
        <f t="shared" si="31"/>
        <v>4</v>
      </c>
      <c r="AN79" s="183">
        <f t="shared" si="32"/>
        <v>3</v>
      </c>
    </row>
    <row r="80" spans="1:40" ht="13.5" customHeight="1" x14ac:dyDescent="0.3">
      <c r="A80" s="194" t="str">
        <f>'Crisis Indicator Data'!A77</f>
        <v>Drought in Madagascar</v>
      </c>
      <c r="B80" s="195" t="str">
        <f>'Crisis Indicator Data'!B77</f>
        <v>Drought</v>
      </c>
      <c r="C80" s="195" t="str">
        <f>'Crisis Indicator Data'!C77</f>
        <v>MDG002</v>
      </c>
      <c r="D80" s="195" t="str">
        <f>'Crisis Indicator Data'!D77</f>
        <v>Madagascar</v>
      </c>
      <c r="E80" s="196" t="str">
        <f>'Crisis Indicator Data'!E77</f>
        <v>MDG</v>
      </c>
      <c r="F80" s="183">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2.9</v>
      </c>
      <c r="G80" s="183">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2.2999999999999998</v>
      </c>
      <c r="H80" s="183">
        <f t="shared" si="23"/>
        <v>2.5999999999999996</v>
      </c>
      <c r="I80" s="183">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83">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v>
      </c>
      <c r="K80" s="183">
        <f t="shared" si="24"/>
        <v>1.55</v>
      </c>
      <c r="L80" s="183" t="str">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x</v>
      </c>
      <c r="M80" s="183">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2.2000000000000002</v>
      </c>
      <c r="N80" s="183">
        <f t="shared" si="25"/>
        <v>2.2000000000000002</v>
      </c>
      <c r="O80" s="183">
        <f t="shared" si="26"/>
        <v>2.1166666666666667</v>
      </c>
      <c r="P80" s="183">
        <f>IF(B80="Regional crisis",VLOOKUP(C80,'Regional Crises'!$B$1:$R$69,12,FALSE),VLOOKUP(E80,'Country Indicator Data'!$B$4:$I$194,8,FALSE))</f>
        <v>0</v>
      </c>
      <c r="Q80" s="183">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83">
        <f t="shared" si="27"/>
        <v>1.85</v>
      </c>
      <c r="S80" s="183">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3.8</v>
      </c>
      <c r="T80" s="183">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3.5</v>
      </c>
      <c r="U80" s="183">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2.9</v>
      </c>
      <c r="V80" s="183">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v>
      </c>
      <c r="W80" s="183">
        <f t="shared" si="28"/>
        <v>3.1</v>
      </c>
      <c r="X80" s="183">
        <f t="shared" si="29"/>
        <v>2.4</v>
      </c>
      <c r="Y80" s="207">
        <f>IF('Core Indicators'!FC77="x","x",IF('Core Indicators'!FC77&gt;=5,5,IF('Core Indicators'!FC77&gt;=4,4,IF('Core Indicators'!FC77&gt;=3,3,IF('Core Indicators'!FC77&gt;=2,2,IF('Core Indicators'!FC77&gt;=1,1,0))))))</f>
        <v>1</v>
      </c>
      <c r="Z80" s="183">
        <f t="shared" si="30"/>
        <v>1</v>
      </c>
      <c r="AA80" s="207">
        <f>'Crisis Indicator Data'!Y77</f>
        <v>0</v>
      </c>
      <c r="AB80" s="207">
        <f>'Crisis Indicator Data'!Z77</f>
        <v>0</v>
      </c>
      <c r="AC80" s="207">
        <f>'Crisis Indicator Data'!AA77</f>
        <v>0</v>
      </c>
      <c r="AD80" s="207">
        <f>'Crisis Indicator Data'!AB77</f>
        <v>0</v>
      </c>
      <c r="AE80" s="207">
        <f t="shared" si="33"/>
        <v>0</v>
      </c>
      <c r="AF80" s="207">
        <f>'Crisis Indicator Data'!AC77</f>
        <v>0</v>
      </c>
      <c r="AG80" s="207">
        <f>'Crisis Indicator Data'!AD77</f>
        <v>0</v>
      </c>
      <c r="AH80" s="207">
        <f t="shared" si="34"/>
        <v>0</v>
      </c>
      <c r="AI80" s="207">
        <f>'Crisis Indicator Data'!AE77</f>
        <v>0</v>
      </c>
      <c r="AJ80" s="207">
        <f>'Crisis Indicator Data'!AF77</f>
        <v>0</v>
      </c>
      <c r="AK80" s="207">
        <f>'Crisis Indicator Data'!AG77</f>
        <v>1</v>
      </c>
      <c r="AL80" s="207">
        <f t="shared" si="35"/>
        <v>1</v>
      </c>
      <c r="AM80" s="183">
        <f t="shared" si="31"/>
        <v>0</v>
      </c>
      <c r="AN80" s="183">
        <f t="shared" si="32"/>
        <v>0.5</v>
      </c>
    </row>
    <row r="81" spans="1:40" ht="13.5" customHeight="1" x14ac:dyDescent="0.3">
      <c r="A81" s="194" t="str">
        <f>'Crisis Indicator Data'!A78</f>
        <v>Floods in Madagascar</v>
      </c>
      <c r="B81" s="195" t="str">
        <f>'Crisis Indicator Data'!B78</f>
        <v>Flood</v>
      </c>
      <c r="C81" s="195" t="str">
        <f>'Crisis Indicator Data'!C78</f>
        <v>MDG004</v>
      </c>
      <c r="D81" s="195" t="str">
        <f>'Crisis Indicator Data'!D78</f>
        <v>Madagascar</v>
      </c>
      <c r="E81" s="196" t="str">
        <f>'Crisis Indicator Data'!E78</f>
        <v>MDG</v>
      </c>
      <c r="F81" s="183">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2.9</v>
      </c>
      <c r="G81" s="183">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2.2999999999999998</v>
      </c>
      <c r="H81" s="183">
        <f t="shared" si="23"/>
        <v>2.5999999999999996</v>
      </c>
      <c r="I81" s="183">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83">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83">
        <f t="shared" si="24"/>
        <v>1.55</v>
      </c>
      <c r="L81" s="183" t="str">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x</v>
      </c>
      <c r="M81" s="183">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2.2000000000000002</v>
      </c>
      <c r="N81" s="183">
        <f t="shared" si="25"/>
        <v>2.2000000000000002</v>
      </c>
      <c r="O81" s="183">
        <f t="shared" si="26"/>
        <v>2.1166666666666667</v>
      </c>
      <c r="P81" s="183">
        <f>IF(B81="Regional crisis",VLOOKUP(C81,'Regional Crises'!$B$1:$R$69,12,FALSE),VLOOKUP(E81,'Country Indicator Data'!$B$4:$I$194,8,FALSE))</f>
        <v>0</v>
      </c>
      <c r="Q81" s="183">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83">
        <f t="shared" si="27"/>
        <v>1.85</v>
      </c>
      <c r="S81" s="183">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3.8</v>
      </c>
      <c r="T81" s="183">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3.5</v>
      </c>
      <c r="U81" s="183">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2.9</v>
      </c>
      <c r="V81" s="183">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v>
      </c>
      <c r="W81" s="183">
        <f t="shared" si="28"/>
        <v>3.1</v>
      </c>
      <c r="X81" s="183">
        <f t="shared" si="29"/>
        <v>2.4</v>
      </c>
      <c r="Y81" s="207">
        <f>IF('Core Indicators'!FC78="x","x",IF('Core Indicators'!FC78&gt;=5,5,IF('Core Indicators'!FC78&gt;=4,4,IF('Core Indicators'!FC78&gt;=3,3,IF('Core Indicators'!FC78&gt;=2,2,IF('Core Indicators'!FC78&gt;=1,1,0))))))</f>
        <v>2</v>
      </c>
      <c r="Z81" s="183">
        <f t="shared" si="30"/>
        <v>2</v>
      </c>
      <c r="AA81" s="207">
        <f>'Crisis Indicator Data'!Y78</f>
        <v>0</v>
      </c>
      <c r="AB81" s="207">
        <f>'Crisis Indicator Data'!Z78</f>
        <v>0</v>
      </c>
      <c r="AC81" s="207">
        <f>'Crisis Indicator Data'!AA78</f>
        <v>0</v>
      </c>
      <c r="AD81" s="207">
        <f>'Crisis Indicator Data'!AB78</f>
        <v>0</v>
      </c>
      <c r="AE81" s="207">
        <f t="shared" si="33"/>
        <v>0</v>
      </c>
      <c r="AF81" s="207">
        <f>'Crisis Indicator Data'!AC78</f>
        <v>0</v>
      </c>
      <c r="AG81" s="207">
        <f>'Crisis Indicator Data'!AD78</f>
        <v>0</v>
      </c>
      <c r="AH81" s="207">
        <f t="shared" si="34"/>
        <v>0</v>
      </c>
      <c r="AI81" s="207">
        <f>'Crisis Indicator Data'!AE78</f>
        <v>0</v>
      </c>
      <c r="AJ81" s="207">
        <f>'Crisis Indicator Data'!AF78</f>
        <v>0</v>
      </c>
      <c r="AK81" s="207">
        <f>'Crisis Indicator Data'!AG78</f>
        <v>1</v>
      </c>
      <c r="AL81" s="207">
        <f t="shared" si="35"/>
        <v>1</v>
      </c>
      <c r="AM81" s="183">
        <f t="shared" si="31"/>
        <v>0</v>
      </c>
      <c r="AN81" s="183">
        <f t="shared" si="32"/>
        <v>1</v>
      </c>
    </row>
    <row r="82" spans="1:40" ht="13.5" customHeight="1" x14ac:dyDescent="0.3">
      <c r="A82" s="194" t="str">
        <f>'Crisis Indicator Data'!A79</f>
        <v>Complex Country Crisis in Madagascar</v>
      </c>
      <c r="B82" s="195" t="str">
        <f>'Crisis Indicator Data'!B79</f>
        <v>Complex crisis</v>
      </c>
      <c r="C82" s="195" t="str">
        <f>'Crisis Indicator Data'!C79</f>
        <v>MDG005</v>
      </c>
      <c r="D82" s="195" t="str">
        <f>'Crisis Indicator Data'!D79</f>
        <v>Madagascar</v>
      </c>
      <c r="E82" s="196" t="str">
        <f>'Crisis Indicator Data'!E79</f>
        <v>MDG</v>
      </c>
      <c r="F82" s="183">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2.9</v>
      </c>
      <c r="G82" s="183">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2.2999999999999998</v>
      </c>
      <c r="H82" s="183">
        <f t="shared" si="23"/>
        <v>2.5999999999999996</v>
      </c>
      <c r="I82" s="183">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83">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83">
        <f t="shared" si="24"/>
        <v>1.55</v>
      </c>
      <c r="L82" s="183" t="str">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x</v>
      </c>
      <c r="M82" s="183">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2.2000000000000002</v>
      </c>
      <c r="N82" s="183">
        <f t="shared" si="25"/>
        <v>2.2000000000000002</v>
      </c>
      <c r="O82" s="183">
        <f t="shared" si="26"/>
        <v>2.1166666666666667</v>
      </c>
      <c r="P82" s="183">
        <f>IF(B82="Regional crisis",VLOOKUP(C82,'Regional Crises'!$B$1:$R$69,12,FALSE),VLOOKUP(E82,'Country Indicator Data'!$B$4:$I$194,8,FALSE))</f>
        <v>0</v>
      </c>
      <c r="Q82" s="183">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83">
        <f t="shared" si="27"/>
        <v>1.85</v>
      </c>
      <c r="S82" s="183">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3.8</v>
      </c>
      <c r="T82" s="183">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3.5</v>
      </c>
      <c r="U82" s="183">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2.9</v>
      </c>
      <c r="V82" s="183">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v>
      </c>
      <c r="W82" s="183">
        <f t="shared" si="28"/>
        <v>3.1</v>
      </c>
      <c r="X82" s="183">
        <f t="shared" si="29"/>
        <v>2.4</v>
      </c>
      <c r="Y82" s="207">
        <f>IF('Core Indicators'!FC79="x","x",IF('Core Indicators'!FC79&gt;=5,5,IF('Core Indicators'!FC79&gt;=4,4,IF('Core Indicators'!FC79&gt;=3,3,IF('Core Indicators'!FC79&gt;=2,2,IF('Core Indicators'!FC79&gt;=1,1,0))))))</f>
        <v>2</v>
      </c>
      <c r="Z82" s="183">
        <f t="shared" si="30"/>
        <v>2</v>
      </c>
      <c r="AA82" s="207">
        <f>'Crisis Indicator Data'!Y79</f>
        <v>0</v>
      </c>
      <c r="AB82" s="207">
        <f>'Crisis Indicator Data'!Z79</f>
        <v>0</v>
      </c>
      <c r="AC82" s="207">
        <f>'Crisis Indicator Data'!AA79</f>
        <v>0</v>
      </c>
      <c r="AD82" s="207">
        <f>'Crisis Indicator Data'!AB79</f>
        <v>0</v>
      </c>
      <c r="AE82" s="207">
        <f t="shared" si="33"/>
        <v>0</v>
      </c>
      <c r="AF82" s="207">
        <f>'Crisis Indicator Data'!AC79</f>
        <v>0</v>
      </c>
      <c r="AG82" s="207">
        <f>'Crisis Indicator Data'!AD79</f>
        <v>0</v>
      </c>
      <c r="AH82" s="207">
        <f t="shared" si="34"/>
        <v>0</v>
      </c>
      <c r="AI82" s="207">
        <f>'Crisis Indicator Data'!AE79</f>
        <v>1</v>
      </c>
      <c r="AJ82" s="207">
        <f>'Crisis Indicator Data'!AF79</f>
        <v>0</v>
      </c>
      <c r="AK82" s="207">
        <f>'Crisis Indicator Data'!AG79</f>
        <v>1</v>
      </c>
      <c r="AL82" s="207">
        <f t="shared" si="35"/>
        <v>2</v>
      </c>
      <c r="AM82" s="183">
        <f t="shared" si="31"/>
        <v>1</v>
      </c>
      <c r="AN82" s="183">
        <f t="shared" si="32"/>
        <v>1.5</v>
      </c>
    </row>
    <row r="83" spans="1:40" ht="13.5" customHeight="1" x14ac:dyDescent="0.3">
      <c r="A83" s="194" t="str">
        <f>'Crisis Indicator Data'!A80</f>
        <v>Complex crisis in Malawi</v>
      </c>
      <c r="B83" s="195" t="str">
        <f>'Crisis Indicator Data'!B80</f>
        <v>Complex crisis</v>
      </c>
      <c r="C83" s="195" t="str">
        <f>'Crisis Indicator Data'!C80</f>
        <v>MWI002</v>
      </c>
      <c r="D83" s="195" t="str">
        <f>'Crisis Indicator Data'!D80</f>
        <v>Malawi</v>
      </c>
      <c r="E83" s="196" t="str">
        <f>'Crisis Indicator Data'!E80</f>
        <v>MWI</v>
      </c>
      <c r="F83" s="183">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1.4</v>
      </c>
      <c r="G83" s="183">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1.8</v>
      </c>
      <c r="H83" s="183">
        <f t="shared" si="23"/>
        <v>1.6</v>
      </c>
      <c r="I83" s="183">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v>
      </c>
      <c r="J83" s="183">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83">
        <f t="shared" si="24"/>
        <v>1.5</v>
      </c>
      <c r="L83" s="183">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4.0999999999999996</v>
      </c>
      <c r="M83" s="183">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2.5</v>
      </c>
      <c r="N83" s="183">
        <f t="shared" si="25"/>
        <v>3.3</v>
      </c>
      <c r="O83" s="183">
        <f t="shared" si="26"/>
        <v>2.1333333333333333</v>
      </c>
      <c r="P83" s="183">
        <f>IF(B83="Regional crisis",VLOOKUP(C83,'Regional Crises'!$B$1:$R$69,12,FALSE),VLOOKUP(E83,'Country Indicator Data'!$B$4:$I$194,8,FALSE))</f>
        <v>0</v>
      </c>
      <c r="Q83" s="183">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2.2000000000000002</v>
      </c>
      <c r="R83" s="183">
        <f t="shared" si="27"/>
        <v>1.1000000000000001</v>
      </c>
      <c r="S83" s="183">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3.5</v>
      </c>
      <c r="T83" s="183">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2.8</v>
      </c>
      <c r="U83" s="183">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2.2999999999999998</v>
      </c>
      <c r="V83" s="183">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1.9</v>
      </c>
      <c r="W83" s="183">
        <f t="shared" si="28"/>
        <v>2.6</v>
      </c>
      <c r="X83" s="183">
        <f t="shared" si="29"/>
        <v>1.9</v>
      </c>
      <c r="Y83" s="207">
        <f>IF('Core Indicators'!FC80="x","x",IF('Core Indicators'!FC80&gt;=5,5,IF('Core Indicators'!FC80&gt;=4,4,IF('Core Indicators'!FC80&gt;=3,3,IF('Core Indicators'!FC80&gt;=2,2,IF('Core Indicators'!FC80&gt;=1,1,0))))))</f>
        <v>1</v>
      </c>
      <c r="Z83" s="183">
        <f t="shared" si="30"/>
        <v>1</v>
      </c>
      <c r="AA83" s="207">
        <f>'Crisis Indicator Data'!Y80</f>
        <v>0</v>
      </c>
      <c r="AB83" s="207">
        <f>'Crisis Indicator Data'!Z80</f>
        <v>0</v>
      </c>
      <c r="AC83" s="207">
        <f>'Crisis Indicator Data'!AA80</f>
        <v>0</v>
      </c>
      <c r="AD83" s="207">
        <f>'Crisis Indicator Data'!AB80</f>
        <v>0</v>
      </c>
      <c r="AE83" s="207">
        <f t="shared" si="33"/>
        <v>0</v>
      </c>
      <c r="AF83" s="207">
        <f>'Crisis Indicator Data'!AC80</f>
        <v>0</v>
      </c>
      <c r="AG83" s="207">
        <f>'Crisis Indicator Data'!AD80</f>
        <v>0</v>
      </c>
      <c r="AH83" s="207">
        <f t="shared" si="34"/>
        <v>0</v>
      </c>
      <c r="AI83" s="207">
        <f>'Crisis Indicator Data'!AE80</f>
        <v>0</v>
      </c>
      <c r="AJ83" s="207">
        <f>'Crisis Indicator Data'!AF80</f>
        <v>0</v>
      </c>
      <c r="AK83" s="207">
        <f>'Crisis Indicator Data'!AG80</f>
        <v>1</v>
      </c>
      <c r="AL83" s="207">
        <f t="shared" si="35"/>
        <v>1</v>
      </c>
      <c r="AM83" s="183">
        <f t="shared" si="31"/>
        <v>0</v>
      </c>
      <c r="AN83" s="183">
        <f t="shared" si="32"/>
        <v>0.5</v>
      </c>
    </row>
    <row r="84" spans="1:40" ht="13.5" customHeight="1" x14ac:dyDescent="0.3">
      <c r="A84" s="194" t="str">
        <f>'Crisis Indicator Data'!A81</f>
        <v>Complex crisis in Mali</v>
      </c>
      <c r="B84" s="195" t="str">
        <f>'Crisis Indicator Data'!B81</f>
        <v>Complex crisis</v>
      </c>
      <c r="C84" s="195" t="str">
        <f>'Crisis Indicator Data'!C81</f>
        <v>MLI001</v>
      </c>
      <c r="D84" s="195" t="str">
        <f>'Crisis Indicator Data'!D81</f>
        <v>Mali</v>
      </c>
      <c r="E84" s="196" t="str">
        <f>'Crisis Indicator Data'!E81</f>
        <v>MLI</v>
      </c>
      <c r="F84" s="183">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0.7</v>
      </c>
      <c r="G84" s="183">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2.1</v>
      </c>
      <c r="H84" s="183">
        <f t="shared" si="23"/>
        <v>1.4</v>
      </c>
      <c r="I84" s="183">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0.9</v>
      </c>
      <c r="J84" s="183">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v>
      </c>
      <c r="K84" s="183">
        <f t="shared" si="24"/>
        <v>0.45</v>
      </c>
      <c r="L84" s="183">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4.5</v>
      </c>
      <c r="M84" s="183">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1</v>
      </c>
      <c r="N84" s="183">
        <f t="shared" si="25"/>
        <v>2.75</v>
      </c>
      <c r="O84" s="183">
        <f t="shared" si="26"/>
        <v>1.5333333333333332</v>
      </c>
      <c r="P84" s="183">
        <f>IF(B84="Regional crisis",VLOOKUP(C84,'Regional Crises'!$B$1:$R$69,12,FALSE),VLOOKUP(E84,'Country Indicator Data'!$B$4:$I$194,8,FALSE))</f>
        <v>5</v>
      </c>
      <c r="Q84" s="183">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4.5999999999999996</v>
      </c>
      <c r="R84" s="183">
        <f t="shared" si="27"/>
        <v>4.8</v>
      </c>
      <c r="S84" s="183">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3.6</v>
      </c>
      <c r="T84" s="183">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3.3</v>
      </c>
      <c r="U84" s="183">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2.8</v>
      </c>
      <c r="V84" s="183">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3</v>
      </c>
      <c r="W84" s="183">
        <f t="shared" si="28"/>
        <v>3.2</v>
      </c>
      <c r="X84" s="183">
        <f t="shared" si="29"/>
        <v>3.2</v>
      </c>
      <c r="Y84" s="207">
        <f>IF('Core Indicators'!FC81="x","x",IF('Core Indicators'!FC81&gt;=5,5,IF('Core Indicators'!FC81&gt;=4,4,IF('Core Indicators'!FC81&gt;=3,3,IF('Core Indicators'!FC81&gt;=2,2,IF('Core Indicators'!FC81&gt;=1,1,0))))))</f>
        <v>5</v>
      </c>
      <c r="Z84" s="183">
        <f t="shared" si="30"/>
        <v>5</v>
      </c>
      <c r="AA84" s="207">
        <f>'Crisis Indicator Data'!Y81</f>
        <v>0</v>
      </c>
      <c r="AB84" s="207">
        <f>'Crisis Indicator Data'!Z81</f>
        <v>2</v>
      </c>
      <c r="AC84" s="207">
        <f>'Crisis Indicator Data'!AA81</f>
        <v>1</v>
      </c>
      <c r="AD84" s="207">
        <f>'Crisis Indicator Data'!AB81</f>
        <v>3</v>
      </c>
      <c r="AE84" s="207">
        <f t="shared" si="33"/>
        <v>3</v>
      </c>
      <c r="AF84" s="207">
        <f>'Crisis Indicator Data'!AC81</f>
        <v>2</v>
      </c>
      <c r="AG84" s="207">
        <f>'Crisis Indicator Data'!AD81</f>
        <v>2</v>
      </c>
      <c r="AH84" s="207">
        <f t="shared" si="34"/>
        <v>4</v>
      </c>
      <c r="AI84" s="207">
        <f>'Crisis Indicator Data'!AE81</f>
        <v>3</v>
      </c>
      <c r="AJ84" s="207">
        <f>'Crisis Indicator Data'!AF81</f>
        <v>3</v>
      </c>
      <c r="AK84" s="207">
        <f>'Crisis Indicator Data'!AG81</f>
        <v>3</v>
      </c>
      <c r="AL84" s="207">
        <f t="shared" si="35"/>
        <v>5</v>
      </c>
      <c r="AM84" s="183">
        <f t="shared" si="31"/>
        <v>4</v>
      </c>
      <c r="AN84" s="183">
        <f t="shared" si="32"/>
        <v>4.5</v>
      </c>
    </row>
    <row r="85" spans="1:40" ht="13.5" customHeight="1" x14ac:dyDescent="0.3">
      <c r="A85" s="194" t="str">
        <f>'Crisis Indicator Data'!A82</f>
        <v>Refugees from Mali in Mauritania</v>
      </c>
      <c r="B85" s="195" t="str">
        <f>'Crisis Indicator Data'!B82</f>
        <v>International displacement</v>
      </c>
      <c r="C85" s="195" t="str">
        <f>'Crisis Indicator Data'!C82</f>
        <v>MRT002</v>
      </c>
      <c r="D85" s="195" t="str">
        <f>'Crisis Indicator Data'!D82</f>
        <v>Mauritania</v>
      </c>
      <c r="E85" s="196" t="str">
        <f>'Crisis Indicator Data'!E82</f>
        <v>MRT</v>
      </c>
      <c r="F85" s="183">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3.2</v>
      </c>
      <c r="G85" s="183">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2.9</v>
      </c>
      <c r="H85" s="183">
        <f t="shared" si="23"/>
        <v>3.05</v>
      </c>
      <c r="I85" s="183">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3.3</v>
      </c>
      <c r="J85" s="183">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v>
      </c>
      <c r="K85" s="183">
        <f t="shared" si="24"/>
        <v>1.65</v>
      </c>
      <c r="L85" s="183">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4.0999999999999996</v>
      </c>
      <c r="M85" s="183">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0.9</v>
      </c>
      <c r="N85" s="183">
        <f t="shared" si="25"/>
        <v>2.5</v>
      </c>
      <c r="O85" s="183">
        <f t="shared" si="26"/>
        <v>2.4</v>
      </c>
      <c r="P85" s="183">
        <f>IF(B85="Regional crisis",VLOOKUP(C85,'Regional Crises'!$B$1:$R$69,12,FALSE),VLOOKUP(E85,'Country Indicator Data'!$B$4:$I$194,8,FALSE))</f>
        <v>2</v>
      </c>
      <c r="Q85" s="183" t="str">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x</v>
      </c>
      <c r="R85" s="183">
        <f t="shared" si="27"/>
        <v>2</v>
      </c>
      <c r="S85" s="183">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3.6</v>
      </c>
      <c r="T85" s="183">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3.1</v>
      </c>
      <c r="U85" s="183">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3</v>
      </c>
      <c r="V85" s="183">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3.3</v>
      </c>
      <c r="W85" s="183">
        <f t="shared" si="28"/>
        <v>3.3</v>
      </c>
      <c r="X85" s="183">
        <f t="shared" si="29"/>
        <v>2.6</v>
      </c>
      <c r="Y85" s="207">
        <f>IF('Core Indicators'!FC82="x","x",IF('Core Indicators'!FC82&gt;=5,5,IF('Core Indicators'!FC82&gt;=4,4,IF('Core Indicators'!FC82&gt;=3,3,IF('Core Indicators'!FC82&gt;=2,2,IF('Core Indicators'!FC82&gt;=1,1,0))))))</f>
        <v>2</v>
      </c>
      <c r="Z85" s="183">
        <f t="shared" si="30"/>
        <v>2</v>
      </c>
      <c r="AA85" s="207">
        <f>'Crisis Indicator Data'!Y82</f>
        <v>0</v>
      </c>
      <c r="AB85" s="207">
        <f>'Crisis Indicator Data'!Z82</f>
        <v>0</v>
      </c>
      <c r="AC85" s="207">
        <f>'Crisis Indicator Data'!AA82</f>
        <v>0</v>
      </c>
      <c r="AD85" s="207">
        <f>'Crisis Indicator Data'!AB82</f>
        <v>0</v>
      </c>
      <c r="AE85" s="207">
        <f t="shared" si="33"/>
        <v>0</v>
      </c>
      <c r="AF85" s="207">
        <f>'Crisis Indicator Data'!AC82</f>
        <v>0</v>
      </c>
      <c r="AG85" s="207">
        <f>'Crisis Indicator Data'!AD82</f>
        <v>0</v>
      </c>
      <c r="AH85" s="207">
        <f t="shared" si="34"/>
        <v>0</v>
      </c>
      <c r="AI85" s="207">
        <f>'Crisis Indicator Data'!AE82</f>
        <v>0</v>
      </c>
      <c r="AJ85" s="207">
        <f>'Crisis Indicator Data'!AF82</f>
        <v>0</v>
      </c>
      <c r="AK85" s="207">
        <f>'Crisis Indicator Data'!AG82</f>
        <v>2</v>
      </c>
      <c r="AL85" s="207">
        <f t="shared" si="35"/>
        <v>2</v>
      </c>
      <c r="AM85" s="183">
        <f t="shared" si="31"/>
        <v>1</v>
      </c>
      <c r="AN85" s="183">
        <f t="shared" si="32"/>
        <v>1.5</v>
      </c>
    </row>
    <row r="86" spans="1:40" ht="13.5" customHeight="1" x14ac:dyDescent="0.3">
      <c r="A86" s="194" t="str">
        <f>'Crisis Indicator Data'!A83</f>
        <v>Food Security in Mauritania</v>
      </c>
      <c r="B86" s="195" t="str">
        <f>'Crisis Indicator Data'!B83</f>
        <v>Drought</v>
      </c>
      <c r="C86" s="195" t="str">
        <f>'Crisis Indicator Data'!C83</f>
        <v>MRT003</v>
      </c>
      <c r="D86" s="195" t="str">
        <f>'Crisis Indicator Data'!D83</f>
        <v>Mauritania</v>
      </c>
      <c r="E86" s="196" t="str">
        <f>'Crisis Indicator Data'!E83</f>
        <v>MRT</v>
      </c>
      <c r="F86" s="183">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3.2</v>
      </c>
      <c r="G86" s="183">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2.9</v>
      </c>
      <c r="H86" s="183">
        <f t="shared" si="23"/>
        <v>3.05</v>
      </c>
      <c r="I86" s="183">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3.3</v>
      </c>
      <c r="J86" s="183">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v>
      </c>
      <c r="K86" s="183">
        <f t="shared" si="24"/>
        <v>1.65</v>
      </c>
      <c r="L86" s="183">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4.0999999999999996</v>
      </c>
      <c r="M86" s="183">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0.9</v>
      </c>
      <c r="N86" s="183">
        <f t="shared" si="25"/>
        <v>2.5</v>
      </c>
      <c r="O86" s="183">
        <f t="shared" si="26"/>
        <v>2.4</v>
      </c>
      <c r="P86" s="183">
        <f>IF(B86="Regional crisis",VLOOKUP(C86,'Regional Crises'!$B$1:$R$69,12,FALSE),VLOOKUP(E86,'Country Indicator Data'!$B$4:$I$194,8,FALSE))</f>
        <v>2</v>
      </c>
      <c r="Q86" s="183" t="str">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x</v>
      </c>
      <c r="R86" s="183">
        <f t="shared" si="27"/>
        <v>2</v>
      </c>
      <c r="S86" s="183">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3.6</v>
      </c>
      <c r="T86" s="183">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3.1</v>
      </c>
      <c r="U86" s="183">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3</v>
      </c>
      <c r="V86" s="183">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3.3</v>
      </c>
      <c r="W86" s="183">
        <f t="shared" si="28"/>
        <v>3.3</v>
      </c>
      <c r="X86" s="183">
        <f t="shared" si="29"/>
        <v>2.6</v>
      </c>
      <c r="Y86" s="207">
        <f>IF('Core Indicators'!FC83="x","x",IF('Core Indicators'!FC83&gt;=5,5,IF('Core Indicators'!FC83&gt;=4,4,IF('Core Indicators'!FC83&gt;=3,3,IF('Core Indicators'!FC83&gt;=2,2,IF('Core Indicators'!FC83&gt;=1,1,0))))))</f>
        <v>3</v>
      </c>
      <c r="Z86" s="183">
        <f t="shared" si="30"/>
        <v>3</v>
      </c>
      <c r="AA86" s="207">
        <f>'Crisis Indicator Data'!Y83</f>
        <v>0</v>
      </c>
      <c r="AB86" s="207">
        <f>'Crisis Indicator Data'!Z83</f>
        <v>0</v>
      </c>
      <c r="AC86" s="207">
        <f>'Crisis Indicator Data'!AA83</f>
        <v>0</v>
      </c>
      <c r="AD86" s="207">
        <f>'Crisis Indicator Data'!AB83</f>
        <v>0</v>
      </c>
      <c r="AE86" s="207">
        <f t="shared" si="33"/>
        <v>0</v>
      </c>
      <c r="AF86" s="207">
        <f>'Crisis Indicator Data'!AC83</f>
        <v>0</v>
      </c>
      <c r="AG86" s="207">
        <f>'Crisis Indicator Data'!AD83</f>
        <v>2</v>
      </c>
      <c r="AH86" s="207">
        <f t="shared" si="34"/>
        <v>2</v>
      </c>
      <c r="AI86" s="207">
        <f>'Crisis Indicator Data'!AE83</f>
        <v>0</v>
      </c>
      <c r="AJ86" s="207">
        <f>'Crisis Indicator Data'!AF83</f>
        <v>1</v>
      </c>
      <c r="AK86" s="207">
        <f>'Crisis Indicator Data'!AG83</f>
        <v>2</v>
      </c>
      <c r="AL86" s="207">
        <f t="shared" si="35"/>
        <v>3</v>
      </c>
      <c r="AM86" s="183">
        <f t="shared" si="31"/>
        <v>2</v>
      </c>
      <c r="AN86" s="183">
        <f t="shared" si="32"/>
        <v>2.5</v>
      </c>
    </row>
    <row r="87" spans="1:40" ht="13.5" customHeight="1" x14ac:dyDescent="0.3">
      <c r="A87" s="194" t="str">
        <f>'Crisis Indicator Data'!A84</f>
        <v>Multiple crisis in Mexico</v>
      </c>
      <c r="B87" s="195" t="str">
        <f>'Crisis Indicator Data'!B84</f>
        <v>Multiple crises country</v>
      </c>
      <c r="C87" s="195" t="str">
        <f>'Crisis Indicator Data'!C84</f>
        <v>MEX001</v>
      </c>
      <c r="D87" s="195" t="str">
        <f>'Crisis Indicator Data'!D84</f>
        <v>Mexico</v>
      </c>
      <c r="E87" s="196" t="str">
        <f>'Crisis Indicator Data'!E84</f>
        <v>MEX</v>
      </c>
      <c r="F87" s="183">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1.4</v>
      </c>
      <c r="G87" s="183">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v>
      </c>
      <c r="H87" s="183">
        <f t="shared" si="23"/>
        <v>1.7</v>
      </c>
      <c r="I87" s="183">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1.7</v>
      </c>
      <c r="J87" s="183">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1.1000000000000001</v>
      </c>
      <c r="K87" s="183">
        <f t="shared" si="24"/>
        <v>1.4</v>
      </c>
      <c r="L87" s="183">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2.2000000000000002</v>
      </c>
      <c r="M87" s="183">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2.6</v>
      </c>
      <c r="N87" s="183">
        <f t="shared" si="25"/>
        <v>2.4000000000000004</v>
      </c>
      <c r="O87" s="183">
        <f t="shared" si="26"/>
        <v>1.8333333333333333</v>
      </c>
      <c r="P87" s="183">
        <f>IF(B87="Regional crisis",VLOOKUP(C87,'Regional Crises'!$B$1:$R$69,12,FALSE),VLOOKUP(E87,'Country Indicator Data'!$B$4:$I$194,8,FALSE))</f>
        <v>5</v>
      </c>
      <c r="Q87" s="183">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3.2</v>
      </c>
      <c r="R87" s="183">
        <f t="shared" si="27"/>
        <v>4.0999999999999996</v>
      </c>
      <c r="S87" s="183">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3.6</v>
      </c>
      <c r="T87" s="183">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3.2</v>
      </c>
      <c r="U87" s="183">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2.5</v>
      </c>
      <c r="V87" s="183">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1.9</v>
      </c>
      <c r="W87" s="183">
        <f t="shared" si="28"/>
        <v>2.8</v>
      </c>
      <c r="X87" s="183">
        <f t="shared" si="29"/>
        <v>2.9</v>
      </c>
      <c r="Y87" s="207">
        <f>IF('Core Indicators'!FC84="x","x",IF('Core Indicators'!FC84&gt;=5,5,IF('Core Indicators'!FC84&gt;=4,4,IF('Core Indicators'!FC84&gt;=3,3,IF('Core Indicators'!FC84&gt;=2,2,IF('Core Indicators'!FC84&gt;=1,1,0))))))</f>
        <v>5</v>
      </c>
      <c r="Z87" s="183">
        <f t="shared" si="30"/>
        <v>5</v>
      </c>
      <c r="AA87" s="207" t="str">
        <f>'Crisis Indicator Data'!Y84</f>
        <v>X</v>
      </c>
      <c r="AB87" s="207">
        <f>'Crisis Indicator Data'!Z84</f>
        <v>1</v>
      </c>
      <c r="AC87" s="207">
        <f>'Crisis Indicator Data'!AA84</f>
        <v>1</v>
      </c>
      <c r="AD87" s="207">
        <f>'Crisis Indicator Data'!AB84</f>
        <v>0</v>
      </c>
      <c r="AE87" s="207">
        <f t="shared" si="33"/>
        <v>2</v>
      </c>
      <c r="AF87" s="207">
        <f>'Crisis Indicator Data'!AC84</f>
        <v>0</v>
      </c>
      <c r="AG87" s="207">
        <f>'Crisis Indicator Data'!AD84</f>
        <v>1</v>
      </c>
      <c r="AH87" s="207">
        <f t="shared" si="34"/>
        <v>1</v>
      </c>
      <c r="AI87" s="207">
        <f>'Crisis Indicator Data'!AE84</f>
        <v>1</v>
      </c>
      <c r="AJ87" s="207" t="str">
        <f>'Crisis Indicator Data'!AF84</f>
        <v>x</v>
      </c>
      <c r="AK87" s="207" t="str">
        <f>'Crisis Indicator Data'!AG84</f>
        <v>X</v>
      </c>
      <c r="AL87" s="207">
        <f t="shared" si="35"/>
        <v>1</v>
      </c>
      <c r="AM87" s="183">
        <f t="shared" si="31"/>
        <v>1</v>
      </c>
      <c r="AN87" s="183">
        <f t="shared" si="32"/>
        <v>3</v>
      </c>
    </row>
    <row r="88" spans="1:40" ht="13.5" customHeight="1" x14ac:dyDescent="0.3">
      <c r="A88" s="194" t="str">
        <f>'Crisis Indicator Data'!A85</f>
        <v>Criminal Violence in Mexico</v>
      </c>
      <c r="B88" s="195" t="str">
        <f>'Crisis Indicator Data'!B85</f>
        <v>Other type of violence</v>
      </c>
      <c r="C88" s="195" t="str">
        <f>'Crisis Indicator Data'!C85</f>
        <v>MEX002</v>
      </c>
      <c r="D88" s="195" t="str">
        <f>'Crisis Indicator Data'!D85</f>
        <v>Mexico</v>
      </c>
      <c r="E88" s="196" t="str">
        <f>'Crisis Indicator Data'!E85</f>
        <v>MEX</v>
      </c>
      <c r="F88" s="183">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1.4</v>
      </c>
      <c r="G88" s="183">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v>
      </c>
      <c r="H88" s="183">
        <f t="shared" si="23"/>
        <v>1.7</v>
      </c>
      <c r="I88" s="183">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1.7</v>
      </c>
      <c r="J88" s="183">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1.1000000000000001</v>
      </c>
      <c r="K88" s="183">
        <f t="shared" si="24"/>
        <v>1.4</v>
      </c>
      <c r="L88" s="183">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2.2000000000000002</v>
      </c>
      <c r="M88" s="183">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2.6</v>
      </c>
      <c r="N88" s="183">
        <f t="shared" si="25"/>
        <v>2.4000000000000004</v>
      </c>
      <c r="O88" s="183">
        <f t="shared" si="26"/>
        <v>1.8333333333333333</v>
      </c>
      <c r="P88" s="183">
        <f>IF(B88="Regional crisis",VLOOKUP(C88,'Regional Crises'!$B$1:$R$69,12,FALSE),VLOOKUP(E88,'Country Indicator Data'!$B$4:$I$194,8,FALSE))</f>
        <v>5</v>
      </c>
      <c r="Q88" s="183">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3.2</v>
      </c>
      <c r="R88" s="183">
        <f t="shared" si="27"/>
        <v>4.0999999999999996</v>
      </c>
      <c r="S88" s="183">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3.6</v>
      </c>
      <c r="T88" s="183">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3.2</v>
      </c>
      <c r="U88" s="183">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2.5</v>
      </c>
      <c r="V88" s="183">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1.9</v>
      </c>
      <c r="W88" s="183">
        <f t="shared" si="28"/>
        <v>2.8</v>
      </c>
      <c r="X88" s="183">
        <f t="shared" si="29"/>
        <v>2.9</v>
      </c>
      <c r="Y88" s="207">
        <f>IF('Core Indicators'!FC85="x","x",IF('Core Indicators'!FC85&gt;=5,5,IF('Core Indicators'!FC85&gt;=4,4,IF('Core Indicators'!FC85&gt;=3,3,IF('Core Indicators'!FC85&gt;=2,2,IF('Core Indicators'!FC85&gt;=1,1,0))))))</f>
        <v>4</v>
      </c>
      <c r="Z88" s="183">
        <f t="shared" si="30"/>
        <v>4</v>
      </c>
      <c r="AA88" s="207" t="str">
        <f>'Crisis Indicator Data'!Y85</f>
        <v>x</v>
      </c>
      <c r="AB88" s="207">
        <f>'Crisis Indicator Data'!Z85</f>
        <v>1</v>
      </c>
      <c r="AC88" s="207">
        <f>'Crisis Indicator Data'!AA85</f>
        <v>1</v>
      </c>
      <c r="AD88" s="207">
        <f>'Crisis Indicator Data'!AB85</f>
        <v>0</v>
      </c>
      <c r="AE88" s="207">
        <f t="shared" si="33"/>
        <v>2</v>
      </c>
      <c r="AF88" s="207" t="str">
        <f>'Crisis Indicator Data'!AC85</f>
        <v>x</v>
      </c>
      <c r="AG88" s="207">
        <f>'Crisis Indicator Data'!AD85</f>
        <v>1</v>
      </c>
      <c r="AH88" s="207">
        <f t="shared" si="34"/>
        <v>1</v>
      </c>
      <c r="AI88" s="207" t="str">
        <f>'Crisis Indicator Data'!AE85</f>
        <v>x</v>
      </c>
      <c r="AJ88" s="207" t="str">
        <f>'Crisis Indicator Data'!AF85</f>
        <v>x</v>
      </c>
      <c r="AK88" s="207" t="str">
        <f>'Crisis Indicator Data'!AG85</f>
        <v>x</v>
      </c>
      <c r="AL88" s="207">
        <f t="shared" si="35"/>
        <v>0</v>
      </c>
      <c r="AM88" s="183">
        <f t="shared" si="31"/>
        <v>1</v>
      </c>
      <c r="AN88" s="183">
        <f t="shared" si="32"/>
        <v>2.5</v>
      </c>
    </row>
    <row r="89" spans="1:40" ht="13.5" customHeight="1" x14ac:dyDescent="0.3">
      <c r="A89" s="194" t="str">
        <f>'Crisis Indicator Data'!A86</f>
        <v>Mixed Migration in Mexico</v>
      </c>
      <c r="B89" s="195" t="str">
        <f>'Crisis Indicator Data'!B86</f>
        <v>International displacement</v>
      </c>
      <c r="C89" s="195" t="str">
        <f>'Crisis Indicator Data'!C86</f>
        <v>MEX003</v>
      </c>
      <c r="D89" s="195" t="str">
        <f>'Crisis Indicator Data'!D86</f>
        <v>Mexico</v>
      </c>
      <c r="E89" s="196" t="str">
        <f>'Crisis Indicator Data'!E86</f>
        <v>MEX</v>
      </c>
      <c r="F89" s="183">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1.4</v>
      </c>
      <c r="G89" s="183">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v>
      </c>
      <c r="H89" s="183">
        <f t="shared" si="23"/>
        <v>1.7</v>
      </c>
      <c r="I89" s="183">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1.7</v>
      </c>
      <c r="J89" s="183">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1.1000000000000001</v>
      </c>
      <c r="K89" s="183">
        <f t="shared" si="24"/>
        <v>1.4</v>
      </c>
      <c r="L89" s="183">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2.2000000000000002</v>
      </c>
      <c r="M89" s="183">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2.6</v>
      </c>
      <c r="N89" s="183">
        <f t="shared" si="25"/>
        <v>2.4000000000000004</v>
      </c>
      <c r="O89" s="183">
        <f t="shared" si="26"/>
        <v>1.8333333333333333</v>
      </c>
      <c r="P89" s="183">
        <f>IF(B89="Regional crisis",VLOOKUP(C89,'Regional Crises'!$B$1:$R$69,12,FALSE),VLOOKUP(E89,'Country Indicator Data'!$B$4:$I$194,8,FALSE))</f>
        <v>5</v>
      </c>
      <c r="Q89" s="183">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3.2</v>
      </c>
      <c r="R89" s="183">
        <f t="shared" si="27"/>
        <v>4.0999999999999996</v>
      </c>
      <c r="S89" s="183">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3.6</v>
      </c>
      <c r="T89" s="183">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3.2</v>
      </c>
      <c r="U89" s="183">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2.5</v>
      </c>
      <c r="V89" s="183">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1.9</v>
      </c>
      <c r="W89" s="183">
        <f t="shared" si="28"/>
        <v>2.8</v>
      </c>
      <c r="X89" s="183">
        <f t="shared" si="29"/>
        <v>2.9</v>
      </c>
      <c r="Y89" s="207">
        <f>IF('Core Indicators'!FC86="x","x",IF('Core Indicators'!FC86&gt;=5,5,IF('Core Indicators'!FC86&gt;=4,4,IF('Core Indicators'!FC86&gt;=3,3,IF('Core Indicators'!FC86&gt;=2,2,IF('Core Indicators'!FC86&gt;=1,1,0))))))</f>
        <v>3</v>
      </c>
      <c r="Z89" s="183">
        <f t="shared" si="30"/>
        <v>3</v>
      </c>
      <c r="AA89" s="207" t="str">
        <f>'Crisis Indicator Data'!Y86</f>
        <v>x</v>
      </c>
      <c r="AB89" s="207">
        <f>'Crisis Indicator Data'!Z86</f>
        <v>1</v>
      </c>
      <c r="AC89" s="207">
        <f>'Crisis Indicator Data'!AA86</f>
        <v>1</v>
      </c>
      <c r="AD89" s="207">
        <f>'Crisis Indicator Data'!AB86</f>
        <v>0</v>
      </c>
      <c r="AE89" s="207">
        <f t="shared" si="33"/>
        <v>2</v>
      </c>
      <c r="AF89" s="207">
        <f>'Crisis Indicator Data'!AC86</f>
        <v>1</v>
      </c>
      <c r="AG89" s="207">
        <f>'Crisis Indicator Data'!AD86</f>
        <v>1</v>
      </c>
      <c r="AH89" s="207">
        <f t="shared" si="34"/>
        <v>2</v>
      </c>
      <c r="AI89" s="207">
        <f>'Crisis Indicator Data'!AE86</f>
        <v>1</v>
      </c>
      <c r="AJ89" s="207" t="str">
        <f>'Crisis Indicator Data'!AF86</f>
        <v>x</v>
      </c>
      <c r="AK89" s="207" t="str">
        <f>'Crisis Indicator Data'!AG86</f>
        <v>x</v>
      </c>
      <c r="AL89" s="207">
        <f t="shared" si="35"/>
        <v>1</v>
      </c>
      <c r="AM89" s="183">
        <f t="shared" si="31"/>
        <v>2</v>
      </c>
      <c r="AN89" s="183">
        <f t="shared" si="32"/>
        <v>2.5</v>
      </c>
    </row>
    <row r="90" spans="1:40" ht="13.5" customHeight="1" x14ac:dyDescent="0.3">
      <c r="A90" s="194" t="str">
        <f>'Crisis Indicator Data'!A87</f>
        <v>Mixed migration flows in Morocco</v>
      </c>
      <c r="B90" s="195" t="str">
        <f>'Crisis Indicator Data'!B87</f>
        <v>International displacement</v>
      </c>
      <c r="C90" s="195" t="str">
        <f>'Crisis Indicator Data'!C87</f>
        <v>MAR002</v>
      </c>
      <c r="D90" s="195" t="str">
        <f>'Crisis Indicator Data'!D87</f>
        <v>Morocco</v>
      </c>
      <c r="E90" s="196" t="str">
        <f>'Crisis Indicator Data'!E87</f>
        <v>MAR</v>
      </c>
      <c r="F90" s="183">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3.2</v>
      </c>
      <c r="G90" s="183">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3.2</v>
      </c>
      <c r="H90" s="183">
        <f t="shared" si="23"/>
        <v>3.2</v>
      </c>
      <c r="I90" s="183">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2.5</v>
      </c>
      <c r="J90" s="183">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4</v>
      </c>
      <c r="K90" s="183">
        <f t="shared" si="24"/>
        <v>3.25</v>
      </c>
      <c r="L90" s="183">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3.3</v>
      </c>
      <c r="M90" s="183">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1.8</v>
      </c>
      <c r="N90" s="183">
        <f t="shared" si="25"/>
        <v>2.5499999999999998</v>
      </c>
      <c r="O90" s="183">
        <f t="shared" si="26"/>
        <v>3</v>
      </c>
      <c r="P90" s="183">
        <f>IF(B90="Regional crisis",VLOOKUP(C90,'Regional Crises'!$B$1:$R$69,12,FALSE),VLOOKUP(E90,'Country Indicator Data'!$B$4:$I$194,8,FALSE))</f>
        <v>3</v>
      </c>
      <c r="Q90" s="183">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2.5</v>
      </c>
      <c r="R90" s="183">
        <f t="shared" si="27"/>
        <v>2.75</v>
      </c>
      <c r="S90" s="183">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v>
      </c>
      <c r="T90" s="183">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2.6</v>
      </c>
      <c r="U90" s="183">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83">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3.2</v>
      </c>
      <c r="W90" s="183">
        <f t="shared" si="28"/>
        <v>3.1</v>
      </c>
      <c r="X90" s="183">
        <f t="shared" si="29"/>
        <v>3</v>
      </c>
      <c r="Y90" s="207">
        <f>IF('Core Indicators'!FC87="x","x",IF('Core Indicators'!FC87&gt;=5,5,IF('Core Indicators'!FC87&gt;=4,4,IF('Core Indicators'!FC87&gt;=3,3,IF('Core Indicators'!FC87&gt;=2,2,IF('Core Indicators'!FC87&gt;=1,1,0))))))</f>
        <v>1</v>
      </c>
      <c r="Z90" s="183">
        <f t="shared" si="30"/>
        <v>1</v>
      </c>
      <c r="AA90" s="207">
        <f>'Crisis Indicator Data'!Y87</f>
        <v>0</v>
      </c>
      <c r="AB90" s="207">
        <f>'Crisis Indicator Data'!Z87</f>
        <v>0</v>
      </c>
      <c r="AC90" s="207">
        <f>'Crisis Indicator Data'!AA87</f>
        <v>1</v>
      </c>
      <c r="AD90" s="207">
        <f>'Crisis Indicator Data'!AB87</f>
        <v>0</v>
      </c>
      <c r="AE90" s="207">
        <f t="shared" si="33"/>
        <v>1</v>
      </c>
      <c r="AF90" s="207">
        <f>'Crisis Indicator Data'!AC87</f>
        <v>0</v>
      </c>
      <c r="AG90" s="207">
        <f>'Crisis Indicator Data'!AD87</f>
        <v>1</v>
      </c>
      <c r="AH90" s="207">
        <f t="shared" si="34"/>
        <v>1</v>
      </c>
      <c r="AI90" s="207">
        <f>'Crisis Indicator Data'!AE87</f>
        <v>0</v>
      </c>
      <c r="AJ90" s="207">
        <f>'Crisis Indicator Data'!AF87</f>
        <v>0</v>
      </c>
      <c r="AK90" s="207">
        <f>'Crisis Indicator Data'!AG87</f>
        <v>0</v>
      </c>
      <c r="AL90" s="207">
        <f t="shared" si="35"/>
        <v>0</v>
      </c>
      <c r="AM90" s="183">
        <f t="shared" si="31"/>
        <v>1</v>
      </c>
      <c r="AN90" s="183">
        <f t="shared" si="32"/>
        <v>1</v>
      </c>
    </row>
    <row r="91" spans="1:40" ht="13.5" customHeight="1" x14ac:dyDescent="0.3">
      <c r="A91" s="194" t="str">
        <f>'Crisis Indicator Data'!A88</f>
        <v>Complex crisis in Mozambique</v>
      </c>
      <c r="B91" s="195" t="str">
        <f>'Crisis Indicator Data'!B88</f>
        <v>Complex crisis</v>
      </c>
      <c r="C91" s="195" t="str">
        <f>'Crisis Indicator Data'!C88</f>
        <v>MOZ001</v>
      </c>
      <c r="D91" s="195" t="str">
        <f>'Crisis Indicator Data'!D88</f>
        <v>Mozambique</v>
      </c>
      <c r="E91" s="196" t="str">
        <f>'Crisis Indicator Data'!E88</f>
        <v>MOZ</v>
      </c>
      <c r="F91" s="183">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2.5</v>
      </c>
      <c r="G91" s="183">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2.8</v>
      </c>
      <c r="H91" s="183">
        <f t="shared" si="23"/>
        <v>2.65</v>
      </c>
      <c r="I91" s="183">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4.5</v>
      </c>
      <c r="J91" s="183">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1.7</v>
      </c>
      <c r="K91" s="183">
        <f t="shared" si="24"/>
        <v>3.1</v>
      </c>
      <c r="L91" s="183">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3.8</v>
      </c>
      <c r="M91" s="183">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3.6</v>
      </c>
      <c r="N91" s="183">
        <f t="shared" si="25"/>
        <v>3.7</v>
      </c>
      <c r="O91" s="183">
        <f t="shared" si="26"/>
        <v>3.15</v>
      </c>
      <c r="P91" s="183">
        <f>IF(B91="Regional crisis",VLOOKUP(C91,'Regional Crises'!$B$1:$R$69,12,FALSE),VLOOKUP(E91,'Country Indicator Data'!$B$4:$I$194,8,FALSE))</f>
        <v>4</v>
      </c>
      <c r="Q91" s="183">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4</v>
      </c>
      <c r="R91" s="183">
        <f t="shared" si="27"/>
        <v>4</v>
      </c>
      <c r="S91" s="183">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3.7</v>
      </c>
      <c r="T91" s="183">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3.5</v>
      </c>
      <c r="U91" s="183">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3.5</v>
      </c>
      <c r="V91" s="183">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2.8</v>
      </c>
      <c r="W91" s="183">
        <f t="shared" si="28"/>
        <v>3.4</v>
      </c>
      <c r="X91" s="183">
        <f t="shared" si="29"/>
        <v>3.5</v>
      </c>
      <c r="Y91" s="207">
        <f>IF('Core Indicators'!FC88="x","x",IF('Core Indicators'!FC88&gt;=5,5,IF('Core Indicators'!FC88&gt;=4,4,IF('Core Indicators'!FC88&gt;=3,3,IF('Core Indicators'!FC88&gt;=2,2,IF('Core Indicators'!FC88&gt;=1,1,0))))))</f>
        <v>3</v>
      </c>
      <c r="Z91" s="183">
        <f t="shared" si="30"/>
        <v>3</v>
      </c>
      <c r="AA91" s="207">
        <f>'Crisis Indicator Data'!Y88</f>
        <v>0</v>
      </c>
      <c r="AB91" s="207">
        <f>'Crisis Indicator Data'!Z88</f>
        <v>1</v>
      </c>
      <c r="AC91" s="207">
        <f>'Crisis Indicator Data'!AA88</f>
        <v>0</v>
      </c>
      <c r="AD91" s="207">
        <f>'Crisis Indicator Data'!AB88</f>
        <v>0</v>
      </c>
      <c r="AE91" s="207">
        <f t="shared" si="33"/>
        <v>1</v>
      </c>
      <c r="AF91" s="207">
        <f>'Crisis Indicator Data'!AC88</f>
        <v>0</v>
      </c>
      <c r="AG91" s="207">
        <f>'Crisis Indicator Data'!AD88</f>
        <v>2</v>
      </c>
      <c r="AH91" s="207">
        <f t="shared" si="34"/>
        <v>2</v>
      </c>
      <c r="AI91" s="207">
        <f>'Crisis Indicator Data'!AE88</f>
        <v>1</v>
      </c>
      <c r="AJ91" s="207">
        <f>'Crisis Indicator Data'!AF88</f>
        <v>1</v>
      </c>
      <c r="AK91" s="207">
        <f>'Crisis Indicator Data'!AG88</f>
        <v>1</v>
      </c>
      <c r="AL91" s="207">
        <f t="shared" si="35"/>
        <v>3</v>
      </c>
      <c r="AM91" s="183">
        <f t="shared" si="31"/>
        <v>2</v>
      </c>
      <c r="AN91" s="183">
        <f t="shared" si="32"/>
        <v>2.5</v>
      </c>
    </row>
    <row r="92" spans="1:40" ht="13.5" customHeight="1" x14ac:dyDescent="0.3">
      <c r="A92" s="194" t="str">
        <f>'Crisis Indicator Data'!A89</f>
        <v>Cabo Delgado Islamist Insurgency</v>
      </c>
      <c r="B92" s="195" t="str">
        <f>'Crisis Indicator Data'!B89</f>
        <v>Other type of violence</v>
      </c>
      <c r="C92" s="195" t="str">
        <f>'Crisis Indicator Data'!C89</f>
        <v>MOZ004</v>
      </c>
      <c r="D92" s="195" t="str">
        <f>'Crisis Indicator Data'!D89</f>
        <v>Mozambique</v>
      </c>
      <c r="E92" s="196" t="str">
        <f>'Crisis Indicator Data'!E89</f>
        <v>MOZ</v>
      </c>
      <c r="F92" s="183">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2.5</v>
      </c>
      <c r="G92" s="183">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2.8</v>
      </c>
      <c r="H92" s="183">
        <f t="shared" si="23"/>
        <v>2.65</v>
      </c>
      <c r="I92" s="183">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4.5</v>
      </c>
      <c r="J92" s="183">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1.7</v>
      </c>
      <c r="K92" s="183">
        <f t="shared" si="24"/>
        <v>3.1</v>
      </c>
      <c r="L92" s="183">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3.8</v>
      </c>
      <c r="M92" s="183">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3.6</v>
      </c>
      <c r="N92" s="183">
        <f t="shared" si="25"/>
        <v>3.7</v>
      </c>
      <c r="O92" s="183">
        <f t="shared" si="26"/>
        <v>3.15</v>
      </c>
      <c r="P92" s="183">
        <f>IF(B92="Regional crisis",VLOOKUP(C92,'Regional Crises'!$B$1:$R$69,12,FALSE),VLOOKUP(E92,'Country Indicator Data'!$B$4:$I$194,8,FALSE))</f>
        <v>4</v>
      </c>
      <c r="Q92" s="183">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4</v>
      </c>
      <c r="R92" s="183">
        <f t="shared" si="27"/>
        <v>4</v>
      </c>
      <c r="S92" s="183">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3.7</v>
      </c>
      <c r="T92" s="183">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3.5</v>
      </c>
      <c r="U92" s="183">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3.5</v>
      </c>
      <c r="V92" s="183">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2.8</v>
      </c>
      <c r="W92" s="183">
        <f t="shared" si="28"/>
        <v>3.4</v>
      </c>
      <c r="X92" s="183">
        <f t="shared" si="29"/>
        <v>3.5</v>
      </c>
      <c r="Y92" s="207">
        <f>IF('Core Indicators'!FC89="x","x",IF('Core Indicators'!FC89&gt;=5,5,IF('Core Indicators'!FC89&gt;=4,4,IF('Core Indicators'!FC89&gt;=3,3,IF('Core Indicators'!FC89&gt;=2,2,IF('Core Indicators'!FC89&gt;=1,1,0))))))</f>
        <v>2</v>
      </c>
      <c r="Z92" s="183">
        <f t="shared" si="30"/>
        <v>2</v>
      </c>
      <c r="AA92" s="207">
        <f>'Crisis Indicator Data'!Y89</f>
        <v>0</v>
      </c>
      <c r="AB92" s="207">
        <f>'Crisis Indicator Data'!Z89</f>
        <v>1</v>
      </c>
      <c r="AC92" s="207">
        <f>'Crisis Indicator Data'!AA89</f>
        <v>0</v>
      </c>
      <c r="AD92" s="207">
        <f>'Crisis Indicator Data'!AB89</f>
        <v>0</v>
      </c>
      <c r="AE92" s="207">
        <f t="shared" si="33"/>
        <v>1</v>
      </c>
      <c r="AF92" s="207">
        <f>'Crisis Indicator Data'!AC89</f>
        <v>0</v>
      </c>
      <c r="AG92" s="207">
        <f>'Crisis Indicator Data'!AD89</f>
        <v>2</v>
      </c>
      <c r="AH92" s="207">
        <f t="shared" si="34"/>
        <v>2</v>
      </c>
      <c r="AI92" s="207">
        <f>'Crisis Indicator Data'!AE89</f>
        <v>1</v>
      </c>
      <c r="AJ92" s="207">
        <f>'Crisis Indicator Data'!AF89</f>
        <v>1</v>
      </c>
      <c r="AK92" s="207">
        <f>'Crisis Indicator Data'!AG89</f>
        <v>1</v>
      </c>
      <c r="AL92" s="207">
        <f t="shared" si="35"/>
        <v>3</v>
      </c>
      <c r="AM92" s="183">
        <f t="shared" si="31"/>
        <v>2</v>
      </c>
      <c r="AN92" s="183">
        <f t="shared" si="32"/>
        <v>2</v>
      </c>
    </row>
    <row r="93" spans="1:40" ht="13.5" customHeight="1" x14ac:dyDescent="0.3">
      <c r="A93" s="194" t="str">
        <f>'Crisis Indicator Data'!A90</f>
        <v>Food Security Crisis in Mozambique</v>
      </c>
      <c r="B93" s="195" t="str">
        <f>'Crisis Indicator Data'!B90</f>
        <v>Food Security</v>
      </c>
      <c r="C93" s="195" t="str">
        <f>'Crisis Indicator Data'!C90</f>
        <v>MOZ006</v>
      </c>
      <c r="D93" s="195" t="str">
        <f>'Crisis Indicator Data'!D90</f>
        <v>Mozambique</v>
      </c>
      <c r="E93" s="196" t="str">
        <f>'Crisis Indicator Data'!E90</f>
        <v>MOZ</v>
      </c>
      <c r="F93" s="183">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2.5</v>
      </c>
      <c r="G93" s="183">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2.8</v>
      </c>
      <c r="H93" s="183">
        <f t="shared" si="23"/>
        <v>2.65</v>
      </c>
      <c r="I93" s="183">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4.5</v>
      </c>
      <c r="J93" s="183">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1.7</v>
      </c>
      <c r="K93" s="183">
        <f t="shared" si="24"/>
        <v>3.1</v>
      </c>
      <c r="L93" s="183">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3.8</v>
      </c>
      <c r="M93" s="183">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3.6</v>
      </c>
      <c r="N93" s="183">
        <f t="shared" si="25"/>
        <v>3.7</v>
      </c>
      <c r="O93" s="183">
        <f t="shared" si="26"/>
        <v>3.15</v>
      </c>
      <c r="P93" s="183">
        <f>IF(B93="Regional crisis",VLOOKUP(C93,'Regional Crises'!$B$1:$R$69,12,FALSE),VLOOKUP(E93,'Country Indicator Data'!$B$4:$I$194,8,FALSE))</f>
        <v>4</v>
      </c>
      <c r="Q93" s="183">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4</v>
      </c>
      <c r="R93" s="183">
        <f t="shared" si="27"/>
        <v>4</v>
      </c>
      <c r="S93" s="183">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3.7</v>
      </c>
      <c r="T93" s="183">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3.5</v>
      </c>
      <c r="U93" s="183">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3.5</v>
      </c>
      <c r="V93" s="183">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2.8</v>
      </c>
      <c r="W93" s="183">
        <f t="shared" si="28"/>
        <v>3.4</v>
      </c>
      <c r="X93" s="183">
        <f t="shared" si="29"/>
        <v>3.5</v>
      </c>
      <c r="Y93" s="207">
        <f>IF('Core Indicators'!FC90="x","x",IF('Core Indicators'!FC90&gt;=5,5,IF('Core Indicators'!FC90&gt;=4,4,IF('Core Indicators'!FC90&gt;=3,3,IF('Core Indicators'!FC90&gt;=2,2,IF('Core Indicators'!FC90&gt;=1,1,0))))))</f>
        <v>3</v>
      </c>
      <c r="Z93" s="183">
        <f t="shared" si="30"/>
        <v>3</v>
      </c>
      <c r="AA93" s="207">
        <f>'Crisis Indicator Data'!Y90</f>
        <v>0</v>
      </c>
      <c r="AB93" s="207">
        <f>'Crisis Indicator Data'!Z90</f>
        <v>0</v>
      </c>
      <c r="AC93" s="207">
        <f>'Crisis Indicator Data'!AA90</f>
        <v>0</v>
      </c>
      <c r="AD93" s="207">
        <f>'Crisis Indicator Data'!AB90</f>
        <v>1</v>
      </c>
      <c r="AE93" s="207">
        <f t="shared" si="33"/>
        <v>1</v>
      </c>
      <c r="AF93" s="207">
        <f>'Crisis Indicator Data'!AC90</f>
        <v>0</v>
      </c>
      <c r="AG93" s="207">
        <f>'Crisis Indicator Data'!AD90</f>
        <v>0</v>
      </c>
      <c r="AH93" s="207">
        <f t="shared" si="34"/>
        <v>0</v>
      </c>
      <c r="AI93" s="207">
        <f>'Crisis Indicator Data'!AE90</f>
        <v>1</v>
      </c>
      <c r="AJ93" s="207">
        <f>'Crisis Indicator Data'!AF90</f>
        <v>0</v>
      </c>
      <c r="AK93" s="207">
        <f>'Crisis Indicator Data'!AG90</f>
        <v>1</v>
      </c>
      <c r="AL93" s="207">
        <f t="shared" si="35"/>
        <v>2</v>
      </c>
      <c r="AM93" s="183">
        <f t="shared" si="31"/>
        <v>1</v>
      </c>
      <c r="AN93" s="183">
        <f t="shared" si="32"/>
        <v>2</v>
      </c>
    </row>
    <row r="94" spans="1:40" ht="13.5" customHeight="1" x14ac:dyDescent="0.3">
      <c r="A94" s="194" t="str">
        <f>'Crisis Indicator Data'!A91</f>
        <v>Multiple crises in Myanmar</v>
      </c>
      <c r="B94" s="195" t="str">
        <f>'Crisis Indicator Data'!B91</f>
        <v>Multiple crises country</v>
      </c>
      <c r="C94" s="195" t="str">
        <f>'Crisis Indicator Data'!C91</f>
        <v>MMR001</v>
      </c>
      <c r="D94" s="195" t="str">
        <f>'Crisis Indicator Data'!D91</f>
        <v>Myanmar</v>
      </c>
      <c r="E94" s="196" t="str">
        <f>'Crisis Indicator Data'!E91</f>
        <v>MMR</v>
      </c>
      <c r="F94" s="183">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5</v>
      </c>
      <c r="G94" s="183">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3.4</v>
      </c>
      <c r="H94" s="183">
        <f t="shared" si="23"/>
        <v>4.2</v>
      </c>
      <c r="I94" s="183">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2.6</v>
      </c>
      <c r="J94" s="183">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3</v>
      </c>
      <c r="K94" s="183">
        <f t="shared" si="24"/>
        <v>2.8</v>
      </c>
      <c r="L94" s="183">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3.1</v>
      </c>
      <c r="M94" s="183">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0.7</v>
      </c>
      <c r="N94" s="183">
        <f t="shared" si="25"/>
        <v>1.9</v>
      </c>
      <c r="O94" s="183">
        <f t="shared" si="26"/>
        <v>2.9666666666666668</v>
      </c>
      <c r="P94" s="183">
        <f>IF(B94="Regional crisis",VLOOKUP(C94,'Regional Crises'!$B$1:$R$69,12,FALSE),VLOOKUP(E94,'Country Indicator Data'!$B$4:$I$194,8,FALSE))</f>
        <v>4</v>
      </c>
      <c r="Q94" s="183">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3.4</v>
      </c>
      <c r="R94" s="183">
        <f t="shared" si="27"/>
        <v>3.7</v>
      </c>
      <c r="S94" s="183">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3.6</v>
      </c>
      <c r="T94" s="183">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3.6</v>
      </c>
      <c r="U94" s="183">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3.6</v>
      </c>
      <c r="V94" s="183">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3.5</v>
      </c>
      <c r="W94" s="183">
        <f t="shared" si="28"/>
        <v>3.6</v>
      </c>
      <c r="X94" s="183">
        <f t="shared" si="29"/>
        <v>3.4</v>
      </c>
      <c r="Y94" s="207">
        <f>IF('Core Indicators'!FC91="x","x",IF('Core Indicators'!FC91&gt;=5,5,IF('Core Indicators'!FC91&gt;=4,4,IF('Core Indicators'!FC91&gt;=3,3,IF('Core Indicators'!FC91&gt;=2,2,IF('Core Indicators'!FC91&gt;=1,1,0))))))</f>
        <v>3</v>
      </c>
      <c r="Z94" s="183">
        <f t="shared" si="30"/>
        <v>3</v>
      </c>
      <c r="AA94" s="207">
        <f>'Crisis Indicator Data'!Y91</f>
        <v>2</v>
      </c>
      <c r="AB94" s="207">
        <f>'Crisis Indicator Data'!Z91</f>
        <v>3</v>
      </c>
      <c r="AC94" s="207">
        <f>'Crisis Indicator Data'!AA91</f>
        <v>1</v>
      </c>
      <c r="AD94" s="207">
        <f>'Crisis Indicator Data'!AB91</f>
        <v>0</v>
      </c>
      <c r="AE94" s="207">
        <f t="shared" si="33"/>
        <v>3</v>
      </c>
      <c r="AF94" s="207">
        <f>'Crisis Indicator Data'!AC91</f>
        <v>3</v>
      </c>
      <c r="AG94" s="207">
        <f>'Crisis Indicator Data'!AD91</f>
        <v>3</v>
      </c>
      <c r="AH94" s="207">
        <f t="shared" si="34"/>
        <v>5</v>
      </c>
      <c r="AI94" s="207">
        <f>'Crisis Indicator Data'!AE91</f>
        <v>3</v>
      </c>
      <c r="AJ94" s="207">
        <f>'Crisis Indicator Data'!AF91</f>
        <v>1</v>
      </c>
      <c r="AK94" s="207">
        <f>'Crisis Indicator Data'!AG91</f>
        <v>3</v>
      </c>
      <c r="AL94" s="207">
        <f t="shared" si="35"/>
        <v>5</v>
      </c>
      <c r="AM94" s="183">
        <f t="shared" si="31"/>
        <v>4</v>
      </c>
      <c r="AN94" s="183">
        <f t="shared" si="32"/>
        <v>3.5</v>
      </c>
    </row>
    <row r="95" spans="1:40" ht="13.5" customHeight="1" x14ac:dyDescent="0.3">
      <c r="A95" s="194" t="str">
        <f>'Crisis Indicator Data'!A92</f>
        <v>Rakhine Conflict</v>
      </c>
      <c r="B95" s="195" t="str">
        <f>'Crisis Indicator Data'!B92</f>
        <v>Conflict</v>
      </c>
      <c r="C95" s="195" t="str">
        <f>'Crisis Indicator Data'!C92</f>
        <v>MMR002</v>
      </c>
      <c r="D95" s="195" t="str">
        <f>'Crisis Indicator Data'!D92</f>
        <v>Myanmar</v>
      </c>
      <c r="E95" s="196" t="str">
        <f>'Crisis Indicator Data'!E92</f>
        <v>MMR</v>
      </c>
      <c r="F95" s="183">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5</v>
      </c>
      <c r="G95" s="183">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3.4</v>
      </c>
      <c r="H95" s="183">
        <f t="shared" si="23"/>
        <v>4.2</v>
      </c>
      <c r="I95" s="183">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2.6</v>
      </c>
      <c r="J95" s="183">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3</v>
      </c>
      <c r="K95" s="183">
        <f t="shared" si="24"/>
        <v>2.8</v>
      </c>
      <c r="L95" s="183">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3.1</v>
      </c>
      <c r="M95" s="183">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0.7</v>
      </c>
      <c r="N95" s="183">
        <f t="shared" si="25"/>
        <v>1.9</v>
      </c>
      <c r="O95" s="183">
        <f t="shared" si="26"/>
        <v>2.9666666666666668</v>
      </c>
      <c r="P95" s="183">
        <f>IF(B95="Regional crisis",VLOOKUP(C95,'Regional Crises'!$B$1:$R$69,12,FALSE),VLOOKUP(E95,'Country Indicator Data'!$B$4:$I$194,8,FALSE))</f>
        <v>4</v>
      </c>
      <c r="Q95" s="183">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3.4</v>
      </c>
      <c r="R95" s="183">
        <f t="shared" si="27"/>
        <v>3.7</v>
      </c>
      <c r="S95" s="183">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3.6</v>
      </c>
      <c r="T95" s="183">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3.6</v>
      </c>
      <c r="U95" s="183">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3.6</v>
      </c>
      <c r="V95" s="183">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3.5</v>
      </c>
      <c r="W95" s="183">
        <f t="shared" si="28"/>
        <v>3.6</v>
      </c>
      <c r="X95" s="183">
        <f t="shared" si="29"/>
        <v>3.4</v>
      </c>
      <c r="Y95" s="207">
        <f>IF('Core Indicators'!FC92="x","x",IF('Core Indicators'!FC92&gt;=5,5,IF('Core Indicators'!FC92&gt;=4,4,IF('Core Indicators'!FC92&gt;=3,3,IF('Core Indicators'!FC92&gt;=2,2,IF('Core Indicators'!FC92&gt;=1,1,0))))))</f>
        <v>4</v>
      </c>
      <c r="Z95" s="183">
        <f t="shared" si="30"/>
        <v>4</v>
      </c>
      <c r="AA95" s="207">
        <f>'Crisis Indicator Data'!Y92</f>
        <v>2</v>
      </c>
      <c r="AB95" s="207">
        <f>'Crisis Indicator Data'!Z92</f>
        <v>1</v>
      </c>
      <c r="AC95" s="207">
        <f>'Crisis Indicator Data'!AA92</f>
        <v>1</v>
      </c>
      <c r="AD95" s="207">
        <f>'Crisis Indicator Data'!AB92</f>
        <v>0</v>
      </c>
      <c r="AE95" s="207">
        <f t="shared" si="33"/>
        <v>2</v>
      </c>
      <c r="AF95" s="207">
        <f>'Crisis Indicator Data'!AC92</f>
        <v>3</v>
      </c>
      <c r="AG95" s="207">
        <f>'Crisis Indicator Data'!AD92</f>
        <v>3</v>
      </c>
      <c r="AH95" s="207">
        <f t="shared" si="34"/>
        <v>5</v>
      </c>
      <c r="AI95" s="207">
        <f>'Crisis Indicator Data'!AE92</f>
        <v>2</v>
      </c>
      <c r="AJ95" s="207">
        <f>'Crisis Indicator Data'!AF92</f>
        <v>1</v>
      </c>
      <c r="AK95" s="207">
        <f>'Crisis Indicator Data'!AG92</f>
        <v>2</v>
      </c>
      <c r="AL95" s="207">
        <f t="shared" si="35"/>
        <v>4</v>
      </c>
      <c r="AM95" s="183">
        <f t="shared" si="31"/>
        <v>4</v>
      </c>
      <c r="AN95" s="183">
        <f t="shared" si="32"/>
        <v>4</v>
      </c>
    </row>
    <row r="96" spans="1:40" ht="13.5" customHeight="1" x14ac:dyDescent="0.3">
      <c r="A96" s="194" t="str">
        <f>'Crisis Indicator Data'!A93</f>
        <v>Kachin and Shan Conflict</v>
      </c>
      <c r="B96" s="195" t="str">
        <f>'Crisis Indicator Data'!B93</f>
        <v>Conflict</v>
      </c>
      <c r="C96" s="195" t="str">
        <f>'Crisis Indicator Data'!C93</f>
        <v>MMR003</v>
      </c>
      <c r="D96" s="195" t="str">
        <f>'Crisis Indicator Data'!D93</f>
        <v>Myanmar</v>
      </c>
      <c r="E96" s="196" t="str">
        <f>'Crisis Indicator Data'!E93</f>
        <v>MMR</v>
      </c>
      <c r="F96" s="183">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5</v>
      </c>
      <c r="G96" s="183">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3.4</v>
      </c>
      <c r="H96" s="183">
        <f t="shared" si="23"/>
        <v>4.2</v>
      </c>
      <c r="I96" s="183">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2.6</v>
      </c>
      <c r="J96" s="183">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3</v>
      </c>
      <c r="K96" s="183">
        <f t="shared" si="24"/>
        <v>2.8</v>
      </c>
      <c r="L96" s="183">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3.1</v>
      </c>
      <c r="M96" s="183">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0.7</v>
      </c>
      <c r="N96" s="183">
        <f t="shared" si="25"/>
        <v>1.9</v>
      </c>
      <c r="O96" s="183">
        <f t="shared" si="26"/>
        <v>2.9666666666666668</v>
      </c>
      <c r="P96" s="183">
        <f>IF(B96="Regional crisis",VLOOKUP(C96,'Regional Crises'!$B$1:$R$69,12,FALSE),VLOOKUP(E96,'Country Indicator Data'!$B$4:$I$194,8,FALSE))</f>
        <v>4</v>
      </c>
      <c r="Q96" s="183">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3.4</v>
      </c>
      <c r="R96" s="183">
        <f t="shared" si="27"/>
        <v>3.7</v>
      </c>
      <c r="S96" s="183">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3.6</v>
      </c>
      <c r="T96" s="183">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3.6</v>
      </c>
      <c r="U96" s="183">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3.6</v>
      </c>
      <c r="V96" s="183">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3.5</v>
      </c>
      <c r="W96" s="183">
        <f t="shared" si="28"/>
        <v>3.6</v>
      </c>
      <c r="X96" s="183">
        <f t="shared" si="29"/>
        <v>3.4</v>
      </c>
      <c r="Y96" s="207">
        <f>IF('Core Indicators'!FC93="x","x",IF('Core Indicators'!FC93&gt;=5,5,IF('Core Indicators'!FC93&gt;=4,4,IF('Core Indicators'!FC93&gt;=3,3,IF('Core Indicators'!FC93&gt;=2,2,IF('Core Indicators'!FC93&gt;=1,1,0))))))</f>
        <v>3</v>
      </c>
      <c r="Z96" s="183">
        <f t="shared" si="30"/>
        <v>3</v>
      </c>
      <c r="AA96" s="207">
        <f>'Crisis Indicator Data'!Y93</f>
        <v>2</v>
      </c>
      <c r="AB96" s="207">
        <f>'Crisis Indicator Data'!Z93</f>
        <v>3</v>
      </c>
      <c r="AC96" s="207">
        <f>'Crisis Indicator Data'!AA93</f>
        <v>1</v>
      </c>
      <c r="AD96" s="207">
        <f>'Crisis Indicator Data'!AB93</f>
        <v>0</v>
      </c>
      <c r="AE96" s="207">
        <f t="shared" si="33"/>
        <v>3</v>
      </c>
      <c r="AF96" s="207">
        <f>'Crisis Indicator Data'!AC93</f>
        <v>1</v>
      </c>
      <c r="AG96" s="207">
        <f>'Crisis Indicator Data'!AD93</f>
        <v>2</v>
      </c>
      <c r="AH96" s="207">
        <f t="shared" si="34"/>
        <v>3</v>
      </c>
      <c r="AI96" s="207">
        <f>'Crisis Indicator Data'!AE93</f>
        <v>3</v>
      </c>
      <c r="AJ96" s="207">
        <f>'Crisis Indicator Data'!AF93</f>
        <v>1</v>
      </c>
      <c r="AK96" s="207">
        <f>'Crisis Indicator Data'!AG93</f>
        <v>3</v>
      </c>
      <c r="AL96" s="207">
        <f t="shared" si="35"/>
        <v>5</v>
      </c>
      <c r="AM96" s="183">
        <f t="shared" si="31"/>
        <v>4</v>
      </c>
      <c r="AN96" s="183">
        <f t="shared" si="32"/>
        <v>3.5</v>
      </c>
    </row>
    <row r="97" spans="1:40" ht="13.5" customHeight="1" x14ac:dyDescent="0.3">
      <c r="A97" s="194" t="str">
        <f>'Crisis Indicator Data'!A94</f>
        <v>Food Security Crisis in Namibia</v>
      </c>
      <c r="B97" s="195" t="str">
        <f>'Crisis Indicator Data'!B94</f>
        <v>Food Security</v>
      </c>
      <c r="C97" s="195" t="str">
        <f>'Crisis Indicator Data'!C94</f>
        <v>NAM002</v>
      </c>
      <c r="D97" s="195" t="str">
        <f>'Crisis Indicator Data'!D94</f>
        <v>Namibia</v>
      </c>
      <c r="E97" s="196" t="str">
        <f>'Crisis Indicator Data'!E94</f>
        <v>NAM</v>
      </c>
      <c r="F97" s="183">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1.1000000000000001</v>
      </c>
      <c r="G97" s="183">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1.3</v>
      </c>
      <c r="H97" s="183">
        <f t="shared" si="23"/>
        <v>1.2000000000000002</v>
      </c>
      <c r="I97" s="183">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3.6</v>
      </c>
      <c r="J97" s="183">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1.6</v>
      </c>
      <c r="K97" s="183">
        <f t="shared" si="24"/>
        <v>2.6</v>
      </c>
      <c r="L97" s="183">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3.1</v>
      </c>
      <c r="M97" s="183">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4.3</v>
      </c>
      <c r="N97" s="183">
        <f t="shared" si="25"/>
        <v>3.7</v>
      </c>
      <c r="O97" s="183">
        <f t="shared" si="26"/>
        <v>2.5</v>
      </c>
      <c r="P97" s="183">
        <f>IF(B97="Regional crisis",VLOOKUP(C97,'Regional Crises'!$B$1:$R$69,12,FALSE),VLOOKUP(E97,'Country Indicator Data'!$B$4:$I$194,8,FALSE))</f>
        <v>0</v>
      </c>
      <c r="Q97" s="183" t="str">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x</v>
      </c>
      <c r="R97" s="183">
        <f t="shared" si="27"/>
        <v>0</v>
      </c>
      <c r="S97" s="183">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2.4</v>
      </c>
      <c r="T97" s="183">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2.2000000000000002</v>
      </c>
      <c r="U97" s="183">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1.6</v>
      </c>
      <c r="V97" s="183">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1.2</v>
      </c>
      <c r="W97" s="183">
        <f t="shared" si="28"/>
        <v>1.9</v>
      </c>
      <c r="X97" s="183">
        <f t="shared" si="29"/>
        <v>1.5</v>
      </c>
      <c r="Y97" s="207">
        <f>IF('Core Indicators'!FC94="x","x",IF('Core Indicators'!FC94&gt;=5,5,IF('Core Indicators'!FC94&gt;=4,4,IF('Core Indicators'!FC94&gt;=3,3,IF('Core Indicators'!FC94&gt;=2,2,IF('Core Indicators'!FC94&gt;=1,1,0))))))</f>
        <v>1</v>
      </c>
      <c r="Z97" s="183">
        <f t="shared" si="30"/>
        <v>1</v>
      </c>
      <c r="AA97" s="207">
        <f>'Crisis Indicator Data'!Y94</f>
        <v>0</v>
      </c>
      <c r="AB97" s="207">
        <f>'Crisis Indicator Data'!Z94</f>
        <v>0</v>
      </c>
      <c r="AC97" s="207">
        <f>'Crisis Indicator Data'!AA94</f>
        <v>0</v>
      </c>
      <c r="AD97" s="207">
        <f>'Crisis Indicator Data'!AB94</f>
        <v>0</v>
      </c>
      <c r="AE97" s="207">
        <f t="shared" si="33"/>
        <v>0</v>
      </c>
      <c r="AF97" s="207">
        <f>'Crisis Indicator Data'!AC94</f>
        <v>0</v>
      </c>
      <c r="AG97" s="207">
        <f>'Crisis Indicator Data'!AD94</f>
        <v>0</v>
      </c>
      <c r="AH97" s="207">
        <f t="shared" si="34"/>
        <v>0</v>
      </c>
      <c r="AI97" s="207">
        <f>'Crisis Indicator Data'!AE94</f>
        <v>0</v>
      </c>
      <c r="AJ97" s="207">
        <f>'Crisis Indicator Data'!AF94</f>
        <v>0</v>
      </c>
      <c r="AK97" s="207">
        <f>'Crisis Indicator Data'!AG94</f>
        <v>0</v>
      </c>
      <c r="AL97" s="207">
        <f t="shared" si="35"/>
        <v>0</v>
      </c>
      <c r="AM97" s="183">
        <f t="shared" si="31"/>
        <v>0</v>
      </c>
      <c r="AN97" s="183">
        <f t="shared" si="32"/>
        <v>0.5</v>
      </c>
    </row>
    <row r="98" spans="1:40" ht="13.5" customHeight="1" x14ac:dyDescent="0.3">
      <c r="A98" s="194" t="str">
        <f>'Crisis Indicator Data'!A95</f>
        <v>Socioeconomic crisis in Nicaragua</v>
      </c>
      <c r="B98" s="195" t="str">
        <f>'Crisis Indicator Data'!B95</f>
        <v>Political and economic crisis</v>
      </c>
      <c r="C98" s="195" t="str">
        <f>'Crisis Indicator Data'!C95</f>
        <v>NIC001</v>
      </c>
      <c r="D98" s="195" t="str">
        <f>'Crisis Indicator Data'!D95</f>
        <v>Nicaragua</v>
      </c>
      <c r="E98" s="196" t="str">
        <f>'Crisis Indicator Data'!E95</f>
        <v>NIC</v>
      </c>
      <c r="F98" s="183">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2.9</v>
      </c>
      <c r="G98" s="183">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v>
      </c>
      <c r="H98" s="183">
        <f t="shared" si="23"/>
        <v>2.95</v>
      </c>
      <c r="I98" s="183">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1.3</v>
      </c>
      <c r="J98" s="183">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1.4</v>
      </c>
      <c r="K98" s="183">
        <f t="shared" si="24"/>
        <v>1.35</v>
      </c>
      <c r="L98" s="183">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3</v>
      </c>
      <c r="M98" s="183">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2.7</v>
      </c>
      <c r="N98" s="183">
        <f t="shared" si="25"/>
        <v>2.85</v>
      </c>
      <c r="O98" s="183">
        <f t="shared" si="26"/>
        <v>2.3833333333333333</v>
      </c>
      <c r="P98" s="183">
        <f>IF(B98="Regional crisis",VLOOKUP(C98,'Regional Crises'!$B$1:$R$69,12,FALSE),VLOOKUP(E98,'Country Indicator Data'!$B$4:$I$194,8,FALSE))</f>
        <v>3</v>
      </c>
      <c r="Q98" s="183">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1.1000000000000001</v>
      </c>
      <c r="R98" s="183">
        <f t="shared" si="27"/>
        <v>2.0499999999999998</v>
      </c>
      <c r="S98" s="183">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3.9</v>
      </c>
      <c r="T98" s="183">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3.7</v>
      </c>
      <c r="U98" s="183">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3.8</v>
      </c>
      <c r="V98" s="183">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3.5</v>
      </c>
      <c r="W98" s="183">
        <f t="shared" si="28"/>
        <v>3.7</v>
      </c>
      <c r="X98" s="183">
        <f t="shared" si="29"/>
        <v>2.7</v>
      </c>
      <c r="Y98" s="207">
        <f>IF('Core Indicators'!FC95="x","x",IF('Core Indicators'!FC95&gt;=5,5,IF('Core Indicators'!FC95&gt;=4,4,IF('Core Indicators'!FC95&gt;=3,3,IF('Core Indicators'!FC95&gt;=2,2,IF('Core Indicators'!FC95&gt;=1,1,0))))))</f>
        <v>1</v>
      </c>
      <c r="Z98" s="183">
        <f t="shared" si="30"/>
        <v>1</v>
      </c>
      <c r="AA98" s="207" t="str">
        <f>'Crisis Indicator Data'!Y95</f>
        <v>x</v>
      </c>
      <c r="AB98" s="207" t="str">
        <f>'Crisis Indicator Data'!Z95</f>
        <v>x</v>
      </c>
      <c r="AC98" s="207">
        <f>'Crisis Indicator Data'!AA95</f>
        <v>1</v>
      </c>
      <c r="AD98" s="207">
        <f>'Crisis Indicator Data'!AB95</f>
        <v>0</v>
      </c>
      <c r="AE98" s="207">
        <f t="shared" si="33"/>
        <v>1</v>
      </c>
      <c r="AF98" s="207">
        <f>'Crisis Indicator Data'!AC95</f>
        <v>1</v>
      </c>
      <c r="AG98" s="207">
        <f>'Crisis Indicator Data'!AD95</f>
        <v>1</v>
      </c>
      <c r="AH98" s="207">
        <f t="shared" si="34"/>
        <v>2</v>
      </c>
      <c r="AI98" s="207">
        <f>'Crisis Indicator Data'!AE95</f>
        <v>0</v>
      </c>
      <c r="AJ98" s="207">
        <f>'Crisis Indicator Data'!AF95</f>
        <v>0</v>
      </c>
      <c r="AK98" s="207">
        <f>'Crisis Indicator Data'!AG95</f>
        <v>2</v>
      </c>
      <c r="AL98" s="207">
        <f t="shared" si="35"/>
        <v>2</v>
      </c>
      <c r="AM98" s="183">
        <f t="shared" si="31"/>
        <v>2</v>
      </c>
      <c r="AN98" s="183">
        <f t="shared" si="32"/>
        <v>1.5</v>
      </c>
    </row>
    <row r="99" spans="1:40" ht="13.5" customHeight="1" x14ac:dyDescent="0.3">
      <c r="A99" s="194" t="str">
        <f>'Crisis Indicator Data'!A96</f>
        <v>Multiple crises in Niger</v>
      </c>
      <c r="B99" s="195" t="str">
        <f>'Crisis Indicator Data'!B96</f>
        <v>Multiple crises country</v>
      </c>
      <c r="C99" s="195" t="str">
        <f>'Crisis Indicator Data'!C96</f>
        <v>NER001</v>
      </c>
      <c r="D99" s="195" t="str">
        <f>'Crisis Indicator Data'!D96</f>
        <v>Niger</v>
      </c>
      <c r="E99" s="196" t="str">
        <f>'Crisis Indicator Data'!E96</f>
        <v>NER</v>
      </c>
      <c r="F99" s="183">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2.1</v>
      </c>
      <c r="G99" s="183">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v>
      </c>
      <c r="H99" s="183">
        <f t="shared" si="23"/>
        <v>2.0499999999999998</v>
      </c>
      <c r="I99" s="183">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3.1</v>
      </c>
      <c r="J99" s="183">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0.9</v>
      </c>
      <c r="K99" s="183">
        <f t="shared" si="24"/>
        <v>2</v>
      </c>
      <c r="L99" s="183">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83">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1.2</v>
      </c>
      <c r="N99" s="183">
        <f t="shared" si="25"/>
        <v>2.75</v>
      </c>
      <c r="O99" s="183">
        <f t="shared" si="26"/>
        <v>2.2666666666666666</v>
      </c>
      <c r="P99" s="183">
        <f>IF(B99="Regional crisis",VLOOKUP(C99,'Regional Crises'!$B$1:$R$69,12,FALSE),VLOOKUP(E99,'Country Indicator Data'!$B$4:$I$194,8,FALSE))</f>
        <v>2</v>
      </c>
      <c r="Q99" s="183">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3.9</v>
      </c>
      <c r="R99" s="183">
        <f t="shared" si="27"/>
        <v>2.95</v>
      </c>
      <c r="S99" s="183">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3.4</v>
      </c>
      <c r="T99" s="183">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v>
      </c>
      <c r="U99" s="183">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2.2999999999999998</v>
      </c>
      <c r="V99" s="183">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2.6</v>
      </c>
      <c r="W99" s="183">
        <f t="shared" si="28"/>
        <v>2.8</v>
      </c>
      <c r="X99" s="183">
        <f t="shared" si="29"/>
        <v>2.7</v>
      </c>
      <c r="Y99" s="207">
        <f>IF('Core Indicators'!FC96="x","x",IF('Core Indicators'!FC96&gt;=5,5,IF('Core Indicators'!FC96&gt;=4,4,IF('Core Indicators'!FC96&gt;=3,3,IF('Core Indicators'!FC96&gt;=2,2,IF('Core Indicators'!FC96&gt;=1,1,0))))))</f>
        <v>5</v>
      </c>
      <c r="Z99" s="183">
        <f t="shared" si="30"/>
        <v>5</v>
      </c>
      <c r="AA99" s="207">
        <f>'Crisis Indicator Data'!Y96</f>
        <v>0</v>
      </c>
      <c r="AB99" s="207">
        <f>'Crisis Indicator Data'!Z96</f>
        <v>2</v>
      </c>
      <c r="AC99" s="207">
        <f>'Crisis Indicator Data'!AA96</f>
        <v>0</v>
      </c>
      <c r="AD99" s="207">
        <f>'Crisis Indicator Data'!AB96</f>
        <v>2</v>
      </c>
      <c r="AE99" s="207">
        <f t="shared" si="33"/>
        <v>2</v>
      </c>
      <c r="AF99" s="207">
        <f>'Crisis Indicator Data'!AC96</f>
        <v>0</v>
      </c>
      <c r="AG99" s="207">
        <f>'Crisis Indicator Data'!AD96</f>
        <v>2</v>
      </c>
      <c r="AH99" s="207">
        <f t="shared" si="34"/>
        <v>2</v>
      </c>
      <c r="AI99" s="207">
        <f>'Crisis Indicator Data'!AE96</f>
        <v>3</v>
      </c>
      <c r="AJ99" s="207">
        <f>'Crisis Indicator Data'!AF96</f>
        <v>1</v>
      </c>
      <c r="AK99" s="207">
        <f>'Crisis Indicator Data'!AG96</f>
        <v>3</v>
      </c>
      <c r="AL99" s="207">
        <f t="shared" si="35"/>
        <v>5</v>
      </c>
      <c r="AM99" s="183">
        <f t="shared" si="31"/>
        <v>3</v>
      </c>
      <c r="AN99" s="183">
        <f t="shared" si="32"/>
        <v>4</v>
      </c>
    </row>
    <row r="100" spans="1:40" ht="13.5" customHeight="1" x14ac:dyDescent="0.3">
      <c r="A100" s="194" t="str">
        <f>'Crisis Indicator Data'!A97</f>
        <v>Boko Haram in Niger</v>
      </c>
      <c r="B100" s="195" t="str">
        <f>'Crisis Indicator Data'!B97</f>
        <v>Conflict</v>
      </c>
      <c r="C100" s="195" t="str">
        <f>'Crisis Indicator Data'!C97</f>
        <v>NER002</v>
      </c>
      <c r="D100" s="195" t="str">
        <f>'Crisis Indicator Data'!D97</f>
        <v>Niger</v>
      </c>
      <c r="E100" s="196" t="str">
        <f>'Crisis Indicator Data'!E97</f>
        <v>NER</v>
      </c>
      <c r="F100" s="183">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2.1</v>
      </c>
      <c r="G100" s="183">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v>
      </c>
      <c r="H100" s="183">
        <f t="shared" si="23"/>
        <v>2.0499999999999998</v>
      </c>
      <c r="I100" s="183">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3.1</v>
      </c>
      <c r="J100" s="183">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0.9</v>
      </c>
      <c r="K100" s="183">
        <f t="shared" si="24"/>
        <v>2</v>
      </c>
      <c r="L100" s="183">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4.3</v>
      </c>
      <c r="M100" s="183">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1.2</v>
      </c>
      <c r="N100" s="183">
        <f t="shared" si="25"/>
        <v>2.75</v>
      </c>
      <c r="O100" s="183">
        <f t="shared" si="26"/>
        <v>2.2666666666666666</v>
      </c>
      <c r="P100" s="183">
        <f>IF(B100="Regional crisis",VLOOKUP(C100,'Regional Crises'!$B$1:$R$69,12,FALSE),VLOOKUP(E100,'Country Indicator Data'!$B$4:$I$194,8,FALSE))</f>
        <v>2</v>
      </c>
      <c r="Q100" s="183">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3.9</v>
      </c>
      <c r="R100" s="183">
        <f t="shared" si="27"/>
        <v>2.95</v>
      </c>
      <c r="S100" s="183">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3.4</v>
      </c>
      <c r="T100" s="183">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v>
      </c>
      <c r="U100" s="183">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2.2999999999999998</v>
      </c>
      <c r="V100" s="183">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2.6</v>
      </c>
      <c r="W100" s="183">
        <f t="shared" si="28"/>
        <v>2.8</v>
      </c>
      <c r="X100" s="183">
        <f t="shared" si="29"/>
        <v>2.7</v>
      </c>
      <c r="Y100" s="207">
        <f>IF('Core Indicators'!FC97="x","x",IF('Core Indicators'!FC97&gt;=5,5,IF('Core Indicators'!FC97&gt;=4,4,IF('Core Indicators'!FC97&gt;=3,3,IF('Core Indicators'!FC97&gt;=2,2,IF('Core Indicators'!FC97&gt;=1,1,0))))))</f>
        <v>5</v>
      </c>
      <c r="Z100" s="183">
        <f t="shared" si="30"/>
        <v>5</v>
      </c>
      <c r="AA100" s="207">
        <f>'Crisis Indicator Data'!Y97</f>
        <v>0</v>
      </c>
      <c r="AB100" s="207">
        <f>'Crisis Indicator Data'!Z97</f>
        <v>2</v>
      </c>
      <c r="AC100" s="207">
        <f>'Crisis Indicator Data'!AA97</f>
        <v>0</v>
      </c>
      <c r="AD100" s="207">
        <f>'Crisis Indicator Data'!AB97</f>
        <v>0</v>
      </c>
      <c r="AE100" s="207">
        <f t="shared" si="33"/>
        <v>2</v>
      </c>
      <c r="AF100" s="207">
        <f>'Crisis Indicator Data'!AC97</f>
        <v>0</v>
      </c>
      <c r="AG100" s="207">
        <f>'Crisis Indicator Data'!AD97</f>
        <v>2</v>
      </c>
      <c r="AH100" s="207">
        <f t="shared" si="34"/>
        <v>2</v>
      </c>
      <c r="AI100" s="207">
        <f>'Crisis Indicator Data'!AE97</f>
        <v>2</v>
      </c>
      <c r="AJ100" s="207">
        <f>'Crisis Indicator Data'!AF97</f>
        <v>1</v>
      </c>
      <c r="AK100" s="207">
        <f>'Crisis Indicator Data'!AG97</f>
        <v>3</v>
      </c>
      <c r="AL100" s="207">
        <f t="shared" si="35"/>
        <v>4</v>
      </c>
      <c r="AM100" s="183">
        <f t="shared" si="31"/>
        <v>3</v>
      </c>
      <c r="AN100" s="183">
        <f t="shared" si="32"/>
        <v>4</v>
      </c>
    </row>
    <row r="101" spans="1:40" ht="13.5" customHeight="1" x14ac:dyDescent="0.3">
      <c r="A101" s="194" t="str">
        <f>'Crisis Indicator Data'!A98</f>
        <v>Mali/Burkina Faso conflict</v>
      </c>
      <c r="B101" s="195" t="str">
        <f>'Crisis Indicator Data'!B98</f>
        <v>Conflict</v>
      </c>
      <c r="C101" s="195" t="str">
        <f>'Crisis Indicator Data'!C98</f>
        <v>NER003</v>
      </c>
      <c r="D101" s="195" t="str">
        <f>'Crisis Indicator Data'!D98</f>
        <v>Niger</v>
      </c>
      <c r="E101" s="196" t="str">
        <f>'Crisis Indicator Data'!E98</f>
        <v>NER</v>
      </c>
      <c r="F101" s="183">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2.1</v>
      </c>
      <c r="G101" s="183">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v>
      </c>
      <c r="H101" s="183">
        <f t="shared" si="23"/>
        <v>2.0499999999999998</v>
      </c>
      <c r="I101" s="183">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3.1</v>
      </c>
      <c r="J101" s="183">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0.9</v>
      </c>
      <c r="K101" s="183">
        <f t="shared" si="24"/>
        <v>2</v>
      </c>
      <c r="L101" s="183">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4.3</v>
      </c>
      <c r="M101" s="183">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1.2</v>
      </c>
      <c r="N101" s="183">
        <f t="shared" si="25"/>
        <v>2.75</v>
      </c>
      <c r="O101" s="183">
        <f t="shared" si="26"/>
        <v>2.2666666666666666</v>
      </c>
      <c r="P101" s="183">
        <f>IF(B101="Regional crisis",VLOOKUP(C101,'Regional Crises'!$B$1:$R$69,12,FALSE),VLOOKUP(E101,'Country Indicator Data'!$B$4:$I$194,8,FALSE))</f>
        <v>2</v>
      </c>
      <c r="Q101" s="183">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3.9</v>
      </c>
      <c r="R101" s="183">
        <f t="shared" si="27"/>
        <v>2.95</v>
      </c>
      <c r="S101" s="183">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3.4</v>
      </c>
      <c r="T101" s="183">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v>
      </c>
      <c r="U101" s="183">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2.2999999999999998</v>
      </c>
      <c r="V101" s="183">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2.6</v>
      </c>
      <c r="W101" s="183">
        <f t="shared" si="28"/>
        <v>2.8</v>
      </c>
      <c r="X101" s="183">
        <f t="shared" si="29"/>
        <v>2.7</v>
      </c>
      <c r="Y101" s="207">
        <f>IF('Core Indicators'!FC98="x","x",IF('Core Indicators'!FC98&gt;=5,5,IF('Core Indicators'!FC98&gt;=4,4,IF('Core Indicators'!FC98&gt;=3,3,IF('Core Indicators'!FC98&gt;=2,2,IF('Core Indicators'!FC98&gt;=1,1,0))))))</f>
        <v>5</v>
      </c>
      <c r="Z101" s="183">
        <f t="shared" si="30"/>
        <v>5</v>
      </c>
      <c r="AA101" s="207">
        <f>'Crisis Indicator Data'!Y98</f>
        <v>0</v>
      </c>
      <c r="AB101" s="207">
        <f>'Crisis Indicator Data'!Z98</f>
        <v>2</v>
      </c>
      <c r="AC101" s="207">
        <f>'Crisis Indicator Data'!AA98</f>
        <v>0</v>
      </c>
      <c r="AD101" s="207">
        <f>'Crisis Indicator Data'!AB98</f>
        <v>2</v>
      </c>
      <c r="AE101" s="207">
        <f t="shared" si="33"/>
        <v>2</v>
      </c>
      <c r="AF101" s="207">
        <f>'Crisis Indicator Data'!AC98</f>
        <v>0</v>
      </c>
      <c r="AG101" s="207">
        <f>'Crisis Indicator Data'!AD98</f>
        <v>2</v>
      </c>
      <c r="AH101" s="207">
        <f t="shared" si="34"/>
        <v>2</v>
      </c>
      <c r="AI101" s="207">
        <f>'Crisis Indicator Data'!AE98</f>
        <v>3</v>
      </c>
      <c r="AJ101" s="207">
        <f>'Crisis Indicator Data'!AF98</f>
        <v>1</v>
      </c>
      <c r="AK101" s="207">
        <f>'Crisis Indicator Data'!AG98</f>
        <v>3</v>
      </c>
      <c r="AL101" s="207">
        <f t="shared" si="35"/>
        <v>5</v>
      </c>
      <c r="AM101" s="183">
        <f t="shared" si="31"/>
        <v>3</v>
      </c>
      <c r="AN101" s="183">
        <f t="shared" si="32"/>
        <v>4</v>
      </c>
    </row>
    <row r="102" spans="1:40" ht="13.5" customHeight="1" x14ac:dyDescent="0.3">
      <c r="A102" s="194" t="str">
        <f>'Crisis Indicator Data'!A99</f>
        <v>Nigerian Refugees</v>
      </c>
      <c r="B102" s="195" t="str">
        <f>'Crisis Indicator Data'!B99</f>
        <v>International displacement</v>
      </c>
      <c r="C102" s="195" t="str">
        <f>'Crisis Indicator Data'!C99</f>
        <v>NER004</v>
      </c>
      <c r="D102" s="195" t="str">
        <f>'Crisis Indicator Data'!D99</f>
        <v>Niger</v>
      </c>
      <c r="E102" s="196" t="str">
        <f>'Crisis Indicator Data'!E99</f>
        <v>NER</v>
      </c>
      <c r="F102" s="183">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2.1</v>
      </c>
      <c r="G102" s="183">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v>
      </c>
      <c r="H102" s="183">
        <f t="shared" ref="H102:H133" si="36">IF(AND(F102="x",G102="x"),"x",AVERAGE(F102,G102))</f>
        <v>2.0499999999999998</v>
      </c>
      <c r="I102" s="183">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3.1</v>
      </c>
      <c r="J102" s="183">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0.9</v>
      </c>
      <c r="K102" s="183">
        <f t="shared" ref="K102:K133" si="37">IF(AND(I102="x",J102="x"),"x",AVERAGE(I102,J102))</f>
        <v>2</v>
      </c>
      <c r="L102" s="183">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4.3</v>
      </c>
      <c r="M102" s="183">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1.2</v>
      </c>
      <c r="N102" s="183">
        <f t="shared" ref="N102:N133" si="38">IF(AND(L102="x",M102="x"),"x",AVERAGE(L102,M102))</f>
        <v>2.75</v>
      </c>
      <c r="O102" s="183">
        <f t="shared" ref="O102:O133" si="39">AVERAGE(H102,K102,N102)</f>
        <v>2.2666666666666666</v>
      </c>
      <c r="P102" s="183">
        <f>IF(B102="Regional crisis",VLOOKUP(C102,'Regional Crises'!$B$1:$R$69,12,FALSE),VLOOKUP(E102,'Country Indicator Data'!$B$4:$I$194,8,FALSE))</f>
        <v>2</v>
      </c>
      <c r="Q102" s="183">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3.9</v>
      </c>
      <c r="R102" s="183">
        <f t="shared" ref="R102:R133" si="40">AVERAGE(P102:Q102)</f>
        <v>2.95</v>
      </c>
      <c r="S102" s="183">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3.4</v>
      </c>
      <c r="T102" s="183">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v>
      </c>
      <c r="U102" s="183">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2.2999999999999998</v>
      </c>
      <c r="V102" s="183">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2.6</v>
      </c>
      <c r="W102" s="183">
        <f t="shared" ref="W102:W133" si="41">IF(AND(S102="x",V102="x"),"x",ROUND(AVERAGE(S102,V102,T102,U102),1))</f>
        <v>2.8</v>
      </c>
      <c r="X102" s="183">
        <f t="shared" ref="X102:X133" si="42">ROUND(AVERAGE(O102,W102,R102),1)</f>
        <v>2.7</v>
      </c>
      <c r="Y102" s="207">
        <f>IF('Core Indicators'!FC99="x","x",IF('Core Indicators'!FC99&gt;=5,5,IF('Core Indicators'!FC99&gt;=4,4,IF('Core Indicators'!FC99&gt;=3,3,IF('Core Indicators'!FC99&gt;=2,2,IF('Core Indicators'!FC99&gt;=1,1,0))))))</f>
        <v>2</v>
      </c>
      <c r="Z102" s="183">
        <f t="shared" ref="Z102:Z133" si="43">Y102</f>
        <v>2</v>
      </c>
      <c r="AA102" s="207">
        <f>'Crisis Indicator Data'!Y99</f>
        <v>0</v>
      </c>
      <c r="AB102" s="207">
        <f>'Crisis Indicator Data'!Z99</f>
        <v>1</v>
      </c>
      <c r="AC102" s="207">
        <f>'Crisis Indicator Data'!AA99</f>
        <v>0</v>
      </c>
      <c r="AD102" s="207">
        <f>'Crisis Indicator Data'!AB99</f>
        <v>0</v>
      </c>
      <c r="AE102" s="207">
        <f t="shared" si="33"/>
        <v>1</v>
      </c>
      <c r="AF102" s="207">
        <f>'Crisis Indicator Data'!AC99</f>
        <v>0</v>
      </c>
      <c r="AG102" s="207">
        <f>'Crisis Indicator Data'!AD99</f>
        <v>0</v>
      </c>
      <c r="AH102" s="207">
        <f t="shared" si="34"/>
        <v>0</v>
      </c>
      <c r="AI102" s="207">
        <f>'Crisis Indicator Data'!AE99</f>
        <v>2</v>
      </c>
      <c r="AJ102" s="207">
        <f>'Crisis Indicator Data'!AF99</f>
        <v>1</v>
      </c>
      <c r="AK102" s="207">
        <f>'Crisis Indicator Data'!AG99</f>
        <v>3</v>
      </c>
      <c r="AL102" s="207">
        <f t="shared" si="35"/>
        <v>4</v>
      </c>
      <c r="AM102" s="183">
        <f t="shared" ref="AM102:AM133" si="44">IF(AA102=3,5,ROUND(AVERAGE(AE102,AH102,AL102),0))</f>
        <v>2</v>
      </c>
      <c r="AN102" s="183">
        <f t="shared" ref="AN102:AN133" si="45">IF(AND(Z102="x",AM102="x"),"x",ROUND(AVERAGE(Z102,AM102),1))</f>
        <v>2</v>
      </c>
    </row>
    <row r="103" spans="1:40" ht="13.5" customHeight="1" x14ac:dyDescent="0.3">
      <c r="A103" s="194" t="str">
        <f>'Crisis Indicator Data'!A100</f>
        <v>Floods in Niger</v>
      </c>
      <c r="B103" s="195" t="str">
        <f>'Crisis Indicator Data'!B100</f>
        <v>Flood</v>
      </c>
      <c r="C103" s="195" t="str">
        <f>'Crisis Indicator Data'!C100</f>
        <v>NER005</v>
      </c>
      <c r="D103" s="195" t="str">
        <f>'Crisis Indicator Data'!D100</f>
        <v>Niger</v>
      </c>
      <c r="E103" s="196" t="str">
        <f>'Crisis Indicator Data'!E100</f>
        <v>NER</v>
      </c>
      <c r="F103" s="183">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83">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v>
      </c>
      <c r="H103" s="183">
        <f t="shared" si="36"/>
        <v>2.0499999999999998</v>
      </c>
      <c r="I103" s="183">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3.1</v>
      </c>
      <c r="J103" s="183">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0.9</v>
      </c>
      <c r="K103" s="183">
        <f t="shared" si="37"/>
        <v>2</v>
      </c>
      <c r="L103" s="183">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4.3</v>
      </c>
      <c r="M103" s="183">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1.2</v>
      </c>
      <c r="N103" s="183">
        <f t="shared" si="38"/>
        <v>2.75</v>
      </c>
      <c r="O103" s="183">
        <f t="shared" si="39"/>
        <v>2.2666666666666666</v>
      </c>
      <c r="P103" s="183">
        <f>IF(B103="Regional crisis",VLOOKUP(C103,'Regional Crises'!$B$1:$R$69,12,FALSE),VLOOKUP(E103,'Country Indicator Data'!$B$4:$I$194,8,FALSE))</f>
        <v>2</v>
      </c>
      <c r="Q103" s="183">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3.9</v>
      </c>
      <c r="R103" s="183">
        <f t="shared" si="40"/>
        <v>2.95</v>
      </c>
      <c r="S103" s="183">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3.4</v>
      </c>
      <c r="T103" s="183">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v>
      </c>
      <c r="U103" s="183">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2.2999999999999998</v>
      </c>
      <c r="V103" s="183">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2.6</v>
      </c>
      <c r="W103" s="183">
        <f t="shared" si="41"/>
        <v>2.8</v>
      </c>
      <c r="X103" s="183">
        <f t="shared" si="42"/>
        <v>2.7</v>
      </c>
      <c r="Y103" s="207">
        <f>IF('Core Indicators'!FC100="x","x",IF('Core Indicators'!FC100&gt;=5,5,IF('Core Indicators'!FC100&gt;=4,4,IF('Core Indicators'!FC100&gt;=3,3,IF('Core Indicators'!FC100&gt;=2,2,IF('Core Indicators'!FC100&gt;=1,1,0))))))</f>
        <v>5</v>
      </c>
      <c r="Z103" s="183">
        <f t="shared" si="43"/>
        <v>5</v>
      </c>
      <c r="AA103" s="207">
        <f>'Crisis Indicator Data'!Y100</f>
        <v>0</v>
      </c>
      <c r="AB103" s="207">
        <f>'Crisis Indicator Data'!Z100</f>
        <v>2</v>
      </c>
      <c r="AC103" s="207">
        <f>'Crisis Indicator Data'!AA100</f>
        <v>0</v>
      </c>
      <c r="AD103" s="207">
        <f>'Crisis Indicator Data'!AB100</f>
        <v>2</v>
      </c>
      <c r="AE103" s="207">
        <f t="shared" si="33"/>
        <v>2</v>
      </c>
      <c r="AF103" s="207">
        <f>'Crisis Indicator Data'!AC100</f>
        <v>0</v>
      </c>
      <c r="AG103" s="207">
        <f>'Crisis Indicator Data'!AD100</f>
        <v>2</v>
      </c>
      <c r="AH103" s="207">
        <f t="shared" si="34"/>
        <v>2</v>
      </c>
      <c r="AI103" s="207">
        <f>'Crisis Indicator Data'!AE100</f>
        <v>3</v>
      </c>
      <c r="AJ103" s="207">
        <f>'Crisis Indicator Data'!AF100</f>
        <v>1</v>
      </c>
      <c r="AK103" s="207">
        <f>'Crisis Indicator Data'!AG100</f>
        <v>3</v>
      </c>
      <c r="AL103" s="207">
        <f t="shared" si="35"/>
        <v>5</v>
      </c>
      <c r="AM103" s="183">
        <f t="shared" si="44"/>
        <v>3</v>
      </c>
      <c r="AN103" s="183">
        <f t="shared" si="45"/>
        <v>4</v>
      </c>
    </row>
    <row r="104" spans="1:40" ht="13.5" customHeight="1" x14ac:dyDescent="0.3">
      <c r="A104" s="194" t="str">
        <f>'Crisis Indicator Data'!A101</f>
        <v>Complex crisis in Nigeria</v>
      </c>
      <c r="B104" s="195" t="str">
        <f>'Crisis Indicator Data'!B101</f>
        <v>Complex crisis</v>
      </c>
      <c r="C104" s="195" t="str">
        <f>'Crisis Indicator Data'!C101</f>
        <v>NGA001</v>
      </c>
      <c r="D104" s="195" t="str">
        <f>'Crisis Indicator Data'!D101</f>
        <v>Nigeria</v>
      </c>
      <c r="E104" s="196" t="str">
        <f>'Crisis Indicator Data'!E101</f>
        <v>NGA</v>
      </c>
      <c r="F104" s="183">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3.9</v>
      </c>
      <c r="G104" s="183">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2.2999999999999998</v>
      </c>
      <c r="H104" s="183">
        <f t="shared" si="36"/>
        <v>3.0999999999999996</v>
      </c>
      <c r="I104" s="183">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4.0999999999999996</v>
      </c>
      <c r="J104" s="183">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0.3</v>
      </c>
      <c r="K104" s="183">
        <f t="shared" si="37"/>
        <v>2.1999999999999997</v>
      </c>
      <c r="L104" s="183" t="str">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x</v>
      </c>
      <c r="M104" s="183">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2.2999999999999998</v>
      </c>
      <c r="N104" s="183">
        <f t="shared" si="38"/>
        <v>2.2999999999999998</v>
      </c>
      <c r="O104" s="183">
        <f t="shared" si="39"/>
        <v>2.5333333333333328</v>
      </c>
      <c r="P104" s="183">
        <f>IF(B104="Regional crisis",VLOOKUP(C104,'Regional Crises'!$B$1:$R$69,12,FALSE),VLOOKUP(E104,'Country Indicator Data'!$B$4:$I$194,8,FALSE))</f>
        <v>5</v>
      </c>
      <c r="Q104" s="183">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4.8</v>
      </c>
      <c r="R104" s="183">
        <f t="shared" si="40"/>
        <v>4.9000000000000004</v>
      </c>
      <c r="S104" s="183">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3.7</v>
      </c>
      <c r="T104" s="183">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3.4</v>
      </c>
      <c r="U104" s="183">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2.4</v>
      </c>
      <c r="V104" s="183">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2.7</v>
      </c>
      <c r="W104" s="183">
        <f t="shared" si="41"/>
        <v>3.1</v>
      </c>
      <c r="X104" s="183">
        <f t="shared" si="42"/>
        <v>3.5</v>
      </c>
      <c r="Y104" s="207">
        <f>IF('Core Indicators'!FC101="x","x",IF('Core Indicators'!FC101&gt;=5,5,IF('Core Indicators'!FC101&gt;=4,4,IF('Core Indicators'!FC101&gt;=3,3,IF('Core Indicators'!FC101&gt;=2,2,IF('Core Indicators'!FC101&gt;=1,1,0))))))</f>
        <v>5</v>
      </c>
      <c r="Z104" s="183">
        <f t="shared" si="43"/>
        <v>5</v>
      </c>
      <c r="AA104" s="207">
        <f>'Crisis Indicator Data'!Y101</f>
        <v>1</v>
      </c>
      <c r="AB104" s="207">
        <f>'Crisis Indicator Data'!Z101</f>
        <v>3</v>
      </c>
      <c r="AC104" s="207">
        <f>'Crisis Indicator Data'!AA101</f>
        <v>3</v>
      </c>
      <c r="AD104" s="207">
        <f>'Crisis Indicator Data'!AB101</f>
        <v>3</v>
      </c>
      <c r="AE104" s="207">
        <f t="shared" si="33"/>
        <v>5</v>
      </c>
      <c r="AF104" s="207">
        <f>'Crisis Indicator Data'!AC101</f>
        <v>2</v>
      </c>
      <c r="AG104" s="207">
        <f>'Crisis Indicator Data'!AD101</f>
        <v>2</v>
      </c>
      <c r="AH104" s="207">
        <f t="shared" si="34"/>
        <v>4</v>
      </c>
      <c r="AI104" s="207">
        <f>'Crisis Indicator Data'!AE101</f>
        <v>3</v>
      </c>
      <c r="AJ104" s="207">
        <f>'Crisis Indicator Data'!AF101</f>
        <v>1</v>
      </c>
      <c r="AK104" s="207">
        <f>'Crisis Indicator Data'!AG101</f>
        <v>2</v>
      </c>
      <c r="AL104" s="207">
        <f t="shared" si="35"/>
        <v>4</v>
      </c>
      <c r="AM104" s="183">
        <f t="shared" si="44"/>
        <v>4</v>
      </c>
      <c r="AN104" s="183">
        <f t="shared" si="45"/>
        <v>4.5</v>
      </c>
    </row>
    <row r="105" spans="1:40" ht="13.5" customHeight="1" x14ac:dyDescent="0.3">
      <c r="A105" s="194" t="str">
        <f>'Crisis Indicator Data'!A102</f>
        <v>Middle belt conflict</v>
      </c>
      <c r="B105" s="195" t="str">
        <f>'Crisis Indicator Data'!B102</f>
        <v>Conflict</v>
      </c>
      <c r="C105" s="195" t="str">
        <f>'Crisis Indicator Data'!C102</f>
        <v>NGA003</v>
      </c>
      <c r="D105" s="195" t="str">
        <f>'Crisis Indicator Data'!D102</f>
        <v>Nigeria</v>
      </c>
      <c r="E105" s="196" t="str">
        <f>'Crisis Indicator Data'!E102</f>
        <v>NGA</v>
      </c>
      <c r="F105" s="183">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3.9</v>
      </c>
      <c r="G105" s="183">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2.2999999999999998</v>
      </c>
      <c r="H105" s="183">
        <f t="shared" si="36"/>
        <v>3.0999999999999996</v>
      </c>
      <c r="I105" s="183">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4.0999999999999996</v>
      </c>
      <c r="J105" s="183">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0.3</v>
      </c>
      <c r="K105" s="183">
        <f t="shared" si="37"/>
        <v>2.1999999999999997</v>
      </c>
      <c r="L105" s="183" t="str">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x</v>
      </c>
      <c r="M105" s="183">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2.2999999999999998</v>
      </c>
      <c r="N105" s="183">
        <f t="shared" si="38"/>
        <v>2.2999999999999998</v>
      </c>
      <c r="O105" s="183">
        <f t="shared" si="39"/>
        <v>2.5333333333333328</v>
      </c>
      <c r="P105" s="183">
        <f>IF(B105="Regional crisis",VLOOKUP(C105,'Regional Crises'!$B$1:$R$69,12,FALSE),VLOOKUP(E105,'Country Indicator Data'!$B$4:$I$194,8,FALSE))</f>
        <v>5</v>
      </c>
      <c r="Q105" s="183">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4.8</v>
      </c>
      <c r="R105" s="183">
        <f t="shared" si="40"/>
        <v>4.9000000000000004</v>
      </c>
      <c r="S105" s="183">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3.7</v>
      </c>
      <c r="T105" s="183">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3.4</v>
      </c>
      <c r="U105" s="183">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2.4</v>
      </c>
      <c r="V105" s="183">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2.7</v>
      </c>
      <c r="W105" s="183">
        <f t="shared" si="41"/>
        <v>3.1</v>
      </c>
      <c r="X105" s="183">
        <f t="shared" si="42"/>
        <v>3.5</v>
      </c>
      <c r="Y105" s="207">
        <f>IF('Core Indicators'!FC102="x","x",IF('Core Indicators'!FC102&gt;=5,5,IF('Core Indicators'!FC102&gt;=4,4,IF('Core Indicators'!FC102&gt;=3,3,IF('Core Indicators'!FC102&gt;=2,2,IF('Core Indicators'!FC102&gt;=1,1,0))))))</f>
        <v>5</v>
      </c>
      <c r="Z105" s="183">
        <f t="shared" si="43"/>
        <v>5</v>
      </c>
      <c r="AA105" s="207">
        <f>'Crisis Indicator Data'!Y102</f>
        <v>1</v>
      </c>
      <c r="AB105" s="207">
        <f>'Crisis Indicator Data'!Z102</f>
        <v>2</v>
      </c>
      <c r="AC105" s="207">
        <f>'Crisis Indicator Data'!AA102</f>
        <v>0</v>
      </c>
      <c r="AD105" s="207">
        <f>'Crisis Indicator Data'!AB102</f>
        <v>3</v>
      </c>
      <c r="AE105" s="207">
        <f t="shared" si="33"/>
        <v>3</v>
      </c>
      <c r="AF105" s="207">
        <f>'Crisis Indicator Data'!AC102</f>
        <v>0</v>
      </c>
      <c r="AG105" s="207">
        <f>'Crisis Indicator Data'!AD102</f>
        <v>1</v>
      </c>
      <c r="AH105" s="207">
        <f t="shared" si="34"/>
        <v>1</v>
      </c>
      <c r="AI105" s="207">
        <f>'Crisis Indicator Data'!AE102</f>
        <v>2</v>
      </c>
      <c r="AJ105" s="207">
        <f>'Crisis Indicator Data'!AF102</f>
        <v>1</v>
      </c>
      <c r="AK105" s="207">
        <f>'Crisis Indicator Data'!AG102</f>
        <v>1</v>
      </c>
      <c r="AL105" s="207">
        <f t="shared" si="35"/>
        <v>3</v>
      </c>
      <c r="AM105" s="183">
        <f t="shared" si="44"/>
        <v>2</v>
      </c>
      <c r="AN105" s="183">
        <f t="shared" si="45"/>
        <v>3.5</v>
      </c>
    </row>
    <row r="106" spans="1:40" ht="13.5" customHeight="1" x14ac:dyDescent="0.3">
      <c r="A106" s="194" t="str">
        <f>'Crisis Indicator Data'!A103</f>
        <v>Boko Haram crisis in Nigeria</v>
      </c>
      <c r="B106" s="195" t="str">
        <f>'Crisis Indicator Data'!B103</f>
        <v>Conflict</v>
      </c>
      <c r="C106" s="195" t="str">
        <f>'Crisis Indicator Data'!C103</f>
        <v>NGA004</v>
      </c>
      <c r="D106" s="195" t="str">
        <f>'Crisis Indicator Data'!D103</f>
        <v>Nigeria</v>
      </c>
      <c r="E106" s="196" t="str">
        <f>'Crisis Indicator Data'!E103</f>
        <v>NGA</v>
      </c>
      <c r="F106" s="183">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3.9</v>
      </c>
      <c r="G106" s="183">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2.2999999999999998</v>
      </c>
      <c r="H106" s="183">
        <f t="shared" si="36"/>
        <v>3.0999999999999996</v>
      </c>
      <c r="I106" s="183">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4.0999999999999996</v>
      </c>
      <c r="J106" s="183">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0.3</v>
      </c>
      <c r="K106" s="183">
        <f t="shared" si="37"/>
        <v>2.1999999999999997</v>
      </c>
      <c r="L106" s="183" t="str">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x</v>
      </c>
      <c r="M106" s="183">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2.2999999999999998</v>
      </c>
      <c r="N106" s="183">
        <f t="shared" si="38"/>
        <v>2.2999999999999998</v>
      </c>
      <c r="O106" s="183">
        <f t="shared" si="39"/>
        <v>2.5333333333333328</v>
      </c>
      <c r="P106" s="183">
        <f>IF(B106="Regional crisis",VLOOKUP(C106,'Regional Crises'!$B$1:$R$69,12,FALSE),VLOOKUP(E106,'Country Indicator Data'!$B$4:$I$194,8,FALSE))</f>
        <v>5</v>
      </c>
      <c r="Q106" s="183">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4.8</v>
      </c>
      <c r="R106" s="183">
        <f t="shared" si="40"/>
        <v>4.9000000000000004</v>
      </c>
      <c r="S106" s="183">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3.7</v>
      </c>
      <c r="T106" s="183">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3.4</v>
      </c>
      <c r="U106" s="183">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2.4</v>
      </c>
      <c r="V106" s="183">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2.7</v>
      </c>
      <c r="W106" s="183">
        <f t="shared" si="41"/>
        <v>3.1</v>
      </c>
      <c r="X106" s="183">
        <f t="shared" si="42"/>
        <v>3.5</v>
      </c>
      <c r="Y106" s="207">
        <f>IF('Core Indicators'!FC103="x","x",IF('Core Indicators'!FC103&gt;=5,5,IF('Core Indicators'!FC103&gt;=4,4,IF('Core Indicators'!FC103&gt;=3,3,IF('Core Indicators'!FC103&gt;=2,2,IF('Core Indicators'!FC103&gt;=1,1,0))))))</f>
        <v>4</v>
      </c>
      <c r="Z106" s="183">
        <f t="shared" si="43"/>
        <v>4</v>
      </c>
      <c r="AA106" s="207">
        <f>'Crisis Indicator Data'!Y103</f>
        <v>1</v>
      </c>
      <c r="AB106" s="207">
        <f>'Crisis Indicator Data'!Z103</f>
        <v>2</v>
      </c>
      <c r="AC106" s="207">
        <f>'Crisis Indicator Data'!AA103</f>
        <v>3</v>
      </c>
      <c r="AD106" s="207">
        <f>'Crisis Indicator Data'!AB103</f>
        <v>0</v>
      </c>
      <c r="AE106" s="207">
        <f t="shared" si="33"/>
        <v>3</v>
      </c>
      <c r="AF106" s="207">
        <f>'Crisis Indicator Data'!AC103</f>
        <v>1</v>
      </c>
      <c r="AG106" s="207">
        <f>'Crisis Indicator Data'!AD103</f>
        <v>2</v>
      </c>
      <c r="AH106" s="207">
        <f t="shared" si="34"/>
        <v>3</v>
      </c>
      <c r="AI106" s="207">
        <f>'Crisis Indicator Data'!AE103</f>
        <v>3</v>
      </c>
      <c r="AJ106" s="207">
        <f>'Crisis Indicator Data'!AF103</f>
        <v>1</v>
      </c>
      <c r="AK106" s="207">
        <f>'Crisis Indicator Data'!AG103</f>
        <v>3</v>
      </c>
      <c r="AL106" s="207">
        <f t="shared" si="35"/>
        <v>5</v>
      </c>
      <c r="AM106" s="183">
        <f t="shared" si="44"/>
        <v>4</v>
      </c>
      <c r="AN106" s="183">
        <f t="shared" si="45"/>
        <v>4</v>
      </c>
    </row>
    <row r="107" spans="1:40" ht="13.5" customHeight="1" x14ac:dyDescent="0.3">
      <c r="A107" s="194" t="str">
        <f>'Crisis Indicator Data'!A104</f>
        <v>Northwest Banditry</v>
      </c>
      <c r="B107" s="195" t="str">
        <f>'Crisis Indicator Data'!B104</f>
        <v>Other type of violence</v>
      </c>
      <c r="C107" s="195" t="str">
        <f>'Crisis Indicator Data'!C104</f>
        <v>NGA007</v>
      </c>
      <c r="D107" s="195" t="str">
        <f>'Crisis Indicator Data'!D104</f>
        <v>Nigeria</v>
      </c>
      <c r="E107" s="196" t="str">
        <f>'Crisis Indicator Data'!E104</f>
        <v>NGA</v>
      </c>
      <c r="F107" s="183">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3.9</v>
      </c>
      <c r="G107" s="183">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83">
        <f t="shared" si="36"/>
        <v>3.0999999999999996</v>
      </c>
      <c r="I107" s="183">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4.0999999999999996</v>
      </c>
      <c r="J107" s="183">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0.3</v>
      </c>
      <c r="K107" s="183">
        <f t="shared" si="37"/>
        <v>2.1999999999999997</v>
      </c>
      <c r="L107" s="183" t="str">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x</v>
      </c>
      <c r="M107" s="183">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2.2999999999999998</v>
      </c>
      <c r="N107" s="183">
        <f t="shared" si="38"/>
        <v>2.2999999999999998</v>
      </c>
      <c r="O107" s="183">
        <f t="shared" si="39"/>
        <v>2.5333333333333328</v>
      </c>
      <c r="P107" s="183">
        <f>IF(B107="Regional crisis",VLOOKUP(C107,'Regional Crises'!$B$1:$R$69,12,FALSE),VLOOKUP(E107,'Country Indicator Data'!$B$4:$I$194,8,FALSE))</f>
        <v>5</v>
      </c>
      <c r="Q107" s="183">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4.8</v>
      </c>
      <c r="R107" s="183">
        <f t="shared" si="40"/>
        <v>4.9000000000000004</v>
      </c>
      <c r="S107" s="183">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3.7</v>
      </c>
      <c r="T107" s="183">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3.4</v>
      </c>
      <c r="U107" s="183">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2.4</v>
      </c>
      <c r="V107" s="183">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2.7</v>
      </c>
      <c r="W107" s="183">
        <f t="shared" si="41"/>
        <v>3.1</v>
      </c>
      <c r="X107" s="183">
        <f t="shared" si="42"/>
        <v>3.5</v>
      </c>
      <c r="Y107" s="207">
        <f>IF('Core Indicators'!FC104="x","x",IF('Core Indicators'!FC104&gt;=5,5,IF('Core Indicators'!FC104&gt;=4,4,IF('Core Indicators'!FC104&gt;=3,3,IF('Core Indicators'!FC104&gt;=2,2,IF('Core Indicators'!FC104&gt;=1,1,0))))))</f>
        <v>5</v>
      </c>
      <c r="Z107" s="183">
        <f t="shared" si="43"/>
        <v>5</v>
      </c>
      <c r="AA107" s="207">
        <f>'Crisis Indicator Data'!Y104</f>
        <v>0</v>
      </c>
      <c r="AB107" s="207">
        <f>'Crisis Indicator Data'!Z104</f>
        <v>2</v>
      </c>
      <c r="AC107" s="207">
        <f>'Crisis Indicator Data'!AA104</f>
        <v>0</v>
      </c>
      <c r="AD107" s="207">
        <f>'Crisis Indicator Data'!AB104</f>
        <v>3</v>
      </c>
      <c r="AE107" s="207">
        <f t="shared" si="33"/>
        <v>2</v>
      </c>
      <c r="AF107" s="207">
        <f>'Crisis Indicator Data'!AC104</f>
        <v>0</v>
      </c>
      <c r="AG107" s="207">
        <f>'Crisis Indicator Data'!AD104</f>
        <v>1</v>
      </c>
      <c r="AH107" s="207">
        <f t="shared" si="34"/>
        <v>1</v>
      </c>
      <c r="AI107" s="207">
        <f>'Crisis Indicator Data'!AE104</f>
        <v>0</v>
      </c>
      <c r="AJ107" s="207">
        <f>'Crisis Indicator Data'!AF104</f>
        <v>1</v>
      </c>
      <c r="AK107" s="207">
        <f>'Crisis Indicator Data'!AG104</f>
        <v>0</v>
      </c>
      <c r="AL107" s="207">
        <f t="shared" si="35"/>
        <v>1</v>
      </c>
      <c r="AM107" s="183">
        <f t="shared" si="44"/>
        <v>1</v>
      </c>
      <c r="AN107" s="183">
        <f t="shared" si="45"/>
        <v>3</v>
      </c>
    </row>
    <row r="108" spans="1:40" ht="13.5" customHeight="1" x14ac:dyDescent="0.3">
      <c r="A108" s="194" t="str">
        <f>'Crisis Indicator Data'!A105</f>
        <v>Cameroonian Refugees in Nigeria</v>
      </c>
      <c r="B108" s="195" t="str">
        <f>'Crisis Indicator Data'!B105</f>
        <v>International displacement</v>
      </c>
      <c r="C108" s="195" t="str">
        <f>'Crisis Indicator Data'!C105</f>
        <v>NGA008</v>
      </c>
      <c r="D108" s="195" t="str">
        <f>'Crisis Indicator Data'!D105</f>
        <v>Nigeria</v>
      </c>
      <c r="E108" s="196" t="str">
        <f>'Crisis Indicator Data'!E105</f>
        <v>NGA</v>
      </c>
      <c r="F108" s="183">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3.9</v>
      </c>
      <c r="G108" s="183">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83">
        <f t="shared" si="36"/>
        <v>3.0999999999999996</v>
      </c>
      <c r="I108" s="183">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4.0999999999999996</v>
      </c>
      <c r="J108" s="183">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0.3</v>
      </c>
      <c r="K108" s="183">
        <f t="shared" si="37"/>
        <v>2.1999999999999997</v>
      </c>
      <c r="L108" s="183" t="str">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x</v>
      </c>
      <c r="M108" s="183">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2.2999999999999998</v>
      </c>
      <c r="N108" s="183">
        <f t="shared" si="38"/>
        <v>2.2999999999999998</v>
      </c>
      <c r="O108" s="183">
        <f t="shared" si="39"/>
        <v>2.5333333333333328</v>
      </c>
      <c r="P108" s="183">
        <f>IF(B108="Regional crisis",VLOOKUP(C108,'Regional Crises'!$B$1:$R$69,12,FALSE),VLOOKUP(E108,'Country Indicator Data'!$B$4:$I$194,8,FALSE))</f>
        <v>5</v>
      </c>
      <c r="Q108" s="183">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4.8</v>
      </c>
      <c r="R108" s="183">
        <f t="shared" si="40"/>
        <v>4.9000000000000004</v>
      </c>
      <c r="S108" s="183">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3.7</v>
      </c>
      <c r="T108" s="183">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3.4</v>
      </c>
      <c r="U108" s="183">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2.4</v>
      </c>
      <c r="V108" s="183">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2.7</v>
      </c>
      <c r="W108" s="183">
        <f t="shared" si="41"/>
        <v>3.1</v>
      </c>
      <c r="X108" s="183">
        <f t="shared" si="42"/>
        <v>3.5</v>
      </c>
      <c r="Y108" s="207">
        <f>IF('Core Indicators'!FC105="x","x",IF('Core Indicators'!FC105&gt;=5,5,IF('Core Indicators'!FC105&gt;=4,4,IF('Core Indicators'!FC105&gt;=3,3,IF('Core Indicators'!FC105&gt;=2,2,IF('Core Indicators'!FC105&gt;=1,1,0))))))</f>
        <v>5</v>
      </c>
      <c r="Z108" s="183">
        <f t="shared" si="43"/>
        <v>5</v>
      </c>
      <c r="AA108" s="207">
        <f>'Crisis Indicator Data'!Y105</f>
        <v>3</v>
      </c>
      <c r="AB108" s="207">
        <f>'Crisis Indicator Data'!Z105</f>
        <v>2</v>
      </c>
      <c r="AC108" s="207">
        <f>'Crisis Indicator Data'!AA105</f>
        <v>0</v>
      </c>
      <c r="AD108" s="207">
        <f>'Crisis Indicator Data'!AB105</f>
        <v>3</v>
      </c>
      <c r="AE108" s="207">
        <f t="shared" si="33"/>
        <v>4</v>
      </c>
      <c r="AF108" s="207">
        <f>'Crisis Indicator Data'!AC105</f>
        <v>1</v>
      </c>
      <c r="AG108" s="207">
        <f>'Crisis Indicator Data'!AD105</f>
        <v>0</v>
      </c>
      <c r="AH108" s="207">
        <f t="shared" si="34"/>
        <v>1</v>
      </c>
      <c r="AI108" s="207">
        <f>'Crisis Indicator Data'!AE105</f>
        <v>2</v>
      </c>
      <c r="AJ108" s="207">
        <f>'Crisis Indicator Data'!AF105</f>
        <v>1</v>
      </c>
      <c r="AK108" s="207">
        <f>'Crisis Indicator Data'!AG105</f>
        <v>0</v>
      </c>
      <c r="AL108" s="207">
        <f t="shared" si="35"/>
        <v>3</v>
      </c>
      <c r="AM108" s="183">
        <f t="shared" si="44"/>
        <v>5</v>
      </c>
      <c r="AN108" s="183">
        <f t="shared" si="45"/>
        <v>5</v>
      </c>
    </row>
    <row r="109" spans="1:40" ht="13.5" customHeight="1" x14ac:dyDescent="0.3">
      <c r="A109" s="194" t="str">
        <f>'Crisis Indicator Data'!A106</f>
        <v>Regional Boko Haram Crisis</v>
      </c>
      <c r="B109" s="195" t="str">
        <f>'Crisis Indicator Data'!B106</f>
        <v>Regional crisis</v>
      </c>
      <c r="C109" s="195" t="str">
        <f>'Crisis Indicator Data'!C106</f>
        <v>REG001</v>
      </c>
      <c r="D109" s="195" t="str">
        <f>'Crisis Indicator Data'!D106</f>
        <v>Nigeria, Niger, Chad, Cameroon</v>
      </c>
      <c r="E109" s="196" t="str">
        <f>'Crisis Indicator Data'!E106</f>
        <v>NGA, NER, TCD, CMR</v>
      </c>
      <c r="F109" s="183">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2.8</v>
      </c>
      <c r="G109" s="183">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2.7</v>
      </c>
      <c r="H109" s="183">
        <f t="shared" si="36"/>
        <v>2.75</v>
      </c>
      <c r="I109" s="183">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4</v>
      </c>
      <c r="J109" s="183">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0.8</v>
      </c>
      <c r="K109" s="183">
        <f t="shared" si="37"/>
        <v>2.4</v>
      </c>
      <c r="L109" s="183">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4.3</v>
      </c>
      <c r="M109" s="183">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2.1</v>
      </c>
      <c r="N109" s="183">
        <f t="shared" si="38"/>
        <v>3.2</v>
      </c>
      <c r="O109" s="183">
        <f t="shared" si="39"/>
        <v>2.7833333333333337</v>
      </c>
      <c r="P109" s="183">
        <f>IF(B109="Regional crisis",VLOOKUP(C109,'Regional Crises'!$B$1:$R$69,12,FALSE),VLOOKUP(E109,'Country Indicator Data'!$B$4:$I$194,8,FALSE))</f>
        <v>3.5</v>
      </c>
      <c r="Q109" s="183">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5</v>
      </c>
      <c r="R109" s="183">
        <f t="shared" si="40"/>
        <v>4.25</v>
      </c>
      <c r="S109" s="183">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3.7</v>
      </c>
      <c r="T109" s="183">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3.5</v>
      </c>
      <c r="U109" s="183">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v>
      </c>
      <c r="V109" s="183">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3.4</v>
      </c>
      <c r="W109" s="183">
        <f t="shared" si="41"/>
        <v>3.4</v>
      </c>
      <c r="X109" s="183">
        <f t="shared" si="42"/>
        <v>3.5</v>
      </c>
      <c r="Y109" s="207">
        <f>IF('Core Indicators'!FC106="x","x",IF('Core Indicators'!FC106&gt;=5,5,IF('Core Indicators'!FC106&gt;=4,4,IF('Core Indicators'!FC106&gt;=3,3,IF('Core Indicators'!FC106&gt;=2,2,IF('Core Indicators'!FC106&gt;=1,1,0))))))</f>
        <v>5</v>
      </c>
      <c r="Z109" s="183">
        <f t="shared" si="43"/>
        <v>5</v>
      </c>
      <c r="AA109" s="207">
        <f>'Crisis Indicator Data'!Y106</f>
        <v>0.5</v>
      </c>
      <c r="AB109" s="207">
        <f>'Crisis Indicator Data'!Z106</f>
        <v>1.5</v>
      </c>
      <c r="AC109" s="207">
        <f>'Crisis Indicator Data'!AA106</f>
        <v>0.75</v>
      </c>
      <c r="AD109" s="207">
        <f>'Crisis Indicator Data'!AB106</f>
        <v>0.75</v>
      </c>
      <c r="AE109" s="207">
        <f t="shared" si="33"/>
        <v>2</v>
      </c>
      <c r="AF109" s="207">
        <f>'Crisis Indicator Data'!AC106</f>
        <v>0.5</v>
      </c>
      <c r="AG109" s="207">
        <f>'Crisis Indicator Data'!AD106</f>
        <v>2</v>
      </c>
      <c r="AH109" s="207">
        <f t="shared" si="34"/>
        <v>2</v>
      </c>
      <c r="AI109" s="207">
        <f>'Crisis Indicator Data'!AE106</f>
        <v>2.5</v>
      </c>
      <c r="AJ109" s="207">
        <f>'Crisis Indicator Data'!AF106</f>
        <v>1.5</v>
      </c>
      <c r="AK109" s="207">
        <f>'Crisis Indicator Data'!AG106</f>
        <v>2.5</v>
      </c>
      <c r="AL109" s="207">
        <f t="shared" si="35"/>
        <v>4</v>
      </c>
      <c r="AM109" s="183">
        <f t="shared" si="44"/>
        <v>3</v>
      </c>
      <c r="AN109" s="183">
        <f t="shared" si="45"/>
        <v>4</v>
      </c>
    </row>
    <row r="110" spans="1:40" ht="13.5" customHeight="1" x14ac:dyDescent="0.3">
      <c r="A110" s="194" t="str">
        <f>'Crisis Indicator Data'!A107</f>
        <v>Complex crisis in Pakistan</v>
      </c>
      <c r="B110" s="195" t="str">
        <f>'Crisis Indicator Data'!B107</f>
        <v>Complex crisis</v>
      </c>
      <c r="C110" s="195" t="str">
        <f>'Crisis Indicator Data'!C107</f>
        <v>PAK001</v>
      </c>
      <c r="D110" s="195" t="str">
        <f>'Crisis Indicator Data'!D107</f>
        <v>Pakistan</v>
      </c>
      <c r="E110" s="196" t="str">
        <f>'Crisis Indicator Data'!E107</f>
        <v>PAK</v>
      </c>
      <c r="F110" s="183">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3.9</v>
      </c>
      <c r="G110" s="183">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3.1</v>
      </c>
      <c r="H110" s="183">
        <f t="shared" si="36"/>
        <v>3.5</v>
      </c>
      <c r="I110" s="183">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3.2</v>
      </c>
      <c r="J110" s="183">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1.6</v>
      </c>
      <c r="K110" s="183">
        <f t="shared" si="37"/>
        <v>2.4000000000000004</v>
      </c>
      <c r="L110" s="183">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3.6</v>
      </c>
      <c r="M110" s="183">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1.1000000000000001</v>
      </c>
      <c r="N110" s="183">
        <f t="shared" si="38"/>
        <v>2.35</v>
      </c>
      <c r="O110" s="183">
        <f t="shared" si="39"/>
        <v>2.75</v>
      </c>
      <c r="P110" s="183">
        <f>IF(B110="Regional crisis",VLOOKUP(C110,'Regional Crises'!$B$1:$R$69,12,FALSE),VLOOKUP(E110,'Country Indicator Data'!$B$4:$I$194,8,FALSE))</f>
        <v>3</v>
      </c>
      <c r="Q110" s="183">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4.2</v>
      </c>
      <c r="R110" s="183">
        <f t="shared" si="40"/>
        <v>3.6</v>
      </c>
      <c r="S110" s="183">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3.4</v>
      </c>
      <c r="T110" s="183">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3.2</v>
      </c>
      <c r="U110" s="183">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3.4</v>
      </c>
      <c r="V110" s="183">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3.1</v>
      </c>
      <c r="W110" s="183">
        <f t="shared" si="41"/>
        <v>3.3</v>
      </c>
      <c r="X110" s="183">
        <f t="shared" si="42"/>
        <v>3.2</v>
      </c>
      <c r="Y110" s="207">
        <f>IF('Core Indicators'!FC107="x","x",IF('Core Indicators'!FC107&gt;=5,5,IF('Core Indicators'!FC107&gt;=4,4,IF('Core Indicators'!FC107&gt;=3,3,IF('Core Indicators'!FC107&gt;=2,2,IF('Core Indicators'!FC107&gt;=1,1,0))))))</f>
        <v>5</v>
      </c>
      <c r="Z110" s="183">
        <f t="shared" si="43"/>
        <v>5</v>
      </c>
      <c r="AA110" s="207">
        <f>'Crisis Indicator Data'!Y107</f>
        <v>2</v>
      </c>
      <c r="AB110" s="207">
        <f>'Crisis Indicator Data'!Z107</f>
        <v>1</v>
      </c>
      <c r="AC110" s="207">
        <f>'Crisis Indicator Data'!AA107</f>
        <v>1</v>
      </c>
      <c r="AD110" s="207">
        <f>'Crisis Indicator Data'!AB107</f>
        <v>1</v>
      </c>
      <c r="AE110" s="207">
        <f t="shared" si="33"/>
        <v>2</v>
      </c>
      <c r="AF110" s="207">
        <f>'Crisis Indicator Data'!AC107</f>
        <v>0</v>
      </c>
      <c r="AG110" s="207">
        <f>'Crisis Indicator Data'!AD107</f>
        <v>2</v>
      </c>
      <c r="AH110" s="207">
        <f t="shared" si="34"/>
        <v>2</v>
      </c>
      <c r="AI110" s="207">
        <f>'Crisis Indicator Data'!AE107</f>
        <v>1</v>
      </c>
      <c r="AJ110" s="207">
        <f>'Crisis Indicator Data'!AF107</f>
        <v>1</v>
      </c>
      <c r="AK110" s="207">
        <f>'Crisis Indicator Data'!AG107</f>
        <v>3</v>
      </c>
      <c r="AL110" s="207">
        <f t="shared" si="35"/>
        <v>4</v>
      </c>
      <c r="AM110" s="183">
        <f t="shared" si="44"/>
        <v>3</v>
      </c>
      <c r="AN110" s="183">
        <f t="shared" si="45"/>
        <v>4</v>
      </c>
    </row>
    <row r="111" spans="1:40" ht="13.5" customHeight="1" x14ac:dyDescent="0.3">
      <c r="A111" s="194" t="str">
        <f>'Crisis Indicator Data'!A108</f>
        <v>Kashmir conflict in Pakistan</v>
      </c>
      <c r="B111" s="195" t="str">
        <f>'Crisis Indicator Data'!B108</f>
        <v>Conflict</v>
      </c>
      <c r="C111" s="195" t="str">
        <f>'Crisis Indicator Data'!C108</f>
        <v>PAK004</v>
      </c>
      <c r="D111" s="195" t="str">
        <f>'Crisis Indicator Data'!D108</f>
        <v>Pakistan</v>
      </c>
      <c r="E111" s="196" t="str">
        <f>'Crisis Indicator Data'!E108</f>
        <v>PAK</v>
      </c>
      <c r="F111" s="183">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3.9</v>
      </c>
      <c r="G111" s="183">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3.1</v>
      </c>
      <c r="H111" s="183">
        <f t="shared" si="36"/>
        <v>3.5</v>
      </c>
      <c r="I111" s="183">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3.2</v>
      </c>
      <c r="J111" s="183">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1.6</v>
      </c>
      <c r="K111" s="183">
        <f t="shared" si="37"/>
        <v>2.4000000000000004</v>
      </c>
      <c r="L111" s="183">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3.6</v>
      </c>
      <c r="M111" s="183">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1.1000000000000001</v>
      </c>
      <c r="N111" s="183">
        <f t="shared" si="38"/>
        <v>2.35</v>
      </c>
      <c r="O111" s="183">
        <f t="shared" si="39"/>
        <v>2.75</v>
      </c>
      <c r="P111" s="183">
        <f>IF(B111="Regional crisis",VLOOKUP(C111,'Regional Crises'!$B$1:$R$69,12,FALSE),VLOOKUP(E111,'Country Indicator Data'!$B$4:$I$194,8,FALSE))</f>
        <v>3</v>
      </c>
      <c r="Q111" s="183">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4.2</v>
      </c>
      <c r="R111" s="183">
        <f t="shared" si="40"/>
        <v>3.6</v>
      </c>
      <c r="S111" s="183">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3.4</v>
      </c>
      <c r="T111" s="183">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3.2</v>
      </c>
      <c r="U111" s="183">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3.4</v>
      </c>
      <c r="V111" s="183">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3.1</v>
      </c>
      <c r="W111" s="183">
        <f t="shared" si="41"/>
        <v>3.3</v>
      </c>
      <c r="X111" s="183">
        <f t="shared" si="42"/>
        <v>3.2</v>
      </c>
      <c r="Y111" s="207">
        <f>IF('Core Indicators'!FC108="x","x",IF('Core Indicators'!FC108&gt;=5,5,IF('Core Indicators'!FC108&gt;=4,4,IF('Core Indicators'!FC108&gt;=3,3,IF('Core Indicators'!FC108&gt;=2,2,IF('Core Indicators'!FC108&gt;=1,1,0))))))</f>
        <v>3</v>
      </c>
      <c r="Z111" s="183">
        <f t="shared" si="43"/>
        <v>3</v>
      </c>
      <c r="AA111" s="207">
        <f>'Crisis Indicator Data'!Y108</f>
        <v>2</v>
      </c>
      <c r="AB111" s="207">
        <f>'Crisis Indicator Data'!Z108</f>
        <v>1</v>
      </c>
      <c r="AC111" s="207">
        <f>'Crisis Indicator Data'!AA108</f>
        <v>1</v>
      </c>
      <c r="AD111" s="207">
        <f>'Crisis Indicator Data'!AB108</f>
        <v>0</v>
      </c>
      <c r="AE111" s="207">
        <f t="shared" si="33"/>
        <v>2</v>
      </c>
      <c r="AF111" s="207">
        <f>'Crisis Indicator Data'!AC108</f>
        <v>0</v>
      </c>
      <c r="AG111" s="207">
        <f>'Crisis Indicator Data'!AD108</f>
        <v>2</v>
      </c>
      <c r="AH111" s="207">
        <f t="shared" si="34"/>
        <v>2</v>
      </c>
      <c r="AI111" s="207">
        <f>'Crisis Indicator Data'!AE108</f>
        <v>1</v>
      </c>
      <c r="AJ111" s="207">
        <f>'Crisis Indicator Data'!AF108</f>
        <v>1</v>
      </c>
      <c r="AK111" s="207">
        <f>'Crisis Indicator Data'!AG108</f>
        <v>2</v>
      </c>
      <c r="AL111" s="207">
        <f t="shared" si="35"/>
        <v>3</v>
      </c>
      <c r="AM111" s="183">
        <f t="shared" si="44"/>
        <v>2</v>
      </c>
      <c r="AN111" s="183">
        <f t="shared" si="45"/>
        <v>2.5</v>
      </c>
    </row>
    <row r="112" spans="1:40" ht="13.5" customHeight="1" x14ac:dyDescent="0.3">
      <c r="A112" s="194" t="str">
        <f>'Crisis Indicator Data'!A109</f>
        <v>Conflict in Palestine</v>
      </c>
      <c r="B112" s="195" t="str">
        <f>'Crisis Indicator Data'!B109</f>
        <v>Conflict</v>
      </c>
      <c r="C112" s="195" t="str">
        <f>'Crisis Indicator Data'!C109</f>
        <v>PSE002</v>
      </c>
      <c r="D112" s="195" t="str">
        <f>'Crisis Indicator Data'!D109</f>
        <v>Palestine</v>
      </c>
      <c r="E112" s="196" t="str">
        <f>'Crisis Indicator Data'!E109</f>
        <v>PSE</v>
      </c>
      <c r="F112" s="183" t="str">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x</v>
      </c>
      <c r="G112" s="183" t="str">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x</v>
      </c>
      <c r="H112" s="183" t="str">
        <f t="shared" si="36"/>
        <v>x</v>
      </c>
      <c r="I112" s="183">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0</v>
      </c>
      <c r="J112" s="183">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0</v>
      </c>
      <c r="K112" s="183">
        <f t="shared" si="37"/>
        <v>0</v>
      </c>
      <c r="L112" s="183" t="str">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x</v>
      </c>
      <c r="M112" s="183">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1.1000000000000001</v>
      </c>
      <c r="N112" s="183">
        <f t="shared" si="38"/>
        <v>1.1000000000000001</v>
      </c>
      <c r="O112" s="183">
        <f t="shared" si="39"/>
        <v>0.55000000000000004</v>
      </c>
      <c r="P112" s="183">
        <f>IF(B112="Regional crisis",VLOOKUP(C112,'Regional Crises'!$B$1:$R$69,12,FALSE),VLOOKUP(E112,'Country Indicator Data'!$B$4:$I$194,8,FALSE))</f>
        <v>3</v>
      </c>
      <c r="Q112" s="183">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1.4</v>
      </c>
      <c r="R112" s="183">
        <f t="shared" si="40"/>
        <v>2.2000000000000002</v>
      </c>
      <c r="S112" s="183" t="str">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x</v>
      </c>
      <c r="T112" s="183">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v>
      </c>
      <c r="U112" s="183" t="str">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x</v>
      </c>
      <c r="V112" s="183">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4.5</v>
      </c>
      <c r="W112" s="183">
        <f t="shared" si="41"/>
        <v>3.8</v>
      </c>
      <c r="X112" s="183">
        <f t="shared" si="42"/>
        <v>2.2000000000000002</v>
      </c>
      <c r="Y112" s="207">
        <f>IF('Core Indicators'!FC109="x","x",IF('Core Indicators'!FC109&gt;=5,5,IF('Core Indicators'!FC109&gt;=4,4,IF('Core Indicators'!FC109&gt;=3,3,IF('Core Indicators'!FC109&gt;=2,2,IF('Core Indicators'!FC109&gt;=1,1,0))))))</f>
        <v>4</v>
      </c>
      <c r="Z112" s="183">
        <f t="shared" si="43"/>
        <v>4</v>
      </c>
      <c r="AA112" s="207">
        <f>'Crisis Indicator Data'!Y109</f>
        <v>2</v>
      </c>
      <c r="AB112" s="207">
        <f>'Crisis Indicator Data'!Z109</f>
        <v>3</v>
      </c>
      <c r="AC112" s="207">
        <f>'Crisis Indicator Data'!AA109</f>
        <v>3</v>
      </c>
      <c r="AD112" s="207">
        <f>'Crisis Indicator Data'!AB109</f>
        <v>1</v>
      </c>
      <c r="AE112" s="207">
        <f t="shared" si="33"/>
        <v>4</v>
      </c>
      <c r="AF112" s="207">
        <f>'Crisis Indicator Data'!AC109</f>
        <v>2</v>
      </c>
      <c r="AG112" s="207">
        <f>'Crisis Indicator Data'!AD109</f>
        <v>3</v>
      </c>
      <c r="AH112" s="207">
        <f t="shared" si="34"/>
        <v>5</v>
      </c>
      <c r="AI112" s="207">
        <f>'Crisis Indicator Data'!AE109</f>
        <v>3</v>
      </c>
      <c r="AJ112" s="207">
        <f>'Crisis Indicator Data'!AF109</f>
        <v>1</v>
      </c>
      <c r="AK112" s="207">
        <f>'Crisis Indicator Data'!AG109</f>
        <v>2</v>
      </c>
      <c r="AL112" s="207">
        <f t="shared" si="35"/>
        <v>4</v>
      </c>
      <c r="AM112" s="183">
        <f t="shared" si="44"/>
        <v>4</v>
      </c>
      <c r="AN112" s="183">
        <f t="shared" si="45"/>
        <v>4</v>
      </c>
    </row>
    <row r="113" spans="1:40" ht="13.5" customHeight="1" x14ac:dyDescent="0.3">
      <c r="A113" s="194" t="str">
        <f>'Crisis Indicator Data'!A110</f>
        <v>Venezuela displacement in Peru</v>
      </c>
      <c r="B113" s="195" t="str">
        <f>'Crisis Indicator Data'!B110</f>
        <v>International displacement</v>
      </c>
      <c r="C113" s="195" t="str">
        <f>'Crisis Indicator Data'!C110</f>
        <v>PER002</v>
      </c>
      <c r="D113" s="195" t="str">
        <f>'Crisis Indicator Data'!D110</f>
        <v>Peru</v>
      </c>
      <c r="E113" s="196" t="str">
        <f>'Crisis Indicator Data'!E110</f>
        <v>PER</v>
      </c>
      <c r="F113" s="183">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1.8</v>
      </c>
      <c r="G113" s="183">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1.7</v>
      </c>
      <c r="H113" s="183">
        <f t="shared" si="36"/>
        <v>1.75</v>
      </c>
      <c r="I113" s="183">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3</v>
      </c>
      <c r="J113" s="183">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4.5</v>
      </c>
      <c r="K113" s="183">
        <f t="shared" si="37"/>
        <v>3.75</v>
      </c>
      <c r="L113" s="183">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2.5</v>
      </c>
      <c r="M113" s="183">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2.2000000000000002</v>
      </c>
      <c r="N113" s="183">
        <f t="shared" si="38"/>
        <v>2.35</v>
      </c>
      <c r="O113" s="183">
        <f t="shared" si="39"/>
        <v>2.6166666666666667</v>
      </c>
      <c r="P113" s="183">
        <f>IF(B113="Regional crisis",VLOOKUP(C113,'Regional Crises'!$B$1:$R$69,12,FALSE),VLOOKUP(E113,'Country Indicator Data'!$B$4:$I$194,8,FALSE))</f>
        <v>3</v>
      </c>
      <c r="Q113" s="183">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0.7</v>
      </c>
      <c r="R113" s="183">
        <f t="shared" si="40"/>
        <v>1.85</v>
      </c>
      <c r="S113" s="183">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3.2</v>
      </c>
      <c r="T113" s="183">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v>
      </c>
      <c r="U113" s="183">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1.9</v>
      </c>
      <c r="V113" s="183">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1.4</v>
      </c>
      <c r="W113" s="183">
        <f t="shared" si="41"/>
        <v>2.4</v>
      </c>
      <c r="X113" s="183">
        <f t="shared" si="42"/>
        <v>2.2999999999999998</v>
      </c>
      <c r="Y113" s="207">
        <f>IF('Core Indicators'!FC110="x","x",IF('Core Indicators'!FC110&gt;=5,5,IF('Core Indicators'!FC110&gt;=4,4,IF('Core Indicators'!FC110&gt;=3,3,IF('Core Indicators'!FC110&gt;=2,2,IF('Core Indicators'!FC110&gt;=1,1,0))))))</f>
        <v>2</v>
      </c>
      <c r="Z113" s="183">
        <f t="shared" si="43"/>
        <v>2</v>
      </c>
      <c r="AA113" s="207">
        <f>'Crisis Indicator Data'!Y110</f>
        <v>0</v>
      </c>
      <c r="AB113" s="207">
        <f>'Crisis Indicator Data'!Z110</f>
        <v>0</v>
      </c>
      <c r="AC113" s="207">
        <f>'Crisis Indicator Data'!AA110</f>
        <v>0</v>
      </c>
      <c r="AD113" s="207">
        <f>'Crisis Indicator Data'!AB110</f>
        <v>0</v>
      </c>
      <c r="AE113" s="207">
        <f t="shared" si="33"/>
        <v>0</v>
      </c>
      <c r="AF113" s="207">
        <f>'Crisis Indicator Data'!AC110</f>
        <v>0</v>
      </c>
      <c r="AG113" s="207">
        <f>'Crisis Indicator Data'!AD110</f>
        <v>1</v>
      </c>
      <c r="AH113" s="207">
        <f t="shared" si="34"/>
        <v>1</v>
      </c>
      <c r="AI113" s="207">
        <f>'Crisis Indicator Data'!AE110</f>
        <v>0</v>
      </c>
      <c r="AJ113" s="207">
        <f>'Crisis Indicator Data'!AF110</f>
        <v>0</v>
      </c>
      <c r="AK113" s="207">
        <f>'Crisis Indicator Data'!AG110</f>
        <v>2</v>
      </c>
      <c r="AL113" s="207">
        <f t="shared" si="35"/>
        <v>2</v>
      </c>
      <c r="AM113" s="183">
        <f t="shared" si="44"/>
        <v>1</v>
      </c>
      <c r="AN113" s="183">
        <f t="shared" si="45"/>
        <v>1.5</v>
      </c>
    </row>
    <row r="114" spans="1:40" ht="13.5" customHeight="1" x14ac:dyDescent="0.3">
      <c r="A114" s="194" t="str">
        <f>'Crisis Indicator Data'!A111</f>
        <v>Multiple crises in the Philippines</v>
      </c>
      <c r="B114" s="195" t="str">
        <f>'Crisis Indicator Data'!B111</f>
        <v>Multiple crises country</v>
      </c>
      <c r="C114" s="195" t="str">
        <f>'Crisis Indicator Data'!C111</f>
        <v>PHL001</v>
      </c>
      <c r="D114" s="195" t="str">
        <f>'Crisis Indicator Data'!D111</f>
        <v>Philippines</v>
      </c>
      <c r="E114" s="196" t="str">
        <f>'Crisis Indicator Data'!E111</f>
        <v>PHL</v>
      </c>
      <c r="F114" s="183">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1.8</v>
      </c>
      <c r="G114" s="183">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2.1</v>
      </c>
      <c r="H114" s="183">
        <f t="shared" si="36"/>
        <v>1.9500000000000002</v>
      </c>
      <c r="I114" s="183">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1.3</v>
      </c>
      <c r="J114" s="183">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1.4</v>
      </c>
      <c r="K114" s="183">
        <f t="shared" si="37"/>
        <v>1.35</v>
      </c>
      <c r="L114" s="183">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2.8</v>
      </c>
      <c r="M114" s="183">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2.4</v>
      </c>
      <c r="N114" s="183">
        <f t="shared" si="38"/>
        <v>2.5999999999999996</v>
      </c>
      <c r="O114" s="183">
        <f t="shared" si="39"/>
        <v>1.9666666666666668</v>
      </c>
      <c r="P114" s="183">
        <f>IF(B114="Regional crisis",VLOOKUP(C114,'Regional Crises'!$B$1:$R$69,12,FALSE),VLOOKUP(E114,'Country Indicator Data'!$B$4:$I$194,8,FALSE))</f>
        <v>4</v>
      </c>
      <c r="Q114" s="183">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3.6</v>
      </c>
      <c r="R114" s="183">
        <f t="shared" si="40"/>
        <v>3.8</v>
      </c>
      <c r="S114" s="183">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3.3</v>
      </c>
      <c r="T114" s="183">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v>
      </c>
      <c r="U114" s="183">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2.6</v>
      </c>
      <c r="V114" s="183">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2.1</v>
      </c>
      <c r="W114" s="183">
        <f t="shared" si="41"/>
        <v>2.8</v>
      </c>
      <c r="X114" s="183">
        <f t="shared" si="42"/>
        <v>2.9</v>
      </c>
      <c r="Y114" s="207">
        <f>IF('Core Indicators'!FC111="x","x",IF('Core Indicators'!FC111&gt;=5,5,IF('Core Indicators'!FC111&gt;=4,4,IF('Core Indicators'!FC111&gt;=3,3,IF('Core Indicators'!FC111&gt;=2,2,IF('Core Indicators'!FC111&gt;=1,1,0))))))</f>
        <v>4</v>
      </c>
      <c r="Z114" s="183">
        <f t="shared" si="43"/>
        <v>4</v>
      </c>
      <c r="AA114" s="207">
        <f>'Crisis Indicator Data'!Y111</f>
        <v>0</v>
      </c>
      <c r="AB114" s="207">
        <f>'Crisis Indicator Data'!Z111</f>
        <v>0</v>
      </c>
      <c r="AC114" s="207">
        <f>'Crisis Indicator Data'!AA111</f>
        <v>0</v>
      </c>
      <c r="AD114" s="207">
        <f>'Crisis Indicator Data'!AB111</f>
        <v>0</v>
      </c>
      <c r="AE114" s="207">
        <f t="shared" si="33"/>
        <v>0</v>
      </c>
      <c r="AF114" s="207">
        <f>'Crisis Indicator Data'!AC111</f>
        <v>0</v>
      </c>
      <c r="AG114" s="207">
        <f>'Crisis Indicator Data'!AD111</f>
        <v>2</v>
      </c>
      <c r="AH114" s="207">
        <f t="shared" si="34"/>
        <v>2</v>
      </c>
      <c r="AI114" s="207">
        <f>'Crisis Indicator Data'!AE111</f>
        <v>1</v>
      </c>
      <c r="AJ114" s="207">
        <f>'Crisis Indicator Data'!AF111</f>
        <v>1</v>
      </c>
      <c r="AK114" s="207">
        <f>'Crisis Indicator Data'!AG111</f>
        <v>3</v>
      </c>
      <c r="AL114" s="207">
        <f t="shared" si="35"/>
        <v>4</v>
      </c>
      <c r="AM114" s="183">
        <f t="shared" si="44"/>
        <v>2</v>
      </c>
      <c r="AN114" s="183">
        <f t="shared" si="45"/>
        <v>3</v>
      </c>
    </row>
    <row r="115" spans="1:40" ht="13.5" customHeight="1" x14ac:dyDescent="0.3">
      <c r="A115" s="194" t="str">
        <f>'Crisis Indicator Data'!A112</f>
        <v>Mindanao conflict</v>
      </c>
      <c r="B115" s="195" t="str">
        <f>'Crisis Indicator Data'!B112</f>
        <v>Conflict</v>
      </c>
      <c r="C115" s="195" t="str">
        <f>'Crisis Indicator Data'!C112</f>
        <v>PHL003</v>
      </c>
      <c r="D115" s="195" t="str">
        <f>'Crisis Indicator Data'!D112</f>
        <v>Philippines</v>
      </c>
      <c r="E115" s="196" t="str">
        <f>'Crisis Indicator Data'!E112</f>
        <v>PHL</v>
      </c>
      <c r="F115" s="183">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83">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2.1</v>
      </c>
      <c r="H115" s="183">
        <f t="shared" si="36"/>
        <v>1.9500000000000002</v>
      </c>
      <c r="I115" s="183">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1.3</v>
      </c>
      <c r="J115" s="183">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1.4</v>
      </c>
      <c r="K115" s="183">
        <f t="shared" si="37"/>
        <v>1.35</v>
      </c>
      <c r="L115" s="183">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2.8</v>
      </c>
      <c r="M115" s="183">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2.4</v>
      </c>
      <c r="N115" s="183">
        <f t="shared" si="38"/>
        <v>2.5999999999999996</v>
      </c>
      <c r="O115" s="183">
        <f t="shared" si="39"/>
        <v>1.9666666666666668</v>
      </c>
      <c r="P115" s="183">
        <f>IF(B115="Regional crisis",VLOOKUP(C115,'Regional Crises'!$B$1:$R$69,12,FALSE),VLOOKUP(E115,'Country Indicator Data'!$B$4:$I$194,8,FALSE))</f>
        <v>4</v>
      </c>
      <c r="Q115" s="183">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3.6</v>
      </c>
      <c r="R115" s="183">
        <f t="shared" si="40"/>
        <v>3.8</v>
      </c>
      <c r="S115" s="183">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3.3</v>
      </c>
      <c r="T115" s="183">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v>
      </c>
      <c r="U115" s="183">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2.6</v>
      </c>
      <c r="V115" s="183">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2.1</v>
      </c>
      <c r="W115" s="183">
        <f t="shared" si="41"/>
        <v>2.8</v>
      </c>
      <c r="X115" s="183">
        <f t="shared" si="42"/>
        <v>2.9</v>
      </c>
      <c r="Y115" s="207">
        <f>IF('Core Indicators'!FC112="x","x",IF('Core Indicators'!FC112&gt;=5,5,IF('Core Indicators'!FC112&gt;=4,4,IF('Core Indicators'!FC112&gt;=3,3,IF('Core Indicators'!FC112&gt;=2,2,IF('Core Indicators'!FC112&gt;=1,1,0))))))</f>
        <v>4</v>
      </c>
      <c r="Z115" s="183">
        <f t="shared" si="43"/>
        <v>4</v>
      </c>
      <c r="AA115" s="207">
        <f>'Crisis Indicator Data'!Y112</f>
        <v>0</v>
      </c>
      <c r="AB115" s="207">
        <f>'Crisis Indicator Data'!Z112</f>
        <v>0</v>
      </c>
      <c r="AC115" s="207">
        <f>'Crisis Indicator Data'!AA112</f>
        <v>0</v>
      </c>
      <c r="AD115" s="207">
        <f>'Crisis Indicator Data'!AB112</f>
        <v>0</v>
      </c>
      <c r="AE115" s="207">
        <f t="shared" si="33"/>
        <v>0</v>
      </c>
      <c r="AF115" s="207">
        <f>'Crisis Indicator Data'!AC112</f>
        <v>0</v>
      </c>
      <c r="AG115" s="207">
        <f>'Crisis Indicator Data'!AD112</f>
        <v>1</v>
      </c>
      <c r="AH115" s="207">
        <f t="shared" si="34"/>
        <v>1</v>
      </c>
      <c r="AI115" s="207">
        <f>'Crisis Indicator Data'!AE112</f>
        <v>1</v>
      </c>
      <c r="AJ115" s="207">
        <f>'Crisis Indicator Data'!AF112</f>
        <v>1</v>
      </c>
      <c r="AK115" s="207">
        <f>'Crisis Indicator Data'!AG112</f>
        <v>2</v>
      </c>
      <c r="AL115" s="207">
        <f t="shared" si="35"/>
        <v>3</v>
      </c>
      <c r="AM115" s="183">
        <f t="shared" si="44"/>
        <v>1</v>
      </c>
      <c r="AN115" s="183">
        <f t="shared" si="45"/>
        <v>2.5</v>
      </c>
    </row>
    <row r="116" spans="1:40" ht="13.5" customHeight="1" x14ac:dyDescent="0.3">
      <c r="A116" s="194" t="str">
        <f>'Crisis Indicator Data'!A113</f>
        <v>Mindanao Earthquake</v>
      </c>
      <c r="B116" s="195" t="str">
        <f>'Crisis Indicator Data'!B113</f>
        <v>Earthquake</v>
      </c>
      <c r="C116" s="195" t="str">
        <f>'Crisis Indicator Data'!C113</f>
        <v>PHL004</v>
      </c>
      <c r="D116" s="195" t="str">
        <f>'Crisis Indicator Data'!D113</f>
        <v>Philippines</v>
      </c>
      <c r="E116" s="196" t="str">
        <f>'Crisis Indicator Data'!E113</f>
        <v>PHL</v>
      </c>
      <c r="F116" s="183">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1.8</v>
      </c>
      <c r="G116" s="183">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2.1</v>
      </c>
      <c r="H116" s="183">
        <f t="shared" si="36"/>
        <v>1.9500000000000002</v>
      </c>
      <c r="I116" s="183">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1.3</v>
      </c>
      <c r="J116" s="183">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1.4</v>
      </c>
      <c r="K116" s="183">
        <f t="shared" si="37"/>
        <v>1.35</v>
      </c>
      <c r="L116" s="183">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2.8</v>
      </c>
      <c r="M116" s="183">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2.4</v>
      </c>
      <c r="N116" s="183">
        <f t="shared" si="38"/>
        <v>2.5999999999999996</v>
      </c>
      <c r="O116" s="183">
        <f t="shared" si="39"/>
        <v>1.9666666666666668</v>
      </c>
      <c r="P116" s="183">
        <f>IF(B116="Regional crisis",VLOOKUP(C116,'Regional Crises'!$B$1:$R$69,12,FALSE),VLOOKUP(E116,'Country Indicator Data'!$B$4:$I$194,8,FALSE))</f>
        <v>4</v>
      </c>
      <c r="Q116" s="183">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3.6</v>
      </c>
      <c r="R116" s="183">
        <f t="shared" si="40"/>
        <v>3.8</v>
      </c>
      <c r="S116" s="183">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83">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v>
      </c>
      <c r="U116" s="183">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2.6</v>
      </c>
      <c r="V116" s="183">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2.1</v>
      </c>
      <c r="W116" s="183">
        <f t="shared" si="41"/>
        <v>2.8</v>
      </c>
      <c r="X116" s="183">
        <f t="shared" si="42"/>
        <v>2.9</v>
      </c>
      <c r="Y116" s="207">
        <f>IF('Core Indicators'!FC113="x","x",IF('Core Indicators'!FC113&gt;=5,5,IF('Core Indicators'!FC113&gt;=4,4,IF('Core Indicators'!FC113&gt;=3,3,IF('Core Indicators'!FC113&gt;=2,2,IF('Core Indicators'!FC113&gt;=1,1,0))))))</f>
        <v>3</v>
      </c>
      <c r="Z116" s="183">
        <f t="shared" si="43"/>
        <v>3</v>
      </c>
      <c r="AA116" s="207">
        <f>'Crisis Indicator Data'!Y113</f>
        <v>0</v>
      </c>
      <c r="AB116" s="207">
        <f>'Crisis Indicator Data'!Z113</f>
        <v>0</v>
      </c>
      <c r="AC116" s="207">
        <f>'Crisis Indicator Data'!AA113</f>
        <v>0</v>
      </c>
      <c r="AD116" s="207">
        <f>'Crisis Indicator Data'!AB113</f>
        <v>0</v>
      </c>
      <c r="AE116" s="207">
        <f t="shared" si="33"/>
        <v>0</v>
      </c>
      <c r="AF116" s="207">
        <f>'Crisis Indicator Data'!AC113</f>
        <v>0</v>
      </c>
      <c r="AG116" s="207">
        <f>'Crisis Indicator Data'!AD113</f>
        <v>3</v>
      </c>
      <c r="AH116" s="207">
        <f t="shared" si="34"/>
        <v>3</v>
      </c>
      <c r="AI116" s="207">
        <f>'Crisis Indicator Data'!AE113</f>
        <v>0</v>
      </c>
      <c r="AJ116" s="207">
        <f>'Crisis Indicator Data'!AF113</f>
        <v>1</v>
      </c>
      <c r="AK116" s="207">
        <f>'Crisis Indicator Data'!AG113</f>
        <v>2</v>
      </c>
      <c r="AL116" s="207">
        <f t="shared" si="35"/>
        <v>3</v>
      </c>
      <c r="AM116" s="183">
        <f t="shared" si="44"/>
        <v>2</v>
      </c>
      <c r="AN116" s="183">
        <f t="shared" si="45"/>
        <v>2.5</v>
      </c>
    </row>
    <row r="117" spans="1:40" ht="13.5" customHeight="1" x14ac:dyDescent="0.3">
      <c r="A117" s="194" t="str">
        <f>'Crisis Indicator Data'!A114</f>
        <v>Burundi and DRC refugees in Rwanda</v>
      </c>
      <c r="B117" s="195" t="str">
        <f>'Crisis Indicator Data'!B114</f>
        <v>International displacement</v>
      </c>
      <c r="C117" s="195" t="str">
        <f>'Crisis Indicator Data'!C114</f>
        <v>RWA002</v>
      </c>
      <c r="D117" s="195" t="str">
        <f>'Crisis Indicator Data'!D114</f>
        <v>Rwanda</v>
      </c>
      <c r="E117" s="196" t="str">
        <f>'Crisis Indicator Data'!E114</f>
        <v>RWA</v>
      </c>
      <c r="F117" s="183">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3.2</v>
      </c>
      <c r="G117" s="183">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3</v>
      </c>
      <c r="H117" s="183">
        <f t="shared" si="36"/>
        <v>3.1</v>
      </c>
      <c r="I117" s="183">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1.4</v>
      </c>
      <c r="J117" s="183">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5</v>
      </c>
      <c r="K117" s="183">
        <f t="shared" si="37"/>
        <v>3.2</v>
      </c>
      <c r="L117" s="183">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2.7</v>
      </c>
      <c r="M117" s="183">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2.2999999999999998</v>
      </c>
      <c r="N117" s="183">
        <f t="shared" si="38"/>
        <v>2.5</v>
      </c>
      <c r="O117" s="183">
        <f t="shared" si="39"/>
        <v>2.9333333333333336</v>
      </c>
      <c r="P117" s="183">
        <f>IF(B117="Regional crisis",VLOOKUP(C117,'Regional Crises'!$B$1:$R$69,12,FALSE),VLOOKUP(E117,'Country Indicator Data'!$B$4:$I$194,8,FALSE))</f>
        <v>2</v>
      </c>
      <c r="Q117" s="183" t="str">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x</v>
      </c>
      <c r="R117" s="183">
        <f t="shared" si="40"/>
        <v>2</v>
      </c>
      <c r="S117" s="183">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2.4</v>
      </c>
      <c r="T117" s="183">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2.4</v>
      </c>
      <c r="U117" s="183">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3.1</v>
      </c>
      <c r="V117" s="183">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3.9</v>
      </c>
      <c r="W117" s="183">
        <f t="shared" si="41"/>
        <v>3</v>
      </c>
      <c r="X117" s="183">
        <f t="shared" si="42"/>
        <v>2.6</v>
      </c>
      <c r="Y117" s="207">
        <f>IF('Core Indicators'!FC114="x","x",IF('Core Indicators'!FC114&gt;=5,5,IF('Core Indicators'!FC114&gt;=4,4,IF('Core Indicators'!FC114&gt;=3,3,IF('Core Indicators'!FC114&gt;=2,2,IF('Core Indicators'!FC114&gt;=1,1,0))))))</f>
        <v>2</v>
      </c>
      <c r="Z117" s="183">
        <f t="shared" si="43"/>
        <v>2</v>
      </c>
      <c r="AA117" s="207">
        <f>'Crisis Indicator Data'!Y114</f>
        <v>0</v>
      </c>
      <c r="AB117" s="207">
        <f>'Crisis Indicator Data'!Z114</f>
        <v>0</v>
      </c>
      <c r="AC117" s="207">
        <f>'Crisis Indicator Data'!AA114</f>
        <v>0</v>
      </c>
      <c r="AD117" s="207">
        <f>'Crisis Indicator Data'!AB114</f>
        <v>2</v>
      </c>
      <c r="AE117" s="207">
        <f t="shared" si="33"/>
        <v>2</v>
      </c>
      <c r="AF117" s="207">
        <f>'Crisis Indicator Data'!AC114</f>
        <v>0</v>
      </c>
      <c r="AG117" s="207">
        <f>'Crisis Indicator Data'!AD114</f>
        <v>0</v>
      </c>
      <c r="AH117" s="207">
        <f t="shared" si="34"/>
        <v>0</v>
      </c>
      <c r="AI117" s="207">
        <f>'Crisis Indicator Data'!AE114</f>
        <v>0</v>
      </c>
      <c r="AJ117" s="207">
        <f>'Crisis Indicator Data'!AF114</f>
        <v>0</v>
      </c>
      <c r="AK117" s="207">
        <f>'Crisis Indicator Data'!AG114</f>
        <v>0</v>
      </c>
      <c r="AL117" s="207">
        <f t="shared" si="35"/>
        <v>0</v>
      </c>
      <c r="AM117" s="183">
        <f t="shared" si="44"/>
        <v>1</v>
      </c>
      <c r="AN117" s="183">
        <f t="shared" si="45"/>
        <v>1.5</v>
      </c>
    </row>
    <row r="118" spans="1:40" ht="13.5" customHeight="1" x14ac:dyDescent="0.3">
      <c r="A118" s="194" t="str">
        <f>'Crisis Indicator Data'!A115</f>
        <v>Drought in Senegal</v>
      </c>
      <c r="B118" s="195" t="str">
        <f>'Crisis Indicator Data'!B115</f>
        <v>Drought</v>
      </c>
      <c r="C118" s="195" t="str">
        <f>'Crisis Indicator Data'!C115</f>
        <v>SEN002</v>
      </c>
      <c r="D118" s="195" t="str">
        <f>'Crisis Indicator Data'!D115</f>
        <v>Senegal</v>
      </c>
      <c r="E118" s="196" t="str">
        <f>'Crisis Indicator Data'!E115</f>
        <v>SEN</v>
      </c>
      <c r="F118" s="183">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183">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1.5</v>
      </c>
      <c r="H118" s="183">
        <f t="shared" si="36"/>
        <v>1.65</v>
      </c>
      <c r="I118" s="183">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3.6</v>
      </c>
      <c r="J118" s="183">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83">
        <f t="shared" si="37"/>
        <v>1.8</v>
      </c>
      <c r="L118" s="183">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3.5</v>
      </c>
      <c r="M118" s="183">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1.9</v>
      </c>
      <c r="N118" s="183">
        <f t="shared" si="38"/>
        <v>2.7</v>
      </c>
      <c r="O118" s="183">
        <f t="shared" si="39"/>
        <v>2.0500000000000003</v>
      </c>
      <c r="P118" s="183">
        <f>IF(B118="Regional crisis",VLOOKUP(C118,'Regional Crises'!$B$1:$R$69,12,FALSE),VLOOKUP(E118,'Country Indicator Data'!$B$4:$I$194,8,FALSE))</f>
        <v>2</v>
      </c>
      <c r="Q118" s="183">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0</v>
      </c>
      <c r="R118" s="183">
        <f t="shared" si="40"/>
        <v>1</v>
      </c>
      <c r="S118" s="183">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2.8</v>
      </c>
      <c r="T118" s="183">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2.7</v>
      </c>
      <c r="U118" s="183">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2</v>
      </c>
      <c r="V118" s="183">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1.5</v>
      </c>
      <c r="W118" s="183">
        <f t="shared" si="41"/>
        <v>2.2999999999999998</v>
      </c>
      <c r="X118" s="183">
        <f t="shared" si="42"/>
        <v>1.8</v>
      </c>
      <c r="Y118" s="207">
        <f>IF('Core Indicators'!FC115="x","x",IF('Core Indicators'!FC115&gt;=5,5,IF('Core Indicators'!FC115&gt;=4,4,IF('Core Indicators'!FC115&gt;=3,3,IF('Core Indicators'!FC115&gt;=2,2,IF('Core Indicators'!FC115&gt;=1,1,0))))))</f>
        <v>4</v>
      </c>
      <c r="Z118" s="183">
        <f t="shared" si="43"/>
        <v>4</v>
      </c>
      <c r="AA118" s="207">
        <f>'Crisis Indicator Data'!Y115</f>
        <v>0</v>
      </c>
      <c r="AB118" s="207">
        <f>'Crisis Indicator Data'!Z115</f>
        <v>0</v>
      </c>
      <c r="AC118" s="207">
        <f>'Crisis Indicator Data'!AA115</f>
        <v>0</v>
      </c>
      <c r="AD118" s="207">
        <f>'Crisis Indicator Data'!AB115</f>
        <v>2</v>
      </c>
      <c r="AE118" s="207">
        <f t="shared" si="33"/>
        <v>2</v>
      </c>
      <c r="AF118" s="207">
        <f>'Crisis Indicator Data'!AC115</f>
        <v>0</v>
      </c>
      <c r="AG118" s="207">
        <f>'Crisis Indicator Data'!AD115</f>
        <v>0</v>
      </c>
      <c r="AH118" s="207">
        <f t="shared" si="34"/>
        <v>0</v>
      </c>
      <c r="AI118" s="207">
        <f>'Crisis Indicator Data'!AE115</f>
        <v>0</v>
      </c>
      <c r="AJ118" s="207">
        <f>'Crisis Indicator Data'!AF115</f>
        <v>1</v>
      </c>
      <c r="AK118" s="207">
        <f>'Crisis Indicator Data'!AG115</f>
        <v>0</v>
      </c>
      <c r="AL118" s="207">
        <f t="shared" si="35"/>
        <v>1</v>
      </c>
      <c r="AM118" s="183">
        <f t="shared" si="44"/>
        <v>1</v>
      </c>
      <c r="AN118" s="183">
        <f t="shared" si="45"/>
        <v>2.5</v>
      </c>
    </row>
    <row r="119" spans="1:40" ht="13.5" customHeight="1" x14ac:dyDescent="0.3">
      <c r="A119" s="194" t="str">
        <f>'Crisis Indicator Data'!A116</f>
        <v>Complex crisis in Somalia</v>
      </c>
      <c r="B119" s="195" t="str">
        <f>'Crisis Indicator Data'!B116</f>
        <v>Complex crisis</v>
      </c>
      <c r="C119" s="195" t="str">
        <f>'Crisis Indicator Data'!C116</f>
        <v>SOM001</v>
      </c>
      <c r="D119" s="195" t="str">
        <f>'Crisis Indicator Data'!D116</f>
        <v>Somalia</v>
      </c>
      <c r="E119" s="196" t="str">
        <f>'Crisis Indicator Data'!E116</f>
        <v>SOM</v>
      </c>
      <c r="F119" s="183" t="str">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x</v>
      </c>
      <c r="G119" s="183">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4.3</v>
      </c>
      <c r="H119" s="183">
        <f t="shared" si="36"/>
        <v>4.3</v>
      </c>
      <c r="I119" s="183">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0</v>
      </c>
      <c r="J119" s="183">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83">
        <f t="shared" si="37"/>
        <v>0</v>
      </c>
      <c r="L119" s="183"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83" t="str">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x</v>
      </c>
      <c r="N119" s="183" t="str">
        <f t="shared" si="38"/>
        <v>x</v>
      </c>
      <c r="O119" s="183">
        <f t="shared" si="39"/>
        <v>2.15</v>
      </c>
      <c r="P119" s="183">
        <f>IF(B119="Regional crisis",VLOOKUP(C119,'Regional Crises'!$B$1:$R$69,12,FALSE),VLOOKUP(E119,'Country Indicator Data'!$B$4:$I$194,8,FALSE))</f>
        <v>5</v>
      </c>
      <c r="Q119" s="183">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v>
      </c>
      <c r="R119" s="183">
        <f t="shared" si="40"/>
        <v>4.75</v>
      </c>
      <c r="S119" s="183">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4.5999999999999996</v>
      </c>
      <c r="T119" s="183">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4.9000000000000004</v>
      </c>
      <c r="U119" s="183">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83">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4.7</v>
      </c>
      <c r="W119" s="183">
        <f t="shared" si="41"/>
        <v>4.7</v>
      </c>
      <c r="X119" s="183">
        <f t="shared" si="42"/>
        <v>3.9</v>
      </c>
      <c r="Y119" s="207">
        <f>IF('Core Indicators'!FC116="x","x",IF('Core Indicators'!FC116&gt;=5,5,IF('Core Indicators'!FC116&gt;=4,4,IF('Core Indicators'!FC116&gt;=3,3,IF('Core Indicators'!FC116&gt;=2,2,IF('Core Indicators'!FC116&gt;=1,1,0))))))</f>
        <v>5</v>
      </c>
      <c r="Z119" s="183">
        <f t="shared" si="43"/>
        <v>5</v>
      </c>
      <c r="AA119" s="207">
        <f>'Crisis Indicator Data'!Y116</f>
        <v>1</v>
      </c>
      <c r="AB119" s="207">
        <f>'Crisis Indicator Data'!Z116</f>
        <v>3</v>
      </c>
      <c r="AC119" s="207">
        <f>'Crisis Indicator Data'!AA116</f>
        <v>2</v>
      </c>
      <c r="AD119" s="207">
        <f>'Crisis Indicator Data'!AB116</f>
        <v>3</v>
      </c>
      <c r="AE119" s="207">
        <f t="shared" si="33"/>
        <v>4</v>
      </c>
      <c r="AF119" s="207">
        <f>'Crisis Indicator Data'!AC116</f>
        <v>2</v>
      </c>
      <c r="AG119" s="207">
        <f>'Crisis Indicator Data'!AD116</f>
        <v>3</v>
      </c>
      <c r="AH119" s="207">
        <f t="shared" si="34"/>
        <v>5</v>
      </c>
      <c r="AI119" s="207">
        <f>'Crisis Indicator Data'!AE116</f>
        <v>2</v>
      </c>
      <c r="AJ119" s="207">
        <f>'Crisis Indicator Data'!AF116</f>
        <v>2</v>
      </c>
      <c r="AK119" s="207">
        <f>'Crisis Indicator Data'!AG116</f>
        <v>2</v>
      </c>
      <c r="AL119" s="207">
        <f t="shared" si="35"/>
        <v>4</v>
      </c>
      <c r="AM119" s="183">
        <f t="shared" si="44"/>
        <v>4</v>
      </c>
      <c r="AN119" s="183">
        <f t="shared" si="45"/>
        <v>4.5</v>
      </c>
    </row>
    <row r="120" spans="1:40" ht="13.5" customHeight="1" x14ac:dyDescent="0.3">
      <c r="A120" s="194" t="str">
        <f>'Crisis Indicator Data'!A117</f>
        <v>Mixed Migration Flows in Somalia</v>
      </c>
      <c r="B120" s="195" t="str">
        <f>'Crisis Indicator Data'!B117</f>
        <v>International displacement</v>
      </c>
      <c r="C120" s="195" t="str">
        <f>'Crisis Indicator Data'!C117</f>
        <v>SOM002</v>
      </c>
      <c r="D120" s="195" t="str">
        <f>'Crisis Indicator Data'!D117</f>
        <v>Somalia</v>
      </c>
      <c r="E120" s="196" t="str">
        <f>'Crisis Indicator Data'!E117</f>
        <v>SOM</v>
      </c>
      <c r="F120" s="183" t="str">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x</v>
      </c>
      <c r="G120" s="183">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4.3</v>
      </c>
      <c r="H120" s="183">
        <f t="shared" si="36"/>
        <v>4.3</v>
      </c>
      <c r="I120" s="183">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0</v>
      </c>
      <c r="J120" s="183">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83">
        <f t="shared" si="37"/>
        <v>0</v>
      </c>
      <c r="L120" s="183" t="str">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x</v>
      </c>
      <c r="M120" s="183" t="str">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x</v>
      </c>
      <c r="N120" s="183" t="str">
        <f t="shared" si="38"/>
        <v>x</v>
      </c>
      <c r="O120" s="183">
        <f t="shared" si="39"/>
        <v>2.15</v>
      </c>
      <c r="P120" s="183">
        <f>IF(B120="Regional crisis",VLOOKUP(C120,'Regional Crises'!$B$1:$R$69,12,FALSE),VLOOKUP(E120,'Country Indicator Data'!$B$4:$I$194,8,FALSE))</f>
        <v>5</v>
      </c>
      <c r="Q120" s="183">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4.5</v>
      </c>
      <c r="R120" s="183">
        <f t="shared" si="40"/>
        <v>4.75</v>
      </c>
      <c r="S120" s="183">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4.5999999999999996</v>
      </c>
      <c r="T120" s="183">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4.9000000000000004</v>
      </c>
      <c r="U120" s="183">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4.5</v>
      </c>
      <c r="V120" s="183">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4.7</v>
      </c>
      <c r="W120" s="183">
        <f t="shared" si="41"/>
        <v>4.7</v>
      </c>
      <c r="X120" s="183">
        <f t="shared" si="42"/>
        <v>3.9</v>
      </c>
      <c r="Y120" s="207">
        <f>IF('Core Indicators'!FC117="x","x",IF('Core Indicators'!FC117&gt;=5,5,IF('Core Indicators'!FC117&gt;=4,4,IF('Core Indicators'!FC117&gt;=3,3,IF('Core Indicators'!FC117&gt;=2,2,IF('Core Indicators'!FC117&gt;=1,1,0))))))</f>
        <v>2</v>
      </c>
      <c r="Z120" s="183">
        <f t="shared" si="43"/>
        <v>2</v>
      </c>
      <c r="AA120" s="207">
        <f>'Crisis Indicator Data'!Y117</f>
        <v>1</v>
      </c>
      <c r="AB120" s="207">
        <f>'Crisis Indicator Data'!Z117</f>
        <v>3</v>
      </c>
      <c r="AC120" s="207">
        <f>'Crisis Indicator Data'!AA117</f>
        <v>2</v>
      </c>
      <c r="AD120" s="207">
        <f>'Crisis Indicator Data'!AB117</f>
        <v>3</v>
      </c>
      <c r="AE120" s="207">
        <f t="shared" si="33"/>
        <v>4</v>
      </c>
      <c r="AF120" s="207">
        <f>'Crisis Indicator Data'!AC117</f>
        <v>2</v>
      </c>
      <c r="AG120" s="207">
        <f>'Crisis Indicator Data'!AD117</f>
        <v>2</v>
      </c>
      <c r="AH120" s="207">
        <f t="shared" si="34"/>
        <v>4</v>
      </c>
      <c r="AI120" s="207">
        <f>'Crisis Indicator Data'!AE117</f>
        <v>2</v>
      </c>
      <c r="AJ120" s="207">
        <f>'Crisis Indicator Data'!AF117</f>
        <v>2</v>
      </c>
      <c r="AK120" s="207">
        <f>'Crisis Indicator Data'!AG117</f>
        <v>2</v>
      </c>
      <c r="AL120" s="207">
        <f t="shared" si="35"/>
        <v>4</v>
      </c>
      <c r="AM120" s="183">
        <f t="shared" si="44"/>
        <v>4</v>
      </c>
      <c r="AN120" s="183">
        <f t="shared" si="45"/>
        <v>3</v>
      </c>
    </row>
    <row r="121" spans="1:40" ht="13.5" customHeight="1" x14ac:dyDescent="0.3">
      <c r="A121" s="194" t="str">
        <f>'Crisis Indicator Data'!A118</f>
        <v>Floods in Somalia</v>
      </c>
      <c r="B121" s="195" t="str">
        <f>'Crisis Indicator Data'!B118</f>
        <v>Flood</v>
      </c>
      <c r="C121" s="195" t="str">
        <f>'Crisis Indicator Data'!C118</f>
        <v>SOM004</v>
      </c>
      <c r="D121" s="195" t="str">
        <f>'Crisis Indicator Data'!D118</f>
        <v>Somalia</v>
      </c>
      <c r="E121" s="196" t="str">
        <f>'Crisis Indicator Data'!E118</f>
        <v>SOM</v>
      </c>
      <c r="F121" s="183" t="str">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x</v>
      </c>
      <c r="G121" s="183">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4.3</v>
      </c>
      <c r="H121" s="183">
        <f t="shared" si="36"/>
        <v>4.3</v>
      </c>
      <c r="I121" s="183">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83">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83">
        <f t="shared" si="37"/>
        <v>0</v>
      </c>
      <c r="L121" s="183" t="str">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x</v>
      </c>
      <c r="M121" s="183" t="str">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x</v>
      </c>
      <c r="N121" s="183" t="str">
        <f t="shared" si="38"/>
        <v>x</v>
      </c>
      <c r="O121" s="183">
        <f t="shared" si="39"/>
        <v>2.15</v>
      </c>
      <c r="P121" s="183">
        <f>IF(B121="Regional crisis",VLOOKUP(C121,'Regional Crises'!$B$1:$R$69,12,FALSE),VLOOKUP(E121,'Country Indicator Data'!$B$4:$I$194,8,FALSE))</f>
        <v>5</v>
      </c>
      <c r="Q121" s="183">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4.5</v>
      </c>
      <c r="R121" s="183">
        <f t="shared" si="40"/>
        <v>4.75</v>
      </c>
      <c r="S121" s="183">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4.5999999999999996</v>
      </c>
      <c r="T121" s="183">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4.9000000000000004</v>
      </c>
      <c r="U121" s="183">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4.5</v>
      </c>
      <c r="V121" s="183">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4.7</v>
      </c>
      <c r="W121" s="183">
        <f t="shared" si="41"/>
        <v>4.7</v>
      </c>
      <c r="X121" s="183">
        <f t="shared" si="42"/>
        <v>3.9</v>
      </c>
      <c r="Y121" s="207">
        <f>IF('Core Indicators'!FC118="x","x",IF('Core Indicators'!FC118&gt;=5,5,IF('Core Indicators'!FC118&gt;=4,4,IF('Core Indicators'!FC118&gt;=3,3,IF('Core Indicators'!FC118&gt;=2,2,IF('Core Indicators'!FC118&gt;=1,1,0))))))</f>
        <v>3</v>
      </c>
      <c r="Z121" s="183">
        <f t="shared" si="43"/>
        <v>3</v>
      </c>
      <c r="AA121" s="207">
        <f>'Crisis Indicator Data'!Y118</f>
        <v>1</v>
      </c>
      <c r="AB121" s="207">
        <f>'Crisis Indicator Data'!Z118</f>
        <v>3</v>
      </c>
      <c r="AC121" s="207">
        <f>'Crisis Indicator Data'!AA118</f>
        <v>2</v>
      </c>
      <c r="AD121" s="207">
        <f>'Crisis Indicator Data'!AB118</f>
        <v>3</v>
      </c>
      <c r="AE121" s="207">
        <f t="shared" si="33"/>
        <v>4</v>
      </c>
      <c r="AF121" s="207">
        <f>'Crisis Indicator Data'!AC118</f>
        <v>2</v>
      </c>
      <c r="AG121" s="207">
        <f>'Crisis Indicator Data'!AD118</f>
        <v>3</v>
      </c>
      <c r="AH121" s="207">
        <f t="shared" si="34"/>
        <v>5</v>
      </c>
      <c r="AI121" s="207">
        <f>'Crisis Indicator Data'!AE118</f>
        <v>2</v>
      </c>
      <c r="AJ121" s="207">
        <f>'Crisis Indicator Data'!AF118</f>
        <v>2</v>
      </c>
      <c r="AK121" s="207">
        <f>'Crisis Indicator Data'!AG118</f>
        <v>3</v>
      </c>
      <c r="AL121" s="207">
        <f t="shared" si="35"/>
        <v>5</v>
      </c>
      <c r="AM121" s="183">
        <f t="shared" si="44"/>
        <v>5</v>
      </c>
      <c r="AN121" s="183">
        <f t="shared" si="45"/>
        <v>4</v>
      </c>
    </row>
    <row r="122" spans="1:40" ht="13.5" customHeight="1" x14ac:dyDescent="0.3">
      <c r="A122" s="194" t="str">
        <f>'Crisis Indicator Data'!A119</f>
        <v>Complex crisis in South Sudan</v>
      </c>
      <c r="B122" s="195" t="str">
        <f>'Crisis Indicator Data'!B119</f>
        <v>Complex crisis</v>
      </c>
      <c r="C122" s="195" t="str">
        <f>'Crisis Indicator Data'!C119</f>
        <v>SSD001</v>
      </c>
      <c r="D122" s="195" t="str">
        <f>'Crisis Indicator Data'!D119</f>
        <v>South Sudan</v>
      </c>
      <c r="E122" s="196" t="str">
        <f>'Crisis Indicator Data'!E119</f>
        <v>SSD</v>
      </c>
      <c r="F122" s="183">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1.4</v>
      </c>
      <c r="G122" s="183">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3.7</v>
      </c>
      <c r="H122" s="183">
        <f t="shared" si="36"/>
        <v>2.5499999999999998</v>
      </c>
      <c r="I122" s="183">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3.9</v>
      </c>
      <c r="J122" s="183">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v>
      </c>
      <c r="K122" s="183">
        <f t="shared" si="37"/>
        <v>1.95</v>
      </c>
      <c r="L122" s="183" t="str">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x</v>
      </c>
      <c r="M122" s="183">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2.7</v>
      </c>
      <c r="N122" s="183">
        <f t="shared" si="38"/>
        <v>2.7</v>
      </c>
      <c r="O122" s="183">
        <f t="shared" si="39"/>
        <v>2.4</v>
      </c>
      <c r="P122" s="183">
        <f>IF(B122="Regional crisis",VLOOKUP(C122,'Regional Crises'!$B$1:$R$69,12,FALSE),VLOOKUP(E122,'Country Indicator Data'!$B$4:$I$194,8,FALSE))</f>
        <v>4</v>
      </c>
      <c r="Q122" s="183">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4.5999999999999996</v>
      </c>
      <c r="R122" s="183">
        <f t="shared" si="40"/>
        <v>4.3</v>
      </c>
      <c r="S122" s="183">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4.4000000000000004</v>
      </c>
      <c r="T122" s="183">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4.5</v>
      </c>
      <c r="U122" s="183">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3.9</v>
      </c>
      <c r="V122" s="183">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5</v>
      </c>
      <c r="W122" s="183">
        <f t="shared" si="41"/>
        <v>4.5</v>
      </c>
      <c r="X122" s="183">
        <f t="shared" si="42"/>
        <v>3.7</v>
      </c>
      <c r="Y122" s="207">
        <f>IF('Core Indicators'!FC119="x","x",IF('Core Indicators'!FC119&gt;=5,5,IF('Core Indicators'!FC119&gt;=4,4,IF('Core Indicators'!FC119&gt;=3,3,IF('Core Indicators'!FC119&gt;=2,2,IF('Core Indicators'!FC119&gt;=1,1,0))))))</f>
        <v>5</v>
      </c>
      <c r="Z122" s="183">
        <f t="shared" si="43"/>
        <v>5</v>
      </c>
      <c r="AA122" s="207">
        <f>'Crisis Indicator Data'!Y119</f>
        <v>2</v>
      </c>
      <c r="AB122" s="207">
        <f>'Crisis Indicator Data'!Z119</f>
        <v>3</v>
      </c>
      <c r="AC122" s="207">
        <f>'Crisis Indicator Data'!AA119</f>
        <v>3</v>
      </c>
      <c r="AD122" s="207">
        <f>'Crisis Indicator Data'!AB119</f>
        <v>0</v>
      </c>
      <c r="AE122" s="207">
        <f t="shared" si="33"/>
        <v>4</v>
      </c>
      <c r="AF122" s="207">
        <f>'Crisis Indicator Data'!AC119</f>
        <v>0</v>
      </c>
      <c r="AG122" s="207">
        <f>'Crisis Indicator Data'!AD119</f>
        <v>2</v>
      </c>
      <c r="AH122" s="207">
        <f t="shared" si="34"/>
        <v>2</v>
      </c>
      <c r="AI122" s="207">
        <f>'Crisis Indicator Data'!AE119</f>
        <v>3</v>
      </c>
      <c r="AJ122" s="207">
        <f>'Crisis Indicator Data'!AF119</f>
        <v>3</v>
      </c>
      <c r="AK122" s="207">
        <f>'Crisis Indicator Data'!AG119</f>
        <v>3</v>
      </c>
      <c r="AL122" s="207">
        <f t="shared" si="35"/>
        <v>5</v>
      </c>
      <c r="AM122" s="183">
        <f t="shared" si="44"/>
        <v>4</v>
      </c>
      <c r="AN122" s="183">
        <f t="shared" si="45"/>
        <v>4.5</v>
      </c>
    </row>
    <row r="123" spans="1:40" ht="13.5" customHeight="1" x14ac:dyDescent="0.3">
      <c r="A123" s="194" t="str">
        <f>'Crisis Indicator Data'!A120</f>
        <v>Complex crisis in Sudan</v>
      </c>
      <c r="B123" s="195" t="str">
        <f>'Crisis Indicator Data'!B120</f>
        <v>Complex crisis</v>
      </c>
      <c r="C123" s="195" t="str">
        <f>'Crisis Indicator Data'!C120</f>
        <v>SDN001</v>
      </c>
      <c r="D123" s="195" t="str">
        <f>'Crisis Indicator Data'!D120</f>
        <v>Sudan</v>
      </c>
      <c r="E123" s="196" t="str">
        <f>'Crisis Indicator Data'!E120</f>
        <v>SDN</v>
      </c>
      <c r="F123" s="183">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3.6</v>
      </c>
      <c r="G123" s="183">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4</v>
      </c>
      <c r="H123" s="183">
        <f t="shared" si="36"/>
        <v>3.8</v>
      </c>
      <c r="I123" s="183">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v>
      </c>
      <c r="J123" s="183">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5</v>
      </c>
      <c r="K123" s="183">
        <f t="shared" si="37"/>
        <v>4.5</v>
      </c>
      <c r="L123" s="183">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3.7</v>
      </c>
      <c r="M123" s="183">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1.2</v>
      </c>
      <c r="N123" s="183">
        <f t="shared" si="38"/>
        <v>2.4500000000000002</v>
      </c>
      <c r="O123" s="183">
        <f t="shared" si="39"/>
        <v>3.5833333333333335</v>
      </c>
      <c r="P123" s="183">
        <f>IF(B123="Regional crisis",VLOOKUP(C123,'Regional Crises'!$B$1:$R$69,12,FALSE),VLOOKUP(E123,'Country Indicator Data'!$B$4:$I$194,8,FALSE))</f>
        <v>4</v>
      </c>
      <c r="Q123" s="183">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4</v>
      </c>
      <c r="R123" s="183">
        <f t="shared" si="40"/>
        <v>4</v>
      </c>
      <c r="S123" s="183">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4.2</v>
      </c>
      <c r="T123" s="183">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3.6</v>
      </c>
      <c r="U123" s="183">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4.5</v>
      </c>
      <c r="V123" s="183">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4.4000000000000004</v>
      </c>
      <c r="W123" s="183">
        <f t="shared" si="41"/>
        <v>4.2</v>
      </c>
      <c r="X123" s="183">
        <f t="shared" si="42"/>
        <v>3.9</v>
      </c>
      <c r="Y123" s="207">
        <f>IF('Core Indicators'!FC120="x","x",IF('Core Indicators'!FC120&gt;=5,5,IF('Core Indicators'!FC120&gt;=4,4,IF('Core Indicators'!FC120&gt;=3,3,IF('Core Indicators'!FC120&gt;=2,2,IF('Core Indicators'!FC120&gt;=1,1,0))))))</f>
        <v>5</v>
      </c>
      <c r="Z123" s="183">
        <f t="shared" si="43"/>
        <v>5</v>
      </c>
      <c r="AA123" s="207">
        <f>'Crisis Indicator Data'!Y120</f>
        <v>2</v>
      </c>
      <c r="AB123" s="207">
        <f>'Crisis Indicator Data'!Z120</f>
        <v>2</v>
      </c>
      <c r="AC123" s="207">
        <f>'Crisis Indicator Data'!AA120</f>
        <v>2</v>
      </c>
      <c r="AD123" s="207">
        <f>'Crisis Indicator Data'!AB120</f>
        <v>2</v>
      </c>
      <c r="AE123" s="207">
        <f t="shared" si="33"/>
        <v>4</v>
      </c>
      <c r="AF123" s="207">
        <f>'Crisis Indicator Data'!AC120</f>
        <v>2</v>
      </c>
      <c r="AG123" s="207">
        <f>'Crisis Indicator Data'!AD120</f>
        <v>2</v>
      </c>
      <c r="AH123" s="207">
        <f t="shared" si="34"/>
        <v>4</v>
      </c>
      <c r="AI123" s="207">
        <f>'Crisis Indicator Data'!AE120</f>
        <v>2</v>
      </c>
      <c r="AJ123" s="207">
        <f>'Crisis Indicator Data'!AF120</f>
        <v>2</v>
      </c>
      <c r="AK123" s="207">
        <f>'Crisis Indicator Data'!AG120</f>
        <v>3</v>
      </c>
      <c r="AL123" s="207">
        <f t="shared" si="35"/>
        <v>5</v>
      </c>
      <c r="AM123" s="183">
        <f t="shared" si="44"/>
        <v>4</v>
      </c>
      <c r="AN123" s="183">
        <f t="shared" si="45"/>
        <v>4.5</v>
      </c>
    </row>
    <row r="124" spans="1:40" ht="13.5" customHeight="1" x14ac:dyDescent="0.3">
      <c r="A124" s="194" t="str">
        <f>'Crisis Indicator Data'!A121</f>
        <v>Refugees in Sudan</v>
      </c>
      <c r="B124" s="195" t="str">
        <f>'Crisis Indicator Data'!B121</f>
        <v>International displacement</v>
      </c>
      <c r="C124" s="195" t="str">
        <f>'Crisis Indicator Data'!C121</f>
        <v>SDN005</v>
      </c>
      <c r="D124" s="195" t="str">
        <f>'Crisis Indicator Data'!D121</f>
        <v>Sudan</v>
      </c>
      <c r="E124" s="196" t="str">
        <f>'Crisis Indicator Data'!E121</f>
        <v>SDN</v>
      </c>
      <c r="F124" s="183">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3.6</v>
      </c>
      <c r="G124" s="183">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4</v>
      </c>
      <c r="H124" s="183">
        <f t="shared" si="36"/>
        <v>3.8</v>
      </c>
      <c r="I124" s="183">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v>
      </c>
      <c r="J124" s="183">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5</v>
      </c>
      <c r="K124" s="183">
        <f t="shared" si="37"/>
        <v>4.5</v>
      </c>
      <c r="L124" s="183">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3.7</v>
      </c>
      <c r="M124" s="183">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1.2</v>
      </c>
      <c r="N124" s="183">
        <f t="shared" si="38"/>
        <v>2.4500000000000002</v>
      </c>
      <c r="O124" s="183">
        <f t="shared" si="39"/>
        <v>3.5833333333333335</v>
      </c>
      <c r="P124" s="183">
        <f>IF(B124="Regional crisis",VLOOKUP(C124,'Regional Crises'!$B$1:$R$69,12,FALSE),VLOOKUP(E124,'Country Indicator Data'!$B$4:$I$194,8,FALSE))</f>
        <v>4</v>
      </c>
      <c r="Q124" s="183">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4</v>
      </c>
      <c r="R124" s="183">
        <f t="shared" si="40"/>
        <v>4</v>
      </c>
      <c r="S124" s="183">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4.2</v>
      </c>
      <c r="T124" s="183">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3.6</v>
      </c>
      <c r="U124" s="183">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4.5</v>
      </c>
      <c r="V124" s="183">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4.4000000000000004</v>
      </c>
      <c r="W124" s="183">
        <f t="shared" si="41"/>
        <v>4.2</v>
      </c>
      <c r="X124" s="183">
        <f t="shared" si="42"/>
        <v>3.9</v>
      </c>
      <c r="Y124" s="207">
        <f>IF('Core Indicators'!FC121="x","x",IF('Core Indicators'!FC121&gt;=5,5,IF('Core Indicators'!FC121&gt;=4,4,IF('Core Indicators'!FC121&gt;=3,3,IF('Core Indicators'!FC121&gt;=2,2,IF('Core Indicators'!FC121&gt;=1,1,0))))))</f>
        <v>2</v>
      </c>
      <c r="Z124" s="183">
        <f t="shared" si="43"/>
        <v>2</v>
      </c>
      <c r="AA124" s="207">
        <f>'Crisis Indicator Data'!Y121</f>
        <v>2</v>
      </c>
      <c r="AB124" s="207">
        <f>'Crisis Indicator Data'!Z121</f>
        <v>3</v>
      </c>
      <c r="AC124" s="207">
        <f>'Crisis Indicator Data'!AA121</f>
        <v>2</v>
      </c>
      <c r="AD124" s="207">
        <f>'Crisis Indicator Data'!AB121</f>
        <v>2</v>
      </c>
      <c r="AE124" s="207">
        <f t="shared" si="33"/>
        <v>4</v>
      </c>
      <c r="AF124" s="207">
        <f>'Crisis Indicator Data'!AC121</f>
        <v>0</v>
      </c>
      <c r="AG124" s="207" t="str">
        <f>'Crisis Indicator Data'!AD121</f>
        <v>x</v>
      </c>
      <c r="AH124" s="207">
        <f t="shared" si="34"/>
        <v>0</v>
      </c>
      <c r="AI124" s="207">
        <f>'Crisis Indicator Data'!AE121</f>
        <v>2</v>
      </c>
      <c r="AJ124" s="207">
        <f>'Crisis Indicator Data'!AF121</f>
        <v>2</v>
      </c>
      <c r="AK124" s="207">
        <f>'Crisis Indicator Data'!AG121</f>
        <v>3</v>
      </c>
      <c r="AL124" s="207">
        <f t="shared" si="35"/>
        <v>5</v>
      </c>
      <c r="AM124" s="183">
        <f t="shared" si="44"/>
        <v>3</v>
      </c>
      <c r="AN124" s="183">
        <f t="shared" si="45"/>
        <v>2.5</v>
      </c>
    </row>
    <row r="125" spans="1:40" ht="13.5" customHeight="1" x14ac:dyDescent="0.3">
      <c r="A125" s="194" t="str">
        <f>'Crisis Indicator Data'!A122</f>
        <v xml:space="preserve">Floods in Sudan </v>
      </c>
      <c r="B125" s="195" t="str">
        <f>'Crisis Indicator Data'!B122</f>
        <v>Flood</v>
      </c>
      <c r="C125" s="195" t="str">
        <f>'Crisis Indicator Data'!C122</f>
        <v>SDN006</v>
      </c>
      <c r="D125" s="195" t="str">
        <f>'Crisis Indicator Data'!D122</f>
        <v>Sudan</v>
      </c>
      <c r="E125" s="196" t="str">
        <f>'Crisis Indicator Data'!E122</f>
        <v>SDN</v>
      </c>
      <c r="F125" s="183">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3.6</v>
      </c>
      <c r="G125" s="183">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4</v>
      </c>
      <c r="H125" s="183">
        <f t="shared" si="36"/>
        <v>3.8</v>
      </c>
      <c r="I125" s="183">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v>
      </c>
      <c r="J125" s="183">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5</v>
      </c>
      <c r="K125" s="183">
        <f t="shared" si="37"/>
        <v>4.5</v>
      </c>
      <c r="L125" s="183">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3.7</v>
      </c>
      <c r="M125" s="183">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1.2</v>
      </c>
      <c r="N125" s="183">
        <f t="shared" si="38"/>
        <v>2.4500000000000002</v>
      </c>
      <c r="O125" s="183">
        <f t="shared" si="39"/>
        <v>3.5833333333333335</v>
      </c>
      <c r="P125" s="183">
        <f>IF(B125="Regional crisis",VLOOKUP(C125,'Regional Crises'!$B$1:$R$69,12,FALSE),VLOOKUP(E125,'Country Indicator Data'!$B$4:$I$194,8,FALSE))</f>
        <v>4</v>
      </c>
      <c r="Q125" s="183">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4</v>
      </c>
      <c r="R125" s="183">
        <f t="shared" si="40"/>
        <v>4</v>
      </c>
      <c r="S125" s="183">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4.2</v>
      </c>
      <c r="T125" s="183">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3.6</v>
      </c>
      <c r="U125" s="183">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4.5</v>
      </c>
      <c r="V125" s="183">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4.4000000000000004</v>
      </c>
      <c r="W125" s="183">
        <f t="shared" si="41"/>
        <v>4.2</v>
      </c>
      <c r="X125" s="183">
        <f t="shared" si="42"/>
        <v>3.9</v>
      </c>
      <c r="Y125" s="207">
        <f>IF('Core Indicators'!FC122="x","x",IF('Core Indicators'!FC122&gt;=5,5,IF('Core Indicators'!FC122&gt;=4,4,IF('Core Indicators'!FC122&gt;=3,3,IF('Core Indicators'!FC122&gt;=2,2,IF('Core Indicators'!FC122&gt;=1,1,0))))))</f>
        <v>3</v>
      </c>
      <c r="Z125" s="183">
        <f t="shared" si="43"/>
        <v>3</v>
      </c>
      <c r="AA125" s="207">
        <f>'Crisis Indicator Data'!Y122</f>
        <v>2</v>
      </c>
      <c r="AB125" s="207">
        <f>'Crisis Indicator Data'!Z122</f>
        <v>2</v>
      </c>
      <c r="AC125" s="207">
        <f>'Crisis Indicator Data'!AA122</f>
        <v>0</v>
      </c>
      <c r="AD125" s="207">
        <f>'Crisis Indicator Data'!AB122</f>
        <v>0</v>
      </c>
      <c r="AE125" s="207">
        <f t="shared" si="33"/>
        <v>2</v>
      </c>
      <c r="AF125" s="207">
        <f>'Crisis Indicator Data'!AC122</f>
        <v>0</v>
      </c>
      <c r="AG125" s="207">
        <f>'Crisis Indicator Data'!AD122</f>
        <v>3</v>
      </c>
      <c r="AH125" s="207">
        <f t="shared" si="34"/>
        <v>3</v>
      </c>
      <c r="AI125" s="207">
        <f>'Crisis Indicator Data'!AE122</f>
        <v>1</v>
      </c>
      <c r="AJ125" s="207">
        <f>'Crisis Indicator Data'!AF122</f>
        <v>1</v>
      </c>
      <c r="AK125" s="207">
        <f>'Crisis Indicator Data'!AG122</f>
        <v>3</v>
      </c>
      <c r="AL125" s="207">
        <f t="shared" si="35"/>
        <v>4</v>
      </c>
      <c r="AM125" s="183">
        <f t="shared" si="44"/>
        <v>3</v>
      </c>
      <c r="AN125" s="183">
        <f t="shared" si="45"/>
        <v>3</v>
      </c>
    </row>
    <row r="126" spans="1:40" ht="13.5" customHeight="1" x14ac:dyDescent="0.3">
      <c r="A126" s="194" t="str">
        <f>'Crisis Indicator Data'!A123</f>
        <v>Syrian conflict</v>
      </c>
      <c r="B126" s="195" t="str">
        <f>'Crisis Indicator Data'!B123</f>
        <v>Complex crisis</v>
      </c>
      <c r="C126" s="195" t="str">
        <f>'Crisis Indicator Data'!C123</f>
        <v>SYR001</v>
      </c>
      <c r="D126" s="195" t="str">
        <f>'Crisis Indicator Data'!D123</f>
        <v>Syria</v>
      </c>
      <c r="E126" s="196" t="str">
        <f>'Crisis Indicator Data'!E123</f>
        <v>SYR</v>
      </c>
      <c r="F126" s="183">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4.5999999999999996</v>
      </c>
      <c r="G126" s="183">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4.0999999999999996</v>
      </c>
      <c r="H126" s="183">
        <f t="shared" si="36"/>
        <v>4.3499999999999996</v>
      </c>
      <c r="I126" s="183">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2.7</v>
      </c>
      <c r="J126" s="183">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5</v>
      </c>
      <c r="K126" s="183">
        <f t="shared" si="37"/>
        <v>3.85</v>
      </c>
      <c r="L126" s="183">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3.6</v>
      </c>
      <c r="M126" s="183" t="str">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x</v>
      </c>
      <c r="N126" s="183">
        <f t="shared" si="38"/>
        <v>3.6</v>
      </c>
      <c r="O126" s="183">
        <f t="shared" si="39"/>
        <v>3.9333333333333331</v>
      </c>
      <c r="P126" s="183">
        <f>IF(B126="Regional crisis",VLOOKUP(C126,'Regional Crises'!$B$1:$R$69,12,FALSE),VLOOKUP(E126,'Country Indicator Data'!$B$4:$I$194,8,FALSE))</f>
        <v>5</v>
      </c>
      <c r="Q126" s="183">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5</v>
      </c>
      <c r="R126" s="183">
        <f t="shared" si="40"/>
        <v>5</v>
      </c>
      <c r="S126" s="183">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4.4000000000000004</v>
      </c>
      <c r="T126" s="183">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4.5999999999999996</v>
      </c>
      <c r="U126" s="183">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4.3</v>
      </c>
      <c r="V126" s="183">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5</v>
      </c>
      <c r="W126" s="183">
        <f t="shared" si="41"/>
        <v>4.5999999999999996</v>
      </c>
      <c r="X126" s="183">
        <f t="shared" si="42"/>
        <v>4.5</v>
      </c>
      <c r="Y126" s="207">
        <f>IF('Core Indicators'!FC123="x","x",IF('Core Indicators'!FC123&gt;=5,5,IF('Core Indicators'!FC123&gt;=4,4,IF('Core Indicators'!FC123&gt;=3,3,IF('Core Indicators'!FC123&gt;=2,2,IF('Core Indicators'!FC123&gt;=1,1,0))))))</f>
        <v>5</v>
      </c>
      <c r="Z126" s="183">
        <f t="shared" si="43"/>
        <v>5</v>
      </c>
      <c r="AA126" s="207">
        <f>'Crisis Indicator Data'!Y123</f>
        <v>2</v>
      </c>
      <c r="AB126" s="207">
        <f>'Crisis Indicator Data'!Z123</f>
        <v>3</v>
      </c>
      <c r="AC126" s="207">
        <f>'Crisis Indicator Data'!AA123</f>
        <v>3</v>
      </c>
      <c r="AD126" s="207">
        <f>'Crisis Indicator Data'!AB123</f>
        <v>3</v>
      </c>
      <c r="AE126" s="207">
        <f t="shared" si="33"/>
        <v>5</v>
      </c>
      <c r="AF126" s="207">
        <f>'Crisis Indicator Data'!AC123</f>
        <v>3</v>
      </c>
      <c r="AG126" s="207">
        <f>'Crisis Indicator Data'!AD123</f>
        <v>2</v>
      </c>
      <c r="AH126" s="207">
        <f t="shared" si="34"/>
        <v>5</v>
      </c>
      <c r="AI126" s="207">
        <f>'Crisis Indicator Data'!AE123</f>
        <v>3</v>
      </c>
      <c r="AJ126" s="207">
        <f>'Crisis Indicator Data'!AF123</f>
        <v>3</v>
      </c>
      <c r="AK126" s="207">
        <f>'Crisis Indicator Data'!AG123</f>
        <v>3</v>
      </c>
      <c r="AL126" s="207">
        <f t="shared" si="35"/>
        <v>5</v>
      </c>
      <c r="AM126" s="183">
        <f t="shared" si="44"/>
        <v>5</v>
      </c>
      <c r="AN126" s="183">
        <f t="shared" si="45"/>
        <v>5</v>
      </c>
    </row>
    <row r="127" spans="1:40" ht="13.5" customHeight="1" x14ac:dyDescent="0.3">
      <c r="A127" s="194" t="str">
        <f>'Crisis Indicator Data'!A124</f>
        <v>Syrian Regional Crisis</v>
      </c>
      <c r="B127" s="195" t="str">
        <f>'Crisis Indicator Data'!B124</f>
        <v>Regional crisis</v>
      </c>
      <c r="C127" s="195" t="str">
        <f>'Crisis Indicator Data'!C124</f>
        <v>REG004</v>
      </c>
      <c r="D127" s="195" t="str">
        <f>'Crisis Indicator Data'!D124</f>
        <v>Syria, Turkey, Iraq, Egypt, Jordan, Lebanon</v>
      </c>
      <c r="E127" s="196" t="str">
        <f>'Crisis Indicator Data'!E124</f>
        <v>SYR, TUR, IRQ, EGY, JOR, LBN</v>
      </c>
      <c r="F127" s="183">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3.8</v>
      </c>
      <c r="G127" s="183">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v>
      </c>
      <c r="H127" s="183">
        <f t="shared" si="36"/>
        <v>3.4</v>
      </c>
      <c r="I127" s="183">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2.5</v>
      </c>
      <c r="J127" s="183">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3.3</v>
      </c>
      <c r="K127" s="183">
        <f t="shared" si="37"/>
        <v>2.9</v>
      </c>
      <c r="L127" s="183">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3</v>
      </c>
      <c r="M127" s="183">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1.1000000000000001</v>
      </c>
      <c r="N127" s="183">
        <f t="shared" si="38"/>
        <v>2.0499999999999998</v>
      </c>
      <c r="O127" s="183">
        <f t="shared" si="39"/>
        <v>2.7833333333333332</v>
      </c>
      <c r="P127" s="183">
        <f>IF(B127="Regional crisis",VLOOKUP(C127,'Regional Crises'!$B$1:$R$69,12,FALSE),VLOOKUP(E127,'Country Indicator Data'!$B$4:$I$194,8,FALSE))</f>
        <v>4.166666666666667</v>
      </c>
      <c r="Q127" s="183">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5</v>
      </c>
      <c r="R127" s="183">
        <f t="shared" si="40"/>
        <v>4.5833333333333339</v>
      </c>
      <c r="S127" s="183">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3.5</v>
      </c>
      <c r="T127" s="183">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3.4</v>
      </c>
      <c r="U127" s="183">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3.3</v>
      </c>
      <c r="V127" s="183">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3.6</v>
      </c>
      <c r="W127" s="183">
        <f t="shared" si="41"/>
        <v>3.5</v>
      </c>
      <c r="X127" s="183">
        <f t="shared" si="42"/>
        <v>3.6</v>
      </c>
      <c r="Y127" s="207">
        <f>IF('Core Indicators'!FC124="x","x",IF('Core Indicators'!FC124&gt;=5,5,IF('Core Indicators'!FC124&gt;=4,4,IF('Core Indicators'!FC124&gt;=3,3,IF('Core Indicators'!FC124&gt;=2,2,IF('Core Indicators'!FC124&gt;=1,1,0))))))</f>
        <v>5</v>
      </c>
      <c r="Z127" s="183">
        <f t="shared" si="43"/>
        <v>5</v>
      </c>
      <c r="AA127" s="207">
        <f>'Crisis Indicator Data'!Y124</f>
        <v>1.1666666666666701</v>
      </c>
      <c r="AB127" s="207">
        <f>'Crisis Indicator Data'!Z124</f>
        <v>1</v>
      </c>
      <c r="AC127" s="207">
        <f>'Crisis Indicator Data'!AA124</f>
        <v>1.1666666666666701</v>
      </c>
      <c r="AD127" s="207">
        <f>'Crisis Indicator Data'!AB124</f>
        <v>0.5</v>
      </c>
      <c r="AE127" s="207">
        <f t="shared" si="33"/>
        <v>2</v>
      </c>
      <c r="AF127" s="207">
        <f>'Crisis Indicator Data'!AC124</f>
        <v>1.3333333333333299</v>
      </c>
      <c r="AG127" s="207">
        <f>'Crisis Indicator Data'!AD124</f>
        <v>1.6666666666666701</v>
      </c>
      <c r="AH127" s="207">
        <f t="shared" si="34"/>
        <v>3</v>
      </c>
      <c r="AI127" s="207">
        <f>'Crisis Indicator Data'!AE124</f>
        <v>0.66666666666666696</v>
      </c>
      <c r="AJ127" s="207">
        <f>'Crisis Indicator Data'!AF124</f>
        <v>1.8333333333333299</v>
      </c>
      <c r="AK127" s="207">
        <f>'Crisis Indicator Data'!AG124</f>
        <v>1.1666666666666701</v>
      </c>
      <c r="AL127" s="207">
        <f t="shared" si="35"/>
        <v>3</v>
      </c>
      <c r="AM127" s="183">
        <f t="shared" si="44"/>
        <v>3</v>
      </c>
      <c r="AN127" s="183">
        <f t="shared" si="45"/>
        <v>4</v>
      </c>
    </row>
    <row r="128" spans="1:40" ht="13.5" customHeight="1" x14ac:dyDescent="0.3">
      <c r="A128" s="194" t="str">
        <f>'Crisis Indicator Data'!A125</f>
        <v>International Displacement in Tanzania</v>
      </c>
      <c r="B128" s="195" t="str">
        <f>'Crisis Indicator Data'!B125</f>
        <v>International displacement</v>
      </c>
      <c r="C128" s="195" t="str">
        <f>'Crisis Indicator Data'!C125</f>
        <v>TZA002</v>
      </c>
      <c r="D128" s="195" t="str">
        <f>'Crisis Indicator Data'!D125</f>
        <v>Tanzania</v>
      </c>
      <c r="E128" s="196" t="str">
        <f>'Crisis Indicator Data'!E125</f>
        <v>TZA</v>
      </c>
      <c r="F128" s="183">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2.5</v>
      </c>
      <c r="G128" s="183">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2</v>
      </c>
      <c r="H128" s="183">
        <f t="shared" si="36"/>
        <v>2.25</v>
      </c>
      <c r="I128" s="183">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2.5</v>
      </c>
      <c r="J128" s="183">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v>
      </c>
      <c r="K128" s="183">
        <f t="shared" si="37"/>
        <v>1.25</v>
      </c>
      <c r="L128" s="183">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3.6</v>
      </c>
      <c r="M128" s="183">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1.9</v>
      </c>
      <c r="N128" s="183">
        <f t="shared" si="38"/>
        <v>2.75</v>
      </c>
      <c r="O128" s="183">
        <f t="shared" si="39"/>
        <v>2.0833333333333335</v>
      </c>
      <c r="P128" s="183">
        <f>IF(B128="Regional crisis",VLOOKUP(C128,'Regional Crises'!$B$1:$R$69,12,FALSE),VLOOKUP(E128,'Country Indicator Data'!$B$4:$I$194,8,FALSE))</f>
        <v>0</v>
      </c>
      <c r="Q128" s="183">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0</v>
      </c>
      <c r="R128" s="183">
        <f t="shared" si="40"/>
        <v>0</v>
      </c>
      <c r="S128" s="183">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83">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3.1</v>
      </c>
      <c r="U128" s="183">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2.5</v>
      </c>
      <c r="V128" s="183">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v>
      </c>
      <c r="W128" s="183">
        <f t="shared" si="41"/>
        <v>3</v>
      </c>
      <c r="X128" s="183">
        <f t="shared" si="42"/>
        <v>1.7</v>
      </c>
      <c r="Y128" s="207">
        <f>IF('Core Indicators'!FC125="x","x",IF('Core Indicators'!FC125&gt;=5,5,IF('Core Indicators'!FC125&gt;=4,4,IF('Core Indicators'!FC125&gt;=3,3,IF('Core Indicators'!FC125&gt;=2,2,IF('Core Indicators'!FC125&gt;=1,1,0))))))</f>
        <v>2</v>
      </c>
      <c r="Z128" s="183">
        <f t="shared" si="43"/>
        <v>2</v>
      </c>
      <c r="AA128" s="207">
        <f>'Crisis Indicator Data'!Y125</f>
        <v>0</v>
      </c>
      <c r="AB128" s="207">
        <f>'Crisis Indicator Data'!Z125</f>
        <v>0</v>
      </c>
      <c r="AC128" s="207">
        <f>'Crisis Indicator Data'!AA125</f>
        <v>0</v>
      </c>
      <c r="AD128" s="207">
        <f>'Crisis Indicator Data'!AB125</f>
        <v>0</v>
      </c>
      <c r="AE128" s="207">
        <f t="shared" si="33"/>
        <v>0</v>
      </c>
      <c r="AF128" s="207">
        <f>'Crisis Indicator Data'!AC125</f>
        <v>0</v>
      </c>
      <c r="AG128" s="207">
        <f>'Crisis Indicator Data'!AD125</f>
        <v>2</v>
      </c>
      <c r="AH128" s="207">
        <f t="shared" si="34"/>
        <v>2</v>
      </c>
      <c r="AI128" s="207">
        <f>'Crisis Indicator Data'!AE125</f>
        <v>0</v>
      </c>
      <c r="AJ128" s="207">
        <f>'Crisis Indicator Data'!AF125</f>
        <v>1</v>
      </c>
      <c r="AK128" s="207">
        <f>'Crisis Indicator Data'!AG125</f>
        <v>0</v>
      </c>
      <c r="AL128" s="207">
        <f t="shared" si="35"/>
        <v>1</v>
      </c>
      <c r="AM128" s="183">
        <f t="shared" si="44"/>
        <v>1</v>
      </c>
      <c r="AN128" s="183">
        <f t="shared" si="45"/>
        <v>1.5</v>
      </c>
    </row>
    <row r="129" spans="1:40" ht="13.5" customHeight="1" x14ac:dyDescent="0.3">
      <c r="A129" s="194" t="str">
        <f>'Crisis Indicator Data'!A126</f>
        <v>Multiple situations in Thailand</v>
      </c>
      <c r="B129" s="195" t="str">
        <f>'Crisis Indicator Data'!B126</f>
        <v>Multiple crises country</v>
      </c>
      <c r="C129" s="195" t="str">
        <f>'Crisis Indicator Data'!C126</f>
        <v>THA001</v>
      </c>
      <c r="D129" s="195" t="str">
        <f>'Crisis Indicator Data'!D126</f>
        <v>Thailand</v>
      </c>
      <c r="E129" s="196" t="str">
        <f>'Crisis Indicator Data'!E126</f>
        <v>THA</v>
      </c>
      <c r="F129" s="183">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83">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83">
        <f t="shared" si="36"/>
        <v>2.75</v>
      </c>
      <c r="I129" s="183">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83">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83">
        <f t="shared" si="37"/>
        <v>1.05</v>
      </c>
      <c r="L129" s="183">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83">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83">
        <f t="shared" si="38"/>
        <v>1.95</v>
      </c>
      <c r="O129" s="183">
        <f t="shared" si="39"/>
        <v>1.9166666666666667</v>
      </c>
      <c r="P129" s="183">
        <f>IF(B129="Regional crisis",VLOOKUP(C129,'Regional Crises'!$B$1:$R$69,12,FALSE),VLOOKUP(E129,'Country Indicator Data'!$B$4:$I$194,8,FALSE))</f>
        <v>3</v>
      </c>
      <c r="Q129" s="183">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2.4</v>
      </c>
      <c r="R129" s="183">
        <f t="shared" si="40"/>
        <v>2.7</v>
      </c>
      <c r="S129" s="183">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83">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83">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83">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83">
        <f t="shared" si="41"/>
        <v>3.1</v>
      </c>
      <c r="X129" s="183">
        <f t="shared" si="42"/>
        <v>2.6</v>
      </c>
      <c r="Y129" s="207">
        <f>IF('Core Indicators'!FC126="x","x",IF('Core Indicators'!FC126&gt;=5,5,IF('Core Indicators'!FC126&gt;=4,4,IF('Core Indicators'!FC126&gt;=3,3,IF('Core Indicators'!FC126&gt;=2,2,IF('Core Indicators'!FC126&gt;=1,1,0))))))</f>
        <v>2</v>
      </c>
      <c r="Z129" s="183">
        <f t="shared" si="43"/>
        <v>2</v>
      </c>
      <c r="AA129" s="207">
        <f>'Crisis Indicator Data'!Y126</f>
        <v>0</v>
      </c>
      <c r="AB129" s="207">
        <f>'Crisis Indicator Data'!Z126</f>
        <v>0</v>
      </c>
      <c r="AC129" s="207">
        <f>'Crisis Indicator Data'!AA126</f>
        <v>0</v>
      </c>
      <c r="AD129" s="207">
        <f>'Crisis Indicator Data'!AB126</f>
        <v>0</v>
      </c>
      <c r="AE129" s="207">
        <f t="shared" si="33"/>
        <v>0</v>
      </c>
      <c r="AF129" s="207">
        <f>'Crisis Indicator Data'!AC126</f>
        <v>0</v>
      </c>
      <c r="AG129" s="207">
        <f>'Crisis Indicator Data'!AD126</f>
        <v>0</v>
      </c>
      <c r="AH129" s="207">
        <f t="shared" si="34"/>
        <v>0</v>
      </c>
      <c r="AI129" s="207">
        <f>'Crisis Indicator Data'!AE126</f>
        <v>1</v>
      </c>
      <c r="AJ129" s="207">
        <f>'Crisis Indicator Data'!AF126</f>
        <v>1</v>
      </c>
      <c r="AK129" s="207">
        <f>'Crisis Indicator Data'!AG126</f>
        <v>2</v>
      </c>
      <c r="AL129" s="207">
        <f t="shared" si="35"/>
        <v>3</v>
      </c>
      <c r="AM129" s="183">
        <f t="shared" si="44"/>
        <v>1</v>
      </c>
      <c r="AN129" s="183">
        <f t="shared" si="45"/>
        <v>1.5</v>
      </c>
    </row>
    <row r="130" spans="1:40" ht="13.5" customHeight="1" x14ac:dyDescent="0.3">
      <c r="A130" s="194" t="str">
        <f>'Crisis Indicator Data'!A127</f>
        <v xml:space="preserve">Conflict in southern Thailand </v>
      </c>
      <c r="B130" s="195" t="str">
        <f>'Crisis Indicator Data'!B127</f>
        <v>Conflict</v>
      </c>
      <c r="C130" s="195" t="str">
        <f>'Crisis Indicator Data'!C127</f>
        <v>THA002</v>
      </c>
      <c r="D130" s="195" t="str">
        <f>'Crisis Indicator Data'!D127</f>
        <v>Thailand</v>
      </c>
      <c r="E130" s="196" t="str">
        <f>'Crisis Indicator Data'!E127</f>
        <v>THA</v>
      </c>
      <c r="F130" s="183">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2.1</v>
      </c>
      <c r="G130" s="183">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3.4</v>
      </c>
      <c r="H130" s="183">
        <f t="shared" si="36"/>
        <v>2.75</v>
      </c>
      <c r="I130" s="183">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1.6</v>
      </c>
      <c r="J130" s="183">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0.5</v>
      </c>
      <c r="K130" s="183">
        <f t="shared" si="37"/>
        <v>1.05</v>
      </c>
      <c r="L130" s="183">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2.5</v>
      </c>
      <c r="M130" s="183">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1.4</v>
      </c>
      <c r="N130" s="183">
        <f t="shared" si="38"/>
        <v>1.95</v>
      </c>
      <c r="O130" s="183">
        <f t="shared" si="39"/>
        <v>1.9166666666666667</v>
      </c>
      <c r="P130" s="183">
        <f>IF(B130="Regional crisis",VLOOKUP(C130,'Regional Crises'!$B$1:$R$69,12,FALSE),VLOOKUP(E130,'Country Indicator Data'!$B$4:$I$194,8,FALSE))</f>
        <v>3</v>
      </c>
      <c r="Q130" s="183">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2.4</v>
      </c>
      <c r="R130" s="183">
        <f t="shared" si="40"/>
        <v>2.7</v>
      </c>
      <c r="S130" s="183">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3.2</v>
      </c>
      <c r="T130" s="183">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83">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3.4</v>
      </c>
      <c r="V130" s="183">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183">
        <f t="shared" si="41"/>
        <v>3.1</v>
      </c>
      <c r="X130" s="183">
        <f t="shared" si="42"/>
        <v>2.6</v>
      </c>
      <c r="Y130" s="207">
        <f>IF('Core Indicators'!FC127="x","x",IF('Core Indicators'!FC127&gt;=5,5,IF('Core Indicators'!FC127&gt;=4,4,IF('Core Indicators'!FC127&gt;=3,3,IF('Core Indicators'!FC127&gt;=2,2,IF('Core Indicators'!FC127&gt;=1,1,0))))))</f>
        <v>1</v>
      </c>
      <c r="Z130" s="183">
        <f t="shared" si="43"/>
        <v>1</v>
      </c>
      <c r="AA130" s="207">
        <f>'Crisis Indicator Data'!Y127</f>
        <v>0</v>
      </c>
      <c r="AB130" s="207">
        <f>'Crisis Indicator Data'!Z127</f>
        <v>0</v>
      </c>
      <c r="AC130" s="207">
        <f>'Crisis Indicator Data'!AA127</f>
        <v>0</v>
      </c>
      <c r="AD130" s="207">
        <f>'Crisis Indicator Data'!AB127</f>
        <v>0</v>
      </c>
      <c r="AE130" s="207">
        <f t="shared" si="33"/>
        <v>0</v>
      </c>
      <c r="AF130" s="207">
        <f>'Crisis Indicator Data'!AC127</f>
        <v>0</v>
      </c>
      <c r="AG130" s="207">
        <f>'Crisis Indicator Data'!AD127</f>
        <v>0</v>
      </c>
      <c r="AH130" s="207">
        <f t="shared" si="34"/>
        <v>0</v>
      </c>
      <c r="AI130" s="207">
        <f>'Crisis Indicator Data'!AE127</f>
        <v>1</v>
      </c>
      <c r="AJ130" s="207">
        <f>'Crisis Indicator Data'!AF127</f>
        <v>1</v>
      </c>
      <c r="AK130" s="207">
        <f>'Crisis Indicator Data'!AG127</f>
        <v>0</v>
      </c>
      <c r="AL130" s="207">
        <f t="shared" si="35"/>
        <v>2</v>
      </c>
      <c r="AM130" s="183">
        <f t="shared" si="44"/>
        <v>1</v>
      </c>
      <c r="AN130" s="183">
        <f t="shared" si="45"/>
        <v>1</v>
      </c>
    </row>
    <row r="131" spans="1:40" ht="13.5" customHeight="1" x14ac:dyDescent="0.3">
      <c r="A131" s="194" t="str">
        <f>'Crisis Indicator Data'!A128</f>
        <v>Myanmar refugees in Thailand</v>
      </c>
      <c r="B131" s="195" t="str">
        <f>'Crisis Indicator Data'!B128</f>
        <v>International displacement</v>
      </c>
      <c r="C131" s="195" t="str">
        <f>'Crisis Indicator Data'!C128</f>
        <v>THA003</v>
      </c>
      <c r="D131" s="195" t="str">
        <f>'Crisis Indicator Data'!D128</f>
        <v>Thailand</v>
      </c>
      <c r="E131" s="196" t="str">
        <f>'Crisis Indicator Data'!E128</f>
        <v>THA</v>
      </c>
      <c r="F131" s="183">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2.1</v>
      </c>
      <c r="G131" s="183">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3.4</v>
      </c>
      <c r="H131" s="183">
        <f t="shared" si="36"/>
        <v>2.75</v>
      </c>
      <c r="I131" s="183">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1.6</v>
      </c>
      <c r="J131" s="183">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0.5</v>
      </c>
      <c r="K131" s="183">
        <f t="shared" si="37"/>
        <v>1.05</v>
      </c>
      <c r="L131" s="183">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2.5</v>
      </c>
      <c r="M131" s="183">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1.4</v>
      </c>
      <c r="N131" s="183">
        <f t="shared" si="38"/>
        <v>1.95</v>
      </c>
      <c r="O131" s="183">
        <f t="shared" si="39"/>
        <v>1.9166666666666667</v>
      </c>
      <c r="P131" s="183">
        <f>IF(B131="Regional crisis",VLOOKUP(C131,'Regional Crises'!$B$1:$R$69,12,FALSE),VLOOKUP(E131,'Country Indicator Data'!$B$4:$I$194,8,FALSE))</f>
        <v>3</v>
      </c>
      <c r="Q131" s="183">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2.4</v>
      </c>
      <c r="R131" s="183">
        <f t="shared" si="40"/>
        <v>2.7</v>
      </c>
      <c r="S131" s="183">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3.2</v>
      </c>
      <c r="T131" s="183">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2.4</v>
      </c>
      <c r="U131" s="183">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3.4</v>
      </c>
      <c r="V131" s="183">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3.4</v>
      </c>
      <c r="W131" s="183">
        <f t="shared" si="41"/>
        <v>3.1</v>
      </c>
      <c r="X131" s="183">
        <f t="shared" si="42"/>
        <v>2.6</v>
      </c>
      <c r="Y131" s="207">
        <f>IF('Core Indicators'!FC128="x","x",IF('Core Indicators'!FC128&gt;=5,5,IF('Core Indicators'!FC128&gt;=4,4,IF('Core Indicators'!FC128&gt;=3,3,IF('Core Indicators'!FC128&gt;=2,2,IF('Core Indicators'!FC128&gt;=1,1,0))))))</f>
        <v>1</v>
      </c>
      <c r="Z131" s="183">
        <f t="shared" si="43"/>
        <v>1</v>
      </c>
      <c r="AA131" s="207">
        <f>'Crisis Indicator Data'!Y128</f>
        <v>0</v>
      </c>
      <c r="AB131" s="207">
        <f>'Crisis Indicator Data'!Z128</f>
        <v>0</v>
      </c>
      <c r="AC131" s="207">
        <f>'Crisis Indicator Data'!AA128</f>
        <v>0</v>
      </c>
      <c r="AD131" s="207">
        <f>'Crisis Indicator Data'!AB128</f>
        <v>0</v>
      </c>
      <c r="AE131" s="207">
        <f t="shared" si="33"/>
        <v>0</v>
      </c>
      <c r="AF131" s="207">
        <f>'Crisis Indicator Data'!AC128</f>
        <v>0</v>
      </c>
      <c r="AG131" s="207">
        <f>'Crisis Indicator Data'!AD128</f>
        <v>0</v>
      </c>
      <c r="AH131" s="207">
        <f t="shared" si="34"/>
        <v>0</v>
      </c>
      <c r="AI131" s="207">
        <f>'Crisis Indicator Data'!AE128</f>
        <v>0</v>
      </c>
      <c r="AJ131" s="207">
        <f>'Crisis Indicator Data'!AF128</f>
        <v>1</v>
      </c>
      <c r="AK131" s="207">
        <f>'Crisis Indicator Data'!AG128</f>
        <v>2</v>
      </c>
      <c r="AL131" s="207">
        <f t="shared" si="35"/>
        <v>3</v>
      </c>
      <c r="AM131" s="183">
        <f t="shared" si="44"/>
        <v>1</v>
      </c>
      <c r="AN131" s="183">
        <f t="shared" si="45"/>
        <v>1</v>
      </c>
    </row>
    <row r="132" spans="1:40" ht="13.5" customHeight="1" x14ac:dyDescent="0.3">
      <c r="A132" s="194" t="str">
        <f>'Crisis Indicator Data'!A129</f>
        <v>Venezuelan refugees in Trinidad and Tobago</v>
      </c>
      <c r="B132" s="195" t="str">
        <f>'Crisis Indicator Data'!B129</f>
        <v>International displacement</v>
      </c>
      <c r="C132" s="195" t="str">
        <f>'Crisis Indicator Data'!C129</f>
        <v>TTO002</v>
      </c>
      <c r="D132" s="195" t="str">
        <f>'Crisis Indicator Data'!D129</f>
        <v>Trinidad and Tobago</v>
      </c>
      <c r="E132" s="196" t="str">
        <f>'Crisis Indicator Data'!E129</f>
        <v>TTO</v>
      </c>
      <c r="F132" s="183">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0.7</v>
      </c>
      <c r="G132" s="183">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0.8</v>
      </c>
      <c r="H132" s="183">
        <f t="shared" si="36"/>
        <v>0.75</v>
      </c>
      <c r="I132" s="183">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3.8</v>
      </c>
      <c r="J132" s="183">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4</v>
      </c>
      <c r="K132" s="183">
        <f t="shared" si="37"/>
        <v>3.9</v>
      </c>
      <c r="L132" s="183">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2.2000000000000002</v>
      </c>
      <c r="M132" s="183" t="str">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x</v>
      </c>
      <c r="N132" s="183">
        <f t="shared" si="38"/>
        <v>2.2000000000000002</v>
      </c>
      <c r="O132" s="183">
        <f t="shared" si="39"/>
        <v>2.2833333333333337</v>
      </c>
      <c r="P132" s="183">
        <f>IF(B132="Regional crisis",VLOOKUP(C132,'Regional Crises'!$B$1:$R$69,12,FALSE),VLOOKUP(E132,'Country Indicator Data'!$B$4:$I$194,8,FALSE))</f>
        <v>0</v>
      </c>
      <c r="Q132" s="183">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0</v>
      </c>
      <c r="R132" s="183">
        <f t="shared" si="40"/>
        <v>0</v>
      </c>
      <c r="S132" s="183">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v>
      </c>
      <c r="T132" s="183">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2.6</v>
      </c>
      <c r="U132" s="183">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1.4</v>
      </c>
      <c r="V132" s="183">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0.9</v>
      </c>
      <c r="W132" s="183">
        <f t="shared" si="41"/>
        <v>2</v>
      </c>
      <c r="X132" s="183">
        <f t="shared" si="42"/>
        <v>1.4</v>
      </c>
      <c r="Y132" s="207">
        <f>IF('Core Indicators'!FC129="x","x",IF('Core Indicators'!FC129&gt;=5,5,IF('Core Indicators'!FC129&gt;=4,4,IF('Core Indicators'!FC129&gt;=3,3,IF('Core Indicators'!FC129&gt;=2,2,IF('Core Indicators'!FC129&gt;=1,1,0))))))</f>
        <v>2</v>
      </c>
      <c r="Z132" s="183">
        <f t="shared" si="43"/>
        <v>2</v>
      </c>
      <c r="AA132" s="207">
        <f>'Crisis Indicator Data'!Y129</f>
        <v>0</v>
      </c>
      <c r="AB132" s="207">
        <f>'Crisis Indicator Data'!Z129</f>
        <v>0</v>
      </c>
      <c r="AC132" s="207">
        <f>'Crisis Indicator Data'!AA129</f>
        <v>0</v>
      </c>
      <c r="AD132" s="207">
        <f>'Crisis Indicator Data'!AB129</f>
        <v>0</v>
      </c>
      <c r="AE132" s="207">
        <f t="shared" si="33"/>
        <v>0</v>
      </c>
      <c r="AF132" s="207">
        <f>'Crisis Indicator Data'!AC129</f>
        <v>2</v>
      </c>
      <c r="AG132" s="207">
        <f>'Crisis Indicator Data'!AD129</f>
        <v>1</v>
      </c>
      <c r="AH132" s="207">
        <f t="shared" si="34"/>
        <v>3</v>
      </c>
      <c r="AI132" s="207">
        <f>'Crisis Indicator Data'!AE129</f>
        <v>0</v>
      </c>
      <c r="AJ132" s="207">
        <f>'Crisis Indicator Data'!AF129</f>
        <v>0</v>
      </c>
      <c r="AK132" s="207">
        <f>'Crisis Indicator Data'!AG129</f>
        <v>1</v>
      </c>
      <c r="AL132" s="207">
        <f t="shared" si="35"/>
        <v>1</v>
      </c>
      <c r="AM132" s="183">
        <f t="shared" si="44"/>
        <v>1</v>
      </c>
      <c r="AN132" s="183">
        <f t="shared" si="45"/>
        <v>1.5</v>
      </c>
    </row>
    <row r="133" spans="1:40" ht="13.5" customHeight="1" x14ac:dyDescent="0.3">
      <c r="A133" s="194" t="str">
        <f>'Crisis Indicator Data'!A130</f>
        <v>Mixed migration flows in Tunisia</v>
      </c>
      <c r="B133" s="195" t="str">
        <f>'Crisis Indicator Data'!B130</f>
        <v>International displacement</v>
      </c>
      <c r="C133" s="195" t="str">
        <f>'Crisis Indicator Data'!C130</f>
        <v>TUN002</v>
      </c>
      <c r="D133" s="195" t="str">
        <f>'Crisis Indicator Data'!D130</f>
        <v>Tunisia</v>
      </c>
      <c r="E133" s="196" t="str">
        <f>'Crisis Indicator Data'!E130</f>
        <v>TUN</v>
      </c>
      <c r="F133" s="183">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83">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1.7</v>
      </c>
      <c r="H133" s="183">
        <f t="shared" si="36"/>
        <v>2.1</v>
      </c>
      <c r="I133" s="183">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0.2</v>
      </c>
      <c r="J133" s="183">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v>
      </c>
      <c r="K133" s="183">
        <f t="shared" si="37"/>
        <v>0.1</v>
      </c>
      <c r="L133" s="183">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83">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v>
      </c>
      <c r="N133" s="183">
        <f t="shared" si="38"/>
        <v>1.5</v>
      </c>
      <c r="O133" s="183">
        <f t="shared" si="39"/>
        <v>1.2333333333333334</v>
      </c>
      <c r="P133" s="183">
        <f>IF(B133="Regional crisis",VLOOKUP(C133,'Regional Crises'!$B$1:$R$69,12,FALSE),VLOOKUP(E133,'Country Indicator Data'!$B$4:$I$194,8,FALSE))</f>
        <v>3</v>
      </c>
      <c r="Q133" s="183">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v>
      </c>
      <c r="R133" s="183">
        <f t="shared" si="40"/>
        <v>3</v>
      </c>
      <c r="S133" s="183">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2.9</v>
      </c>
      <c r="T133" s="183">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2.4</v>
      </c>
      <c r="U133" s="183">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2.2999999999999998</v>
      </c>
      <c r="V133" s="183">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1.5</v>
      </c>
      <c r="W133" s="183">
        <f t="shared" si="41"/>
        <v>2.2999999999999998</v>
      </c>
      <c r="X133" s="183">
        <f t="shared" si="42"/>
        <v>2.2000000000000002</v>
      </c>
      <c r="Y133" s="207">
        <f>IF('Core Indicators'!FC130="x","x",IF('Core Indicators'!FC130&gt;=5,5,IF('Core Indicators'!FC130&gt;=4,4,IF('Core Indicators'!FC130&gt;=3,3,IF('Core Indicators'!FC130&gt;=2,2,IF('Core Indicators'!FC130&gt;=1,1,0))))))</f>
        <v>1</v>
      </c>
      <c r="Z133" s="183">
        <f t="shared" si="43"/>
        <v>1</v>
      </c>
      <c r="AA133" s="207">
        <f>'Crisis Indicator Data'!Y130</f>
        <v>0</v>
      </c>
      <c r="AB133" s="207">
        <f>'Crisis Indicator Data'!Z130</f>
        <v>0</v>
      </c>
      <c r="AC133" s="207">
        <f>'Crisis Indicator Data'!AA130</f>
        <v>0</v>
      </c>
      <c r="AD133" s="207">
        <f>'Crisis Indicator Data'!AB130</f>
        <v>0</v>
      </c>
      <c r="AE133" s="207">
        <f t="shared" si="33"/>
        <v>0</v>
      </c>
      <c r="AF133" s="207">
        <f>'Crisis Indicator Data'!AC130</f>
        <v>0</v>
      </c>
      <c r="AG133" s="207">
        <f>'Crisis Indicator Data'!AD130</f>
        <v>0</v>
      </c>
      <c r="AH133" s="207">
        <f t="shared" si="34"/>
        <v>0</v>
      </c>
      <c r="AI133" s="207">
        <f>'Crisis Indicator Data'!AE130</f>
        <v>0</v>
      </c>
      <c r="AJ133" s="207">
        <f>'Crisis Indicator Data'!AF130</f>
        <v>1</v>
      </c>
      <c r="AK133" s="207">
        <f>'Crisis Indicator Data'!AG130</f>
        <v>0</v>
      </c>
      <c r="AL133" s="207">
        <f t="shared" si="35"/>
        <v>1</v>
      </c>
      <c r="AM133" s="183">
        <f t="shared" si="44"/>
        <v>0</v>
      </c>
      <c r="AN133" s="183">
        <f t="shared" si="45"/>
        <v>0.5</v>
      </c>
    </row>
    <row r="134" spans="1:40" ht="13.5" customHeight="1" x14ac:dyDescent="0.3">
      <c r="A134" s="194" t="str">
        <f>'Crisis Indicator Data'!A131</f>
        <v>Complex situation in Turkey</v>
      </c>
      <c r="B134" s="195" t="str">
        <f>'Crisis Indicator Data'!B131</f>
        <v>Multiple crises country</v>
      </c>
      <c r="C134" s="195" t="str">
        <f>'Crisis Indicator Data'!C131</f>
        <v>TUR001</v>
      </c>
      <c r="D134" s="195" t="str">
        <f>'Crisis Indicator Data'!D131</f>
        <v>Turkey</v>
      </c>
      <c r="E134" s="196" t="str">
        <f>'Crisis Indicator Data'!E131</f>
        <v>TUR</v>
      </c>
      <c r="F134" s="183">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83">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83">
        <f t="shared" ref="H134:H140" si="46">IF(AND(F134="x",G134="x"),"x",AVERAGE(F134,G134))</f>
        <v>2.5</v>
      </c>
      <c r="I134" s="183">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83">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83">
        <f t="shared" ref="K134:K140" si="47">IF(AND(I134="x",J134="x"),"x",AVERAGE(I134,J134))</f>
        <v>2.7</v>
      </c>
      <c r="L134" s="183">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83">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83">
        <f t="shared" ref="N134:N140" si="48">IF(AND(L134="x",M134="x"),"x",AVERAGE(L134,M134))</f>
        <v>2.0499999999999998</v>
      </c>
      <c r="O134" s="183">
        <f t="shared" ref="O134:O140" si="49">AVERAGE(H134,K134,N134)</f>
        <v>2.4166666666666665</v>
      </c>
      <c r="P134" s="183">
        <f>IF(B134="Regional crisis",VLOOKUP(C134,'Regional Crises'!$B$1:$R$69,12,FALSE),VLOOKUP(E134,'Country Indicator Data'!$B$4:$I$194,8,FALSE))</f>
        <v>5</v>
      </c>
      <c r="Q134" s="183">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3.9</v>
      </c>
      <c r="R134" s="183">
        <f t="shared" ref="R134:R140" si="50">AVERAGE(P134:Q134)</f>
        <v>4.45</v>
      </c>
      <c r="S134" s="183">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83">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83">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83">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83">
        <f t="shared" ref="W134:W140" si="51">IF(AND(S134="x",V134="x"),"x",ROUND(AVERAGE(S134,V134,T134,U134),1))</f>
        <v>3.2</v>
      </c>
      <c r="X134" s="183">
        <f t="shared" ref="X134:X140" si="52">ROUND(AVERAGE(O134,W134,R134),1)</f>
        <v>3.4</v>
      </c>
      <c r="Y134" s="207">
        <f>IF('Core Indicators'!FC131="x","x",IF('Core Indicators'!FC131&gt;=5,5,IF('Core Indicators'!FC131&gt;=4,4,IF('Core Indicators'!FC131&gt;=3,3,IF('Core Indicators'!FC131&gt;=2,2,IF('Core Indicators'!FC131&gt;=1,1,0))))))</f>
        <v>4</v>
      </c>
      <c r="Z134" s="183">
        <f t="shared" ref="Z134:Z140" si="53">Y134</f>
        <v>4</v>
      </c>
      <c r="AA134" s="207">
        <f>'Crisis Indicator Data'!Y131</f>
        <v>2</v>
      </c>
      <c r="AB134" s="207">
        <f>'Crisis Indicator Data'!Z131</f>
        <v>1</v>
      </c>
      <c r="AC134" s="207">
        <f>'Crisis Indicator Data'!AA131</f>
        <v>2</v>
      </c>
      <c r="AD134" s="207">
        <f>'Crisis Indicator Data'!AB131</f>
        <v>0</v>
      </c>
      <c r="AE134" s="207">
        <f t="shared" si="33"/>
        <v>2</v>
      </c>
      <c r="AF134" s="207">
        <f>'Crisis Indicator Data'!AC131</f>
        <v>2</v>
      </c>
      <c r="AG134" s="207">
        <f>'Crisis Indicator Data'!AD131</f>
        <v>2</v>
      </c>
      <c r="AH134" s="207">
        <f t="shared" si="34"/>
        <v>4</v>
      </c>
      <c r="AI134" s="207">
        <f>'Crisis Indicator Data'!AE131</f>
        <v>0</v>
      </c>
      <c r="AJ134" s="207">
        <f>'Crisis Indicator Data'!AF131</f>
        <v>1</v>
      </c>
      <c r="AK134" s="207">
        <f>'Crisis Indicator Data'!AG131</f>
        <v>0</v>
      </c>
      <c r="AL134" s="207">
        <f t="shared" si="35"/>
        <v>1</v>
      </c>
      <c r="AM134" s="183">
        <f t="shared" ref="AM134:AM144" si="54">IF(AA134=3,5,ROUND(AVERAGE(AE134,AH134,AL134),0))</f>
        <v>2</v>
      </c>
      <c r="AN134" s="183">
        <f t="shared" ref="AN134:AN144" si="55">IF(AND(Z134="x",AM134="x"),"x",ROUND(AVERAGE(Z134,AM134),1))</f>
        <v>3</v>
      </c>
    </row>
    <row r="135" spans="1:40" ht="13.5" customHeight="1" x14ac:dyDescent="0.3">
      <c r="A135" s="194" t="str">
        <f>'Crisis Indicator Data'!A132</f>
        <v>Syrian Refugees in Turkey</v>
      </c>
      <c r="B135" s="195" t="str">
        <f>'Crisis Indicator Data'!B132</f>
        <v>International displacement</v>
      </c>
      <c r="C135" s="195" t="str">
        <f>'Crisis Indicator Data'!C132</f>
        <v>TUR002</v>
      </c>
      <c r="D135" s="195" t="str">
        <f>'Crisis Indicator Data'!D132</f>
        <v>Turkey</v>
      </c>
      <c r="E135" s="196" t="str">
        <f>'Crisis Indicator Data'!E132</f>
        <v>TUR</v>
      </c>
      <c r="F135" s="183">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83">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83">
        <f t="shared" si="46"/>
        <v>2.5</v>
      </c>
      <c r="I135" s="183">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83">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83">
        <f t="shared" si="47"/>
        <v>2.7</v>
      </c>
      <c r="L135" s="183">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83">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83">
        <f t="shared" si="48"/>
        <v>2.0499999999999998</v>
      </c>
      <c r="O135" s="183">
        <f t="shared" si="49"/>
        <v>2.4166666666666665</v>
      </c>
      <c r="P135" s="183">
        <f>IF(B135="Regional crisis",VLOOKUP(C135,'Regional Crises'!$B$1:$R$69,12,FALSE),VLOOKUP(E135,'Country Indicator Data'!$B$4:$I$194,8,FALSE))</f>
        <v>5</v>
      </c>
      <c r="Q135" s="183">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3.9</v>
      </c>
      <c r="R135" s="183">
        <f t="shared" si="50"/>
        <v>4.45</v>
      </c>
      <c r="S135" s="183">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83">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83">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83">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83">
        <f t="shared" si="51"/>
        <v>3.2</v>
      </c>
      <c r="X135" s="183">
        <f t="shared" si="52"/>
        <v>3.4</v>
      </c>
      <c r="Y135" s="207">
        <f>IF('Core Indicators'!FC132="x","x",IF('Core Indicators'!FC132&gt;=5,5,IF('Core Indicators'!FC132&gt;=4,4,IF('Core Indicators'!FC132&gt;=3,3,IF('Core Indicators'!FC132&gt;=2,2,IF('Core Indicators'!FC132&gt;=1,1,0))))))</f>
        <v>2</v>
      </c>
      <c r="Z135" s="183">
        <f t="shared" si="53"/>
        <v>2</v>
      </c>
      <c r="AA135" s="207">
        <f>'Crisis Indicator Data'!Y132</f>
        <v>2</v>
      </c>
      <c r="AB135" s="207">
        <f>'Crisis Indicator Data'!Z132</f>
        <v>0</v>
      </c>
      <c r="AC135" s="207">
        <f>'Crisis Indicator Data'!AA132</f>
        <v>1</v>
      </c>
      <c r="AD135" s="207">
        <f>'Crisis Indicator Data'!AB132</f>
        <v>0</v>
      </c>
      <c r="AE135" s="207">
        <f t="shared" ref="AE135:AE144" si="56">IF(SUM(AA135:AD135)=0,0,IF(SUM(AA135,AB135,AC135,AD135)&lt;2,1,IF(SUM(AA135:AD135)&lt;6,2,IF(SUM(AA135:AD135)&lt;8,3,IF(SUM(AA135:AD135)&lt;10,4,5)))))</f>
        <v>2</v>
      </c>
      <c r="AF135" s="207">
        <f>'Crisis Indicator Data'!AC132</f>
        <v>2</v>
      </c>
      <c r="AG135" s="207">
        <f>'Crisis Indicator Data'!AD132</f>
        <v>2</v>
      </c>
      <c r="AH135" s="207">
        <f t="shared" ref="AH135:AH144" si="57">IF(SUM(AF135:AG135)=0,0,IF(SUM(AF135,AG135)=1,1,IF(SUM(AF135:AG135)&lt;3,2,IF(SUM(AF135:AG135)&lt;4,3,IF(SUM(AF135:AG135)&lt;5,4,5)))))</f>
        <v>4</v>
      </c>
      <c r="AI135" s="207">
        <f>'Crisis Indicator Data'!AE132</f>
        <v>0</v>
      </c>
      <c r="AJ135" s="207">
        <f>'Crisis Indicator Data'!AF132</f>
        <v>1</v>
      </c>
      <c r="AK135" s="207">
        <f>'Crisis Indicator Data'!AG132</f>
        <v>0</v>
      </c>
      <c r="AL135" s="207">
        <f t="shared" ref="AL135:AL144" si="58">IF(SUM(AI135:AK135)=0,0,IF(SUM(AI135:AK135)=1,1,IF(SUM(AI135:AK135)&lt;3,2,IF(SUM(AI135:AK135)&lt;5,3,IF(SUM(AI135:AK135)&lt;7,4,5)))))</f>
        <v>1</v>
      </c>
      <c r="AM135" s="183">
        <f t="shared" si="54"/>
        <v>2</v>
      </c>
      <c r="AN135" s="183">
        <f t="shared" si="55"/>
        <v>2</v>
      </c>
    </row>
    <row r="136" spans="1:40" ht="13.5" customHeight="1" x14ac:dyDescent="0.3">
      <c r="A136" s="194" t="str">
        <f>'Crisis Indicator Data'!A133</f>
        <v>Mixed Migration Flows in Turkey</v>
      </c>
      <c r="B136" s="195" t="str">
        <f>'Crisis Indicator Data'!B133</f>
        <v>International displacement</v>
      </c>
      <c r="C136" s="195" t="str">
        <f>'Crisis Indicator Data'!C133</f>
        <v>TUR003</v>
      </c>
      <c r="D136" s="195" t="str">
        <f>'Crisis Indicator Data'!D133</f>
        <v>Turkey</v>
      </c>
      <c r="E136" s="196" t="str">
        <f>'Crisis Indicator Data'!E133</f>
        <v>TUR</v>
      </c>
      <c r="F136" s="183">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83">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2.5</v>
      </c>
      <c r="H136" s="183">
        <f t="shared" si="46"/>
        <v>2.5</v>
      </c>
      <c r="I136" s="183">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v>
      </c>
      <c r="J136" s="183">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3.4</v>
      </c>
      <c r="K136" s="183">
        <f t="shared" si="47"/>
        <v>2.7</v>
      </c>
      <c r="L136" s="183">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v>
      </c>
      <c r="M136" s="183">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2.1</v>
      </c>
      <c r="N136" s="183">
        <f t="shared" si="48"/>
        <v>2.0499999999999998</v>
      </c>
      <c r="O136" s="183">
        <f t="shared" si="49"/>
        <v>2.4166666666666665</v>
      </c>
      <c r="P136" s="183">
        <f>IF(B136="Regional crisis",VLOOKUP(C136,'Regional Crises'!$B$1:$R$69,12,FALSE),VLOOKUP(E136,'Country Indicator Data'!$B$4:$I$194,8,FALSE))</f>
        <v>5</v>
      </c>
      <c r="Q136" s="183">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3.9</v>
      </c>
      <c r="R136" s="183">
        <f t="shared" si="50"/>
        <v>4.45</v>
      </c>
      <c r="S136" s="183">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3.1</v>
      </c>
      <c r="T136" s="183">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83">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3.3</v>
      </c>
      <c r="V136" s="183">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83">
        <f t="shared" si="51"/>
        <v>3.2</v>
      </c>
      <c r="X136" s="183">
        <f t="shared" si="52"/>
        <v>3.4</v>
      </c>
      <c r="Y136" s="207">
        <f>IF('Core Indicators'!FC133="x","x",IF('Core Indicators'!FC133&gt;=5,5,IF('Core Indicators'!FC133&gt;=4,4,IF('Core Indicators'!FC133&gt;=3,3,IF('Core Indicators'!FC133&gt;=2,2,IF('Core Indicators'!FC133&gt;=1,1,0))))))</f>
        <v>2</v>
      </c>
      <c r="Z136" s="183">
        <f t="shared" si="53"/>
        <v>2</v>
      </c>
      <c r="AA136" s="207">
        <f>'Crisis Indicator Data'!Y133</f>
        <v>2</v>
      </c>
      <c r="AB136" s="207">
        <f>'Crisis Indicator Data'!Z133</f>
        <v>0</v>
      </c>
      <c r="AC136" s="207">
        <f>'Crisis Indicator Data'!AA133</f>
        <v>1</v>
      </c>
      <c r="AD136" s="207">
        <f>'Crisis Indicator Data'!AB133</f>
        <v>0</v>
      </c>
      <c r="AE136" s="207">
        <f t="shared" si="56"/>
        <v>2</v>
      </c>
      <c r="AF136" s="207">
        <f>'Crisis Indicator Data'!AC133</f>
        <v>2</v>
      </c>
      <c r="AG136" s="207">
        <f>'Crisis Indicator Data'!AD133</f>
        <v>2</v>
      </c>
      <c r="AH136" s="207">
        <f t="shared" si="57"/>
        <v>4</v>
      </c>
      <c r="AI136" s="207">
        <f>'Crisis Indicator Data'!AE133</f>
        <v>0</v>
      </c>
      <c r="AJ136" s="207">
        <f>'Crisis Indicator Data'!AF133</f>
        <v>1</v>
      </c>
      <c r="AK136" s="207">
        <f>'Crisis Indicator Data'!AG133</f>
        <v>0</v>
      </c>
      <c r="AL136" s="207">
        <f t="shared" si="58"/>
        <v>1</v>
      </c>
      <c r="AM136" s="183">
        <f t="shared" si="54"/>
        <v>2</v>
      </c>
      <c r="AN136" s="183">
        <f t="shared" si="55"/>
        <v>2</v>
      </c>
    </row>
    <row r="137" spans="1:40" ht="13.5" customHeight="1" x14ac:dyDescent="0.3">
      <c r="A137" s="194" t="str">
        <f>'Crisis Indicator Data'!A134</f>
        <v>Kurdish Conflict</v>
      </c>
      <c r="B137" s="195" t="str">
        <f>'Crisis Indicator Data'!B134</f>
        <v>Conflict</v>
      </c>
      <c r="C137" s="195" t="str">
        <f>'Crisis Indicator Data'!C134</f>
        <v>TUR004</v>
      </c>
      <c r="D137" s="195" t="str">
        <f>'Crisis Indicator Data'!D134</f>
        <v>Turkey</v>
      </c>
      <c r="E137" s="196" t="str">
        <f>'Crisis Indicator Data'!E134</f>
        <v>TUR</v>
      </c>
      <c r="F137" s="183">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83">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2.5</v>
      </c>
      <c r="H137" s="183">
        <f t="shared" si="46"/>
        <v>2.5</v>
      </c>
      <c r="I137" s="183">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2</v>
      </c>
      <c r="J137" s="183">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3.4</v>
      </c>
      <c r="K137" s="183">
        <f t="shared" si="47"/>
        <v>2.7</v>
      </c>
      <c r="L137" s="183">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v>
      </c>
      <c r="M137" s="183">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2.1</v>
      </c>
      <c r="N137" s="183">
        <f t="shared" si="48"/>
        <v>2.0499999999999998</v>
      </c>
      <c r="O137" s="183">
        <f t="shared" si="49"/>
        <v>2.4166666666666665</v>
      </c>
      <c r="P137" s="183">
        <f>IF(B137="Regional crisis",VLOOKUP(C137,'Regional Crises'!$B$1:$R$69,12,FALSE),VLOOKUP(E137,'Country Indicator Data'!$B$4:$I$194,8,FALSE))</f>
        <v>5</v>
      </c>
      <c r="Q137" s="183">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3.9</v>
      </c>
      <c r="R137" s="183">
        <f t="shared" si="50"/>
        <v>4.45</v>
      </c>
      <c r="S137" s="183">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3.1</v>
      </c>
      <c r="T137" s="183">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83">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3.3</v>
      </c>
      <c r="V137" s="183">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3.4</v>
      </c>
      <c r="W137" s="183">
        <f t="shared" si="51"/>
        <v>3.2</v>
      </c>
      <c r="X137" s="183">
        <f t="shared" si="52"/>
        <v>3.4</v>
      </c>
      <c r="Y137" s="207">
        <f>IF('Core Indicators'!FC134="x","x",IF('Core Indicators'!FC134&gt;=5,5,IF('Core Indicators'!FC134&gt;=4,4,IF('Core Indicators'!FC134&gt;=3,3,IF('Core Indicators'!FC134&gt;=2,2,IF('Core Indicators'!FC134&gt;=1,1,0))))))</f>
        <v>3</v>
      </c>
      <c r="Z137" s="183">
        <f t="shared" si="53"/>
        <v>3</v>
      </c>
      <c r="AA137" s="207">
        <f>'Crisis Indicator Data'!Y134</f>
        <v>2</v>
      </c>
      <c r="AB137" s="207">
        <f>'Crisis Indicator Data'!Z134</f>
        <v>1</v>
      </c>
      <c r="AC137" s="207">
        <f>'Crisis Indicator Data'!AA134</f>
        <v>2</v>
      </c>
      <c r="AD137" s="207">
        <f>'Crisis Indicator Data'!AB134</f>
        <v>0</v>
      </c>
      <c r="AE137" s="207">
        <f t="shared" si="56"/>
        <v>2</v>
      </c>
      <c r="AF137" s="207">
        <f>'Crisis Indicator Data'!AC134</f>
        <v>2</v>
      </c>
      <c r="AG137" s="207">
        <f>'Crisis Indicator Data'!AD134</f>
        <v>2</v>
      </c>
      <c r="AH137" s="207">
        <f t="shared" si="57"/>
        <v>4</v>
      </c>
      <c r="AI137" s="207">
        <f>'Crisis Indicator Data'!AE134</f>
        <v>1</v>
      </c>
      <c r="AJ137" s="207">
        <f>'Crisis Indicator Data'!AF134</f>
        <v>1</v>
      </c>
      <c r="AK137" s="207">
        <f>'Crisis Indicator Data'!AG134</f>
        <v>0</v>
      </c>
      <c r="AL137" s="207">
        <f t="shared" si="58"/>
        <v>2</v>
      </c>
      <c r="AM137" s="183">
        <f t="shared" si="54"/>
        <v>3</v>
      </c>
      <c r="AN137" s="183">
        <f t="shared" si="55"/>
        <v>3</v>
      </c>
    </row>
    <row r="138" spans="1:40" ht="13.5" customHeight="1" x14ac:dyDescent="0.3">
      <c r="A138" s="194" t="str">
        <f>'Crisis Indicator Data'!A135</f>
        <v xml:space="preserve">Eastern Mediterranean Route </v>
      </c>
      <c r="B138" s="195" t="str">
        <f>'Crisis Indicator Data'!B135</f>
        <v>Regional crisis</v>
      </c>
      <c r="C138" s="195" t="str">
        <f>'Crisis Indicator Data'!C135</f>
        <v>REG006</v>
      </c>
      <c r="D138" s="195" t="str">
        <f>'Crisis Indicator Data'!D135</f>
        <v>Turkey, Greece</v>
      </c>
      <c r="E138" s="196" t="str">
        <f>'Crisis Indicator Data'!E135</f>
        <v>TUR, GRC</v>
      </c>
      <c r="F138" s="183">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2.1</v>
      </c>
      <c r="G138" s="183">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2.5</v>
      </c>
      <c r="H138" s="183">
        <f t="shared" si="46"/>
        <v>2.2999999999999998</v>
      </c>
      <c r="I138" s="183">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1.2</v>
      </c>
      <c r="J138" s="183">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1.8</v>
      </c>
      <c r="K138" s="183">
        <f t="shared" si="47"/>
        <v>1.5</v>
      </c>
      <c r="L138" s="183">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1.4</v>
      </c>
      <c r="M138" s="183">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1.6</v>
      </c>
      <c r="N138" s="183">
        <f t="shared" si="48"/>
        <v>1.5</v>
      </c>
      <c r="O138" s="183">
        <f t="shared" si="49"/>
        <v>1.7666666666666666</v>
      </c>
      <c r="P138" s="183">
        <f>IF(B138="Regional crisis",VLOOKUP(C138,'Regional Crises'!$B$1:$R$69,12,FALSE),VLOOKUP(E138,'Country Indicator Data'!$B$4:$I$194,8,FALSE))</f>
        <v>4</v>
      </c>
      <c r="Q138" s="183">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2</v>
      </c>
      <c r="R138" s="183">
        <f t="shared" si="50"/>
        <v>3</v>
      </c>
      <c r="S138" s="183">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2.8</v>
      </c>
      <c r="T138" s="183">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2.5</v>
      </c>
      <c r="U138" s="183">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3.3</v>
      </c>
      <c r="V138" s="183">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2</v>
      </c>
      <c r="W138" s="183">
        <f t="shared" si="51"/>
        <v>2.7</v>
      </c>
      <c r="X138" s="183">
        <f t="shared" si="52"/>
        <v>2.5</v>
      </c>
      <c r="Y138" s="207">
        <f>IF('Core Indicators'!FC135="x","x",IF('Core Indicators'!FC135&gt;=5,5,IF('Core Indicators'!FC135&gt;=4,4,IF('Core Indicators'!FC135&gt;=3,3,IF('Core Indicators'!FC135&gt;=2,2,IF('Core Indicators'!FC135&gt;=1,1,0))))))</f>
        <v>2</v>
      </c>
      <c r="Z138" s="183">
        <f t="shared" si="53"/>
        <v>2</v>
      </c>
      <c r="AA138" s="207">
        <f>'Crisis Indicator Data'!Y135</f>
        <v>1</v>
      </c>
      <c r="AB138" s="207">
        <f>'Crisis Indicator Data'!Z135</f>
        <v>0</v>
      </c>
      <c r="AC138" s="207">
        <f>'Crisis Indicator Data'!AA135</f>
        <v>1</v>
      </c>
      <c r="AD138" s="207">
        <f>'Crisis Indicator Data'!AB135</f>
        <v>0</v>
      </c>
      <c r="AE138" s="207">
        <f t="shared" si="56"/>
        <v>2</v>
      </c>
      <c r="AF138" s="207">
        <f>'Crisis Indicator Data'!AC135</f>
        <v>1.5</v>
      </c>
      <c r="AG138" s="207">
        <f>'Crisis Indicator Data'!AD135</f>
        <v>1.5</v>
      </c>
      <c r="AH138" s="207">
        <f t="shared" si="57"/>
        <v>3</v>
      </c>
      <c r="AI138" s="207">
        <f>'Crisis Indicator Data'!AE135</f>
        <v>0</v>
      </c>
      <c r="AJ138" s="207">
        <f>'Crisis Indicator Data'!AF135</f>
        <v>0.5</v>
      </c>
      <c r="AK138" s="207">
        <f>'Crisis Indicator Data'!AG135</f>
        <v>0</v>
      </c>
      <c r="AL138" s="207">
        <f t="shared" si="58"/>
        <v>2</v>
      </c>
      <c r="AM138" s="183">
        <f t="shared" si="54"/>
        <v>2</v>
      </c>
      <c r="AN138" s="183">
        <f t="shared" si="55"/>
        <v>2</v>
      </c>
    </row>
    <row r="139" spans="1:40" ht="13.5" customHeight="1" x14ac:dyDescent="0.3">
      <c r="A139" s="194" t="str">
        <f>'Crisis Indicator Data'!A136</f>
        <v>Multiple crises in Uganda</v>
      </c>
      <c r="B139" s="195" t="str">
        <f>'Crisis Indicator Data'!B136</f>
        <v>Multiple crises country</v>
      </c>
      <c r="C139" s="195" t="str">
        <f>'Crisis Indicator Data'!C136</f>
        <v>UGA001</v>
      </c>
      <c r="D139" s="195" t="str">
        <f>'Crisis Indicator Data'!D136</f>
        <v>Uganda</v>
      </c>
      <c r="E139" s="196" t="str">
        <f>'Crisis Indicator Data'!E136</f>
        <v>UGA</v>
      </c>
      <c r="F139" s="183">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83">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2.4</v>
      </c>
      <c r="H139" s="183">
        <f t="shared" si="46"/>
        <v>2.4500000000000002</v>
      </c>
      <c r="I139" s="183">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4.5999999999999996</v>
      </c>
      <c r="J139" s="183">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2.4</v>
      </c>
      <c r="K139" s="183">
        <f t="shared" si="47"/>
        <v>3.5</v>
      </c>
      <c r="L139" s="183">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3.5</v>
      </c>
      <c r="M139" s="183">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2.2000000000000002</v>
      </c>
      <c r="N139" s="183">
        <f t="shared" si="48"/>
        <v>2.85</v>
      </c>
      <c r="O139" s="183">
        <f t="shared" si="49"/>
        <v>2.9333333333333336</v>
      </c>
      <c r="P139" s="183">
        <f>IF(B139="Regional crisis",VLOOKUP(C139,'Regional Crises'!$B$1:$R$69,12,FALSE),VLOOKUP(E139,'Country Indicator Data'!$B$4:$I$194,8,FALSE))</f>
        <v>3</v>
      </c>
      <c r="Q139" s="183">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1.6</v>
      </c>
      <c r="R139" s="183">
        <f t="shared" si="50"/>
        <v>2.2999999999999998</v>
      </c>
      <c r="S139" s="183">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3.6</v>
      </c>
      <c r="T139" s="183">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83">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2.4</v>
      </c>
      <c r="V139" s="183">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3.3</v>
      </c>
      <c r="W139" s="183">
        <f t="shared" si="51"/>
        <v>3</v>
      </c>
      <c r="X139" s="183">
        <f t="shared" si="52"/>
        <v>2.7</v>
      </c>
      <c r="Y139" s="207">
        <f>IF('Core Indicators'!FC136="x","x",IF('Core Indicators'!FC136&gt;=5,5,IF('Core Indicators'!FC136&gt;=4,4,IF('Core Indicators'!FC136&gt;=3,3,IF('Core Indicators'!FC136&gt;=2,2,IF('Core Indicators'!FC136&gt;=1,1,0))))))</f>
        <v>3</v>
      </c>
      <c r="Z139" s="183">
        <f t="shared" si="53"/>
        <v>3</v>
      </c>
      <c r="AA139" s="207" t="str">
        <f>'Crisis Indicator Data'!Y136</f>
        <v>x</v>
      </c>
      <c r="AB139" s="207" t="str">
        <f>'Crisis Indicator Data'!Z136</f>
        <v>x</v>
      </c>
      <c r="AC139" s="207" t="str">
        <f>'Crisis Indicator Data'!AA136</f>
        <v>x</v>
      </c>
      <c r="AD139" s="207" t="str">
        <f>'Crisis Indicator Data'!AB136</f>
        <v>x</v>
      </c>
      <c r="AE139" s="207">
        <f t="shared" si="56"/>
        <v>0</v>
      </c>
      <c r="AF139" s="207" t="str">
        <f>'Crisis Indicator Data'!AC136</f>
        <v>x</v>
      </c>
      <c r="AG139" s="207" t="str">
        <f>'Crisis Indicator Data'!AD136</f>
        <v>x</v>
      </c>
      <c r="AH139" s="207">
        <f t="shared" si="57"/>
        <v>0</v>
      </c>
      <c r="AI139" s="207" t="str">
        <f>'Crisis Indicator Data'!AE136</f>
        <v>x</v>
      </c>
      <c r="AJ139" s="207" t="str">
        <f>'Crisis Indicator Data'!AF136</f>
        <v>x</v>
      </c>
      <c r="AK139" s="207" t="str">
        <f>'Crisis Indicator Data'!AG136</f>
        <v>x</v>
      </c>
      <c r="AL139" s="207">
        <f t="shared" si="58"/>
        <v>0</v>
      </c>
      <c r="AM139" s="183">
        <f t="shared" si="54"/>
        <v>0</v>
      </c>
      <c r="AN139" s="183">
        <f t="shared" si="55"/>
        <v>1.5</v>
      </c>
    </row>
    <row r="140" spans="1:40" ht="13.5" customHeight="1" x14ac:dyDescent="0.3">
      <c r="A140" s="194" t="str">
        <f>'Crisis Indicator Data'!A137</f>
        <v>International Displacement in Uganda</v>
      </c>
      <c r="B140" s="195" t="str">
        <f>'Crisis Indicator Data'!B137</f>
        <v>International displacement</v>
      </c>
      <c r="C140" s="195" t="str">
        <f>'Crisis Indicator Data'!C137</f>
        <v>UGA005</v>
      </c>
      <c r="D140" s="195" t="str">
        <f>'Crisis Indicator Data'!D137</f>
        <v>Uganda</v>
      </c>
      <c r="E140" s="196" t="str">
        <f>'Crisis Indicator Data'!E137</f>
        <v>UGA</v>
      </c>
      <c r="F140" s="183">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83">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2.4</v>
      </c>
      <c r="H140" s="183">
        <f t="shared" si="46"/>
        <v>2.4500000000000002</v>
      </c>
      <c r="I140" s="183">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4.5999999999999996</v>
      </c>
      <c r="J140" s="183">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2.4</v>
      </c>
      <c r="K140" s="183">
        <f t="shared" si="47"/>
        <v>3.5</v>
      </c>
      <c r="L140" s="183">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183">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2.2000000000000002</v>
      </c>
      <c r="N140" s="183">
        <f t="shared" si="48"/>
        <v>2.85</v>
      </c>
      <c r="O140" s="183">
        <f t="shared" si="49"/>
        <v>2.9333333333333336</v>
      </c>
      <c r="P140" s="183">
        <f>IF(B140="Regional crisis",VLOOKUP(C140,'Regional Crises'!$B$1:$R$69,12,FALSE),VLOOKUP(E140,'Country Indicator Data'!$B$4:$I$194,8,FALSE))</f>
        <v>3</v>
      </c>
      <c r="Q140" s="183">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1.6</v>
      </c>
      <c r="R140" s="183">
        <f t="shared" si="50"/>
        <v>2.2999999999999998</v>
      </c>
      <c r="S140" s="183">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3.6</v>
      </c>
      <c r="T140" s="183">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83">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2.4</v>
      </c>
      <c r="V140" s="183">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3.3</v>
      </c>
      <c r="W140" s="183">
        <f t="shared" si="51"/>
        <v>3</v>
      </c>
      <c r="X140" s="183">
        <f t="shared" si="52"/>
        <v>2.7</v>
      </c>
      <c r="Y140" s="207">
        <f>IF('Core Indicators'!FC137="x","x",IF('Core Indicators'!FC137&gt;=5,5,IF('Core Indicators'!FC137&gt;=4,4,IF('Core Indicators'!FC137&gt;=3,3,IF('Core Indicators'!FC137&gt;=2,2,IF('Core Indicators'!FC137&gt;=1,1,0))))))</f>
        <v>2</v>
      </c>
      <c r="Z140" s="183">
        <f t="shared" si="53"/>
        <v>2</v>
      </c>
      <c r="AA140" s="207">
        <f>'Crisis Indicator Data'!Y137</f>
        <v>0</v>
      </c>
      <c r="AB140" s="207">
        <f>'Crisis Indicator Data'!Z137</f>
        <v>0</v>
      </c>
      <c r="AC140" s="207">
        <f>'Crisis Indicator Data'!AA137</f>
        <v>0</v>
      </c>
      <c r="AD140" s="207">
        <f>'Crisis Indicator Data'!AB137</f>
        <v>0</v>
      </c>
      <c r="AE140" s="207">
        <f t="shared" si="56"/>
        <v>0</v>
      </c>
      <c r="AF140" s="207">
        <f>'Crisis Indicator Data'!AC137</f>
        <v>0</v>
      </c>
      <c r="AG140" s="207">
        <f>'Crisis Indicator Data'!AD137</f>
        <v>0</v>
      </c>
      <c r="AH140" s="207">
        <f t="shared" si="57"/>
        <v>0</v>
      </c>
      <c r="AI140" s="207">
        <f>'Crisis Indicator Data'!AE137</f>
        <v>0</v>
      </c>
      <c r="AJ140" s="207">
        <f>'Crisis Indicator Data'!AF137</f>
        <v>1</v>
      </c>
      <c r="AK140" s="207">
        <f>'Crisis Indicator Data'!AG137</f>
        <v>2</v>
      </c>
      <c r="AL140" s="207">
        <f t="shared" si="58"/>
        <v>3</v>
      </c>
      <c r="AM140" s="183">
        <f t="shared" si="54"/>
        <v>1</v>
      </c>
      <c r="AN140" s="183">
        <f t="shared" si="55"/>
        <v>1.5</v>
      </c>
    </row>
    <row r="141" spans="1:40" ht="13.5" customHeight="1" x14ac:dyDescent="0.3">
      <c r="A141" s="194" t="str">
        <f>'Crisis Indicator Data'!A138</f>
        <v>Floods and Landslides in Uganda</v>
      </c>
      <c r="B141" s="195" t="str">
        <f>'Crisis Indicator Data'!B138</f>
        <v>Flood</v>
      </c>
      <c r="C141" s="195" t="str">
        <f>'Crisis Indicator Data'!C138</f>
        <v>UGA006</v>
      </c>
      <c r="D141" s="195" t="str">
        <f>'Crisis Indicator Data'!D138</f>
        <v>Uganda</v>
      </c>
      <c r="E141" s="196" t="str">
        <f>'Crisis Indicator Data'!E138</f>
        <v>UGA</v>
      </c>
      <c r="F141" s="183">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83">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2.4</v>
      </c>
      <c r="H141" s="183">
        <f t="shared" ref="H141:H142" si="59">IF(AND(F141="x",G141="x"),"x",AVERAGE(F141,G141))</f>
        <v>2.4500000000000002</v>
      </c>
      <c r="I141" s="183">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4.5999999999999996</v>
      </c>
      <c r="J141" s="183">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2.4</v>
      </c>
      <c r="K141" s="183">
        <f t="shared" ref="K141:K142" si="60">IF(AND(I141="x",J141="x"),"x",AVERAGE(I141,J141))</f>
        <v>3.5</v>
      </c>
      <c r="L141" s="183">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3.5</v>
      </c>
      <c r="M141" s="183">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2.2000000000000002</v>
      </c>
      <c r="N141" s="183">
        <f t="shared" ref="N141:N142" si="61">IF(AND(L141="x",M141="x"),"x",AVERAGE(L141,M141))</f>
        <v>2.85</v>
      </c>
      <c r="O141" s="183">
        <f t="shared" ref="O141:O142" si="62">AVERAGE(H141,K141,N141)</f>
        <v>2.9333333333333336</v>
      </c>
      <c r="P141" s="183">
        <f>IF(B141="Regional crisis",VLOOKUP(C141,'Regional Crises'!$B$1:$R$69,12,FALSE),VLOOKUP(E141,'Country Indicator Data'!$B$4:$I$194,8,FALSE))</f>
        <v>3</v>
      </c>
      <c r="Q141" s="183">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1.6</v>
      </c>
      <c r="R141" s="183">
        <f t="shared" ref="R141:R142" si="63">AVERAGE(P141:Q141)</f>
        <v>2.2999999999999998</v>
      </c>
      <c r="S141" s="183">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3.6</v>
      </c>
      <c r="T141" s="183">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2.8</v>
      </c>
      <c r="U141" s="183">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2.4</v>
      </c>
      <c r="V141" s="183">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3.3</v>
      </c>
      <c r="W141" s="183">
        <f t="shared" ref="W141:W142" si="64">IF(AND(S141="x",V141="x"),"x",ROUND(AVERAGE(S141,V141,T141,U141),1))</f>
        <v>3</v>
      </c>
      <c r="X141" s="183">
        <f t="shared" ref="X141:X142" si="65">ROUND(AVERAGE(O141,W141,R141),1)</f>
        <v>2.7</v>
      </c>
      <c r="Y141" s="207">
        <f>IF('Core Indicators'!FC138="x","x",IF('Core Indicators'!FC138&gt;=5,5,IF('Core Indicators'!FC138&gt;=4,4,IF('Core Indicators'!FC138&gt;=3,3,IF('Core Indicators'!FC138&gt;=2,2,IF('Core Indicators'!FC138&gt;=1,1,0))))))</f>
        <v>3</v>
      </c>
      <c r="Z141" s="183">
        <f t="shared" ref="Z141:Z142" si="66">Y141</f>
        <v>3</v>
      </c>
      <c r="AA141" s="207" t="str">
        <f>'Crisis Indicator Data'!Y138</f>
        <v>x</v>
      </c>
      <c r="AB141" s="207" t="str">
        <f>'Crisis Indicator Data'!Z138</f>
        <v>x</v>
      </c>
      <c r="AC141" s="207" t="str">
        <f>'Crisis Indicator Data'!AA138</f>
        <v>x</v>
      </c>
      <c r="AD141" s="207" t="str">
        <f>'Crisis Indicator Data'!AB138</f>
        <v>x</v>
      </c>
      <c r="AE141" s="207">
        <f t="shared" si="56"/>
        <v>0</v>
      </c>
      <c r="AF141" s="207" t="str">
        <f>'Crisis Indicator Data'!AC138</f>
        <v>x</v>
      </c>
      <c r="AG141" s="207" t="str">
        <f>'Crisis Indicator Data'!AD138</f>
        <v>x</v>
      </c>
      <c r="AH141" s="207">
        <f t="shared" si="57"/>
        <v>0</v>
      </c>
      <c r="AI141" s="207" t="str">
        <f>'Crisis Indicator Data'!AE138</f>
        <v>x</v>
      </c>
      <c r="AJ141" s="207" t="str">
        <f>'Crisis Indicator Data'!AF138</f>
        <v>x</v>
      </c>
      <c r="AK141" s="207" t="str">
        <f>'Crisis Indicator Data'!AG138</f>
        <v>x</v>
      </c>
      <c r="AL141" s="207">
        <f t="shared" si="58"/>
        <v>0</v>
      </c>
      <c r="AM141" s="183">
        <f t="shared" si="54"/>
        <v>0</v>
      </c>
      <c r="AN141" s="183">
        <f t="shared" si="55"/>
        <v>1.5</v>
      </c>
    </row>
    <row r="142" spans="1:40" ht="13.5" customHeight="1" x14ac:dyDescent="0.3">
      <c r="A142" s="194" t="str">
        <f>'Crisis Indicator Data'!A139</f>
        <v>Conflict in Ukraine</v>
      </c>
      <c r="B142" s="195" t="str">
        <f>'Crisis Indicator Data'!B139</f>
        <v>Conflict</v>
      </c>
      <c r="C142" s="195" t="str">
        <f>'Crisis Indicator Data'!C139</f>
        <v>UKR002</v>
      </c>
      <c r="D142" s="195" t="str">
        <f>'Crisis Indicator Data'!D139</f>
        <v>Ukraine</v>
      </c>
      <c r="E142" s="196" t="str">
        <f>'Crisis Indicator Data'!E139</f>
        <v>UKR</v>
      </c>
      <c r="F142" s="183">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1.4</v>
      </c>
      <c r="G142" s="183">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1.6</v>
      </c>
      <c r="H142" s="183">
        <f t="shared" si="59"/>
        <v>1.5</v>
      </c>
      <c r="I142" s="183">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1.6</v>
      </c>
      <c r="J142" s="183">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0.2</v>
      </c>
      <c r="K142" s="183">
        <f t="shared" si="60"/>
        <v>0.9</v>
      </c>
      <c r="L142" s="183">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1.9</v>
      </c>
      <c r="M142" s="183">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0.1</v>
      </c>
      <c r="N142" s="183">
        <f t="shared" si="61"/>
        <v>1</v>
      </c>
      <c r="O142" s="183">
        <f t="shared" si="62"/>
        <v>1.1333333333333333</v>
      </c>
      <c r="P142" s="183">
        <f>IF(B142="Regional crisis",VLOOKUP(C142,'Regional Crises'!$B$1:$R$69,12,FALSE),VLOOKUP(E142,'Country Indicator Data'!$B$4:$I$194,8,FALSE))</f>
        <v>4</v>
      </c>
      <c r="Q142" s="183">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1.6</v>
      </c>
      <c r="R142" s="183">
        <f t="shared" si="63"/>
        <v>2.8</v>
      </c>
      <c r="S142" s="183">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3.5</v>
      </c>
      <c r="T142" s="183">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3.2</v>
      </c>
      <c r="U142" s="183">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1.9</v>
      </c>
      <c r="V142" s="183">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1.9</v>
      </c>
      <c r="W142" s="183">
        <f t="shared" si="64"/>
        <v>2.6</v>
      </c>
      <c r="X142" s="183">
        <f t="shared" si="65"/>
        <v>2.2000000000000002</v>
      </c>
      <c r="Y142" s="207">
        <f>IF('Core Indicators'!FC139="x","x",IF('Core Indicators'!FC139&gt;=5,5,IF('Core Indicators'!FC139&gt;=4,4,IF('Core Indicators'!FC139&gt;=3,3,IF('Core Indicators'!FC139&gt;=2,2,IF('Core Indicators'!FC139&gt;=1,1,0))))))</f>
        <v>3</v>
      </c>
      <c r="Z142" s="183">
        <f t="shared" si="66"/>
        <v>3</v>
      </c>
      <c r="AA142" s="207">
        <f>'Crisis Indicator Data'!Y139</f>
        <v>2</v>
      </c>
      <c r="AB142" s="207">
        <f>'Crisis Indicator Data'!Z139</f>
        <v>3</v>
      </c>
      <c r="AC142" s="207">
        <f>'Crisis Indicator Data'!AA139</f>
        <v>2</v>
      </c>
      <c r="AD142" s="207">
        <f>'Crisis Indicator Data'!AB139</f>
        <v>0</v>
      </c>
      <c r="AE142" s="207">
        <f t="shared" si="56"/>
        <v>3</v>
      </c>
      <c r="AF142" s="207">
        <f>'Crisis Indicator Data'!AC139</f>
        <v>0</v>
      </c>
      <c r="AG142" s="207">
        <f>'Crisis Indicator Data'!AD139</f>
        <v>2</v>
      </c>
      <c r="AH142" s="207">
        <f t="shared" si="57"/>
        <v>2</v>
      </c>
      <c r="AI142" s="207">
        <f>'Crisis Indicator Data'!AE139</f>
        <v>2</v>
      </c>
      <c r="AJ142" s="207">
        <f>'Crisis Indicator Data'!AF139</f>
        <v>3</v>
      </c>
      <c r="AK142" s="207">
        <f>'Crisis Indicator Data'!AG139</f>
        <v>0</v>
      </c>
      <c r="AL142" s="207">
        <f t="shared" si="58"/>
        <v>4</v>
      </c>
      <c r="AM142" s="183">
        <f t="shared" si="54"/>
        <v>3</v>
      </c>
      <c r="AN142" s="183">
        <f t="shared" si="55"/>
        <v>3</v>
      </c>
    </row>
    <row r="143" spans="1:40" x14ac:dyDescent="0.3">
      <c r="A143" s="194" t="str">
        <f>'Crisis Indicator Data'!A140</f>
        <v>Cyclone Harold in Vanuatu</v>
      </c>
      <c r="B143" s="195" t="str">
        <f>'Crisis Indicator Data'!B140</f>
        <v>Tropical cyclone</v>
      </c>
      <c r="C143" s="195" t="str">
        <f>'Crisis Indicator Data'!C140</f>
        <v>VUT002</v>
      </c>
      <c r="D143" s="195" t="str">
        <f>'Crisis Indicator Data'!D140</f>
        <v>Vanuatu</v>
      </c>
      <c r="E143" s="196" t="str">
        <f>'Crisis Indicator Data'!E140</f>
        <v>VUT</v>
      </c>
      <c r="F143" s="183">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0.7</v>
      </c>
      <c r="G143" s="183" t="str">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x</v>
      </c>
      <c r="H143" s="183">
        <f>IF(AND(F143="x",G143="x"),"x",AVERAGE(F143,G143))</f>
        <v>0.7</v>
      </c>
      <c r="I143" s="183">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0</v>
      </c>
      <c r="J143" s="183">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0</v>
      </c>
      <c r="K143" s="183">
        <f>IF(AND(I143="x",J143="x"),"x",AVERAGE(I143,J143))</f>
        <v>0</v>
      </c>
      <c r="L143" s="183" t="str">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x</v>
      </c>
      <c r="M143" s="183">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1.6</v>
      </c>
      <c r="N143" s="183">
        <f>IF(AND(L143="x",M143="x"),"x",AVERAGE(L143,M143))</f>
        <v>1.6</v>
      </c>
      <c r="O143" s="183">
        <f>AVERAGE(H143,K143,N143)</f>
        <v>0.76666666666666661</v>
      </c>
      <c r="P143" s="183">
        <f>IF(B143="Regional crisis",VLOOKUP(C143,'Regional Crises'!$B$1:$R$69,12,FALSE),VLOOKUP(E143,'Country Indicator Data'!$B$4:$I$194,8,FALSE))</f>
        <v>0</v>
      </c>
      <c r="Q143" s="183">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0.9</v>
      </c>
      <c r="R143" s="183">
        <f>AVERAGE(P143:Q143)</f>
        <v>0.45</v>
      </c>
      <c r="S143" s="183">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2.7</v>
      </c>
      <c r="T143" s="183">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2.2999999999999998</v>
      </c>
      <c r="U143" s="183" t="str">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x</v>
      </c>
      <c r="V143" s="183">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0.9</v>
      </c>
      <c r="W143" s="183">
        <f>IF(AND(S143="x",V143="x"),"x",ROUND(AVERAGE(S143,V143,T143,U143),1))</f>
        <v>2</v>
      </c>
      <c r="X143" s="183">
        <f>ROUND(AVERAGE(O143,W143,R143),1)</f>
        <v>1.1000000000000001</v>
      </c>
      <c r="Y143" s="207">
        <f>IF('Core Indicators'!FC140="x","x",IF('Core Indicators'!FC140&gt;=5,5,IF('Core Indicators'!FC140&gt;=4,4,IF('Core Indicators'!FC140&gt;=3,3,IF('Core Indicators'!FC140&gt;=2,2,IF('Core Indicators'!FC140&gt;=1,1,0))))))</f>
        <v>1</v>
      </c>
      <c r="Z143" s="183">
        <f>Y143</f>
        <v>1</v>
      </c>
      <c r="AA143" s="207">
        <f>'Crisis Indicator Data'!Y140</f>
        <v>1</v>
      </c>
      <c r="AB143" s="207">
        <f>'Crisis Indicator Data'!Z140</f>
        <v>0</v>
      </c>
      <c r="AC143" s="207">
        <f>'Crisis Indicator Data'!AA140</f>
        <v>0</v>
      </c>
      <c r="AD143" s="207">
        <f>'Crisis Indicator Data'!AB140</f>
        <v>0</v>
      </c>
      <c r="AE143" s="207">
        <f t="shared" si="56"/>
        <v>1</v>
      </c>
      <c r="AF143" s="207">
        <f>'Crisis Indicator Data'!AC140</f>
        <v>0</v>
      </c>
      <c r="AG143" s="207">
        <f>'Crisis Indicator Data'!AD140</f>
        <v>0</v>
      </c>
      <c r="AH143" s="207">
        <f t="shared" si="57"/>
        <v>0</v>
      </c>
      <c r="AI143" s="207">
        <f>'Crisis Indicator Data'!AE140</f>
        <v>0</v>
      </c>
      <c r="AJ143" s="207">
        <f>'Crisis Indicator Data'!AF140</f>
        <v>0</v>
      </c>
      <c r="AK143" s="207">
        <f>'Crisis Indicator Data'!AG140</f>
        <v>3</v>
      </c>
      <c r="AL143" s="207">
        <f t="shared" si="58"/>
        <v>3</v>
      </c>
      <c r="AM143" s="183">
        <f t="shared" si="54"/>
        <v>1</v>
      </c>
      <c r="AN143" s="183">
        <f t="shared" si="55"/>
        <v>1</v>
      </c>
    </row>
    <row r="144" spans="1:40" x14ac:dyDescent="0.3">
      <c r="A144" s="197" t="str">
        <f>'Crisis Indicator Data'!A141</f>
        <v>Complex crisis in Venezuela</v>
      </c>
      <c r="B144" s="198" t="str">
        <f>'Crisis Indicator Data'!B141</f>
        <v>Complex crisis</v>
      </c>
      <c r="C144" s="198" t="str">
        <f>'Crisis Indicator Data'!C141</f>
        <v>VEN001</v>
      </c>
      <c r="D144" s="198" t="str">
        <f>'Crisis Indicator Data'!D141</f>
        <v>Venezuela</v>
      </c>
      <c r="E144" s="199" t="str">
        <f>'Crisis Indicator Data'!E141</f>
        <v>VEN</v>
      </c>
      <c r="F144" s="183">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2.5</v>
      </c>
      <c r="G144" s="183">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3.5</v>
      </c>
      <c r="H144" s="183">
        <f>IF(AND(F144="x",G144="x"),"x",AVERAGE(F144,G144))</f>
        <v>3</v>
      </c>
      <c r="I144" s="183">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1.3</v>
      </c>
      <c r="J144" s="183">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1.2</v>
      </c>
      <c r="K144" s="183">
        <f>IF(AND(I144="x",J144="x"),"x",AVERAGE(I144,J144))</f>
        <v>1.25</v>
      </c>
      <c r="L144" s="183">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3.1</v>
      </c>
      <c r="M144" s="183">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2.7</v>
      </c>
      <c r="N144" s="183">
        <f>IF(AND(L144="x",M144="x"),"x",AVERAGE(L144,M144))</f>
        <v>2.9000000000000004</v>
      </c>
      <c r="O144" s="183">
        <f>AVERAGE(H144,K144,N144)</f>
        <v>2.3833333333333333</v>
      </c>
      <c r="P144" s="183">
        <f>IF(B144="Regional crisis",VLOOKUP(C144,'Regional Crises'!$B$1:$R$69,12,FALSE),VLOOKUP(E144,'Country Indicator Data'!$B$4:$I$194,8,FALSE))</f>
        <v>3</v>
      </c>
      <c r="Q144" s="183">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5</v>
      </c>
      <c r="R144" s="183">
        <f>AVERAGE(P144:Q144)</f>
        <v>4</v>
      </c>
      <c r="S144" s="183">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4.2</v>
      </c>
      <c r="T144" s="183">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4.8</v>
      </c>
      <c r="U144" s="183">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4.0999999999999996</v>
      </c>
      <c r="V144" s="183">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4.2</v>
      </c>
      <c r="W144" s="183">
        <f>IF(AND(S144="x",V144="x"),"x",ROUND(AVERAGE(S144,V144,T144,U144),1))</f>
        <v>4.3</v>
      </c>
      <c r="X144" s="183">
        <f>ROUND(AVERAGE(O144,W144,R144),1)</f>
        <v>3.6</v>
      </c>
      <c r="Y144" s="207">
        <f>IF('Core Indicators'!FC141="x","x",IF('Core Indicators'!FC141&gt;=5,5,IF('Core Indicators'!FC141&gt;=4,4,IF('Core Indicators'!FC141&gt;=3,3,IF('Core Indicators'!FC141&gt;=2,2,IF('Core Indicators'!FC141&gt;=1,1,0))))))</f>
        <v>2</v>
      </c>
      <c r="Z144" s="183">
        <f>Y144</f>
        <v>2</v>
      </c>
      <c r="AA144" s="207">
        <f>'Crisis Indicator Data'!Y141</f>
        <v>2</v>
      </c>
      <c r="AB144" s="207">
        <f>'Crisis Indicator Data'!Z141</f>
        <v>2</v>
      </c>
      <c r="AC144" s="207">
        <f>'Crisis Indicator Data'!AA141</f>
        <v>3</v>
      </c>
      <c r="AD144" s="207">
        <f>'Crisis Indicator Data'!AB141</f>
        <v>0</v>
      </c>
      <c r="AE144" s="207">
        <f t="shared" si="56"/>
        <v>3</v>
      </c>
      <c r="AF144" s="207">
        <f>'Crisis Indicator Data'!AC141</f>
        <v>2</v>
      </c>
      <c r="AG144" s="207">
        <f>'Crisis Indicator Data'!AD141</f>
        <v>2</v>
      </c>
      <c r="AH144" s="207">
        <f t="shared" si="57"/>
        <v>4</v>
      </c>
      <c r="AI144" s="207">
        <f>'Crisis Indicator Data'!AE141</f>
        <v>2</v>
      </c>
      <c r="AJ144" s="207">
        <f>'Crisis Indicator Data'!AF141</f>
        <v>0</v>
      </c>
      <c r="AK144" s="207">
        <f>'Crisis Indicator Data'!AG141</f>
        <v>3</v>
      </c>
      <c r="AL144" s="207">
        <f t="shared" si="58"/>
        <v>4</v>
      </c>
      <c r="AM144" s="183">
        <f t="shared" si="54"/>
        <v>4</v>
      </c>
      <c r="AN144" s="183">
        <f t="shared" si="55"/>
        <v>3</v>
      </c>
    </row>
    <row r="145" spans="1:40" x14ac:dyDescent="0.3">
      <c r="A145" s="197" t="str">
        <f>'Crisis Indicator Data'!A142</f>
        <v>Venezuela Regional Crisis</v>
      </c>
      <c r="B145" s="198" t="str">
        <f>'Crisis Indicator Data'!B142</f>
        <v>Regional crisis</v>
      </c>
      <c r="C145" s="198" t="str">
        <f>'Crisis Indicator Data'!C142</f>
        <v>REG002</v>
      </c>
      <c r="D145" s="198" t="str">
        <f>'Crisis Indicator Data'!D142</f>
        <v>Venezuela, Brazil, Colombia, Ecuador, Peru, Trinidad and Tobago</v>
      </c>
      <c r="E145" s="199" t="str">
        <f>'Crisis Indicator Data'!E142</f>
        <v>VEN, BRA, COL, ECU, PER, TTO</v>
      </c>
      <c r="F145" s="183">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1.5</v>
      </c>
      <c r="G145" s="183">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1.7</v>
      </c>
      <c r="H145" s="183">
        <f t="shared" ref="H145:H147" si="67">IF(AND(F145="x",G145="x"),"x",AVERAGE(F145,G145))</f>
        <v>1.6</v>
      </c>
      <c r="I145" s="183">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2.4</v>
      </c>
      <c r="J145" s="183">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2.7</v>
      </c>
      <c r="K145" s="183">
        <f t="shared" ref="K145:K147" si="68">IF(AND(I145="x",J145="x"),"x",AVERAGE(I145,J145))</f>
        <v>2.5499999999999998</v>
      </c>
      <c r="L145" s="183">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2.6</v>
      </c>
      <c r="M145" s="183">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2.9</v>
      </c>
      <c r="N145" s="183">
        <f t="shared" ref="N145:N147" si="69">IF(AND(L145="x",M145="x"),"x",AVERAGE(L145,M145))</f>
        <v>2.75</v>
      </c>
      <c r="O145" s="183">
        <f t="shared" ref="O145:O147" si="70">AVERAGE(H145,K145,N145)</f>
        <v>2.3000000000000003</v>
      </c>
      <c r="P145" s="183">
        <f>IF(B145="Regional crisis",VLOOKUP(C145,'Regional Crises'!$B$1:$R$69,12,FALSE),VLOOKUP(E145,'Country Indicator Data'!$B$4:$I$194,8,FALSE))</f>
        <v>3</v>
      </c>
      <c r="Q145" s="183" t="str">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x</v>
      </c>
      <c r="R145" s="183">
        <f t="shared" ref="R145:R147" si="71">AVERAGE(P145:Q145)</f>
        <v>3</v>
      </c>
      <c r="S145" s="183">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3.3</v>
      </c>
      <c r="T145" s="183">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3.2</v>
      </c>
      <c r="U145" s="183">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v>
      </c>
      <c r="V145" s="183">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1.9</v>
      </c>
      <c r="W145" s="183">
        <f t="shared" ref="W145:W147" si="72">IF(AND(S145="x",V145="x"),"x",ROUND(AVERAGE(S145,V145,T145,U145),1))</f>
        <v>2.6</v>
      </c>
      <c r="X145" s="183">
        <f t="shared" ref="X145:X147" si="73">ROUND(AVERAGE(O145,W145,R145),1)</f>
        <v>2.6</v>
      </c>
      <c r="Y145" s="207">
        <f>IF('Core Indicators'!FC142="x","x",IF('Core Indicators'!FC142&gt;=5,5,IF('Core Indicators'!FC142&gt;=4,4,IF('Core Indicators'!FC142&gt;=3,3,IF('Core Indicators'!FC142&gt;=2,2,IF('Core Indicators'!FC142&gt;=1,1,0))))))</f>
        <v>4</v>
      </c>
      <c r="Z145" s="183">
        <f t="shared" ref="Z145:Z147" si="74">Y145</f>
        <v>4</v>
      </c>
      <c r="AA145" s="207">
        <f>'Crisis Indicator Data'!Y142</f>
        <v>0</v>
      </c>
      <c r="AB145" s="207">
        <f>'Crisis Indicator Data'!Z142</f>
        <v>0</v>
      </c>
      <c r="AC145" s="207">
        <f>'Crisis Indicator Data'!AA142</f>
        <v>0</v>
      </c>
      <c r="AD145" s="207">
        <f>'Crisis Indicator Data'!AB142</f>
        <v>2</v>
      </c>
      <c r="AE145" s="207">
        <f t="shared" ref="AE145:AE147" si="75">IF(SUM(AA145:AD145)=0,0,IF(SUM(AA145,AB145,AC145,AD145)&lt;2,1,IF(SUM(AA145:AD145)&lt;6,2,IF(SUM(AA145:AD145)&lt;8,3,IF(SUM(AA145:AD145)&lt;10,4,5)))))</f>
        <v>2</v>
      </c>
      <c r="AF145" s="207">
        <f>'Crisis Indicator Data'!AC142</f>
        <v>0</v>
      </c>
      <c r="AG145" s="207">
        <f>'Crisis Indicator Data'!AD142</f>
        <v>0</v>
      </c>
      <c r="AH145" s="207">
        <f t="shared" ref="AH145:AH147" si="76">IF(SUM(AF145:AG145)=0,0,IF(SUM(AF145,AG145)=1,1,IF(SUM(AF145:AG145)&lt;3,2,IF(SUM(AF145:AG145)&lt;4,3,IF(SUM(AF145:AG145)&lt;5,4,5)))))</f>
        <v>0</v>
      </c>
      <c r="AI145" s="207">
        <f>'Crisis Indicator Data'!AE142</f>
        <v>0</v>
      </c>
      <c r="AJ145" s="207" t="str">
        <f>'Crisis Indicator Data'!AF142</f>
        <v>x</v>
      </c>
      <c r="AK145" s="207">
        <f>'Crisis Indicator Data'!AG142</f>
        <v>0</v>
      </c>
      <c r="AL145" s="207">
        <f t="shared" ref="AL145:AL147" si="77">IF(SUM(AI145:AK145)=0,0,IF(SUM(AI145:AK145)=1,1,IF(SUM(AI145:AK145)&lt;3,2,IF(SUM(AI145:AK145)&lt;5,3,IF(SUM(AI145:AK145)&lt;7,4,5)))))</f>
        <v>0</v>
      </c>
      <c r="AM145" s="183">
        <f t="shared" ref="AM145:AM147" si="78">IF(AA145=3,5,ROUND(AVERAGE(AE145,AH145,AL145),0))</f>
        <v>1</v>
      </c>
      <c r="AN145" s="183">
        <f t="shared" ref="AN145:AN147" si="79">IF(AND(Z145="x",AM145="x"),"x",ROUND(AVERAGE(Z145,AM145),1))</f>
        <v>2.5</v>
      </c>
    </row>
    <row r="146" spans="1:40" x14ac:dyDescent="0.3">
      <c r="A146" s="197" t="str">
        <f>'Crisis Indicator Data'!A143</f>
        <v>Floods in central Vietnam</v>
      </c>
      <c r="B146" s="198" t="str">
        <f>'Crisis Indicator Data'!B143</f>
        <v>Flood</v>
      </c>
      <c r="C146" s="198" t="str">
        <f>'Crisis Indicator Data'!C143</f>
        <v>VNM002</v>
      </c>
      <c r="D146" s="198" t="str">
        <f>'Crisis Indicator Data'!D143</f>
        <v>Vietnam</v>
      </c>
      <c r="E146" s="199" t="str">
        <f>'Crisis Indicator Data'!E143</f>
        <v>VNM</v>
      </c>
      <c r="F146" s="183">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4.5999999999999996</v>
      </c>
      <c r="G146" s="183">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3.2</v>
      </c>
      <c r="H146" s="183">
        <f t="shared" si="67"/>
        <v>3.9</v>
      </c>
      <c r="I146" s="183">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1.4</v>
      </c>
      <c r="J146" s="183">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1</v>
      </c>
      <c r="K146" s="183">
        <f t="shared" si="68"/>
        <v>1.2</v>
      </c>
      <c r="L146" s="183">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2.1</v>
      </c>
      <c r="M146" s="183">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1.3</v>
      </c>
      <c r="N146" s="183">
        <f t="shared" si="69"/>
        <v>1.7000000000000002</v>
      </c>
      <c r="O146" s="183">
        <f t="shared" si="70"/>
        <v>2.2666666666666666</v>
      </c>
      <c r="P146" s="183">
        <f>IF(B146="Regional crisis",VLOOKUP(C146,'Regional Crises'!$B$1:$R$69,12,FALSE),VLOOKUP(E146,'Country Indicator Data'!$B$4:$I$194,8,FALSE))</f>
        <v>5</v>
      </c>
      <c r="Q146" s="183">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3.4</v>
      </c>
      <c r="R146" s="183">
        <f t="shared" si="71"/>
        <v>4.2</v>
      </c>
      <c r="S146" s="183">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3.2</v>
      </c>
      <c r="T146" s="183">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2.5</v>
      </c>
      <c r="U146" s="183">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3.5</v>
      </c>
      <c r="V146" s="183">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4</v>
      </c>
      <c r="W146" s="183">
        <f t="shared" si="72"/>
        <v>3.3</v>
      </c>
      <c r="X146" s="183">
        <f t="shared" si="73"/>
        <v>3.3</v>
      </c>
      <c r="Y146" s="207">
        <f>IF('Core Indicators'!FC143="x","x",IF('Core Indicators'!FC143&gt;=5,5,IF('Core Indicators'!FC143&gt;=4,4,IF('Core Indicators'!FC143&gt;=3,3,IF('Core Indicators'!FC143&gt;=2,2,IF('Core Indicators'!FC143&gt;=1,1,0))))))</f>
        <v>2</v>
      </c>
      <c r="Z146" s="183">
        <f t="shared" si="74"/>
        <v>2</v>
      </c>
      <c r="AA146" s="207">
        <f>'Crisis Indicator Data'!Y143</f>
        <v>0</v>
      </c>
      <c r="AB146" s="207">
        <f>'Crisis Indicator Data'!Z143</f>
        <v>0</v>
      </c>
      <c r="AC146" s="207">
        <f>'Crisis Indicator Data'!AA143</f>
        <v>0</v>
      </c>
      <c r="AD146" s="207">
        <f>'Crisis Indicator Data'!AB143</f>
        <v>0</v>
      </c>
      <c r="AE146" s="207">
        <f t="shared" si="75"/>
        <v>0</v>
      </c>
      <c r="AF146" s="207">
        <f>'Crisis Indicator Data'!AC143</f>
        <v>0</v>
      </c>
      <c r="AG146" s="207">
        <f>'Crisis Indicator Data'!AD143</f>
        <v>0</v>
      </c>
      <c r="AH146" s="207">
        <f t="shared" si="76"/>
        <v>0</v>
      </c>
      <c r="AI146" s="207">
        <f>'Crisis Indicator Data'!AE143</f>
        <v>0</v>
      </c>
      <c r="AJ146" s="207">
        <f>'Crisis Indicator Data'!AF143</f>
        <v>0</v>
      </c>
      <c r="AK146" s="207">
        <f>'Crisis Indicator Data'!AG143</f>
        <v>3</v>
      </c>
      <c r="AL146" s="207">
        <f t="shared" si="77"/>
        <v>3</v>
      </c>
      <c r="AM146" s="183">
        <f t="shared" si="78"/>
        <v>1</v>
      </c>
      <c r="AN146" s="183">
        <f t="shared" si="79"/>
        <v>1.5</v>
      </c>
    </row>
    <row r="147" spans="1:40" x14ac:dyDescent="0.3">
      <c r="A147" s="197" t="str">
        <f>'Crisis Indicator Data'!A144</f>
        <v>Conflict in Yemen</v>
      </c>
      <c r="B147" s="198" t="str">
        <f>'Crisis Indicator Data'!B144</f>
        <v>Complex crisis</v>
      </c>
      <c r="C147" s="198" t="str">
        <f>'Crisis Indicator Data'!C144</f>
        <v>YEM001</v>
      </c>
      <c r="D147" s="198" t="str">
        <f>'Crisis Indicator Data'!D144</f>
        <v>Yemen</v>
      </c>
      <c r="E147" s="199" t="str">
        <f>'Crisis Indicator Data'!E144</f>
        <v>YEM</v>
      </c>
      <c r="F147" s="183">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4.3</v>
      </c>
      <c r="G147" s="183">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4.3</v>
      </c>
      <c r="H147" s="183">
        <f t="shared" si="67"/>
        <v>4.3</v>
      </c>
      <c r="I147" s="183">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3.1</v>
      </c>
      <c r="J147" s="183">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v>
      </c>
      <c r="K147" s="183">
        <f t="shared" si="68"/>
        <v>1.55</v>
      </c>
      <c r="L147" s="183">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5</v>
      </c>
      <c r="M147" s="183">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1.5</v>
      </c>
      <c r="N147" s="183">
        <f t="shared" si="69"/>
        <v>3.25</v>
      </c>
      <c r="O147" s="183">
        <f t="shared" si="70"/>
        <v>3.0333333333333332</v>
      </c>
      <c r="P147" s="183">
        <f>IF(B147="Regional crisis",VLOOKUP(C147,'Regional Crises'!$B$1:$R$69,12,FALSE),VLOOKUP(E147,'Country Indicator Data'!$B$4:$I$194,8,FALSE))</f>
        <v>3</v>
      </c>
      <c r="Q147" s="183">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5</v>
      </c>
      <c r="R147" s="183">
        <f t="shared" si="71"/>
        <v>4</v>
      </c>
      <c r="S147" s="183">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4.3</v>
      </c>
      <c r="T147" s="183">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4.3</v>
      </c>
      <c r="U147" s="183">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4.4000000000000004</v>
      </c>
      <c r="V147" s="183">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4.5</v>
      </c>
      <c r="W147" s="183">
        <f t="shared" si="72"/>
        <v>4.4000000000000004</v>
      </c>
      <c r="X147" s="183">
        <f t="shared" si="73"/>
        <v>3.8</v>
      </c>
      <c r="Y147" s="207">
        <f>IF('Core Indicators'!FC144="x","x",IF('Core Indicators'!FC144&gt;=5,5,IF('Core Indicators'!FC144&gt;=4,4,IF('Core Indicators'!FC144&gt;=3,3,IF('Core Indicators'!FC144&gt;=2,2,IF('Core Indicators'!FC144&gt;=1,1,0))))))</f>
        <v>5</v>
      </c>
      <c r="Z147" s="183">
        <f t="shared" si="74"/>
        <v>5</v>
      </c>
      <c r="AA147" s="207">
        <f>'Crisis Indicator Data'!Y144</f>
        <v>2</v>
      </c>
      <c r="AB147" s="207">
        <f>'Crisis Indicator Data'!Z144</f>
        <v>3</v>
      </c>
      <c r="AC147" s="207">
        <f>'Crisis Indicator Data'!AA144</f>
        <v>3</v>
      </c>
      <c r="AD147" s="207">
        <f>'Crisis Indicator Data'!AB144</f>
        <v>3</v>
      </c>
      <c r="AE147" s="207">
        <f t="shared" si="75"/>
        <v>5</v>
      </c>
      <c r="AF147" s="207">
        <f>'Crisis Indicator Data'!AC144</f>
        <v>2</v>
      </c>
      <c r="AG147" s="207">
        <f>'Crisis Indicator Data'!AD144</f>
        <v>3</v>
      </c>
      <c r="AH147" s="207">
        <f t="shared" si="76"/>
        <v>5</v>
      </c>
      <c r="AI147" s="207">
        <f>'Crisis Indicator Data'!AE144</f>
        <v>3</v>
      </c>
      <c r="AJ147" s="207">
        <f>'Crisis Indicator Data'!AF144</f>
        <v>3</v>
      </c>
      <c r="AK147" s="207">
        <f>'Crisis Indicator Data'!AG144</f>
        <v>3</v>
      </c>
      <c r="AL147" s="207">
        <f t="shared" si="77"/>
        <v>5</v>
      </c>
      <c r="AM147" s="183">
        <f t="shared" si="78"/>
        <v>5</v>
      </c>
      <c r="AN147" s="183">
        <f t="shared" si="79"/>
        <v>5</v>
      </c>
    </row>
    <row r="148" spans="1:40" x14ac:dyDescent="0.3">
      <c r="A148" s="197" t="str">
        <f>'Crisis Indicator Data'!A145</f>
        <v>Mixed migration flows in Yemen</v>
      </c>
      <c r="B148" s="198" t="str">
        <f>'Crisis Indicator Data'!B145</f>
        <v>International displacement</v>
      </c>
      <c r="C148" s="198" t="str">
        <f>'Crisis Indicator Data'!C145</f>
        <v>YEM002</v>
      </c>
      <c r="D148" s="198" t="str">
        <f>'Crisis Indicator Data'!D145</f>
        <v>Yemen</v>
      </c>
      <c r="E148" s="199" t="str">
        <f>'Crisis Indicator Data'!E145</f>
        <v>YEM</v>
      </c>
      <c r="F148" s="183">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4.3</v>
      </c>
      <c r="G148" s="183">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4.3</v>
      </c>
      <c r="H148" s="183">
        <f t="shared" ref="H148:H151" si="80">IF(AND(F148="x",G148="x"),"x",AVERAGE(F148,G148))</f>
        <v>4.3</v>
      </c>
      <c r="I148" s="183">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3.1</v>
      </c>
      <c r="J148" s="183">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0</v>
      </c>
      <c r="K148" s="183">
        <f t="shared" ref="K148:K151" si="81">IF(AND(I148="x",J148="x"),"x",AVERAGE(I148,J148))</f>
        <v>1.55</v>
      </c>
      <c r="L148" s="183">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5</v>
      </c>
      <c r="M148" s="183">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1.5</v>
      </c>
      <c r="N148" s="183">
        <f t="shared" ref="N148:N151" si="82">IF(AND(L148="x",M148="x"),"x",AVERAGE(L148,M148))</f>
        <v>3.25</v>
      </c>
      <c r="O148" s="183">
        <f t="shared" ref="O148:O151" si="83">AVERAGE(H148,K148,N148)</f>
        <v>3.0333333333333332</v>
      </c>
      <c r="P148" s="183">
        <f>IF(B148="Regional crisis",VLOOKUP(C148,'Regional Crises'!$B$1:$R$69,12,FALSE),VLOOKUP(E148,'Country Indicator Data'!$B$4:$I$194,8,FALSE))</f>
        <v>3</v>
      </c>
      <c r="Q148" s="183">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5</v>
      </c>
      <c r="R148" s="183">
        <f t="shared" ref="R148:R151" si="84">AVERAGE(P148:Q148)</f>
        <v>4</v>
      </c>
      <c r="S148" s="183">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4.3</v>
      </c>
      <c r="T148" s="183">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4.3</v>
      </c>
      <c r="U148" s="183">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4.4000000000000004</v>
      </c>
      <c r="V148" s="183">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4.5</v>
      </c>
      <c r="W148" s="183">
        <f t="shared" ref="W148:W151" si="85">IF(AND(S148="x",V148="x"),"x",ROUND(AVERAGE(S148,V148,T148,U148),1))</f>
        <v>4.4000000000000004</v>
      </c>
      <c r="X148" s="183">
        <f t="shared" ref="X148:X151" si="86">ROUND(AVERAGE(O148,W148,R148),1)</f>
        <v>3.8</v>
      </c>
      <c r="Y148" s="207">
        <f>IF('Core Indicators'!FC145="x","x",IF('Core Indicators'!FC145&gt;=5,5,IF('Core Indicators'!FC145&gt;=4,4,IF('Core Indicators'!FC145&gt;=3,3,IF('Core Indicators'!FC145&gt;=2,2,IF('Core Indicators'!FC145&gt;=1,1,0))))))</f>
        <v>2</v>
      </c>
      <c r="Z148" s="183">
        <f t="shared" ref="Z148:Z151" si="87">Y148</f>
        <v>2</v>
      </c>
      <c r="AA148" s="207">
        <f>'Crisis Indicator Data'!Y145</f>
        <v>2</v>
      </c>
      <c r="AB148" s="207">
        <f>'Crisis Indicator Data'!Z145</f>
        <v>3</v>
      </c>
      <c r="AC148" s="207">
        <f>'Crisis Indicator Data'!AA145</f>
        <v>3</v>
      </c>
      <c r="AD148" s="207">
        <f>'Crisis Indicator Data'!AB145</f>
        <v>3</v>
      </c>
      <c r="AE148" s="207">
        <f t="shared" ref="AE148:AE151" si="88">IF(SUM(AA148:AD148)=0,0,IF(SUM(AA148,AB148,AC148,AD148)&lt;2,1,IF(SUM(AA148:AD148)&lt;6,2,IF(SUM(AA148:AD148)&lt;8,3,IF(SUM(AA148:AD148)&lt;10,4,5)))))</f>
        <v>5</v>
      </c>
      <c r="AF148" s="207">
        <f>'Crisis Indicator Data'!AC145</f>
        <v>2</v>
      </c>
      <c r="AG148" s="207">
        <f>'Crisis Indicator Data'!AD145</f>
        <v>3</v>
      </c>
      <c r="AH148" s="207">
        <f t="shared" ref="AH148:AH151" si="89">IF(SUM(AF148:AG148)=0,0,IF(SUM(AF148,AG148)=1,1,IF(SUM(AF148:AG148)&lt;3,2,IF(SUM(AF148:AG148)&lt;4,3,IF(SUM(AF148:AG148)&lt;5,4,5)))))</f>
        <v>5</v>
      </c>
      <c r="AI148" s="207">
        <f>'Crisis Indicator Data'!AE145</f>
        <v>3</v>
      </c>
      <c r="AJ148" s="207">
        <f>'Crisis Indicator Data'!AF145</f>
        <v>3</v>
      </c>
      <c r="AK148" s="207">
        <f>'Crisis Indicator Data'!AG145</f>
        <v>3</v>
      </c>
      <c r="AL148" s="207">
        <f t="shared" ref="AL148:AL151" si="90">IF(SUM(AI148:AK148)=0,0,IF(SUM(AI148:AK148)=1,1,IF(SUM(AI148:AK148)&lt;3,2,IF(SUM(AI148:AK148)&lt;5,3,IF(SUM(AI148:AK148)&lt;7,4,5)))))</f>
        <v>5</v>
      </c>
      <c r="AM148" s="183">
        <f t="shared" ref="AM148:AM151" si="91">IF(AA148=3,5,ROUND(AVERAGE(AE148,AH148,AL148),0))</f>
        <v>5</v>
      </c>
      <c r="AN148" s="183">
        <f t="shared" ref="AN148:AN151" si="92">IF(AND(Z148="x",AM148="x"),"x",ROUND(AVERAGE(Z148,AM148),1))</f>
        <v>3.5</v>
      </c>
    </row>
    <row r="149" spans="1:40" x14ac:dyDescent="0.3">
      <c r="A149" s="197" t="str">
        <f>'Crisis Indicator Data'!A146</f>
        <v>Drought in Zambia</v>
      </c>
      <c r="B149" s="198" t="str">
        <f>'Crisis Indicator Data'!B146</f>
        <v>Drought</v>
      </c>
      <c r="C149" s="198" t="str">
        <f>'Crisis Indicator Data'!C146</f>
        <v>ZMB002</v>
      </c>
      <c r="D149" s="198" t="str">
        <f>'Crisis Indicator Data'!D146</f>
        <v>Zambia</v>
      </c>
      <c r="E149" s="199" t="str">
        <f>'Crisis Indicator Data'!E146</f>
        <v>ZMB</v>
      </c>
      <c r="F149" s="183">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2.1</v>
      </c>
      <c r="G149" s="183">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2.1</v>
      </c>
      <c r="H149" s="183">
        <f t="shared" si="80"/>
        <v>2.1</v>
      </c>
      <c r="I149" s="183">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3.5</v>
      </c>
      <c r="J149" s="183">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0</v>
      </c>
      <c r="K149" s="183">
        <f t="shared" si="81"/>
        <v>1.75</v>
      </c>
      <c r="L149" s="183">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3.6</v>
      </c>
      <c r="M149" s="183">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4</v>
      </c>
      <c r="N149" s="183">
        <f t="shared" si="82"/>
        <v>3.8</v>
      </c>
      <c r="O149" s="183">
        <f t="shared" si="83"/>
        <v>2.5500000000000003</v>
      </c>
      <c r="P149" s="183">
        <f>IF(B149="Regional crisis",VLOOKUP(C149,'Regional Crises'!$B$1:$R$69,12,FALSE),VLOOKUP(E149,'Country Indicator Data'!$B$4:$I$194,8,FALSE))</f>
        <v>0</v>
      </c>
      <c r="Q149" s="183" t="str">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x</v>
      </c>
      <c r="R149" s="183">
        <f t="shared" si="84"/>
        <v>0</v>
      </c>
      <c r="S149" s="183">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3.3</v>
      </c>
      <c r="T149" s="183">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3</v>
      </c>
      <c r="U149" s="183">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2.9</v>
      </c>
      <c r="V149" s="183">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2.2999999999999998</v>
      </c>
      <c r="W149" s="183">
        <f t="shared" si="85"/>
        <v>2.9</v>
      </c>
      <c r="X149" s="183">
        <f t="shared" si="86"/>
        <v>1.8</v>
      </c>
      <c r="Y149" s="207">
        <f>IF('Core Indicators'!FC146="x","x",IF('Core Indicators'!FC146&gt;=5,5,IF('Core Indicators'!FC146&gt;=4,4,IF('Core Indicators'!FC146&gt;=3,3,IF('Core Indicators'!FC146&gt;=2,2,IF('Core Indicators'!FC146&gt;=1,1,0))))))</f>
        <v>3</v>
      </c>
      <c r="Z149" s="183">
        <f t="shared" si="87"/>
        <v>3</v>
      </c>
      <c r="AA149" s="207">
        <f>'Crisis Indicator Data'!Y146</f>
        <v>0</v>
      </c>
      <c r="AB149" s="207">
        <f>'Crisis Indicator Data'!Z146</f>
        <v>0</v>
      </c>
      <c r="AC149" s="207">
        <f>'Crisis Indicator Data'!AA146</f>
        <v>0</v>
      </c>
      <c r="AD149" s="207">
        <f>'Crisis Indicator Data'!AB146</f>
        <v>0</v>
      </c>
      <c r="AE149" s="207">
        <f t="shared" si="88"/>
        <v>0</v>
      </c>
      <c r="AF149" s="207">
        <f>'Crisis Indicator Data'!AC146</f>
        <v>0</v>
      </c>
      <c r="AG149" s="207">
        <f>'Crisis Indicator Data'!AD146</f>
        <v>0</v>
      </c>
      <c r="AH149" s="207">
        <f t="shared" si="89"/>
        <v>0</v>
      </c>
      <c r="AI149" s="207">
        <f>'Crisis Indicator Data'!AE146</f>
        <v>0</v>
      </c>
      <c r="AJ149" s="207">
        <f>'Crisis Indicator Data'!AF146</f>
        <v>0</v>
      </c>
      <c r="AK149" s="207">
        <f>'Crisis Indicator Data'!AG146</f>
        <v>0</v>
      </c>
      <c r="AL149" s="207">
        <f t="shared" si="90"/>
        <v>0</v>
      </c>
      <c r="AM149" s="183">
        <f t="shared" si="91"/>
        <v>0</v>
      </c>
      <c r="AN149" s="183">
        <f t="shared" si="92"/>
        <v>1.5</v>
      </c>
    </row>
    <row r="150" spans="1:40" x14ac:dyDescent="0.3">
      <c r="A150" s="197" t="str">
        <f>'Crisis Indicator Data'!A147</f>
        <v>Complex crisis in Zimbabwe</v>
      </c>
      <c r="B150" s="198" t="str">
        <f>'Crisis Indicator Data'!B147</f>
        <v>Complex crisis</v>
      </c>
      <c r="C150" s="198" t="str">
        <f>'Crisis Indicator Data'!C147</f>
        <v>ZWE001</v>
      </c>
      <c r="D150" s="198" t="str">
        <f>'Crisis Indicator Data'!D147</f>
        <v>Zimbabwe</v>
      </c>
      <c r="E150" s="199" t="str">
        <f>'Crisis Indicator Data'!E147</f>
        <v>ZWE</v>
      </c>
      <c r="F150" s="183">
        <f>IF(B150="Regional crisis",(IF(VLOOKUP($C150,'Regional Crises'!$B$1:$R$66,7,FALSE)="x","x",ROUND(IF(VLOOKUP($C150,'Regional Crises'!$B$1:$R$66,7,FALSE)&gt;$F$3,5,IF(VLOOKUP($C150,'Regional Crises'!$B$1:$R$66,7,FALSE)&lt;F$4,0,($F$3-VLOOKUP($C150,'Regional Crises'!$B$1:$R$66,7,FALSE))/($F$3-$F$4)*5)),1))),IF(VLOOKUP($E150,'Country Indicator Data'!$B$4:$N$194,3,FALSE)="x","x",ROUND(IF(VLOOKUP($E150,'Country Indicator Data'!$B$4:$N$194,3,FALSE)&gt;$F$3,5,IF(VLOOKUP($E150,'Country Indicator Data'!$B$4:$N$194,3,FALSE)&lt;$F$4,0,($F$3-VLOOKUP($E150,'Country Indicator Data'!$B$4:$N$194,3,FALSE))/($F$3-$F$4)*5)),1)))</f>
        <v>5</v>
      </c>
      <c r="G150" s="183">
        <f>IF(B150="Regional crisis",(IF(VLOOKUP($C150,'Regional Crises'!$B$1:$R$66,9,FALSE)="x","x",ROUND(IF(VLOOKUP($C150,'Regional Crises'!$B$1:$R$66,9,FALSE)&gt;G$3,5,IF(VLOOKUP($C150,'Regional Crises'!$B$1:$R$66,9,FALSE)&lt;G$4,0,(G$3-VLOOKUP($C150,'Regional Crises'!$B$1:$R$66,9,FALSE))/(G$3-G$4)*5)),1))),IF(VLOOKUP($E150,'Country Indicator Data'!$B$4:$N$194,5,FALSE)="x","x",ROUND(IF(VLOOKUP($E150,'Country Indicator Data'!$B$4:$N$194,5,FALSE)&gt;G$3,5,IF(VLOOKUP($E150,'Country Indicator Data'!$B$4:$N$194,5,FALSE)&lt;G$4,0,(G$3-VLOOKUP($E150,'Country Indicator Data'!$B$4:$N$194,5,FALSE))/(G$3-G$4)*5)),1)))</f>
        <v>2.8</v>
      </c>
      <c r="H150" s="183">
        <f t="shared" si="80"/>
        <v>3.9</v>
      </c>
      <c r="I150" s="183">
        <f>IF(B150="Regional crisis",(IF(VLOOKUP($C150,'Regional Crises'!$B$1:$R$66,6,FALSE)="x","x",ROUND(IF(VLOOKUP($C150,'Regional Crises'!$B$1:$R$66,6,FALSE)&gt;I$3,5,IF(VLOOKUP($C150,'Regional Crises'!$B$1:$R$66,6,FALSE)&lt;I$4,0,5-(I$3-VLOOKUP($C150,'Regional Crises'!$B$1:$R$66,6,FALSE))/(I$3-I$4)*5)),1))),IF(VLOOKUP($E150,'Country Indicator Data'!$B$4:$N$194,2,FALSE)="x","x",ROUND(IF(VLOOKUP($E150,'Country Indicator Data'!$B$4:$N$194,2,FALSE)&gt;I$3,5,IF(VLOOKUP($E150,'Country Indicator Data'!$B$4:$N$194,2,FALSE)&lt;I$4,0,5-(I$3-VLOOKUP($E150,'Country Indicator Data'!$B$4:$N$194,2,FALSE))/(I$3-I$4)*5)),1)))</f>
        <v>1.5</v>
      </c>
      <c r="J150" s="183">
        <f>IF(B150="Regional crisis",(IF(VLOOKUP($C150,'Regional Crises'!$B$1:$R$66,8,FALSE)="x","x",ROUND(IF(VLOOKUP($C150,'Regional Crises'!$B$1:$R$66,8,FALSE)&gt;J$3,5,IF(VLOOKUP($C150,'Regional Crises'!$B$1:$R$66,8,FALSE)&lt;J$4,0,5-(J$3-VLOOKUP($C150,'Regional Crises'!$B$1:$R$66,8,FALSE))/(J$3-J$4)*5)),1))),IF(VLOOKUP($E150,'Country Indicator Data'!$B$4:$N$194,4,FALSE)="x","x",ROUND(IF(VLOOKUP($E150,'Country Indicator Data'!$B$4:$N$194,4,FALSE)&gt;J$3,5,IF(VLOOKUP($E150,'Country Indicator Data'!$B$4:$N$194,4,FALSE)&lt;J$4,0,5-(J$3-VLOOKUP($E150,'Country Indicator Data'!$B$4:$N$194,4,FALSE))/(J$3-J$4)*5)),1)))</f>
        <v>0.3</v>
      </c>
      <c r="K150" s="183">
        <f t="shared" si="81"/>
        <v>0.9</v>
      </c>
      <c r="L150" s="183">
        <f>IF(B150="Regional crisis",(IF(VLOOKUP($C150,'Regional Crises'!$B$1:$R$66,10,FALSE)="x","x",ROUND(IF(VLOOKUP($C150,'Regional Crises'!$B$1:$R$66,10,FALSE)&gt;L$3,5,IF(VLOOKUP($C150,'Regional Crises'!$B$1:$R$66,10,FALSE)&lt;L$4,0,5-(L$3-VLOOKUP($C150,'Regional Crises'!$B$1:$R$66,10,FALSE))/(L$3-L$4)*5)),1))),IF(VLOOKUP($E150,'Country Indicator Data'!$B$4:$N$194,6,FALSE)="x","x",ROUND(IF(VLOOKUP($E150,'Country Indicator Data'!$B$4:$N$194,6,FALSE)&gt;L$3,5,IF(VLOOKUP($E150,'Country Indicator Data'!$B$4:$N$194,6,FALSE)&lt;L$4,0,5-(L$3-VLOOKUP($E150,'Country Indicator Data'!$B$4:$N$194,6,FALSE))/(L$3-L$4)*5)),1)))</f>
        <v>3.5</v>
      </c>
      <c r="M150" s="183">
        <f>IF(B150="Regional crisis",(IF(VLOOKUP($C150,'Regional Crises'!$B$1:$R$66,11,FALSE)="x","x",ROUND(IF(VLOOKUP($C150,'Regional Crises'!$B$1:$R$66,11,FALSE)&gt;M$3,5,IF(VLOOKUP($C150,'Regional Crises'!$B$1:$R$66,11,FALSE)&lt;M$4,0,5-(M$3-VLOOKUP($C150,'Regional Crises'!$B$1:$R$66,11,FALSE))/(M$3-M$4)*5)),1))),IF(VLOOKUP($E150,'Country Indicator Data'!$B$4:$N$194,7,FALSE)="x","x",ROUND(IF(VLOOKUP($E150,'Country Indicator Data'!$B$4:$N$194,7,FALSE)&gt;M$3,5,IF(VLOOKUP($E150,'Country Indicator Data'!$B$4:$N$194,7,FALSE)&lt;M$4,0,5-(M$3-VLOOKUP($E150,'Country Indicator Data'!$B$4:$N$194,7,FALSE))/(M$3-M$4)*5)),1)))</f>
        <v>2.4</v>
      </c>
      <c r="N150" s="183">
        <f t="shared" si="82"/>
        <v>2.95</v>
      </c>
      <c r="O150" s="183">
        <f t="shared" si="83"/>
        <v>2.5833333333333335</v>
      </c>
      <c r="P150" s="183">
        <f>IF(B150="Regional crisis",VLOOKUP(C150,'Regional Crises'!$B$1:$R$69,12,FALSE),VLOOKUP(E150,'Country Indicator Data'!$B$4:$I$194,8,FALSE))</f>
        <v>3</v>
      </c>
      <c r="Q150" s="183">
        <f>IF($B150="Regional crisis",((IF(VLOOKUP($C150,'Regional Crises'!$B$1:$R$66,13,FALSE)="x","x",ROUND(IF(VLOOKUP($C150,'Regional Crises'!$B$1:$R$66,13,FALSE)&gt;Q$3,5,IF(VLOOKUP($C150,'Regional Crises'!$B$1:$R$66,13,FALSE)&lt;Q$4,0,5-(LOG(Q$3)-LOG(VLOOKUP($C150,'Regional Crises'!$B$1:$R$66,13,FALSE)))/(LOG(Q$3)-LOG(Q$4))*5)),1)))),(IF(VLOOKUP($E150,'Country Indicator Data'!$B$4:$N$194,9,FALSE)="x","x",ROUND(IF(VLOOKUP($E150,'Country Indicator Data'!$B$4:$N$194,9,FALSE)&gt;Q$3,5,IF(VLOOKUP($E150,'Country Indicator Data'!$B$4:$N$194,9,FALSE)&lt;Q$4,0,5-(LOG(Q$3)-LOG(VLOOKUP($E150,'Country Indicator Data'!$B$4:$N$194,9,FALSE)))/(LOG(Q$3)-LOG(Q$4))*5)),1))))</f>
        <v>3.7</v>
      </c>
      <c r="R150" s="183">
        <f t="shared" si="84"/>
        <v>3.35</v>
      </c>
      <c r="S150" s="183">
        <f>IF(B150="Regional crisis",((IF(VLOOKUP($C150,'Regional Crises'!$B$1:$R$66,17,FALSE)="x","x",ROUND(IF(VLOOKUP($C150,'Regional Crises'!$B$1:$R$66,17,FALSE)&gt;S$3,0,IF(VLOOKUP($C150,'Regional Crises'!$B$1:$R$66,17,FALSE)&lt;S$4,5,(S$3-VLOOKUP($C150,'Regional Crises'!$B$1:$R$66,17,FALSE))/(S$3-S$4)*5)),1)))),(IF(VLOOKUP($E150,'Country Indicator Data'!$B$4:$N$194,13,FALSE)="x","x",ROUND(IF(VLOOKUP($E150,'Country Indicator Data'!$B$4:$N$194,13,FALSE)&gt;S$3,0,IF(VLOOKUP($E150,'Country Indicator Data'!$B$4:$N$194,13,FALSE)&lt;S$4,5,(S$3-VLOOKUP($E150,'Country Indicator Data'!$B$4:$N$194,13,FALSE))/(S$3-S$4)*5)),1))))</f>
        <v>3.8</v>
      </c>
      <c r="T150" s="183">
        <f>IF(B150="Regional crisis",((IF(VLOOKUP($C150,'Regional Crises'!$B$1:$R$66,14,FALSE)="x","x",ROUND(IF(VLOOKUP($C150,'Regional Crises'!$B$1:$R$66,14,FALSE)&gt;T$3,0,IF(VLOOKUP($C150,'Regional Crises'!$B$1:$R$66,14,FALSE)&lt;T$4,5,(T$3-VLOOKUP($C150,'Regional Crises'!$B$1:$R$66,14,FALSE))/(T$3-T$4)*5)),1)))),(IF(VLOOKUP($E150,'Country Indicator Data'!$B$4:$N$194,10,FALSE)="x","x",ROUND(IF(VLOOKUP($E150,'Country Indicator Data'!$B$4:$N$194,10,FALSE)&gt;T$3,0,IF(VLOOKUP($E150,'Country Indicator Data'!$B$4:$N$194,10,FALSE)&lt;T$4,5,(T$3-VLOOKUP($E150,'Country Indicator Data'!$B$4:$N$194,10,FALSE))/(T$3-T$4)*5)),1))))</f>
        <v>3.8</v>
      </c>
      <c r="U150" s="183">
        <f>IF(B150="Regional crisis",((IF(VLOOKUP($C150,'Regional Crises'!$B$1:$R$66,15,FALSE)="x","x",ROUND(IF(VLOOKUP($C150,'Regional Crises'!$B$1:$R$66,15,FALSE)&gt;U$3,0,IF(VLOOKUP($C150,'Regional Crises'!$B$1:$R$66,15,FALSE)&lt;U$4,5,(U$3-VLOOKUP($C150,'Regional Crises'!$B$1:$R$66,15,FALSE))/(U$3-U$4)*5)),1)))),(IF(VLOOKUP($E150,'Country Indicator Data'!$B$4:$N$194,11,FALSE)="x","x",ROUND(IF(VLOOKUP($E150,'Country Indicator Data'!$B$4:$N$194,11,FALSE)&gt;U$3,0,IF(VLOOKUP($E150,'Country Indicator Data'!$B$4:$N$194,11,FALSE)&lt;U$4,5,(U$3-VLOOKUP($E150,'Country Indicator Data'!$B$4:$N$194,11,FALSE))/(U$3-U$4)*5)),1))))</f>
        <v>3.4</v>
      </c>
      <c r="V150" s="183">
        <f>IF(B150="Regional crisis",((IF(VLOOKUP($C150,'Regional Crises'!$B$1:$R$66,16,FALSE)="x","x",ROUND(IF(VLOOKUP($C150,'Regional Crises'!$B$1:$R$66,16,FALSE)&gt;V$3,0,IF(VLOOKUP($C150,'Regional Crises'!$B$1:$R$66,16,FALSE)&lt;V$4,5,(V$3-VLOOKUP($C150,'Regional Crises'!$B$1:$R$66,16,FALSE))/(V$3-V$4)*5)),1)))),(IF(VLOOKUP($E150,'Country Indicator Data'!$B$4:$N$194,12,FALSE)="x","x",ROUND(IF(VLOOKUP($E150,'Country Indicator Data'!$B$4:$N$194,12,FALSE)&gt;V$3,0,IF(VLOOKUP($E150,'Country Indicator Data'!$B$4:$N$194,12,FALSE)&lt;V$4,5,(V$3-VLOOKUP($E150,'Country Indicator Data'!$B$4:$N$194,12,FALSE))/(V$3-V$4)*5)),1))))</f>
        <v>3.6</v>
      </c>
      <c r="W150" s="183">
        <f t="shared" si="85"/>
        <v>3.7</v>
      </c>
      <c r="X150" s="183">
        <f t="shared" si="86"/>
        <v>3.2</v>
      </c>
      <c r="Y150" s="207">
        <f>IF('Core Indicators'!FC147="x","x",IF('Core Indicators'!FC147&gt;=5,5,IF('Core Indicators'!FC147&gt;=4,4,IF('Core Indicators'!FC147&gt;=3,3,IF('Core Indicators'!FC147&gt;=2,2,IF('Core Indicators'!FC147&gt;=1,1,0))))))</f>
        <v>5</v>
      </c>
      <c r="Z150" s="183">
        <f t="shared" si="87"/>
        <v>5</v>
      </c>
      <c r="AA150" s="207">
        <f>'Crisis Indicator Data'!Y147</f>
        <v>0</v>
      </c>
      <c r="AB150" s="207">
        <f>'Crisis Indicator Data'!Z147</f>
        <v>0</v>
      </c>
      <c r="AC150" s="207">
        <f>'Crisis Indicator Data'!AA147</f>
        <v>0</v>
      </c>
      <c r="AD150" s="207">
        <f>'Crisis Indicator Data'!AB147</f>
        <v>0</v>
      </c>
      <c r="AE150" s="207">
        <f t="shared" si="88"/>
        <v>0</v>
      </c>
      <c r="AF150" s="207">
        <f>'Crisis Indicator Data'!AC147</f>
        <v>0</v>
      </c>
      <c r="AG150" s="207">
        <f>'Crisis Indicator Data'!AD147</f>
        <v>0</v>
      </c>
      <c r="AH150" s="207">
        <f t="shared" si="89"/>
        <v>0</v>
      </c>
      <c r="AI150" s="207">
        <f>'Crisis Indicator Data'!AE147</f>
        <v>0</v>
      </c>
      <c r="AJ150" s="207" t="str">
        <f>'Crisis Indicator Data'!AF147</f>
        <v>x</v>
      </c>
      <c r="AK150" s="207">
        <f>'Crisis Indicator Data'!AG147</f>
        <v>2</v>
      </c>
      <c r="AL150" s="207">
        <f t="shared" si="90"/>
        <v>2</v>
      </c>
      <c r="AM150" s="183">
        <f t="shared" si="91"/>
        <v>1</v>
      </c>
      <c r="AN150" s="183">
        <f t="shared" si="92"/>
        <v>3</v>
      </c>
    </row>
    <row r="151" spans="1:40" x14ac:dyDescent="0.3">
      <c r="A151" s="197" t="str">
        <f>'Crisis Indicator Data'!A148</f>
        <v>Malaria Outbreak in Zimbabwe</v>
      </c>
      <c r="B151" s="198" t="str">
        <f>'Crisis Indicator Data'!B148</f>
        <v>Epidemic</v>
      </c>
      <c r="C151" s="198" t="str">
        <f>'Crisis Indicator Data'!C148</f>
        <v>ZWE003</v>
      </c>
      <c r="D151" s="198" t="str">
        <f>'Crisis Indicator Data'!D148</f>
        <v>Zimbabwe</v>
      </c>
      <c r="E151" s="199" t="str">
        <f>'Crisis Indicator Data'!E148</f>
        <v>ZWE</v>
      </c>
      <c r="F151" s="183">
        <f>IF(B151="Regional crisis",(IF(VLOOKUP($C151,'Regional Crises'!$B$1:$R$66,7,FALSE)="x","x",ROUND(IF(VLOOKUP($C151,'Regional Crises'!$B$1:$R$66,7,FALSE)&gt;$F$3,5,IF(VLOOKUP($C151,'Regional Crises'!$B$1:$R$66,7,FALSE)&lt;F$4,0,($F$3-VLOOKUP($C151,'Regional Crises'!$B$1:$R$66,7,FALSE))/($F$3-$F$4)*5)),1))),IF(VLOOKUP($E151,'Country Indicator Data'!$B$4:$N$194,3,FALSE)="x","x",ROUND(IF(VLOOKUP($E151,'Country Indicator Data'!$B$4:$N$194,3,FALSE)&gt;$F$3,5,IF(VLOOKUP($E151,'Country Indicator Data'!$B$4:$N$194,3,FALSE)&lt;$F$4,0,($F$3-VLOOKUP($E151,'Country Indicator Data'!$B$4:$N$194,3,FALSE))/($F$3-$F$4)*5)),1)))</f>
        <v>5</v>
      </c>
      <c r="G151" s="183">
        <f>IF(B151="Regional crisis",(IF(VLOOKUP($C151,'Regional Crises'!$B$1:$R$66,9,FALSE)="x","x",ROUND(IF(VLOOKUP($C151,'Regional Crises'!$B$1:$R$66,9,FALSE)&gt;G$3,5,IF(VLOOKUP($C151,'Regional Crises'!$B$1:$R$66,9,FALSE)&lt;G$4,0,(G$3-VLOOKUP($C151,'Regional Crises'!$B$1:$R$66,9,FALSE))/(G$3-G$4)*5)),1))),IF(VLOOKUP($E151,'Country Indicator Data'!$B$4:$N$194,5,FALSE)="x","x",ROUND(IF(VLOOKUP($E151,'Country Indicator Data'!$B$4:$N$194,5,FALSE)&gt;G$3,5,IF(VLOOKUP($E151,'Country Indicator Data'!$B$4:$N$194,5,FALSE)&lt;G$4,0,(G$3-VLOOKUP($E151,'Country Indicator Data'!$B$4:$N$194,5,FALSE))/(G$3-G$4)*5)),1)))</f>
        <v>2.8</v>
      </c>
      <c r="H151" s="183">
        <f t="shared" si="80"/>
        <v>3.9</v>
      </c>
      <c r="I151" s="183">
        <f>IF(B151="Regional crisis",(IF(VLOOKUP($C151,'Regional Crises'!$B$1:$R$66,6,FALSE)="x","x",ROUND(IF(VLOOKUP($C151,'Regional Crises'!$B$1:$R$66,6,FALSE)&gt;I$3,5,IF(VLOOKUP($C151,'Regional Crises'!$B$1:$R$66,6,FALSE)&lt;I$4,0,5-(I$3-VLOOKUP($C151,'Regional Crises'!$B$1:$R$66,6,FALSE))/(I$3-I$4)*5)),1))),IF(VLOOKUP($E151,'Country Indicator Data'!$B$4:$N$194,2,FALSE)="x","x",ROUND(IF(VLOOKUP($E151,'Country Indicator Data'!$B$4:$N$194,2,FALSE)&gt;I$3,5,IF(VLOOKUP($E151,'Country Indicator Data'!$B$4:$N$194,2,FALSE)&lt;I$4,0,5-(I$3-VLOOKUP($E151,'Country Indicator Data'!$B$4:$N$194,2,FALSE))/(I$3-I$4)*5)),1)))</f>
        <v>1.5</v>
      </c>
      <c r="J151" s="183">
        <f>IF(B151="Regional crisis",(IF(VLOOKUP($C151,'Regional Crises'!$B$1:$R$66,8,FALSE)="x","x",ROUND(IF(VLOOKUP($C151,'Regional Crises'!$B$1:$R$66,8,FALSE)&gt;J$3,5,IF(VLOOKUP($C151,'Regional Crises'!$B$1:$R$66,8,FALSE)&lt;J$4,0,5-(J$3-VLOOKUP($C151,'Regional Crises'!$B$1:$R$66,8,FALSE))/(J$3-J$4)*5)),1))),IF(VLOOKUP($E151,'Country Indicator Data'!$B$4:$N$194,4,FALSE)="x","x",ROUND(IF(VLOOKUP($E151,'Country Indicator Data'!$B$4:$N$194,4,FALSE)&gt;J$3,5,IF(VLOOKUP($E151,'Country Indicator Data'!$B$4:$N$194,4,FALSE)&lt;J$4,0,5-(J$3-VLOOKUP($E151,'Country Indicator Data'!$B$4:$N$194,4,FALSE))/(J$3-J$4)*5)),1)))</f>
        <v>0.3</v>
      </c>
      <c r="K151" s="183">
        <f t="shared" si="81"/>
        <v>0.9</v>
      </c>
      <c r="L151" s="183">
        <f>IF(B151="Regional crisis",(IF(VLOOKUP($C151,'Regional Crises'!$B$1:$R$66,10,FALSE)="x","x",ROUND(IF(VLOOKUP($C151,'Regional Crises'!$B$1:$R$66,10,FALSE)&gt;L$3,5,IF(VLOOKUP($C151,'Regional Crises'!$B$1:$R$66,10,FALSE)&lt;L$4,0,5-(L$3-VLOOKUP($C151,'Regional Crises'!$B$1:$R$66,10,FALSE))/(L$3-L$4)*5)),1))),IF(VLOOKUP($E151,'Country Indicator Data'!$B$4:$N$194,6,FALSE)="x","x",ROUND(IF(VLOOKUP($E151,'Country Indicator Data'!$B$4:$N$194,6,FALSE)&gt;L$3,5,IF(VLOOKUP($E151,'Country Indicator Data'!$B$4:$N$194,6,FALSE)&lt;L$4,0,5-(L$3-VLOOKUP($E151,'Country Indicator Data'!$B$4:$N$194,6,FALSE))/(L$3-L$4)*5)),1)))</f>
        <v>3.5</v>
      </c>
      <c r="M151" s="183">
        <f>IF(B151="Regional crisis",(IF(VLOOKUP($C151,'Regional Crises'!$B$1:$R$66,11,FALSE)="x","x",ROUND(IF(VLOOKUP($C151,'Regional Crises'!$B$1:$R$66,11,FALSE)&gt;M$3,5,IF(VLOOKUP($C151,'Regional Crises'!$B$1:$R$66,11,FALSE)&lt;M$4,0,5-(M$3-VLOOKUP($C151,'Regional Crises'!$B$1:$R$66,11,FALSE))/(M$3-M$4)*5)),1))),IF(VLOOKUP($E151,'Country Indicator Data'!$B$4:$N$194,7,FALSE)="x","x",ROUND(IF(VLOOKUP($E151,'Country Indicator Data'!$B$4:$N$194,7,FALSE)&gt;M$3,5,IF(VLOOKUP($E151,'Country Indicator Data'!$B$4:$N$194,7,FALSE)&lt;M$4,0,5-(M$3-VLOOKUP($E151,'Country Indicator Data'!$B$4:$N$194,7,FALSE))/(M$3-M$4)*5)),1)))</f>
        <v>2.4</v>
      </c>
      <c r="N151" s="183">
        <f t="shared" si="82"/>
        <v>2.95</v>
      </c>
      <c r="O151" s="183">
        <f t="shared" si="83"/>
        <v>2.5833333333333335</v>
      </c>
      <c r="P151" s="183">
        <f>IF(B151="Regional crisis",VLOOKUP(C151,'Regional Crises'!$B$1:$R$69,12,FALSE),VLOOKUP(E151,'Country Indicator Data'!$B$4:$I$194,8,FALSE))</f>
        <v>3</v>
      </c>
      <c r="Q151" s="183">
        <f>IF($B151="Regional crisis",((IF(VLOOKUP($C151,'Regional Crises'!$B$1:$R$66,13,FALSE)="x","x",ROUND(IF(VLOOKUP($C151,'Regional Crises'!$B$1:$R$66,13,FALSE)&gt;Q$3,5,IF(VLOOKUP($C151,'Regional Crises'!$B$1:$R$66,13,FALSE)&lt;Q$4,0,5-(LOG(Q$3)-LOG(VLOOKUP($C151,'Regional Crises'!$B$1:$R$66,13,FALSE)))/(LOG(Q$3)-LOG(Q$4))*5)),1)))),(IF(VLOOKUP($E151,'Country Indicator Data'!$B$4:$N$194,9,FALSE)="x","x",ROUND(IF(VLOOKUP($E151,'Country Indicator Data'!$B$4:$N$194,9,FALSE)&gt;Q$3,5,IF(VLOOKUP($E151,'Country Indicator Data'!$B$4:$N$194,9,FALSE)&lt;Q$4,0,5-(LOG(Q$3)-LOG(VLOOKUP($E151,'Country Indicator Data'!$B$4:$N$194,9,FALSE)))/(LOG(Q$3)-LOG(Q$4))*5)),1))))</f>
        <v>3.7</v>
      </c>
      <c r="R151" s="183">
        <f t="shared" si="84"/>
        <v>3.35</v>
      </c>
      <c r="S151" s="183">
        <f>IF(B151="Regional crisis",((IF(VLOOKUP($C151,'Regional Crises'!$B$1:$R$66,17,FALSE)="x","x",ROUND(IF(VLOOKUP($C151,'Regional Crises'!$B$1:$R$66,17,FALSE)&gt;S$3,0,IF(VLOOKUP($C151,'Regional Crises'!$B$1:$R$66,17,FALSE)&lt;S$4,5,(S$3-VLOOKUP($C151,'Regional Crises'!$B$1:$R$66,17,FALSE))/(S$3-S$4)*5)),1)))),(IF(VLOOKUP($E151,'Country Indicator Data'!$B$4:$N$194,13,FALSE)="x","x",ROUND(IF(VLOOKUP($E151,'Country Indicator Data'!$B$4:$N$194,13,FALSE)&gt;S$3,0,IF(VLOOKUP($E151,'Country Indicator Data'!$B$4:$N$194,13,FALSE)&lt;S$4,5,(S$3-VLOOKUP($E151,'Country Indicator Data'!$B$4:$N$194,13,FALSE))/(S$3-S$4)*5)),1))))</f>
        <v>3.8</v>
      </c>
      <c r="T151" s="183">
        <f>IF(B151="Regional crisis",((IF(VLOOKUP($C151,'Regional Crises'!$B$1:$R$66,14,FALSE)="x","x",ROUND(IF(VLOOKUP($C151,'Regional Crises'!$B$1:$R$66,14,FALSE)&gt;T$3,0,IF(VLOOKUP($C151,'Regional Crises'!$B$1:$R$66,14,FALSE)&lt;T$4,5,(T$3-VLOOKUP($C151,'Regional Crises'!$B$1:$R$66,14,FALSE))/(T$3-T$4)*5)),1)))),(IF(VLOOKUP($E151,'Country Indicator Data'!$B$4:$N$194,10,FALSE)="x","x",ROUND(IF(VLOOKUP($E151,'Country Indicator Data'!$B$4:$N$194,10,FALSE)&gt;T$3,0,IF(VLOOKUP($E151,'Country Indicator Data'!$B$4:$N$194,10,FALSE)&lt;T$4,5,(T$3-VLOOKUP($E151,'Country Indicator Data'!$B$4:$N$194,10,FALSE))/(T$3-T$4)*5)),1))))</f>
        <v>3.8</v>
      </c>
      <c r="U151" s="183">
        <f>IF(B151="Regional crisis",((IF(VLOOKUP($C151,'Regional Crises'!$B$1:$R$66,15,FALSE)="x","x",ROUND(IF(VLOOKUP($C151,'Regional Crises'!$B$1:$R$66,15,FALSE)&gt;U$3,0,IF(VLOOKUP($C151,'Regional Crises'!$B$1:$R$66,15,FALSE)&lt;U$4,5,(U$3-VLOOKUP($C151,'Regional Crises'!$B$1:$R$66,15,FALSE))/(U$3-U$4)*5)),1)))),(IF(VLOOKUP($E151,'Country Indicator Data'!$B$4:$N$194,11,FALSE)="x","x",ROUND(IF(VLOOKUP($E151,'Country Indicator Data'!$B$4:$N$194,11,FALSE)&gt;U$3,0,IF(VLOOKUP($E151,'Country Indicator Data'!$B$4:$N$194,11,FALSE)&lt;U$4,5,(U$3-VLOOKUP($E151,'Country Indicator Data'!$B$4:$N$194,11,FALSE))/(U$3-U$4)*5)),1))))</f>
        <v>3.4</v>
      </c>
      <c r="V151" s="183">
        <f>IF(B151="Regional crisis",((IF(VLOOKUP($C151,'Regional Crises'!$B$1:$R$66,16,FALSE)="x","x",ROUND(IF(VLOOKUP($C151,'Regional Crises'!$B$1:$R$66,16,FALSE)&gt;V$3,0,IF(VLOOKUP($C151,'Regional Crises'!$B$1:$R$66,16,FALSE)&lt;V$4,5,(V$3-VLOOKUP($C151,'Regional Crises'!$B$1:$R$66,16,FALSE))/(V$3-V$4)*5)),1)))),(IF(VLOOKUP($E151,'Country Indicator Data'!$B$4:$N$194,12,FALSE)="x","x",ROUND(IF(VLOOKUP($E151,'Country Indicator Data'!$B$4:$N$194,12,FALSE)&gt;V$3,0,IF(VLOOKUP($E151,'Country Indicator Data'!$B$4:$N$194,12,FALSE)&lt;V$4,5,(V$3-VLOOKUP($E151,'Country Indicator Data'!$B$4:$N$194,12,FALSE))/(V$3-V$4)*5)),1))))</f>
        <v>3.6</v>
      </c>
      <c r="W151" s="183">
        <f t="shared" si="85"/>
        <v>3.7</v>
      </c>
      <c r="X151" s="183">
        <f t="shared" si="86"/>
        <v>3.2</v>
      </c>
      <c r="Y151" s="207">
        <f>IF('Core Indicators'!FC148="x","x",IF('Core Indicators'!FC148&gt;=5,5,IF('Core Indicators'!FC148&gt;=4,4,IF('Core Indicators'!FC148&gt;=3,3,IF('Core Indicators'!FC148&gt;=2,2,IF('Core Indicators'!FC148&gt;=1,1,0))))))</f>
        <v>2</v>
      </c>
      <c r="Z151" s="183">
        <f t="shared" si="87"/>
        <v>2</v>
      </c>
      <c r="AA151" s="207" t="str">
        <f>'Crisis Indicator Data'!Y148</f>
        <v>x</v>
      </c>
      <c r="AB151" s="207" t="str">
        <f>'Crisis Indicator Data'!Z148</f>
        <v>x</v>
      </c>
      <c r="AC151" s="207" t="str">
        <f>'Crisis Indicator Data'!AA148</f>
        <v>x</v>
      </c>
      <c r="AD151" s="207" t="str">
        <f>'Crisis Indicator Data'!AB148</f>
        <v>x</v>
      </c>
      <c r="AE151" s="207">
        <f t="shared" si="88"/>
        <v>0</v>
      </c>
      <c r="AF151" s="207" t="str">
        <f>'Crisis Indicator Data'!AC148</f>
        <v>x</v>
      </c>
      <c r="AG151" s="207" t="str">
        <f>'Crisis Indicator Data'!AD148</f>
        <v>x</v>
      </c>
      <c r="AH151" s="207">
        <f t="shared" si="89"/>
        <v>0</v>
      </c>
      <c r="AI151" s="207" t="str">
        <f>'Crisis Indicator Data'!AE148</f>
        <v>x</v>
      </c>
      <c r="AJ151" s="207" t="str">
        <f>'Crisis Indicator Data'!AF148</f>
        <v>x</v>
      </c>
      <c r="AK151" s="207" t="str">
        <f>'Crisis Indicator Data'!AG148</f>
        <v>x</v>
      </c>
      <c r="AL151" s="207">
        <f t="shared" si="90"/>
        <v>0</v>
      </c>
      <c r="AM151" s="183">
        <f t="shared" si="91"/>
        <v>0</v>
      </c>
      <c r="AN151" s="183">
        <f t="shared" si="92"/>
        <v>1</v>
      </c>
    </row>
    <row r="152" spans="1:40"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row>
    <row r="153" spans="1:40"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row>
    <row r="154" spans="1:40"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xmlns:xlrd2="http://schemas.microsoft.com/office/spreadsheetml/2017/richdata2" ref="C3:Z315">
    <sortCondition ref="C3:C315"/>
  </sortState>
  <mergeCells count="1">
    <mergeCell ref="A1:AN1"/>
  </mergeCells>
  <conditionalFormatting sqref="AN6:AN151">
    <cfRule type="cellIs" dxfId="117" priority="106" stopIfTrue="1" operator="between">
      <formula>4</formula>
      <formula>5</formula>
    </cfRule>
    <cfRule type="cellIs" dxfId="116" priority="107" stopIfTrue="1" operator="between">
      <formula>3</formula>
      <formula>4</formula>
    </cfRule>
    <cfRule type="cellIs" dxfId="115" priority="108" stopIfTrue="1" operator="between">
      <formula>2</formula>
      <formula>3</formula>
    </cfRule>
    <cfRule type="cellIs" dxfId="114" priority="109" stopIfTrue="1" operator="between">
      <formula>1</formula>
      <formula>2</formula>
    </cfRule>
    <cfRule type="cellIs" dxfId="113" priority="110" stopIfTrue="1" operator="between">
      <formula>0</formula>
      <formula>1</formula>
    </cfRule>
  </conditionalFormatting>
  <conditionalFormatting sqref="AM6:AM151">
    <cfRule type="cellIs" dxfId="112" priority="101" stopIfTrue="1" operator="between">
      <formula>4</formula>
      <formula>5</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formula>
      <formula>1</formula>
    </cfRule>
  </conditionalFormatting>
  <conditionalFormatting sqref="Z6:Z151">
    <cfRule type="cellIs" dxfId="107" priority="96" stopIfTrue="1" operator="between">
      <formula>4</formula>
      <formula>5</formula>
    </cfRule>
    <cfRule type="cellIs" dxfId="106" priority="97" stopIfTrue="1" operator="between">
      <formula>3</formula>
      <formula>4</formula>
    </cfRule>
    <cfRule type="cellIs" dxfId="105" priority="98" stopIfTrue="1" operator="between">
      <formula>2</formula>
      <formula>3</formula>
    </cfRule>
    <cfRule type="cellIs" dxfId="104" priority="99" stopIfTrue="1" operator="between">
      <formula>1</formula>
      <formula>2</formula>
    </cfRule>
    <cfRule type="cellIs" dxfId="103" priority="100" stopIfTrue="1" operator="between">
      <formula>0</formula>
      <formula>1</formula>
    </cfRule>
  </conditionalFormatting>
  <conditionalFormatting sqref="X6:X151">
    <cfRule type="cellIs" dxfId="102" priority="91" stopIfTrue="1" operator="between">
      <formula>4</formula>
      <formula>5</formula>
    </cfRule>
    <cfRule type="cellIs" dxfId="101" priority="92" stopIfTrue="1" operator="between">
      <formula>3</formula>
      <formula>4</formula>
    </cfRule>
    <cfRule type="cellIs" dxfId="100" priority="93" stopIfTrue="1" operator="between">
      <formula>2</formula>
      <formula>3</formula>
    </cfRule>
    <cfRule type="cellIs" dxfId="99" priority="94" stopIfTrue="1" operator="between">
      <formula>1</formula>
      <formula>2</formula>
    </cfRule>
    <cfRule type="cellIs" dxfId="98" priority="95" stopIfTrue="1" operator="between">
      <formula>0</formula>
      <formula>1</formula>
    </cfRule>
  </conditionalFormatting>
  <conditionalFormatting sqref="W6:W151">
    <cfRule type="cellIs" dxfId="97" priority="86" stopIfTrue="1" operator="between">
      <formula>4</formula>
      <formula>5</formula>
    </cfRule>
    <cfRule type="cellIs" dxfId="96" priority="87" stopIfTrue="1" operator="between">
      <formula>3</formula>
      <formula>4</formula>
    </cfRule>
    <cfRule type="cellIs" dxfId="95" priority="88" stopIfTrue="1" operator="between">
      <formula>2</formula>
      <formula>3</formula>
    </cfRule>
    <cfRule type="cellIs" dxfId="94" priority="89" stopIfTrue="1" operator="between">
      <formula>1</formula>
      <formula>2</formula>
    </cfRule>
    <cfRule type="cellIs" dxfId="93" priority="90" stopIfTrue="1" operator="between">
      <formula>0</formula>
      <formula>1</formula>
    </cfRule>
  </conditionalFormatting>
  <conditionalFormatting sqref="V6:V151">
    <cfRule type="cellIs" dxfId="92" priority="81" stopIfTrue="1" operator="between">
      <formula>4</formula>
      <formula>5</formula>
    </cfRule>
    <cfRule type="cellIs" dxfId="91" priority="82" stopIfTrue="1" operator="between">
      <formula>3</formula>
      <formula>4</formula>
    </cfRule>
    <cfRule type="cellIs" dxfId="90" priority="83" stopIfTrue="1" operator="between">
      <formula>2</formula>
      <formula>3</formula>
    </cfRule>
    <cfRule type="cellIs" dxfId="89" priority="84" stopIfTrue="1" operator="between">
      <formula>1</formula>
      <formula>2</formula>
    </cfRule>
    <cfRule type="cellIs" dxfId="88" priority="85" stopIfTrue="1" operator="between">
      <formula>0</formula>
      <formula>1</formula>
    </cfRule>
  </conditionalFormatting>
  <conditionalFormatting sqref="U6:U151">
    <cfRule type="cellIs" dxfId="87" priority="76" stopIfTrue="1" operator="between">
      <formula>4</formula>
      <formula>5</formula>
    </cfRule>
    <cfRule type="cellIs" dxfId="86" priority="77" stopIfTrue="1" operator="between">
      <formula>3</formula>
      <formula>4</formula>
    </cfRule>
    <cfRule type="cellIs" dxfId="85" priority="78" stopIfTrue="1" operator="between">
      <formula>2</formula>
      <formula>3</formula>
    </cfRule>
    <cfRule type="cellIs" dxfId="84" priority="79" stopIfTrue="1" operator="between">
      <formula>1</formula>
      <formula>2</formula>
    </cfRule>
    <cfRule type="cellIs" dxfId="83" priority="80" stopIfTrue="1" operator="between">
      <formula>0</formula>
      <formula>1</formula>
    </cfRule>
  </conditionalFormatting>
  <conditionalFormatting sqref="T6:T151">
    <cfRule type="cellIs" dxfId="82" priority="71" stopIfTrue="1" operator="between">
      <formula>4</formula>
      <formula>5</formula>
    </cfRule>
    <cfRule type="cellIs" dxfId="81" priority="72" stopIfTrue="1" operator="between">
      <formula>3</formula>
      <formula>4</formula>
    </cfRule>
    <cfRule type="cellIs" dxfId="80" priority="73" stopIfTrue="1" operator="between">
      <formula>2</formula>
      <formula>3</formula>
    </cfRule>
    <cfRule type="cellIs" dxfId="79" priority="74" stopIfTrue="1" operator="between">
      <formula>1</formula>
      <formula>2</formula>
    </cfRule>
    <cfRule type="cellIs" dxfId="78" priority="75" stopIfTrue="1" operator="between">
      <formula>0</formula>
      <formula>1</formula>
    </cfRule>
  </conditionalFormatting>
  <conditionalFormatting sqref="S6:S151">
    <cfRule type="cellIs" dxfId="77" priority="66" stopIfTrue="1" operator="between">
      <formula>4</formula>
      <formula>5</formula>
    </cfRule>
    <cfRule type="cellIs" dxfId="76" priority="67" stopIfTrue="1" operator="between">
      <formula>3</formula>
      <formula>4</formula>
    </cfRule>
    <cfRule type="cellIs" dxfId="75" priority="68" stopIfTrue="1" operator="between">
      <formula>2</formula>
      <formula>3</formula>
    </cfRule>
    <cfRule type="cellIs" dxfId="74" priority="69" stopIfTrue="1" operator="between">
      <formula>1</formula>
      <formula>2</formula>
    </cfRule>
    <cfRule type="cellIs" dxfId="73" priority="70" stopIfTrue="1" operator="between">
      <formula>0</formula>
      <formula>1</formula>
    </cfRule>
  </conditionalFormatting>
  <conditionalFormatting sqref="R6:R151">
    <cfRule type="cellIs" dxfId="72" priority="61" stopIfTrue="1" operator="between">
      <formula>4</formula>
      <formula>5</formula>
    </cfRule>
    <cfRule type="cellIs" dxfId="71" priority="62" stopIfTrue="1" operator="between">
      <formula>3</formula>
      <formula>4</formula>
    </cfRule>
    <cfRule type="cellIs" dxfId="70" priority="63" stopIfTrue="1" operator="between">
      <formula>2</formula>
      <formula>3</formula>
    </cfRule>
    <cfRule type="cellIs" dxfId="69" priority="64" stopIfTrue="1" operator="between">
      <formula>1</formula>
      <formula>2</formula>
    </cfRule>
    <cfRule type="cellIs" dxfId="68" priority="65" stopIfTrue="1" operator="between">
      <formula>0</formula>
      <formula>1</formula>
    </cfRule>
  </conditionalFormatting>
  <conditionalFormatting sqref="Q6:Q151">
    <cfRule type="cellIs" dxfId="67" priority="56" stopIfTrue="1" operator="between">
      <formula>4</formula>
      <formula>5</formula>
    </cfRule>
    <cfRule type="cellIs" dxfId="66" priority="57" stopIfTrue="1" operator="between">
      <formula>3</formula>
      <formula>4</formula>
    </cfRule>
    <cfRule type="cellIs" dxfId="65" priority="58" stopIfTrue="1" operator="between">
      <formula>2</formula>
      <formula>3</formula>
    </cfRule>
    <cfRule type="cellIs" dxfId="64" priority="59" stopIfTrue="1" operator="between">
      <formula>1</formula>
      <formula>2</formula>
    </cfRule>
    <cfRule type="cellIs" dxfId="63" priority="60" stopIfTrue="1" operator="between">
      <formula>0</formula>
      <formula>1</formula>
    </cfRule>
  </conditionalFormatting>
  <conditionalFormatting sqref="P6:P151">
    <cfRule type="cellIs" dxfId="62" priority="51" stopIfTrue="1" operator="between">
      <formula>4</formula>
      <formula>5</formula>
    </cfRule>
    <cfRule type="cellIs" dxfId="61" priority="52" stopIfTrue="1" operator="between">
      <formula>3</formula>
      <formula>4</formula>
    </cfRule>
    <cfRule type="cellIs" dxfId="60" priority="53" stopIfTrue="1" operator="between">
      <formula>2</formula>
      <formula>3</formula>
    </cfRule>
    <cfRule type="cellIs" dxfId="59" priority="54" stopIfTrue="1" operator="between">
      <formula>1</formula>
      <formula>2</formula>
    </cfRule>
    <cfRule type="cellIs" dxfId="58" priority="55" stopIfTrue="1" operator="between">
      <formula>0</formula>
      <formula>1</formula>
    </cfRule>
  </conditionalFormatting>
  <conditionalFormatting sqref="O6:O151">
    <cfRule type="cellIs" dxfId="57" priority="46" stopIfTrue="1" operator="between">
      <formula>4</formula>
      <formula>5</formula>
    </cfRule>
    <cfRule type="cellIs" dxfId="56" priority="47" stopIfTrue="1" operator="between">
      <formula>3</formula>
      <formula>4</formula>
    </cfRule>
    <cfRule type="cellIs" dxfId="55" priority="48" stopIfTrue="1" operator="between">
      <formula>2</formula>
      <formula>3</formula>
    </cfRule>
    <cfRule type="cellIs" dxfId="54" priority="49" stopIfTrue="1" operator="between">
      <formula>1</formula>
      <formula>2</formula>
    </cfRule>
    <cfRule type="cellIs" dxfId="53" priority="50" stopIfTrue="1" operator="between">
      <formula>0</formula>
      <formula>1</formula>
    </cfRule>
  </conditionalFormatting>
  <conditionalFormatting sqref="N6:N151">
    <cfRule type="cellIs" dxfId="52" priority="41" stopIfTrue="1" operator="between">
      <formula>4</formula>
      <formula>5</formula>
    </cfRule>
    <cfRule type="cellIs" dxfId="51" priority="42" stopIfTrue="1" operator="between">
      <formula>3</formula>
      <formula>4</formula>
    </cfRule>
    <cfRule type="cellIs" dxfId="50" priority="43" stopIfTrue="1" operator="between">
      <formula>2</formula>
      <formula>3</formula>
    </cfRule>
    <cfRule type="cellIs" dxfId="49" priority="44" stopIfTrue="1" operator="between">
      <formula>1</formula>
      <formula>2</formula>
    </cfRule>
    <cfRule type="cellIs" dxfId="48" priority="45" stopIfTrue="1" operator="between">
      <formula>0</formula>
      <formula>1</formula>
    </cfRule>
  </conditionalFormatting>
  <conditionalFormatting sqref="M6:M151">
    <cfRule type="cellIs" dxfId="47" priority="36" stopIfTrue="1" operator="between">
      <formula>4</formula>
      <formula>5</formula>
    </cfRule>
    <cfRule type="cellIs" dxfId="46" priority="37" stopIfTrue="1" operator="between">
      <formula>3</formula>
      <formula>4</formula>
    </cfRule>
    <cfRule type="cellIs" dxfId="45" priority="38" stopIfTrue="1" operator="between">
      <formula>2</formula>
      <formula>3</formula>
    </cfRule>
    <cfRule type="cellIs" dxfId="44" priority="39" stopIfTrue="1" operator="between">
      <formula>1</formula>
      <formula>2</formula>
    </cfRule>
    <cfRule type="cellIs" dxfId="43" priority="40" stopIfTrue="1" operator="between">
      <formula>0</formula>
      <formula>1</formula>
    </cfRule>
  </conditionalFormatting>
  <conditionalFormatting sqref="L6:L151">
    <cfRule type="cellIs" dxfId="42" priority="31" stopIfTrue="1" operator="between">
      <formula>4</formula>
      <formula>5</formula>
    </cfRule>
    <cfRule type="cellIs" dxfId="41" priority="32" stopIfTrue="1" operator="between">
      <formula>3</formula>
      <formula>4</formula>
    </cfRule>
    <cfRule type="cellIs" dxfId="40" priority="33" stopIfTrue="1" operator="between">
      <formula>2</formula>
      <formula>3</formula>
    </cfRule>
    <cfRule type="cellIs" dxfId="39" priority="34" stopIfTrue="1" operator="between">
      <formula>1</formula>
      <formula>2</formula>
    </cfRule>
    <cfRule type="cellIs" dxfId="38" priority="35" stopIfTrue="1" operator="between">
      <formula>0</formula>
      <formula>1</formula>
    </cfRule>
  </conditionalFormatting>
  <conditionalFormatting sqref="K6:K151">
    <cfRule type="cellIs" dxfId="37" priority="26" stopIfTrue="1" operator="between">
      <formula>4</formula>
      <formula>5</formula>
    </cfRule>
    <cfRule type="cellIs" dxfId="36" priority="27" stopIfTrue="1" operator="between">
      <formula>3</formula>
      <formula>4</formula>
    </cfRule>
    <cfRule type="cellIs" dxfId="35" priority="28" stopIfTrue="1" operator="between">
      <formula>2</formula>
      <formula>3</formula>
    </cfRule>
    <cfRule type="cellIs" dxfId="34" priority="29" stopIfTrue="1" operator="between">
      <formula>1</formula>
      <formula>2</formula>
    </cfRule>
    <cfRule type="cellIs" dxfId="33" priority="30" stopIfTrue="1" operator="between">
      <formula>0</formula>
      <formula>1</formula>
    </cfRule>
  </conditionalFormatting>
  <conditionalFormatting sqref="J6:J151">
    <cfRule type="cellIs" dxfId="32" priority="21" stopIfTrue="1" operator="between">
      <formula>4</formula>
      <formula>5</formula>
    </cfRule>
    <cfRule type="cellIs" dxfId="31" priority="22" stopIfTrue="1" operator="between">
      <formula>3</formula>
      <formula>4</formula>
    </cfRule>
    <cfRule type="cellIs" dxfId="30" priority="23" stopIfTrue="1" operator="between">
      <formula>2</formula>
      <formula>3</formula>
    </cfRule>
    <cfRule type="cellIs" dxfId="29" priority="24" stopIfTrue="1" operator="between">
      <formula>1</formula>
      <formula>2</formula>
    </cfRule>
    <cfRule type="cellIs" dxfId="28" priority="25" stopIfTrue="1" operator="between">
      <formula>0</formula>
      <formula>1</formula>
    </cfRule>
  </conditionalFormatting>
  <conditionalFormatting sqref="I6:I151">
    <cfRule type="cellIs" dxfId="27" priority="16" stopIfTrue="1" operator="between">
      <formula>4</formula>
      <formula>5</formula>
    </cfRule>
    <cfRule type="cellIs" dxfId="26" priority="17" stopIfTrue="1" operator="between">
      <formula>3</formula>
      <formula>4</formula>
    </cfRule>
    <cfRule type="cellIs" dxfId="25" priority="18" stopIfTrue="1" operator="between">
      <formula>2</formula>
      <formula>3</formula>
    </cfRule>
    <cfRule type="cellIs" dxfId="24" priority="19" stopIfTrue="1" operator="between">
      <formula>1</formula>
      <formula>2</formula>
    </cfRule>
    <cfRule type="cellIs" dxfId="23" priority="20" stopIfTrue="1" operator="between">
      <formula>0</formula>
      <formula>1</formula>
    </cfRule>
  </conditionalFormatting>
  <conditionalFormatting sqref="H6:H151">
    <cfRule type="cellIs" dxfId="22" priority="11" stopIfTrue="1" operator="between">
      <formula>4</formula>
      <formula>5</formula>
    </cfRule>
    <cfRule type="cellIs" dxfId="21" priority="12" stopIfTrue="1" operator="between">
      <formula>3</formula>
      <formula>4</formula>
    </cfRule>
    <cfRule type="cellIs" dxfId="20" priority="13" stopIfTrue="1" operator="between">
      <formula>2</formula>
      <formula>3</formula>
    </cfRule>
    <cfRule type="cellIs" dxfId="19" priority="14" stopIfTrue="1" operator="between">
      <formula>1</formula>
      <formula>2</formula>
    </cfRule>
    <cfRule type="cellIs" dxfId="18" priority="15" stopIfTrue="1" operator="between">
      <formula>0</formula>
      <formula>1</formula>
    </cfRule>
  </conditionalFormatting>
  <conditionalFormatting sqref="G6:G151">
    <cfRule type="cellIs" dxfId="17" priority="6" stopIfTrue="1" operator="between">
      <formula>4</formula>
      <formula>5</formula>
    </cfRule>
    <cfRule type="cellIs" dxfId="16" priority="7" stopIfTrue="1" operator="between">
      <formula>3</formula>
      <formula>4</formula>
    </cfRule>
    <cfRule type="cellIs" dxfId="15" priority="8" stopIfTrue="1" operator="between">
      <formula>2</formula>
      <formula>3</formula>
    </cfRule>
    <cfRule type="cellIs" dxfId="14" priority="9" stopIfTrue="1" operator="between">
      <formula>1</formula>
      <formula>2</formula>
    </cfRule>
    <cfRule type="cellIs" dxfId="13" priority="10" stopIfTrue="1" operator="between">
      <formula>0</formula>
      <formula>1</formula>
    </cfRule>
  </conditionalFormatting>
  <conditionalFormatting sqref="F6:F151">
    <cfRule type="cellIs" dxfId="12" priority="1" stopIfTrue="1" operator="between">
      <formula>4</formula>
      <formula>5</formula>
    </cfRule>
    <cfRule type="cellIs" dxfId="11" priority="2" stopIfTrue="1" operator="between">
      <formula>3</formula>
      <formula>4</formula>
    </cfRule>
    <cfRule type="cellIs" dxfId="10" priority="3" stopIfTrue="1" operator="between">
      <formula>2</formula>
      <formula>3</formula>
    </cfRule>
    <cfRule type="cellIs" dxfId="9" priority="4" stopIfTrue="1" operator="between">
      <formula>1</formula>
      <formula>2</formula>
    </cfRule>
    <cfRule type="cellIs" dxfId="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80" zoomScaleNormal="80" workbookViewId="0">
      <pane xSplit="5" ySplit="2" topLeftCell="HY126" activePane="bottomRight" state="frozen"/>
      <selection pane="topRight" activeCell="D1" sqref="D1"/>
      <selection pane="bottomLeft" activeCell="A3" sqref="A3"/>
      <selection pane="bottomRight" activeCell="IF144" sqref="IF144"/>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bestFit="1" customWidth="1"/>
    <col min="7" max="7" width="12.5546875" bestFit="1" customWidth="1"/>
    <col min="10" max="10" width="19.44140625" hidden="1" customWidth="1"/>
    <col min="11" max="11" width="11.5546875" bestFit="1" customWidth="1"/>
    <col min="13" max="13" width="11.21875" style="62" bestFit="1" customWidth="1"/>
    <col min="14" max="14" width="34.44140625" hidden="1"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21875" style="62" bestFit="1" customWidth="1"/>
    <col min="22" max="22" width="18.44140625" hidden="1" customWidth="1"/>
    <col min="23" max="23" width="12.21875" bestFit="1" customWidth="1"/>
    <col min="25" max="25" width="10" bestFit="1" customWidth="1"/>
    <col min="26" max="26" width="19.44140625" hidden="1" customWidth="1"/>
    <col min="27" max="27" width="11.5546875" bestFit="1" customWidth="1"/>
    <col min="29" max="29" width="11.21875" style="62"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2" customWidth="1"/>
    <col min="38" max="38" width="0.44140625" customWidth="1"/>
    <col min="39" max="39" width="9.77734375" bestFit="1" customWidth="1"/>
    <col min="40"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61"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0" hidden="1" customWidth="1"/>
    <col min="62" max="62" width="27.44140625" bestFit="1" customWidth="1"/>
    <col min="63" max="64" width="9.5546875" bestFit="1" customWidth="1"/>
    <col min="65" max="65" width="10.21875" bestFit="1" customWidth="1"/>
    <col min="66" max="66" width="15.44140625" hidden="1" customWidth="1"/>
    <col min="67" max="68" width="9.5546875" bestFit="1" customWidth="1"/>
    <col min="69" max="69" width="11.5546875" style="61"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61" hidden="1" customWidth="1"/>
    <col min="86" max="92" width="0" hidden="1" customWidth="1"/>
    <col min="93" max="93" width="9.44140625" style="40" hidden="1" customWidth="1"/>
    <col min="94" max="100" width="0" hidden="1" customWidth="1"/>
    <col min="101" max="101" width="11" style="40"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21875" style="61" bestFit="1" customWidth="1"/>
    <col min="110" max="110" width="14.77734375" hidden="1" customWidth="1"/>
    <col min="111" max="111" width="11.44140625" bestFit="1" customWidth="1"/>
    <col min="112" max="112" width="9.5546875" bestFit="1" customWidth="1"/>
    <col min="114" max="114" width="0" hidden="1" customWidth="1"/>
    <col min="115" max="116" width="9.5546875" bestFit="1" customWidth="1"/>
    <col min="117" max="117" width="11.5546875" style="40" bestFit="1" customWidth="1"/>
    <col min="118" max="118" width="0.5546875" customWidth="1"/>
    <col min="119" max="119" width="13.77734375" bestFit="1" customWidth="1"/>
    <col min="120" max="120" width="9.5546875" bestFit="1" customWidth="1"/>
    <col min="122" max="122" width="0" hidden="1" customWidth="1"/>
    <col min="123" max="123" width="11.5546875" bestFit="1" customWidth="1"/>
    <col min="124" max="124" width="9.5546875" bestFit="1" customWidth="1"/>
    <col min="125" max="125" width="11.5546875" style="61" bestFit="1" customWidth="1"/>
    <col min="126" max="126" width="0" hidden="1" customWidth="1"/>
    <col min="127" max="127" width="9.77734375" bestFit="1" customWidth="1"/>
    <col min="128" max="128" width="9.5546875" bestFit="1" customWidth="1"/>
    <col min="130" max="130" width="0" hidden="1" customWidth="1"/>
    <col min="131" max="132" width="9.5546875" bestFit="1" customWidth="1"/>
    <col min="133" max="133" width="11.5546875" style="40"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61" bestFit="1" customWidth="1"/>
    <col min="142" max="142" width="0" hidden="1" customWidth="1"/>
    <col min="143" max="143" width="23.77734375" customWidth="1"/>
    <col min="144" max="144" width="23.5546875" customWidth="1"/>
    <col min="146" max="146" width="0" hidden="1" customWidth="1"/>
    <col min="147" max="148" width="9.5546875" bestFit="1" customWidth="1"/>
    <col min="149" max="149" width="11.5546875" style="40" customWidth="1"/>
    <col min="150" max="150" width="43.5546875" customWidth="1"/>
    <col min="151" max="153" width="9.5546875" bestFit="1" customWidth="1"/>
    <col min="154" max="154" width="0" hidden="1" customWidth="1"/>
    <col min="155" max="156" width="9.5546875" bestFit="1" customWidth="1"/>
    <col min="157" max="157" width="11.5546875" style="61" bestFit="1" customWidth="1"/>
    <col min="158" max="158" width="0" hidden="1" customWidth="1"/>
    <col min="159" max="161" width="9.5546875" bestFit="1" customWidth="1"/>
    <col min="162" max="162" width="0" hidden="1" customWidth="1"/>
    <col min="163" max="164" width="9.5546875" bestFit="1" customWidth="1"/>
    <col min="165" max="165" width="11.5546875" style="61" bestFit="1" customWidth="1"/>
    <col min="166" max="166" width="0" hidden="1" customWidth="1"/>
    <col min="167" max="167" width="9.5546875" bestFit="1" customWidth="1"/>
    <col min="168" max="172" width="0" hidden="1" customWidth="1"/>
    <col min="173" max="173" width="11.5546875" style="61" hidden="1" customWidth="1"/>
    <col min="174" max="180" width="0" hidden="1" customWidth="1"/>
    <col min="181" max="181" width="11.5546875" style="40" hidden="1" customWidth="1"/>
    <col min="182" max="182" width="0" hidden="1" customWidth="1"/>
    <col min="183" max="183" width="9.5546875" bestFit="1" customWidth="1"/>
    <col min="186" max="186" width="0" hidden="1" customWidth="1"/>
    <col min="187" max="188" width="9.5546875" bestFit="1" customWidth="1"/>
    <col min="189" max="189" width="11.5546875" style="61" bestFit="1" customWidth="1"/>
    <col min="190" max="190" width="0" hidden="1" customWidth="1"/>
    <col min="191" max="191" width="9.5546875" bestFit="1" customWidth="1"/>
    <col min="194" max="194" width="0" hidden="1" customWidth="1"/>
    <col min="195" max="196" width="9.5546875" bestFit="1" customWidth="1"/>
    <col min="197" max="197" width="11.5546875" style="40"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5546875" style="61" bestFit="1" customWidth="1"/>
    <col min="206" max="206" width="0" hidden="1" customWidth="1"/>
    <col min="207" max="207" width="9.5546875" bestFit="1" customWidth="1"/>
    <col min="210" max="210" width="0" hidden="1" customWidth="1"/>
    <col min="211" max="212" width="9.5546875" bestFit="1" customWidth="1"/>
    <col min="213" max="213" width="11.5546875" style="40" bestFit="1" customWidth="1"/>
    <col min="214" max="214" width="0" hidden="1" customWidth="1"/>
    <col min="215" max="215" width="9.5546875" bestFit="1" customWidth="1"/>
    <col min="218" max="218" width="0" hidden="1" customWidth="1"/>
    <col min="219" max="220" width="9.5546875" bestFit="1" customWidth="1"/>
    <col min="221" max="221" width="11.5546875" style="61" bestFit="1" customWidth="1"/>
    <col min="222" max="222" width="0" hidden="1" customWidth="1"/>
    <col min="223" max="223" width="9.5546875" bestFit="1" customWidth="1"/>
    <col min="226" max="226" width="0" hidden="1" customWidth="1"/>
    <col min="227" max="228" width="9.5546875" bestFit="1" customWidth="1"/>
    <col min="229" max="229" width="11.5546875" style="40" bestFit="1" customWidth="1"/>
    <col min="230" max="230" width="0" hidden="1" customWidth="1"/>
    <col min="231" max="231" width="9.5546875" bestFit="1" customWidth="1"/>
    <col min="234" max="234" width="0" hidden="1" customWidth="1"/>
    <col min="235" max="236" width="9.5546875" bestFit="1" customWidth="1"/>
    <col min="237" max="237" width="11.5546875" style="61" bestFit="1" customWidth="1"/>
    <col min="238" max="238" width="0" hidden="1" customWidth="1"/>
    <col min="239" max="239" width="9.5546875" bestFit="1" customWidth="1"/>
    <col min="242" max="242" width="0" hidden="1" customWidth="1"/>
    <col min="243" max="244" width="9.5546875" bestFit="1" customWidth="1"/>
    <col min="245" max="245" width="11.5546875" style="40" bestFit="1" customWidth="1"/>
    <col min="246" max="246" width="0" hidden="1" customWidth="1"/>
    <col min="247" max="247" width="9.5546875" bestFit="1" customWidth="1"/>
    <col min="250" max="250" width="0" hidden="1" customWidth="1"/>
    <col min="251" max="252" width="9.5546875" bestFit="1" customWidth="1"/>
    <col min="253" max="253" width="11.5546875" style="61" bestFit="1" customWidth="1"/>
  </cols>
  <sheetData>
    <row r="1" spans="1:253" s="11" customFormat="1" ht="13.2" x14ac:dyDescent="0.25">
      <c r="A1" s="215" t="s">
        <v>569</v>
      </c>
      <c r="B1" s="215" t="s">
        <v>647</v>
      </c>
      <c r="C1" s="215" t="s">
        <v>566</v>
      </c>
      <c r="D1" s="215" t="s">
        <v>567</v>
      </c>
      <c r="E1" s="215" t="s">
        <v>1278</v>
      </c>
      <c r="F1" s="307" t="s">
        <v>443</v>
      </c>
      <c r="G1" s="307"/>
      <c r="H1" s="307"/>
      <c r="I1" s="307"/>
      <c r="J1" s="307"/>
      <c r="K1" s="307"/>
      <c r="L1" s="307"/>
      <c r="M1" s="307"/>
      <c r="N1" s="306" t="s">
        <v>543</v>
      </c>
      <c r="O1" s="306"/>
      <c r="P1" s="306"/>
      <c r="Q1" s="306"/>
      <c r="R1" s="306"/>
      <c r="S1" s="306"/>
      <c r="T1" s="306"/>
      <c r="U1" s="306"/>
      <c r="V1" s="307" t="s">
        <v>605</v>
      </c>
      <c r="W1" s="307"/>
      <c r="X1" s="307"/>
      <c r="Y1" s="307"/>
      <c r="Z1" s="307"/>
      <c r="AA1" s="307"/>
      <c r="AB1" s="307"/>
      <c r="AC1" s="307"/>
      <c r="AD1" s="306" t="s">
        <v>448</v>
      </c>
      <c r="AE1" s="306"/>
      <c r="AF1" s="306"/>
      <c r="AG1" s="306"/>
      <c r="AH1" s="306"/>
      <c r="AI1" s="306"/>
      <c r="AJ1" s="306"/>
      <c r="AK1" s="306"/>
      <c r="AL1" s="307" t="s">
        <v>547</v>
      </c>
      <c r="AM1" s="307"/>
      <c r="AN1" s="307"/>
      <c r="AO1" s="307"/>
      <c r="AP1" s="307"/>
      <c r="AQ1" s="307"/>
      <c r="AR1" s="307"/>
      <c r="AS1" s="307"/>
      <c r="AT1" s="308" t="s">
        <v>1331</v>
      </c>
      <c r="AU1" s="308"/>
      <c r="AV1" s="308"/>
      <c r="AW1" s="308"/>
      <c r="AX1" s="308"/>
      <c r="AY1" s="308"/>
      <c r="AZ1" s="308"/>
      <c r="BA1" s="308"/>
      <c r="BB1" s="307" t="s">
        <v>1332</v>
      </c>
      <c r="BC1" s="307"/>
      <c r="BD1" s="307"/>
      <c r="BE1" s="307"/>
      <c r="BF1" s="307"/>
      <c r="BG1" s="307"/>
      <c r="BH1" s="307"/>
      <c r="BI1" s="307"/>
      <c r="BJ1" s="306" t="s">
        <v>1333</v>
      </c>
      <c r="BK1" s="306"/>
      <c r="BL1" s="306"/>
      <c r="BM1" s="306"/>
      <c r="BN1" s="306"/>
      <c r="BO1" s="306"/>
      <c r="BP1" s="306"/>
      <c r="BQ1" s="306"/>
      <c r="BR1" s="307" t="s">
        <v>1337</v>
      </c>
      <c r="BS1" s="307"/>
      <c r="BT1" s="307"/>
      <c r="BU1" s="307"/>
      <c r="BV1" s="307"/>
      <c r="BW1" s="307"/>
      <c r="BX1" s="307"/>
      <c r="BY1" s="307"/>
      <c r="BZ1" s="308" t="s">
        <v>1338</v>
      </c>
      <c r="CA1" s="308"/>
      <c r="CB1" s="308"/>
      <c r="CC1" s="308"/>
      <c r="CD1" s="308"/>
      <c r="CE1" s="308"/>
      <c r="CF1" s="308"/>
      <c r="CG1" s="308"/>
      <c r="CH1" s="309" t="s">
        <v>609</v>
      </c>
      <c r="CI1" s="309"/>
      <c r="CJ1" s="309"/>
      <c r="CK1" s="309"/>
      <c r="CL1" s="309"/>
      <c r="CM1" s="309"/>
      <c r="CN1" s="309"/>
      <c r="CO1" s="309"/>
      <c r="CP1" s="307" t="s">
        <v>610</v>
      </c>
      <c r="CQ1" s="307"/>
      <c r="CR1" s="307"/>
      <c r="CS1" s="307"/>
      <c r="CT1" s="307"/>
      <c r="CU1" s="307"/>
      <c r="CV1" s="307"/>
      <c r="CW1" s="307"/>
      <c r="CX1" s="301" t="s">
        <v>620</v>
      </c>
      <c r="CY1" s="301"/>
      <c r="CZ1" s="301"/>
      <c r="DA1" s="301"/>
      <c r="DB1" s="301"/>
      <c r="DC1" s="301"/>
      <c r="DD1" s="301"/>
      <c r="DE1" s="301"/>
      <c r="DF1" s="303" t="s">
        <v>1339</v>
      </c>
      <c r="DG1" s="303"/>
      <c r="DH1" s="303"/>
      <c r="DI1" s="303"/>
      <c r="DJ1" s="303"/>
      <c r="DK1" s="303"/>
      <c r="DL1" s="303"/>
      <c r="DM1" s="303"/>
      <c r="DN1" s="301" t="s">
        <v>1340</v>
      </c>
      <c r="DO1" s="301"/>
      <c r="DP1" s="301"/>
      <c r="DQ1" s="301"/>
      <c r="DR1" s="301"/>
      <c r="DS1" s="301"/>
      <c r="DT1" s="301"/>
      <c r="DU1" s="301"/>
      <c r="DV1" s="303" t="s">
        <v>1341</v>
      </c>
      <c r="DW1" s="303"/>
      <c r="DX1" s="303"/>
      <c r="DY1" s="303"/>
      <c r="DZ1" s="303"/>
      <c r="EA1" s="303"/>
      <c r="EB1" s="303"/>
      <c r="EC1" s="303"/>
      <c r="ED1" s="216"/>
      <c r="EE1" s="301" t="s">
        <v>1342</v>
      </c>
      <c r="EF1" s="301"/>
      <c r="EG1" s="301"/>
      <c r="EH1" s="301"/>
      <c r="EI1" s="301"/>
      <c r="EJ1" s="301"/>
      <c r="EK1" s="302"/>
      <c r="EL1" s="217"/>
      <c r="EM1" s="303" t="s">
        <v>1343</v>
      </c>
      <c r="EN1" s="303"/>
      <c r="EO1" s="303"/>
      <c r="EP1" s="303"/>
      <c r="EQ1" s="303"/>
      <c r="ER1" s="303"/>
      <c r="ES1" s="303"/>
      <c r="ET1" s="304" t="s">
        <v>1344</v>
      </c>
      <c r="EU1" s="304"/>
      <c r="EV1" s="304"/>
      <c r="EW1" s="304"/>
      <c r="EX1" s="304"/>
      <c r="EY1" s="304"/>
      <c r="EZ1" s="304"/>
      <c r="FA1" s="304"/>
      <c r="FB1" s="305" t="s">
        <v>561</v>
      </c>
      <c r="FC1" s="305"/>
      <c r="FD1" s="305"/>
      <c r="FE1" s="305"/>
      <c r="FF1" s="305"/>
      <c r="FG1" s="305"/>
      <c r="FH1" s="305"/>
      <c r="FI1" s="305"/>
      <c r="FJ1" s="304" t="s">
        <v>562</v>
      </c>
      <c r="FK1" s="304"/>
      <c r="FL1" s="304"/>
      <c r="FM1" s="304"/>
      <c r="FN1" s="304"/>
      <c r="FO1" s="304"/>
      <c r="FP1" s="304"/>
      <c r="FQ1" s="304"/>
      <c r="FR1" s="305" t="s">
        <v>563</v>
      </c>
      <c r="FS1" s="305"/>
      <c r="FT1" s="305"/>
      <c r="FU1" s="305"/>
      <c r="FV1" s="305"/>
      <c r="FW1" s="305"/>
      <c r="FX1" s="305"/>
      <c r="FY1" s="305"/>
      <c r="FZ1" s="304" t="s">
        <v>530</v>
      </c>
      <c r="GA1" s="304"/>
      <c r="GB1" s="304"/>
      <c r="GC1" s="304"/>
      <c r="GD1" s="304"/>
      <c r="GE1" s="304"/>
      <c r="GF1" s="304"/>
      <c r="GG1" s="304"/>
      <c r="GH1" s="305" t="s">
        <v>531</v>
      </c>
      <c r="GI1" s="305"/>
      <c r="GJ1" s="305"/>
      <c r="GK1" s="305"/>
      <c r="GL1" s="305"/>
      <c r="GM1" s="305"/>
      <c r="GN1" s="305"/>
      <c r="GO1" s="305"/>
      <c r="GP1" s="304" t="s">
        <v>532</v>
      </c>
      <c r="GQ1" s="304"/>
      <c r="GR1" s="304"/>
      <c r="GS1" s="304"/>
      <c r="GT1" s="304"/>
      <c r="GU1" s="304"/>
      <c r="GV1" s="304"/>
      <c r="GW1" s="304"/>
      <c r="GX1" s="305" t="s">
        <v>533</v>
      </c>
      <c r="GY1" s="305"/>
      <c r="GZ1" s="305"/>
      <c r="HA1" s="305"/>
      <c r="HB1" s="305"/>
      <c r="HC1" s="305"/>
      <c r="HD1" s="305"/>
      <c r="HE1" s="305"/>
      <c r="HF1" s="304" t="s">
        <v>534</v>
      </c>
      <c r="HG1" s="304"/>
      <c r="HH1" s="304"/>
      <c r="HI1" s="304"/>
      <c r="HJ1" s="304"/>
      <c r="HK1" s="304"/>
      <c r="HL1" s="304"/>
      <c r="HM1" s="304"/>
      <c r="HN1" s="305" t="s">
        <v>535</v>
      </c>
      <c r="HO1" s="305"/>
      <c r="HP1" s="305"/>
      <c r="HQ1" s="305"/>
      <c r="HR1" s="305"/>
      <c r="HS1" s="305"/>
      <c r="HT1" s="305"/>
      <c r="HU1" s="305"/>
      <c r="HV1" s="304" t="s">
        <v>536</v>
      </c>
      <c r="HW1" s="304"/>
      <c r="HX1" s="304"/>
      <c r="HY1" s="304"/>
      <c r="HZ1" s="304"/>
      <c r="IA1" s="304"/>
      <c r="IB1" s="304"/>
      <c r="IC1" s="304"/>
      <c r="ID1" s="305" t="s">
        <v>537</v>
      </c>
      <c r="IE1" s="305"/>
      <c r="IF1" s="305"/>
      <c r="IG1" s="305"/>
      <c r="IH1" s="305"/>
      <c r="II1" s="305"/>
      <c r="IJ1" s="305"/>
      <c r="IK1" s="305"/>
      <c r="IL1" s="304" t="s">
        <v>538</v>
      </c>
      <c r="IM1" s="304"/>
      <c r="IN1" s="304"/>
      <c r="IO1" s="304"/>
      <c r="IP1" s="304"/>
      <c r="IQ1" s="304"/>
      <c r="IR1" s="304"/>
      <c r="IS1" s="304"/>
    </row>
    <row r="2" spans="1:253" s="11" customFormat="1" ht="13.2" x14ac:dyDescent="0.25">
      <c r="A2" s="218">
        <v>0</v>
      </c>
      <c r="B2" s="218"/>
      <c r="C2" s="218">
        <v>0</v>
      </c>
      <c r="D2" s="218"/>
      <c r="E2" s="218">
        <v>0</v>
      </c>
      <c r="F2" s="219" t="s">
        <v>648</v>
      </c>
      <c r="G2" s="219" t="s">
        <v>570</v>
      </c>
      <c r="H2" s="219" t="s">
        <v>564</v>
      </c>
      <c r="I2" s="219" t="s">
        <v>565</v>
      </c>
      <c r="J2" s="219" t="s">
        <v>604</v>
      </c>
      <c r="K2" s="219" t="s">
        <v>649</v>
      </c>
      <c r="L2" s="219" t="s">
        <v>646</v>
      </c>
      <c r="M2" s="220" t="s">
        <v>602</v>
      </c>
      <c r="N2" s="221" t="s">
        <v>603</v>
      </c>
      <c r="O2" s="221" t="s">
        <v>570</v>
      </c>
      <c r="P2" s="221" t="s">
        <v>564</v>
      </c>
      <c r="Q2" s="221" t="s">
        <v>565</v>
      </c>
      <c r="R2" s="221" t="s">
        <v>604</v>
      </c>
      <c r="S2" s="221" t="s">
        <v>649</v>
      </c>
      <c r="T2" s="221" t="s">
        <v>646</v>
      </c>
      <c r="U2" s="222" t="s">
        <v>602</v>
      </c>
      <c r="V2" s="219" t="s">
        <v>606</v>
      </c>
      <c r="W2" s="219" t="s">
        <v>570</v>
      </c>
      <c r="X2" s="219" t="s">
        <v>564</v>
      </c>
      <c r="Y2" s="219" t="s">
        <v>565</v>
      </c>
      <c r="Z2" s="219" t="s">
        <v>604</v>
      </c>
      <c r="AA2" s="219" t="s">
        <v>649</v>
      </c>
      <c r="AB2" s="219" t="s">
        <v>646</v>
      </c>
      <c r="AC2" s="220" t="s">
        <v>602</v>
      </c>
      <c r="AD2" s="221" t="s">
        <v>611</v>
      </c>
      <c r="AE2" s="221" t="s">
        <v>570</v>
      </c>
      <c r="AF2" s="221" t="s">
        <v>564</v>
      </c>
      <c r="AG2" s="221" t="s">
        <v>565</v>
      </c>
      <c r="AH2" s="221" t="s">
        <v>604</v>
      </c>
      <c r="AI2" s="221" t="s">
        <v>649</v>
      </c>
      <c r="AJ2" s="221" t="s">
        <v>646</v>
      </c>
      <c r="AK2" s="222" t="s">
        <v>602</v>
      </c>
      <c r="AL2" s="219" t="s">
        <v>612</v>
      </c>
      <c r="AM2" s="219" t="s">
        <v>570</v>
      </c>
      <c r="AN2" s="219" t="s">
        <v>564</v>
      </c>
      <c r="AO2" s="219" t="s">
        <v>565</v>
      </c>
      <c r="AP2" s="219" t="s">
        <v>604</v>
      </c>
      <c r="AQ2" s="219" t="s">
        <v>649</v>
      </c>
      <c r="AR2" s="219" t="s">
        <v>646</v>
      </c>
      <c r="AS2" s="219" t="s">
        <v>602</v>
      </c>
      <c r="AT2" s="223" t="s">
        <v>613</v>
      </c>
      <c r="AU2" s="223" t="s">
        <v>570</v>
      </c>
      <c r="AV2" s="223" t="s">
        <v>564</v>
      </c>
      <c r="AW2" s="223" t="s">
        <v>565</v>
      </c>
      <c r="AX2" s="223" t="s">
        <v>604</v>
      </c>
      <c r="AY2" s="223" t="s">
        <v>649</v>
      </c>
      <c r="AZ2" s="223" t="s">
        <v>646</v>
      </c>
      <c r="BA2" s="224" t="s">
        <v>602</v>
      </c>
      <c r="BB2" s="219" t="s">
        <v>614</v>
      </c>
      <c r="BC2" s="219" t="s">
        <v>570</v>
      </c>
      <c r="BD2" s="219" t="s">
        <v>564</v>
      </c>
      <c r="BE2" s="219" t="s">
        <v>565</v>
      </c>
      <c r="BF2" s="219" t="s">
        <v>604</v>
      </c>
      <c r="BG2" s="219" t="s">
        <v>649</v>
      </c>
      <c r="BH2" s="219" t="s">
        <v>646</v>
      </c>
      <c r="BI2" s="219" t="s">
        <v>602</v>
      </c>
      <c r="BJ2" s="221" t="s">
        <v>615</v>
      </c>
      <c r="BK2" s="221" t="s">
        <v>570</v>
      </c>
      <c r="BL2" s="221" t="s">
        <v>564</v>
      </c>
      <c r="BM2" s="221" t="s">
        <v>565</v>
      </c>
      <c r="BN2" s="221" t="s">
        <v>604</v>
      </c>
      <c r="BO2" s="221" t="s">
        <v>649</v>
      </c>
      <c r="BP2" s="221" t="s">
        <v>646</v>
      </c>
      <c r="BQ2" s="222" t="s">
        <v>602</v>
      </c>
      <c r="BR2" s="219" t="s">
        <v>616</v>
      </c>
      <c r="BS2" s="219" t="s">
        <v>570</v>
      </c>
      <c r="BT2" s="219" t="s">
        <v>564</v>
      </c>
      <c r="BU2" s="219" t="s">
        <v>565</v>
      </c>
      <c r="BV2" s="219" t="s">
        <v>604</v>
      </c>
      <c r="BW2" s="219" t="s">
        <v>649</v>
      </c>
      <c r="BX2" s="219" t="s">
        <v>646</v>
      </c>
      <c r="BY2" s="219" t="s">
        <v>602</v>
      </c>
      <c r="BZ2" s="223" t="s">
        <v>617</v>
      </c>
      <c r="CA2" s="223" t="s">
        <v>570</v>
      </c>
      <c r="CB2" s="223" t="s">
        <v>564</v>
      </c>
      <c r="CC2" s="223" t="s">
        <v>565</v>
      </c>
      <c r="CD2" s="223" t="s">
        <v>604</v>
      </c>
      <c r="CE2" s="223" t="s">
        <v>649</v>
      </c>
      <c r="CF2" s="223" t="s">
        <v>646</v>
      </c>
      <c r="CG2" s="224" t="s">
        <v>602</v>
      </c>
      <c r="CH2" s="225" t="s">
        <v>618</v>
      </c>
      <c r="CI2" s="225" t="s">
        <v>570</v>
      </c>
      <c r="CJ2" s="225" t="s">
        <v>564</v>
      </c>
      <c r="CK2" s="225" t="s">
        <v>565</v>
      </c>
      <c r="CL2" s="225" t="s">
        <v>604</v>
      </c>
      <c r="CM2" s="225" t="s">
        <v>649</v>
      </c>
      <c r="CN2" s="225" t="s">
        <v>646</v>
      </c>
      <c r="CO2" s="225" t="s">
        <v>602</v>
      </c>
      <c r="CP2" s="219" t="s">
        <v>619</v>
      </c>
      <c r="CQ2" s="219" t="s">
        <v>570</v>
      </c>
      <c r="CR2" s="219" t="s">
        <v>564</v>
      </c>
      <c r="CS2" s="219" t="s">
        <v>565</v>
      </c>
      <c r="CT2" s="219" t="s">
        <v>604</v>
      </c>
      <c r="CU2" s="219" t="s">
        <v>649</v>
      </c>
      <c r="CV2" s="219" t="s">
        <v>646</v>
      </c>
      <c r="CW2" s="219" t="s">
        <v>602</v>
      </c>
      <c r="CX2" s="226" t="s">
        <v>621</v>
      </c>
      <c r="CY2" s="226" t="s">
        <v>570</v>
      </c>
      <c r="CZ2" s="226" t="s">
        <v>564</v>
      </c>
      <c r="DA2" s="226" t="s">
        <v>565</v>
      </c>
      <c r="DB2" s="226" t="s">
        <v>604</v>
      </c>
      <c r="DC2" s="226" t="s">
        <v>649</v>
      </c>
      <c r="DD2" s="226" t="s">
        <v>646</v>
      </c>
      <c r="DE2" s="227" t="s">
        <v>602</v>
      </c>
      <c r="DF2" s="228" t="s">
        <v>622</v>
      </c>
      <c r="DG2" s="228" t="s">
        <v>570</v>
      </c>
      <c r="DH2" s="228" t="s">
        <v>564</v>
      </c>
      <c r="DI2" s="228" t="s">
        <v>565</v>
      </c>
      <c r="DJ2" s="228" t="s">
        <v>604</v>
      </c>
      <c r="DK2" s="228" t="s">
        <v>649</v>
      </c>
      <c r="DL2" s="228" t="s">
        <v>646</v>
      </c>
      <c r="DM2" s="228" t="s">
        <v>602</v>
      </c>
      <c r="DN2" s="226" t="s">
        <v>623</v>
      </c>
      <c r="DO2" s="226" t="s">
        <v>570</v>
      </c>
      <c r="DP2" s="226" t="s">
        <v>564</v>
      </c>
      <c r="DQ2" s="226" t="s">
        <v>565</v>
      </c>
      <c r="DR2" s="226" t="s">
        <v>604</v>
      </c>
      <c r="DS2" s="226" t="s">
        <v>649</v>
      </c>
      <c r="DT2" s="226" t="s">
        <v>646</v>
      </c>
      <c r="DU2" s="227" t="s">
        <v>602</v>
      </c>
      <c r="DV2" s="228" t="s">
        <v>627</v>
      </c>
      <c r="DW2" s="228" t="s">
        <v>570</v>
      </c>
      <c r="DX2" s="228" t="s">
        <v>564</v>
      </c>
      <c r="DY2" s="228" t="s">
        <v>565</v>
      </c>
      <c r="DZ2" s="228" t="s">
        <v>604</v>
      </c>
      <c r="EA2" s="228" t="s">
        <v>649</v>
      </c>
      <c r="EB2" s="228" t="s">
        <v>646</v>
      </c>
      <c r="EC2" s="228" t="s">
        <v>602</v>
      </c>
      <c r="ED2" s="229" t="s">
        <v>629</v>
      </c>
      <c r="EE2" s="226" t="s">
        <v>570</v>
      </c>
      <c r="EF2" s="226" t="s">
        <v>564</v>
      </c>
      <c r="EG2" s="226" t="s">
        <v>565</v>
      </c>
      <c r="EH2" s="226" t="s">
        <v>604</v>
      </c>
      <c r="EI2" s="226" t="s">
        <v>649</v>
      </c>
      <c r="EJ2" s="226" t="s">
        <v>646</v>
      </c>
      <c r="EK2" s="227" t="s">
        <v>602</v>
      </c>
      <c r="EL2" s="217" t="s">
        <v>631</v>
      </c>
      <c r="EM2" s="228" t="s">
        <v>570</v>
      </c>
      <c r="EN2" s="228" t="s">
        <v>564</v>
      </c>
      <c r="EO2" s="228" t="s">
        <v>565</v>
      </c>
      <c r="EP2" s="228" t="s">
        <v>604</v>
      </c>
      <c r="EQ2" s="228" t="s">
        <v>649</v>
      </c>
      <c r="ER2" s="228" t="s">
        <v>646</v>
      </c>
      <c r="ES2" s="228" t="s">
        <v>602</v>
      </c>
      <c r="ET2" s="230" t="s">
        <v>633</v>
      </c>
      <c r="EU2" s="230" t="s">
        <v>570</v>
      </c>
      <c r="EV2" s="230" t="s">
        <v>564</v>
      </c>
      <c r="EW2" s="230" t="s">
        <v>565</v>
      </c>
      <c r="EX2" s="230" t="s">
        <v>604</v>
      </c>
      <c r="EY2" s="230" t="s">
        <v>649</v>
      </c>
      <c r="EZ2" s="230" t="s">
        <v>646</v>
      </c>
      <c r="FA2" s="231" t="s">
        <v>602</v>
      </c>
      <c r="FB2" s="232" t="s">
        <v>634</v>
      </c>
      <c r="FC2" s="232" t="s">
        <v>570</v>
      </c>
      <c r="FD2" s="232" t="s">
        <v>564</v>
      </c>
      <c r="FE2" s="232" t="s">
        <v>565</v>
      </c>
      <c r="FF2" s="232" t="s">
        <v>604</v>
      </c>
      <c r="FG2" s="232" t="s">
        <v>649</v>
      </c>
      <c r="FH2" s="232" t="s">
        <v>646</v>
      </c>
      <c r="FI2" s="233" t="s">
        <v>602</v>
      </c>
      <c r="FJ2" s="230" t="s">
        <v>635</v>
      </c>
      <c r="FK2" s="230" t="s">
        <v>570</v>
      </c>
      <c r="FL2" s="230" t="s">
        <v>564</v>
      </c>
      <c r="FM2" s="230" t="s">
        <v>565</v>
      </c>
      <c r="FN2" s="230" t="s">
        <v>604</v>
      </c>
      <c r="FO2" s="230" t="s">
        <v>649</v>
      </c>
      <c r="FP2" s="230" t="s">
        <v>646</v>
      </c>
      <c r="FQ2" s="234" t="s">
        <v>602</v>
      </c>
      <c r="FR2" s="232" t="s">
        <v>636</v>
      </c>
      <c r="FS2" s="232" t="s">
        <v>570</v>
      </c>
      <c r="FT2" s="232" t="s">
        <v>564</v>
      </c>
      <c r="FU2" s="232" t="s">
        <v>565</v>
      </c>
      <c r="FV2" s="232" t="s">
        <v>604</v>
      </c>
      <c r="FW2" s="232" t="s">
        <v>649</v>
      </c>
      <c r="FX2" s="232" t="s">
        <v>646</v>
      </c>
      <c r="FY2" s="232" t="s">
        <v>602</v>
      </c>
      <c r="FZ2" s="230" t="s">
        <v>637</v>
      </c>
      <c r="GA2" s="230" t="s">
        <v>570</v>
      </c>
      <c r="GB2" s="230" t="s">
        <v>564</v>
      </c>
      <c r="GC2" s="230" t="s">
        <v>565</v>
      </c>
      <c r="GD2" s="230" t="s">
        <v>604</v>
      </c>
      <c r="GE2" s="230" t="s">
        <v>649</v>
      </c>
      <c r="GF2" s="230" t="s">
        <v>646</v>
      </c>
      <c r="GG2" s="231" t="s">
        <v>602</v>
      </c>
      <c r="GH2" s="232" t="s">
        <v>638</v>
      </c>
      <c r="GI2" s="232" t="s">
        <v>570</v>
      </c>
      <c r="GJ2" s="232" t="s">
        <v>564</v>
      </c>
      <c r="GK2" s="232" t="s">
        <v>565</v>
      </c>
      <c r="GL2" s="232" t="s">
        <v>604</v>
      </c>
      <c r="GM2" s="232" t="s">
        <v>649</v>
      </c>
      <c r="GN2" s="232" t="s">
        <v>646</v>
      </c>
      <c r="GO2" s="232" t="s">
        <v>602</v>
      </c>
      <c r="GP2" s="230" t="s">
        <v>639</v>
      </c>
      <c r="GQ2" s="230" t="s">
        <v>570</v>
      </c>
      <c r="GR2" s="230" t="s">
        <v>564</v>
      </c>
      <c r="GS2" s="230" t="s">
        <v>565</v>
      </c>
      <c r="GT2" s="230" t="s">
        <v>604</v>
      </c>
      <c r="GU2" s="230" t="s">
        <v>649</v>
      </c>
      <c r="GV2" s="230" t="s">
        <v>646</v>
      </c>
      <c r="GW2" s="231" t="s">
        <v>602</v>
      </c>
      <c r="GX2" s="232" t="s">
        <v>640</v>
      </c>
      <c r="GY2" s="232" t="s">
        <v>570</v>
      </c>
      <c r="GZ2" s="232" t="s">
        <v>564</v>
      </c>
      <c r="HA2" s="232" t="s">
        <v>565</v>
      </c>
      <c r="HB2" s="232" t="s">
        <v>604</v>
      </c>
      <c r="HC2" s="232" t="s">
        <v>649</v>
      </c>
      <c r="HD2" s="232" t="s">
        <v>646</v>
      </c>
      <c r="HE2" s="232" t="s">
        <v>602</v>
      </c>
      <c r="HF2" s="230" t="s">
        <v>641</v>
      </c>
      <c r="HG2" s="230" t="s">
        <v>570</v>
      </c>
      <c r="HH2" s="230" t="s">
        <v>564</v>
      </c>
      <c r="HI2" s="230" t="s">
        <v>565</v>
      </c>
      <c r="HJ2" s="230" t="s">
        <v>604</v>
      </c>
      <c r="HK2" s="230" t="s">
        <v>649</v>
      </c>
      <c r="HL2" s="230" t="s">
        <v>646</v>
      </c>
      <c r="HM2" s="231" t="s">
        <v>602</v>
      </c>
      <c r="HN2" s="232" t="s">
        <v>642</v>
      </c>
      <c r="HO2" s="232" t="s">
        <v>570</v>
      </c>
      <c r="HP2" s="232" t="s">
        <v>564</v>
      </c>
      <c r="HQ2" s="232" t="s">
        <v>565</v>
      </c>
      <c r="HR2" s="232" t="s">
        <v>604</v>
      </c>
      <c r="HS2" s="232" t="s">
        <v>649</v>
      </c>
      <c r="HT2" s="232" t="s">
        <v>646</v>
      </c>
      <c r="HU2" s="232" t="s">
        <v>602</v>
      </c>
      <c r="HV2" s="230" t="s">
        <v>643</v>
      </c>
      <c r="HW2" s="230" t="s">
        <v>570</v>
      </c>
      <c r="HX2" s="230" t="s">
        <v>564</v>
      </c>
      <c r="HY2" s="230" t="s">
        <v>565</v>
      </c>
      <c r="HZ2" s="230" t="s">
        <v>604</v>
      </c>
      <c r="IA2" s="230" t="s">
        <v>649</v>
      </c>
      <c r="IB2" s="230" t="s">
        <v>646</v>
      </c>
      <c r="IC2" s="231" t="s">
        <v>602</v>
      </c>
      <c r="ID2" s="232" t="s">
        <v>644</v>
      </c>
      <c r="IE2" s="232" t="s">
        <v>570</v>
      </c>
      <c r="IF2" s="232" t="s">
        <v>564</v>
      </c>
      <c r="IG2" s="232" t="s">
        <v>565</v>
      </c>
      <c r="IH2" s="232" t="s">
        <v>604</v>
      </c>
      <c r="II2" s="232" t="s">
        <v>649</v>
      </c>
      <c r="IJ2" s="232" t="s">
        <v>646</v>
      </c>
      <c r="IK2" s="232" t="s">
        <v>602</v>
      </c>
      <c r="IL2" s="230" t="s">
        <v>645</v>
      </c>
      <c r="IM2" s="230" t="s">
        <v>570</v>
      </c>
      <c r="IN2" s="230" t="s">
        <v>564</v>
      </c>
      <c r="IO2" s="230" t="s">
        <v>565</v>
      </c>
      <c r="IP2" s="230" t="s">
        <v>604</v>
      </c>
      <c r="IQ2" s="230" t="s">
        <v>571</v>
      </c>
      <c r="IR2" s="230" t="s">
        <v>646</v>
      </c>
      <c r="IS2" s="231" t="s">
        <v>602</v>
      </c>
    </row>
    <row r="3" spans="1:253" s="11" customFormat="1" ht="13.2" x14ac:dyDescent="0.25">
      <c r="A3" s="11" t="s">
        <v>1154</v>
      </c>
      <c r="B3" s="11" t="s">
        <v>691</v>
      </c>
      <c r="C3" s="11" t="s">
        <v>572</v>
      </c>
      <c r="D3" s="11" t="s">
        <v>1</v>
      </c>
      <c r="E3" s="11" t="s">
        <v>0</v>
      </c>
      <c r="F3" s="11" t="s">
        <v>4116</v>
      </c>
      <c r="G3" s="235">
        <v>35700000</v>
      </c>
      <c r="H3" s="236" t="s">
        <v>1074</v>
      </c>
      <c r="I3" s="236" t="s">
        <v>600</v>
      </c>
      <c r="J3" s="236">
        <v>2</v>
      </c>
      <c r="K3" s="236" t="s">
        <v>1839</v>
      </c>
      <c r="L3" s="236" t="s">
        <v>1076</v>
      </c>
      <c r="M3" s="237">
        <v>43522</v>
      </c>
      <c r="N3" s="238" t="s">
        <v>4117</v>
      </c>
      <c r="O3" s="239">
        <v>652867</v>
      </c>
      <c r="P3" s="239" t="s">
        <v>751</v>
      </c>
      <c r="Q3" s="239" t="s">
        <v>601</v>
      </c>
      <c r="R3" s="239">
        <v>1</v>
      </c>
      <c r="S3" s="239" t="s">
        <v>1841</v>
      </c>
      <c r="T3" s="239" t="s">
        <v>752</v>
      </c>
      <c r="U3" s="240">
        <v>43495</v>
      </c>
      <c r="V3" s="238" t="s">
        <v>4118</v>
      </c>
      <c r="W3" s="236">
        <v>35700000</v>
      </c>
      <c r="X3" s="236" t="s">
        <v>3653</v>
      </c>
      <c r="Y3" s="236" t="s">
        <v>600</v>
      </c>
      <c r="Z3" s="236">
        <v>2</v>
      </c>
      <c r="AA3" s="236" t="s">
        <v>1840</v>
      </c>
      <c r="AB3" s="236" t="s">
        <v>3669</v>
      </c>
      <c r="AC3" s="237">
        <v>44119</v>
      </c>
      <c r="AD3" s="238" t="s">
        <v>4119</v>
      </c>
      <c r="AE3" s="241">
        <v>35700000</v>
      </c>
      <c r="AF3" s="241" t="s">
        <v>1074</v>
      </c>
      <c r="AG3" s="241" t="s">
        <v>599</v>
      </c>
      <c r="AH3" s="241">
        <v>3</v>
      </c>
      <c r="AI3" s="241" t="s">
        <v>1077</v>
      </c>
      <c r="AJ3" s="241" t="s">
        <v>1076</v>
      </c>
      <c r="AK3" s="242">
        <v>43522</v>
      </c>
      <c r="AL3" s="238" t="s">
        <v>4120</v>
      </c>
      <c r="AM3" s="236">
        <v>5092000</v>
      </c>
      <c r="AN3" s="236" t="s">
        <v>3782</v>
      </c>
      <c r="AO3" s="236" t="s">
        <v>600</v>
      </c>
      <c r="AP3" s="236">
        <v>2</v>
      </c>
      <c r="AQ3" s="236" t="s">
        <v>3784</v>
      </c>
      <c r="AR3" s="236" t="s">
        <v>3783</v>
      </c>
      <c r="AS3" s="237">
        <v>44131</v>
      </c>
      <c r="AT3" s="241" t="s">
        <v>4121</v>
      </c>
      <c r="AU3" s="241" t="s">
        <v>393</v>
      </c>
      <c r="AV3" s="241" t="s">
        <v>393</v>
      </c>
      <c r="AW3" s="241" t="s">
        <v>393</v>
      </c>
      <c r="AX3" s="241" t="s">
        <v>393</v>
      </c>
      <c r="AY3" s="241" t="s">
        <v>393</v>
      </c>
      <c r="AZ3" s="241" t="s">
        <v>393</v>
      </c>
      <c r="BA3" s="242">
        <v>43815</v>
      </c>
      <c r="BB3" s="238" t="s">
        <v>4122</v>
      </c>
      <c r="BC3" s="236" t="s">
        <v>393</v>
      </c>
      <c r="BD3" s="236">
        <v>0</v>
      </c>
      <c r="BE3" s="236" t="s">
        <v>393</v>
      </c>
      <c r="BF3" s="236" t="s">
        <v>393</v>
      </c>
      <c r="BG3" s="236">
        <v>0</v>
      </c>
      <c r="BH3" s="236">
        <v>0</v>
      </c>
      <c r="BI3" s="237">
        <v>43495</v>
      </c>
      <c r="BJ3" s="241" t="s">
        <v>4123</v>
      </c>
      <c r="BK3" s="241">
        <v>11042</v>
      </c>
      <c r="BL3" s="241" t="s">
        <v>3704</v>
      </c>
      <c r="BM3" s="241" t="s">
        <v>600</v>
      </c>
      <c r="BN3" s="241">
        <v>2</v>
      </c>
      <c r="BO3" s="241" t="s">
        <v>3706</v>
      </c>
      <c r="BP3" s="241" t="s">
        <v>3705</v>
      </c>
      <c r="BQ3" s="242">
        <v>44131</v>
      </c>
      <c r="BR3" s="238" t="s">
        <v>4124</v>
      </c>
      <c r="BS3" s="236" t="s">
        <v>393</v>
      </c>
      <c r="BT3" s="236">
        <v>0</v>
      </c>
      <c r="BU3" s="236" t="s">
        <v>393</v>
      </c>
      <c r="BV3" s="236" t="s">
        <v>393</v>
      </c>
      <c r="BW3" s="236">
        <v>0</v>
      </c>
      <c r="BX3" s="236">
        <v>0</v>
      </c>
      <c r="BY3" s="237">
        <v>43495</v>
      </c>
      <c r="BZ3" s="241" t="s">
        <v>4125</v>
      </c>
      <c r="CA3" s="241" t="s">
        <v>393</v>
      </c>
      <c r="CB3" s="241" t="s">
        <v>393</v>
      </c>
      <c r="CC3" s="241" t="s">
        <v>393</v>
      </c>
      <c r="CD3" s="241" t="s">
        <v>393</v>
      </c>
      <c r="CE3" s="241" t="s">
        <v>393</v>
      </c>
      <c r="CF3" s="241" t="s">
        <v>393</v>
      </c>
      <c r="CG3" s="242">
        <v>43514</v>
      </c>
      <c r="CH3" s="238" t="s">
        <v>4126</v>
      </c>
      <c r="CI3" s="241" t="e">
        <v>#N/A</v>
      </c>
      <c r="CJ3" s="241" t="e">
        <v>#N/A</v>
      </c>
      <c r="CK3" s="241" t="e">
        <v>#N/A</v>
      </c>
      <c r="CL3" s="241" t="e">
        <v>#N/A</v>
      </c>
      <c r="CM3" s="241" t="e">
        <v>#N/A</v>
      </c>
      <c r="CN3" s="241" t="e">
        <v>#N/A</v>
      </c>
      <c r="CO3" s="243" t="e">
        <v>#N/A</v>
      </c>
      <c r="CP3" s="241" t="s">
        <v>4127</v>
      </c>
      <c r="CQ3" s="236">
        <v>13114</v>
      </c>
      <c r="CR3" s="236" t="s">
        <v>753</v>
      </c>
      <c r="CS3" s="236" t="s">
        <v>600</v>
      </c>
      <c r="CT3" s="236">
        <v>2</v>
      </c>
      <c r="CU3" s="236" t="s">
        <v>754</v>
      </c>
      <c r="CV3" s="236" t="s">
        <v>755</v>
      </c>
      <c r="CW3" s="237">
        <v>43495</v>
      </c>
      <c r="CX3" s="241" t="s">
        <v>4128</v>
      </c>
      <c r="CY3" s="241">
        <v>14000000</v>
      </c>
      <c r="CZ3" s="241" t="s">
        <v>3656</v>
      </c>
      <c r="DA3" s="241" t="s">
        <v>600</v>
      </c>
      <c r="DB3" s="241">
        <v>2</v>
      </c>
      <c r="DC3" s="241" t="s">
        <v>3455</v>
      </c>
      <c r="DD3" s="241" t="s">
        <v>3454</v>
      </c>
      <c r="DE3" s="243">
        <v>44119</v>
      </c>
      <c r="DF3" s="244" t="s">
        <v>4129</v>
      </c>
      <c r="DG3" s="236">
        <v>0</v>
      </c>
      <c r="DH3" s="236" t="s">
        <v>3654</v>
      </c>
      <c r="DI3" s="236" t="s">
        <v>600</v>
      </c>
      <c r="DJ3" s="236">
        <v>2</v>
      </c>
      <c r="DK3" s="236" t="s">
        <v>3455</v>
      </c>
      <c r="DL3" s="236" t="s">
        <v>3454</v>
      </c>
      <c r="DM3" s="237">
        <v>44119</v>
      </c>
      <c r="DN3" s="241" t="s">
        <v>4130</v>
      </c>
      <c r="DO3" s="241">
        <v>21700000</v>
      </c>
      <c r="DP3" s="241" t="s">
        <v>3655</v>
      </c>
      <c r="DQ3" s="241" t="s">
        <v>600</v>
      </c>
      <c r="DR3" s="241">
        <v>2</v>
      </c>
      <c r="DS3" s="241" t="s">
        <v>3455</v>
      </c>
      <c r="DT3" s="241" t="s">
        <v>3454</v>
      </c>
      <c r="DU3" s="242">
        <v>44119</v>
      </c>
      <c r="DV3" s="238" t="s">
        <v>4131</v>
      </c>
      <c r="DW3" s="236">
        <v>10447000</v>
      </c>
      <c r="DX3" s="236" t="s">
        <v>3656</v>
      </c>
      <c r="DY3" s="236" t="s">
        <v>600</v>
      </c>
      <c r="DZ3" s="236">
        <v>2</v>
      </c>
      <c r="EA3" s="236" t="s">
        <v>3455</v>
      </c>
      <c r="EB3" s="236" t="s">
        <v>3454</v>
      </c>
      <c r="EC3" s="237">
        <v>44119</v>
      </c>
      <c r="ED3" s="241" t="s">
        <v>4132</v>
      </c>
      <c r="EE3" s="241">
        <v>3553000</v>
      </c>
      <c r="EF3" s="241" t="s">
        <v>3657</v>
      </c>
      <c r="EG3" s="241" t="s">
        <v>600</v>
      </c>
      <c r="EH3" s="241">
        <v>2</v>
      </c>
      <c r="EI3" s="241" t="s">
        <v>3455</v>
      </c>
      <c r="EJ3" s="241" t="s">
        <v>3454</v>
      </c>
      <c r="EK3" s="242">
        <v>44119</v>
      </c>
      <c r="EL3" s="238" t="s">
        <v>4133</v>
      </c>
      <c r="EM3" s="236">
        <v>0</v>
      </c>
      <c r="EN3" s="236" t="s">
        <v>3658</v>
      </c>
      <c r="EO3" s="236" t="s">
        <v>600</v>
      </c>
      <c r="EP3" s="236">
        <v>2</v>
      </c>
      <c r="EQ3" s="236" t="s">
        <v>3455</v>
      </c>
      <c r="ER3" s="236" t="s">
        <v>3454</v>
      </c>
      <c r="ES3" s="237">
        <v>44119</v>
      </c>
      <c r="ET3" s="241" t="s">
        <v>4134</v>
      </c>
      <c r="EU3" s="241">
        <v>11042</v>
      </c>
      <c r="EV3" s="241" t="s">
        <v>3704</v>
      </c>
      <c r="EW3" s="241" t="s">
        <v>600</v>
      </c>
      <c r="EX3" s="241">
        <v>2</v>
      </c>
      <c r="EY3" s="241" t="s">
        <v>3706</v>
      </c>
      <c r="EZ3" s="241" t="s">
        <v>3705</v>
      </c>
      <c r="FA3" s="242">
        <v>44131</v>
      </c>
      <c r="FB3" s="238" t="s">
        <v>4135</v>
      </c>
      <c r="FC3" s="236">
        <v>5</v>
      </c>
      <c r="FD3" s="236" t="s">
        <v>3296</v>
      </c>
      <c r="FE3" s="236" t="s">
        <v>600</v>
      </c>
      <c r="FF3" s="236">
        <v>2</v>
      </c>
      <c r="FG3" s="236" t="s">
        <v>3455</v>
      </c>
      <c r="FH3" s="236" t="s">
        <v>3454</v>
      </c>
      <c r="FI3" s="237">
        <v>44106</v>
      </c>
      <c r="FJ3" s="238" t="s">
        <v>4136</v>
      </c>
      <c r="FK3" s="241" t="s">
        <v>393</v>
      </c>
      <c r="FL3" s="241">
        <v>0</v>
      </c>
      <c r="FM3" s="241" t="s">
        <v>393</v>
      </c>
      <c r="FN3" s="241" t="s">
        <v>393</v>
      </c>
      <c r="FO3" s="241">
        <v>0</v>
      </c>
      <c r="FP3" s="241">
        <v>0</v>
      </c>
      <c r="FQ3" s="242">
        <v>43495</v>
      </c>
      <c r="FR3" s="238" t="s">
        <v>4137</v>
      </c>
      <c r="FS3" s="236" t="s">
        <v>393</v>
      </c>
      <c r="FT3" s="236">
        <v>0</v>
      </c>
      <c r="FU3" s="236" t="s">
        <v>393</v>
      </c>
      <c r="FV3" s="236" t="s">
        <v>393</v>
      </c>
      <c r="FW3" s="236">
        <v>0</v>
      </c>
      <c r="FX3" s="236">
        <v>0</v>
      </c>
      <c r="FY3" s="237">
        <v>43495</v>
      </c>
      <c r="FZ3" s="241" t="s">
        <v>4138</v>
      </c>
      <c r="GA3" s="241">
        <v>0</v>
      </c>
      <c r="GB3" s="241" t="s">
        <v>1587</v>
      </c>
      <c r="GC3" s="241" t="s">
        <v>600</v>
      </c>
      <c r="GD3" s="241">
        <v>2</v>
      </c>
      <c r="GE3" s="241" t="s">
        <v>1623</v>
      </c>
      <c r="GF3" s="241" t="s">
        <v>1624</v>
      </c>
      <c r="GG3" s="242">
        <v>43767</v>
      </c>
      <c r="GH3" s="238" t="s">
        <v>4139</v>
      </c>
      <c r="GI3" s="236">
        <v>3</v>
      </c>
      <c r="GJ3" s="236" t="s">
        <v>1587</v>
      </c>
      <c r="GK3" s="236" t="s">
        <v>601</v>
      </c>
      <c r="GL3" s="236">
        <v>1</v>
      </c>
      <c r="GM3" s="236" t="s">
        <v>1623</v>
      </c>
      <c r="GN3" s="236" t="s">
        <v>1624</v>
      </c>
      <c r="GO3" s="237">
        <v>43767</v>
      </c>
      <c r="GP3" s="241" t="s">
        <v>4140</v>
      </c>
      <c r="GQ3" s="241">
        <v>2</v>
      </c>
      <c r="GR3" s="241" t="s">
        <v>1587</v>
      </c>
      <c r="GS3" s="241" t="s">
        <v>600</v>
      </c>
      <c r="GT3" s="241">
        <v>2</v>
      </c>
      <c r="GU3" s="241" t="s">
        <v>1623</v>
      </c>
      <c r="GV3" s="241" t="s">
        <v>1624</v>
      </c>
      <c r="GW3" s="242">
        <v>43767</v>
      </c>
      <c r="GX3" s="238" t="s">
        <v>4141</v>
      </c>
      <c r="GY3" s="236">
        <v>3</v>
      </c>
      <c r="GZ3" s="236" t="s">
        <v>1587</v>
      </c>
      <c r="HA3" s="236" t="s">
        <v>601</v>
      </c>
      <c r="HB3" s="236">
        <v>1</v>
      </c>
      <c r="HC3" s="236" t="s">
        <v>1623</v>
      </c>
      <c r="HD3" s="236" t="s">
        <v>1624</v>
      </c>
      <c r="HE3" s="237">
        <v>43767</v>
      </c>
      <c r="HF3" s="241" t="s">
        <v>4142</v>
      </c>
      <c r="HG3" s="241">
        <v>0</v>
      </c>
      <c r="HH3" s="241" t="s">
        <v>1587</v>
      </c>
      <c r="HI3" s="241" t="s">
        <v>600</v>
      </c>
      <c r="HJ3" s="241">
        <v>2</v>
      </c>
      <c r="HK3" s="241" t="s">
        <v>1623</v>
      </c>
      <c r="HL3" s="241" t="s">
        <v>1624</v>
      </c>
      <c r="HM3" s="242">
        <v>43767</v>
      </c>
      <c r="HN3" s="238" t="s">
        <v>4143</v>
      </c>
      <c r="HO3" s="236">
        <v>3</v>
      </c>
      <c r="HP3" s="236" t="s">
        <v>1587</v>
      </c>
      <c r="HQ3" s="236" t="s">
        <v>601</v>
      </c>
      <c r="HR3" s="236">
        <v>1</v>
      </c>
      <c r="HS3" s="236" t="s">
        <v>1623</v>
      </c>
      <c r="HT3" s="236" t="s">
        <v>1624</v>
      </c>
      <c r="HU3" s="237">
        <v>43767</v>
      </c>
      <c r="HV3" s="241" t="s">
        <v>4144</v>
      </c>
      <c r="HW3" s="241">
        <v>3</v>
      </c>
      <c r="HX3" s="241" t="s">
        <v>1587</v>
      </c>
      <c r="HY3" s="241" t="s">
        <v>601</v>
      </c>
      <c r="HZ3" s="241">
        <v>1</v>
      </c>
      <c r="IA3" s="241" t="s">
        <v>1623</v>
      </c>
      <c r="IB3" s="241" t="s">
        <v>1624</v>
      </c>
      <c r="IC3" s="242">
        <v>43767</v>
      </c>
      <c r="ID3" s="238" t="s">
        <v>4145</v>
      </c>
      <c r="IE3" s="236">
        <v>3</v>
      </c>
      <c r="IF3" s="236" t="s">
        <v>1587</v>
      </c>
      <c r="IG3" s="236" t="s">
        <v>600</v>
      </c>
      <c r="IH3" s="236">
        <v>2</v>
      </c>
      <c r="II3" s="236" t="s">
        <v>1623</v>
      </c>
      <c r="IJ3" s="236" t="s">
        <v>1624</v>
      </c>
      <c r="IK3" s="237">
        <v>43767</v>
      </c>
      <c r="IL3" s="241" t="s">
        <v>4146</v>
      </c>
      <c r="IM3" s="241">
        <v>2</v>
      </c>
      <c r="IN3" s="241" t="s">
        <v>1587</v>
      </c>
      <c r="IO3" s="241" t="s">
        <v>601</v>
      </c>
      <c r="IP3" s="241">
        <v>1</v>
      </c>
      <c r="IQ3" s="241" t="s">
        <v>1623</v>
      </c>
      <c r="IR3" s="241" t="s">
        <v>1624</v>
      </c>
      <c r="IS3" s="242">
        <v>43767</v>
      </c>
    </row>
    <row r="4" spans="1:253" s="11" customFormat="1" ht="13.2" x14ac:dyDescent="0.25">
      <c r="A4" s="11" t="s">
        <v>793</v>
      </c>
      <c r="B4" s="11" t="s">
        <v>1280</v>
      </c>
      <c r="C4" s="11" t="s">
        <v>685</v>
      </c>
      <c r="D4" s="11" t="s">
        <v>5</v>
      </c>
      <c r="E4" s="11" t="s">
        <v>4</v>
      </c>
      <c r="F4" s="11" t="s">
        <v>4147</v>
      </c>
      <c r="G4" s="235">
        <v>43100000</v>
      </c>
      <c r="H4" s="236" t="s">
        <v>1959</v>
      </c>
      <c r="I4" s="236" t="s">
        <v>600</v>
      </c>
      <c r="J4" s="236">
        <v>2</v>
      </c>
      <c r="K4" s="236" t="s">
        <v>1974</v>
      </c>
      <c r="L4" s="236" t="s">
        <v>1966</v>
      </c>
      <c r="M4" s="237">
        <v>43867</v>
      </c>
      <c r="N4" s="244" t="s">
        <v>4148</v>
      </c>
      <c r="O4" s="239">
        <v>2381000</v>
      </c>
      <c r="P4" s="239" t="s">
        <v>842</v>
      </c>
      <c r="Q4" s="239" t="s">
        <v>1364</v>
      </c>
      <c r="R4" s="239">
        <v>2</v>
      </c>
      <c r="S4" s="239" t="s">
        <v>1693</v>
      </c>
      <c r="T4" s="239" t="s">
        <v>970</v>
      </c>
      <c r="U4" s="240">
        <v>43798</v>
      </c>
      <c r="V4" s="244" t="s">
        <v>4149</v>
      </c>
      <c r="W4" s="236">
        <v>43100000</v>
      </c>
      <c r="X4" s="236" t="s">
        <v>1959</v>
      </c>
      <c r="Y4" s="236" t="s">
        <v>600</v>
      </c>
      <c r="Z4" s="236">
        <v>2</v>
      </c>
      <c r="AA4" s="236" t="s">
        <v>1693</v>
      </c>
      <c r="AB4" s="236" t="s">
        <v>1966</v>
      </c>
      <c r="AC4" s="237">
        <v>43867</v>
      </c>
      <c r="AD4" s="244" t="s">
        <v>4150</v>
      </c>
      <c r="AE4" s="241" t="s">
        <v>393</v>
      </c>
      <c r="AF4" s="241" t="s">
        <v>2561</v>
      </c>
      <c r="AG4" s="241" t="s">
        <v>393</v>
      </c>
      <c r="AH4" s="241" t="s">
        <v>393</v>
      </c>
      <c r="AI4" s="241" t="s">
        <v>2564</v>
      </c>
      <c r="AJ4" s="241" t="s">
        <v>2562</v>
      </c>
      <c r="AK4" s="242">
        <v>43992</v>
      </c>
      <c r="AL4" s="244" t="s">
        <v>4151</v>
      </c>
      <c r="AM4" s="236" t="s">
        <v>393</v>
      </c>
      <c r="AN4" s="236" t="s">
        <v>2561</v>
      </c>
      <c r="AO4" s="236" t="s">
        <v>393</v>
      </c>
      <c r="AP4" s="236" t="s">
        <v>393</v>
      </c>
      <c r="AQ4" s="236" t="s">
        <v>2564</v>
      </c>
      <c r="AR4" s="236" t="s">
        <v>2562</v>
      </c>
      <c r="AS4" s="237">
        <v>43992</v>
      </c>
      <c r="AT4" s="245" t="s">
        <v>4152</v>
      </c>
      <c r="AU4" s="241" t="s">
        <v>393</v>
      </c>
      <c r="AV4" s="241" t="s">
        <v>393</v>
      </c>
      <c r="AW4" s="241" t="s">
        <v>393</v>
      </c>
      <c r="AX4" s="241" t="s">
        <v>393</v>
      </c>
      <c r="AY4" s="241" t="s">
        <v>393</v>
      </c>
      <c r="AZ4" s="241" t="s">
        <v>393</v>
      </c>
      <c r="BA4" s="242">
        <v>43798</v>
      </c>
      <c r="BB4" s="244" t="s">
        <v>4153</v>
      </c>
      <c r="BC4" s="236" t="s">
        <v>393</v>
      </c>
      <c r="BD4" s="236" t="s">
        <v>393</v>
      </c>
      <c r="BE4" s="236" t="s">
        <v>393</v>
      </c>
      <c r="BF4" s="236" t="s">
        <v>393</v>
      </c>
      <c r="BG4" s="236" t="s">
        <v>393</v>
      </c>
      <c r="BH4" s="236" t="s">
        <v>393</v>
      </c>
      <c r="BI4" s="237">
        <v>43798</v>
      </c>
      <c r="BJ4" s="245" t="s">
        <v>4154</v>
      </c>
      <c r="BK4" s="245">
        <v>629</v>
      </c>
      <c r="BL4" s="245" t="s">
        <v>3852</v>
      </c>
      <c r="BM4" s="245" t="s">
        <v>599</v>
      </c>
      <c r="BN4" s="245">
        <v>3</v>
      </c>
      <c r="BO4" s="245" t="s">
        <v>2209</v>
      </c>
      <c r="BP4" s="241" t="s">
        <v>1033</v>
      </c>
      <c r="BQ4" s="246">
        <v>44133</v>
      </c>
      <c r="BR4" s="244" t="s">
        <v>4155</v>
      </c>
      <c r="BS4" s="247">
        <v>0</v>
      </c>
      <c r="BT4" s="247">
        <v>0</v>
      </c>
      <c r="BU4" s="247" t="s">
        <v>600</v>
      </c>
      <c r="BV4" s="247">
        <v>2</v>
      </c>
      <c r="BW4" s="247" t="s">
        <v>972</v>
      </c>
      <c r="BX4" s="247">
        <v>0</v>
      </c>
      <c r="BY4" s="237">
        <v>43511</v>
      </c>
      <c r="BZ4" s="245" t="s">
        <v>4156</v>
      </c>
      <c r="CA4" s="245">
        <v>0</v>
      </c>
      <c r="CB4" s="245">
        <v>0</v>
      </c>
      <c r="CC4" s="245" t="s">
        <v>600</v>
      </c>
      <c r="CD4" s="245">
        <v>2</v>
      </c>
      <c r="CE4" s="245" t="s">
        <v>972</v>
      </c>
      <c r="CF4" s="245">
        <v>0</v>
      </c>
      <c r="CG4" s="246">
        <v>43511</v>
      </c>
      <c r="CH4" s="244" t="s">
        <v>4157</v>
      </c>
      <c r="CI4" s="245" t="e">
        <v>#N/A</v>
      </c>
      <c r="CJ4" s="245" t="e">
        <v>#N/A</v>
      </c>
      <c r="CK4" s="245" t="e">
        <v>#N/A</v>
      </c>
      <c r="CL4" s="245" t="e">
        <v>#N/A</v>
      </c>
      <c r="CM4" s="245" t="e">
        <v>#N/A</v>
      </c>
      <c r="CN4" s="245" t="e">
        <v>#N/A</v>
      </c>
      <c r="CO4" s="248" t="e">
        <v>#N/A</v>
      </c>
      <c r="CP4" s="245" t="s">
        <v>4158</v>
      </c>
      <c r="CQ4" s="247" t="s">
        <v>703</v>
      </c>
      <c r="CR4" s="247">
        <v>0</v>
      </c>
      <c r="CS4" s="247" t="s">
        <v>600</v>
      </c>
      <c r="CT4" s="247">
        <v>2</v>
      </c>
      <c r="CU4" s="247" t="s">
        <v>704</v>
      </c>
      <c r="CV4" s="247">
        <v>0</v>
      </c>
      <c r="CW4" s="237">
        <v>43511</v>
      </c>
      <c r="CX4" s="245" t="s">
        <v>4159</v>
      </c>
      <c r="CY4" s="241" t="s">
        <v>393</v>
      </c>
      <c r="CZ4" s="241" t="s">
        <v>393</v>
      </c>
      <c r="DA4" s="241" t="s">
        <v>393</v>
      </c>
      <c r="DB4" s="241" t="s">
        <v>393</v>
      </c>
      <c r="DC4" s="241" t="s">
        <v>1694</v>
      </c>
      <c r="DD4" s="241" t="s">
        <v>393</v>
      </c>
      <c r="DE4" s="243">
        <v>43798</v>
      </c>
      <c r="DF4" s="244" t="s">
        <v>4160</v>
      </c>
      <c r="DG4" s="236" t="s">
        <v>393</v>
      </c>
      <c r="DH4" s="247" t="s">
        <v>393</v>
      </c>
      <c r="DI4" s="247" t="s">
        <v>393</v>
      </c>
      <c r="DJ4" s="247" t="s">
        <v>393</v>
      </c>
      <c r="DK4" s="247" t="s">
        <v>1694</v>
      </c>
      <c r="DL4" s="247" t="s">
        <v>393</v>
      </c>
      <c r="DM4" s="237">
        <v>43798</v>
      </c>
      <c r="DN4" s="245" t="s">
        <v>4161</v>
      </c>
      <c r="DO4" s="241" t="s">
        <v>393</v>
      </c>
      <c r="DP4" s="245" t="s">
        <v>393</v>
      </c>
      <c r="DQ4" s="245" t="s">
        <v>393</v>
      </c>
      <c r="DR4" s="245" t="s">
        <v>393</v>
      </c>
      <c r="DS4" s="245" t="s">
        <v>1694</v>
      </c>
      <c r="DT4" s="245" t="s">
        <v>393</v>
      </c>
      <c r="DU4" s="246">
        <v>43798</v>
      </c>
      <c r="DV4" s="244" t="s">
        <v>4162</v>
      </c>
      <c r="DW4" s="236" t="s">
        <v>393</v>
      </c>
      <c r="DX4" s="247" t="s">
        <v>393</v>
      </c>
      <c r="DY4" s="247" t="s">
        <v>393</v>
      </c>
      <c r="DZ4" s="247" t="s">
        <v>393</v>
      </c>
      <c r="EA4" s="247" t="s">
        <v>1694</v>
      </c>
      <c r="EB4" s="247" t="s">
        <v>393</v>
      </c>
      <c r="EC4" s="237">
        <v>43798</v>
      </c>
      <c r="ED4" s="245" t="s">
        <v>4163</v>
      </c>
      <c r="EE4" s="241" t="s">
        <v>393</v>
      </c>
      <c r="EF4" s="245" t="s">
        <v>393</v>
      </c>
      <c r="EG4" s="245" t="s">
        <v>393</v>
      </c>
      <c r="EH4" s="245" t="s">
        <v>393</v>
      </c>
      <c r="EI4" s="245" t="s">
        <v>1694</v>
      </c>
      <c r="EJ4" s="245" t="s">
        <v>393</v>
      </c>
      <c r="EK4" s="246">
        <v>43798</v>
      </c>
      <c r="EL4" s="244" t="s">
        <v>4164</v>
      </c>
      <c r="EM4" s="236" t="s">
        <v>393</v>
      </c>
      <c r="EN4" s="247" t="s">
        <v>393</v>
      </c>
      <c r="EO4" s="247" t="s">
        <v>393</v>
      </c>
      <c r="EP4" s="247" t="s">
        <v>393</v>
      </c>
      <c r="EQ4" s="247" t="s">
        <v>1694</v>
      </c>
      <c r="ER4" s="247" t="s">
        <v>393</v>
      </c>
      <c r="ES4" s="237">
        <v>43798</v>
      </c>
      <c r="ET4" s="245" t="s">
        <v>4165</v>
      </c>
      <c r="EU4" s="245">
        <v>629</v>
      </c>
      <c r="EV4" s="245" t="s">
        <v>3853</v>
      </c>
      <c r="EW4" s="245" t="s">
        <v>599</v>
      </c>
      <c r="EX4" s="245">
        <v>3</v>
      </c>
      <c r="EY4" s="245" t="s">
        <v>1905</v>
      </c>
      <c r="EZ4" s="245" t="s">
        <v>2563</v>
      </c>
      <c r="FA4" s="246">
        <v>44133</v>
      </c>
      <c r="FB4" s="244" t="s">
        <v>4166</v>
      </c>
      <c r="FC4" s="247">
        <v>2</v>
      </c>
      <c r="FD4" s="247">
        <v>0</v>
      </c>
      <c r="FE4" s="247" t="s">
        <v>600</v>
      </c>
      <c r="FF4" s="247">
        <v>2</v>
      </c>
      <c r="FG4" s="247" t="s">
        <v>2565</v>
      </c>
      <c r="FH4" s="247">
        <v>0</v>
      </c>
      <c r="FI4" s="237">
        <v>43992</v>
      </c>
      <c r="FJ4" s="244" t="s">
        <v>4167</v>
      </c>
      <c r="FK4" s="245" t="s">
        <v>703</v>
      </c>
      <c r="FL4" s="245">
        <v>0</v>
      </c>
      <c r="FM4" s="245" t="s">
        <v>600</v>
      </c>
      <c r="FN4" s="245">
        <v>2</v>
      </c>
      <c r="FO4" s="245" t="s">
        <v>973</v>
      </c>
      <c r="FP4" s="241">
        <v>0</v>
      </c>
      <c r="FQ4" s="242">
        <v>43511</v>
      </c>
      <c r="FR4" s="244" t="s">
        <v>4168</v>
      </c>
      <c r="FS4" s="247" t="s">
        <v>703</v>
      </c>
      <c r="FT4" s="247">
        <v>0</v>
      </c>
      <c r="FU4" s="247" t="s">
        <v>600</v>
      </c>
      <c r="FV4" s="247">
        <v>2</v>
      </c>
      <c r="FW4" s="247" t="s">
        <v>973</v>
      </c>
      <c r="FX4" s="247">
        <v>0</v>
      </c>
      <c r="FY4" s="237">
        <v>43511</v>
      </c>
      <c r="FZ4" s="245" t="s">
        <v>4169</v>
      </c>
      <c r="GA4" s="245">
        <v>0</v>
      </c>
      <c r="GB4" s="245" t="s">
        <v>1587</v>
      </c>
      <c r="GC4" s="245" t="s">
        <v>1364</v>
      </c>
      <c r="GD4" s="245">
        <v>2</v>
      </c>
      <c r="GE4" s="245" t="s">
        <v>1623</v>
      </c>
      <c r="GF4" s="245" t="s">
        <v>1624</v>
      </c>
      <c r="GG4" s="246">
        <v>43767</v>
      </c>
      <c r="GH4" s="244" t="s">
        <v>4170</v>
      </c>
      <c r="GI4" s="247">
        <v>0</v>
      </c>
      <c r="GJ4" s="247" t="s">
        <v>1587</v>
      </c>
      <c r="GK4" s="247" t="s">
        <v>1364</v>
      </c>
      <c r="GL4" s="247">
        <v>2</v>
      </c>
      <c r="GM4" s="247" t="s">
        <v>1623</v>
      </c>
      <c r="GN4" s="247" t="s">
        <v>1624</v>
      </c>
      <c r="GO4" s="237">
        <v>43767</v>
      </c>
      <c r="GP4" s="245" t="s">
        <v>4171</v>
      </c>
      <c r="GQ4" s="245">
        <v>0</v>
      </c>
      <c r="GR4" s="245" t="s">
        <v>1587</v>
      </c>
      <c r="GS4" s="245" t="s">
        <v>1364</v>
      </c>
      <c r="GT4" s="245">
        <v>2</v>
      </c>
      <c r="GU4" s="245" t="s">
        <v>1623</v>
      </c>
      <c r="GV4" s="245" t="s">
        <v>1624</v>
      </c>
      <c r="GW4" s="246">
        <v>43767</v>
      </c>
      <c r="GX4" s="244" t="s">
        <v>4172</v>
      </c>
      <c r="GY4" s="247">
        <v>0</v>
      </c>
      <c r="GZ4" s="247" t="s">
        <v>1587</v>
      </c>
      <c r="HA4" s="247" t="s">
        <v>1364</v>
      </c>
      <c r="HB4" s="247">
        <v>2</v>
      </c>
      <c r="HC4" s="247" t="s">
        <v>1623</v>
      </c>
      <c r="HD4" s="247" t="s">
        <v>1624</v>
      </c>
      <c r="HE4" s="237">
        <v>43767</v>
      </c>
      <c r="HF4" s="245" t="s">
        <v>4173</v>
      </c>
      <c r="HG4" s="245">
        <v>0</v>
      </c>
      <c r="HH4" s="245" t="s">
        <v>1587</v>
      </c>
      <c r="HI4" s="245" t="s">
        <v>1364</v>
      </c>
      <c r="HJ4" s="245">
        <v>2</v>
      </c>
      <c r="HK4" s="245" t="s">
        <v>1623</v>
      </c>
      <c r="HL4" s="245" t="s">
        <v>1624</v>
      </c>
      <c r="HM4" s="246">
        <v>43767</v>
      </c>
      <c r="HN4" s="244" t="s">
        <v>4174</v>
      </c>
      <c r="HO4" s="247">
        <v>0</v>
      </c>
      <c r="HP4" s="247" t="s">
        <v>1587</v>
      </c>
      <c r="HQ4" s="247" t="s">
        <v>1364</v>
      </c>
      <c r="HR4" s="247">
        <v>2</v>
      </c>
      <c r="HS4" s="247" t="s">
        <v>1623</v>
      </c>
      <c r="HT4" s="247" t="s">
        <v>1624</v>
      </c>
      <c r="HU4" s="237">
        <v>43767</v>
      </c>
      <c r="HV4" s="245" t="s">
        <v>4175</v>
      </c>
      <c r="HW4" s="245">
        <v>0</v>
      </c>
      <c r="HX4" s="245" t="s">
        <v>1587</v>
      </c>
      <c r="HY4" s="245" t="s">
        <v>1364</v>
      </c>
      <c r="HZ4" s="245">
        <v>2</v>
      </c>
      <c r="IA4" s="245" t="s">
        <v>1623</v>
      </c>
      <c r="IB4" s="245" t="s">
        <v>1624</v>
      </c>
      <c r="IC4" s="246">
        <v>43767</v>
      </c>
      <c r="ID4" s="244" t="s">
        <v>4176</v>
      </c>
      <c r="IE4" s="247">
        <v>1</v>
      </c>
      <c r="IF4" s="247" t="s">
        <v>1587</v>
      </c>
      <c r="IG4" s="247" t="s">
        <v>1364</v>
      </c>
      <c r="IH4" s="247">
        <v>2</v>
      </c>
      <c r="II4" s="247" t="s">
        <v>1623</v>
      </c>
      <c r="IJ4" s="247" t="s">
        <v>1624</v>
      </c>
      <c r="IK4" s="237">
        <v>43767</v>
      </c>
      <c r="IL4" s="245" t="s">
        <v>4177</v>
      </c>
      <c r="IM4" s="245">
        <v>0</v>
      </c>
      <c r="IN4" s="245" t="s">
        <v>1587</v>
      </c>
      <c r="IO4" s="245" t="s">
        <v>1364</v>
      </c>
      <c r="IP4" s="245">
        <v>2</v>
      </c>
      <c r="IQ4" s="245" t="s">
        <v>1623</v>
      </c>
      <c r="IR4" s="245" t="s">
        <v>1624</v>
      </c>
      <c r="IS4" s="246">
        <v>43767</v>
      </c>
    </row>
    <row r="5" spans="1:253" s="11" customFormat="1" ht="13.2" x14ac:dyDescent="0.25">
      <c r="A5" s="11" t="s">
        <v>862</v>
      </c>
      <c r="B5" s="11" t="s">
        <v>1280</v>
      </c>
      <c r="C5" s="11" t="s">
        <v>864</v>
      </c>
      <c r="D5" s="11" t="s">
        <v>5</v>
      </c>
      <c r="E5" s="11" t="s">
        <v>4</v>
      </c>
      <c r="F5" s="11" t="s">
        <v>4178</v>
      </c>
      <c r="G5" s="235">
        <v>43100000</v>
      </c>
      <c r="H5" s="236" t="s">
        <v>1959</v>
      </c>
      <c r="I5" s="236" t="s">
        <v>600</v>
      </c>
      <c r="J5" s="236">
        <v>2</v>
      </c>
      <c r="K5" s="236" t="s">
        <v>1974</v>
      </c>
      <c r="L5" s="236" t="s">
        <v>1966</v>
      </c>
      <c r="M5" s="237">
        <v>43867</v>
      </c>
      <c r="N5" s="244" t="s">
        <v>4179</v>
      </c>
      <c r="O5" s="239">
        <v>159000</v>
      </c>
      <c r="P5" s="239" t="s">
        <v>2098</v>
      </c>
      <c r="Q5" s="239" t="s">
        <v>600</v>
      </c>
      <c r="R5" s="239">
        <v>2</v>
      </c>
      <c r="S5" s="239" t="s">
        <v>1975</v>
      </c>
      <c r="T5" s="239" t="s">
        <v>1967</v>
      </c>
      <c r="U5" s="240">
        <v>43867</v>
      </c>
      <c r="V5" s="244" t="s">
        <v>4180</v>
      </c>
      <c r="W5" s="236">
        <v>223000</v>
      </c>
      <c r="X5" s="236" t="s">
        <v>968</v>
      </c>
      <c r="Y5" s="236" t="s">
        <v>600</v>
      </c>
      <c r="Z5" s="236">
        <v>2</v>
      </c>
      <c r="AA5" s="236" t="s">
        <v>974</v>
      </c>
      <c r="AB5" s="236" t="s">
        <v>969</v>
      </c>
      <c r="AC5" s="237">
        <v>43511</v>
      </c>
      <c r="AD5" s="244" t="s">
        <v>4181</v>
      </c>
      <c r="AE5" s="241">
        <v>174000</v>
      </c>
      <c r="AF5" s="241" t="s">
        <v>975</v>
      </c>
      <c r="AG5" s="241" t="s">
        <v>599</v>
      </c>
      <c r="AH5" s="241">
        <v>3</v>
      </c>
      <c r="AI5" s="241" t="s">
        <v>1695</v>
      </c>
      <c r="AJ5" s="241" t="s">
        <v>976</v>
      </c>
      <c r="AK5" s="242">
        <v>43798</v>
      </c>
      <c r="AL5" s="244" t="s">
        <v>4182</v>
      </c>
      <c r="AM5" s="236">
        <v>174000</v>
      </c>
      <c r="AN5" s="236" t="s">
        <v>975</v>
      </c>
      <c r="AO5" s="236" t="s">
        <v>599</v>
      </c>
      <c r="AP5" s="236">
        <v>3</v>
      </c>
      <c r="AQ5" s="236" t="s">
        <v>1695</v>
      </c>
      <c r="AR5" s="236" t="s">
        <v>976</v>
      </c>
      <c r="AS5" s="237">
        <v>43798</v>
      </c>
      <c r="AT5" s="245" t="s">
        <v>4183</v>
      </c>
      <c r="AU5" s="241" t="s">
        <v>393</v>
      </c>
      <c r="AV5" s="241" t="s">
        <v>393</v>
      </c>
      <c r="AW5" s="241" t="s">
        <v>393</v>
      </c>
      <c r="AX5" s="241" t="s">
        <v>393</v>
      </c>
      <c r="AY5" s="241" t="s">
        <v>704</v>
      </c>
      <c r="AZ5" s="241" t="s">
        <v>393</v>
      </c>
      <c r="BA5" s="242">
        <v>43867</v>
      </c>
      <c r="BB5" s="244" t="s">
        <v>4184</v>
      </c>
      <c r="BC5" s="236" t="s">
        <v>393</v>
      </c>
      <c r="BD5" s="236" t="s">
        <v>393</v>
      </c>
      <c r="BE5" s="236" t="s">
        <v>393</v>
      </c>
      <c r="BF5" s="236" t="s">
        <v>393</v>
      </c>
      <c r="BG5" s="236" t="s">
        <v>704</v>
      </c>
      <c r="BH5" s="236" t="s">
        <v>393</v>
      </c>
      <c r="BI5" s="237">
        <v>43798</v>
      </c>
      <c r="BJ5" s="245" t="s">
        <v>4185</v>
      </c>
      <c r="BK5" s="245">
        <v>0</v>
      </c>
      <c r="BL5" s="245" t="s">
        <v>3840</v>
      </c>
      <c r="BM5" s="245" t="s">
        <v>599</v>
      </c>
      <c r="BN5" s="245">
        <v>3</v>
      </c>
      <c r="BO5" s="245" t="s">
        <v>1976</v>
      </c>
      <c r="BP5" s="241" t="s">
        <v>3854</v>
      </c>
      <c r="BQ5" s="246">
        <v>44133</v>
      </c>
      <c r="BR5" s="244" t="s">
        <v>4186</v>
      </c>
      <c r="BS5" s="247" t="s">
        <v>393</v>
      </c>
      <c r="BT5" s="247" t="s">
        <v>393</v>
      </c>
      <c r="BU5" s="247" t="s">
        <v>393</v>
      </c>
      <c r="BV5" s="247" t="s">
        <v>393</v>
      </c>
      <c r="BW5" s="247" t="s">
        <v>393</v>
      </c>
      <c r="BX5" s="247" t="s">
        <v>393</v>
      </c>
      <c r="BY5" s="237">
        <v>43798</v>
      </c>
      <c r="BZ5" s="245" t="s">
        <v>4187</v>
      </c>
      <c r="CA5" s="245" t="s">
        <v>393</v>
      </c>
      <c r="CB5" s="245" t="s">
        <v>393</v>
      </c>
      <c r="CC5" s="245" t="s">
        <v>393</v>
      </c>
      <c r="CD5" s="245" t="s">
        <v>393</v>
      </c>
      <c r="CE5" s="245" t="s">
        <v>393</v>
      </c>
      <c r="CF5" s="245" t="s">
        <v>393</v>
      </c>
      <c r="CG5" s="246">
        <v>43798</v>
      </c>
      <c r="CH5" s="244" t="s">
        <v>4188</v>
      </c>
      <c r="CI5" s="245" t="e">
        <v>#N/A</v>
      </c>
      <c r="CJ5" s="245" t="e">
        <v>#N/A</v>
      </c>
      <c r="CK5" s="245" t="e">
        <v>#N/A</v>
      </c>
      <c r="CL5" s="245" t="e">
        <v>#N/A</v>
      </c>
      <c r="CM5" s="245" t="e">
        <v>#N/A</v>
      </c>
      <c r="CN5" s="245" t="e">
        <v>#N/A</v>
      </c>
      <c r="CO5" s="248" t="e">
        <v>#N/A</v>
      </c>
      <c r="CP5" s="245" t="s">
        <v>4189</v>
      </c>
      <c r="CQ5" s="247" t="s">
        <v>393</v>
      </c>
      <c r="CR5" s="247" t="s">
        <v>393</v>
      </c>
      <c r="CS5" s="247" t="s">
        <v>393</v>
      </c>
      <c r="CT5" s="247" t="s">
        <v>393</v>
      </c>
      <c r="CU5" s="247" t="s">
        <v>393</v>
      </c>
      <c r="CV5" s="247" t="s">
        <v>393</v>
      </c>
      <c r="CW5" s="237">
        <v>43798</v>
      </c>
      <c r="CX5" s="245" t="s">
        <v>4190</v>
      </c>
      <c r="CY5" s="241">
        <v>90000</v>
      </c>
      <c r="CZ5" s="241" t="s">
        <v>1233</v>
      </c>
      <c r="DA5" s="241" t="s">
        <v>599</v>
      </c>
      <c r="DB5" s="241">
        <v>3</v>
      </c>
      <c r="DC5" s="241" t="s">
        <v>1696</v>
      </c>
      <c r="DD5" s="241" t="s">
        <v>976</v>
      </c>
      <c r="DE5" s="243">
        <v>43798</v>
      </c>
      <c r="DF5" s="244" t="s">
        <v>4191</v>
      </c>
      <c r="DG5" s="236">
        <v>49000</v>
      </c>
      <c r="DH5" s="247" t="s">
        <v>1233</v>
      </c>
      <c r="DI5" s="247" t="s">
        <v>599</v>
      </c>
      <c r="DJ5" s="247">
        <v>3</v>
      </c>
      <c r="DK5" s="247" t="s">
        <v>1696</v>
      </c>
      <c r="DL5" s="247" t="s">
        <v>976</v>
      </c>
      <c r="DM5" s="237">
        <v>43798</v>
      </c>
      <c r="DN5" s="245" t="s">
        <v>4192</v>
      </c>
      <c r="DO5" s="241">
        <v>84000</v>
      </c>
      <c r="DP5" s="245" t="s">
        <v>1233</v>
      </c>
      <c r="DQ5" s="245" t="s">
        <v>599</v>
      </c>
      <c r="DR5" s="245">
        <v>3</v>
      </c>
      <c r="DS5" s="245" t="s">
        <v>1696</v>
      </c>
      <c r="DT5" s="245" t="s">
        <v>976</v>
      </c>
      <c r="DU5" s="246">
        <v>43798</v>
      </c>
      <c r="DV5" s="244" t="s">
        <v>4193</v>
      </c>
      <c r="DW5" s="236">
        <v>90000</v>
      </c>
      <c r="DX5" s="247" t="s">
        <v>1233</v>
      </c>
      <c r="DY5" s="247" t="s">
        <v>599</v>
      </c>
      <c r="DZ5" s="247">
        <v>3</v>
      </c>
      <c r="EA5" s="247" t="s">
        <v>1696</v>
      </c>
      <c r="EB5" s="247" t="s">
        <v>976</v>
      </c>
      <c r="EC5" s="237">
        <v>43798</v>
      </c>
      <c r="ED5" s="245" t="s">
        <v>4194</v>
      </c>
      <c r="EE5" s="241">
        <v>0</v>
      </c>
      <c r="EF5" s="245" t="s">
        <v>1233</v>
      </c>
      <c r="EG5" s="245" t="s">
        <v>599</v>
      </c>
      <c r="EH5" s="245">
        <v>3</v>
      </c>
      <c r="EI5" s="245" t="s">
        <v>1696</v>
      </c>
      <c r="EJ5" s="245" t="s">
        <v>976</v>
      </c>
      <c r="EK5" s="246">
        <v>43798</v>
      </c>
      <c r="EL5" s="244" t="s">
        <v>4195</v>
      </c>
      <c r="EM5" s="236">
        <v>0</v>
      </c>
      <c r="EN5" s="247" t="s">
        <v>1233</v>
      </c>
      <c r="EO5" s="247" t="s">
        <v>599</v>
      </c>
      <c r="EP5" s="247">
        <v>3</v>
      </c>
      <c r="EQ5" s="247" t="s">
        <v>1696</v>
      </c>
      <c r="ER5" s="247" t="s">
        <v>976</v>
      </c>
      <c r="ES5" s="237">
        <v>43798</v>
      </c>
      <c r="ET5" s="245" t="s">
        <v>4196</v>
      </c>
      <c r="EU5" s="245">
        <v>629</v>
      </c>
      <c r="EV5" s="245" t="s">
        <v>3853</v>
      </c>
      <c r="EW5" s="245" t="s">
        <v>599</v>
      </c>
      <c r="EX5" s="245">
        <v>3</v>
      </c>
      <c r="EY5" s="245" t="s">
        <v>1905</v>
      </c>
      <c r="EZ5" s="245" t="s">
        <v>2563</v>
      </c>
      <c r="FA5" s="246">
        <v>44133</v>
      </c>
      <c r="FB5" s="244" t="s">
        <v>4197</v>
      </c>
      <c r="FC5" s="247">
        <v>1</v>
      </c>
      <c r="FD5" s="247">
        <v>0</v>
      </c>
      <c r="FE5" s="247" t="s">
        <v>600</v>
      </c>
      <c r="FF5" s="247">
        <v>2</v>
      </c>
      <c r="FG5" s="247" t="s">
        <v>977</v>
      </c>
      <c r="FH5" s="247">
        <v>0</v>
      </c>
      <c r="FI5" s="237">
        <v>43511</v>
      </c>
      <c r="FJ5" s="244" t="s">
        <v>4198</v>
      </c>
      <c r="FK5" s="245">
        <v>0</v>
      </c>
      <c r="FL5" s="245">
        <v>0</v>
      </c>
      <c r="FM5" s="245" t="s">
        <v>600</v>
      </c>
      <c r="FN5" s="245">
        <v>2</v>
      </c>
      <c r="FO5" s="245" t="s">
        <v>978</v>
      </c>
      <c r="FP5" s="241">
        <v>0</v>
      </c>
      <c r="FQ5" s="242">
        <v>43511</v>
      </c>
      <c r="FR5" s="244" t="s">
        <v>4199</v>
      </c>
      <c r="FS5" s="247">
        <v>0</v>
      </c>
      <c r="FT5" s="247">
        <v>0</v>
      </c>
      <c r="FU5" s="247" t="s">
        <v>600</v>
      </c>
      <c r="FV5" s="247">
        <v>2</v>
      </c>
      <c r="FW5" s="247" t="s">
        <v>978</v>
      </c>
      <c r="FX5" s="247">
        <v>0</v>
      </c>
      <c r="FY5" s="237">
        <v>43511</v>
      </c>
      <c r="FZ5" s="245" t="s">
        <v>4200</v>
      </c>
      <c r="GA5" s="245">
        <v>0</v>
      </c>
      <c r="GB5" s="245" t="s">
        <v>1587</v>
      </c>
      <c r="GC5" s="245" t="s">
        <v>600</v>
      </c>
      <c r="GD5" s="245">
        <v>2</v>
      </c>
      <c r="GE5" s="245" t="s">
        <v>1623</v>
      </c>
      <c r="GF5" s="245" t="s">
        <v>1624</v>
      </c>
      <c r="GG5" s="246">
        <v>43767</v>
      </c>
      <c r="GH5" s="244" t="s">
        <v>4201</v>
      </c>
      <c r="GI5" s="247">
        <v>0</v>
      </c>
      <c r="GJ5" s="247" t="s">
        <v>1587</v>
      </c>
      <c r="GK5" s="247" t="s">
        <v>600</v>
      </c>
      <c r="GL5" s="247">
        <v>2</v>
      </c>
      <c r="GM5" s="247" t="s">
        <v>1623</v>
      </c>
      <c r="GN5" s="247" t="s">
        <v>1624</v>
      </c>
      <c r="GO5" s="237">
        <v>43767</v>
      </c>
      <c r="GP5" s="245" t="s">
        <v>4202</v>
      </c>
      <c r="GQ5" s="245">
        <v>0</v>
      </c>
      <c r="GR5" s="245" t="s">
        <v>1587</v>
      </c>
      <c r="GS5" s="245" t="s">
        <v>600</v>
      </c>
      <c r="GT5" s="245">
        <v>2</v>
      </c>
      <c r="GU5" s="245" t="s">
        <v>1623</v>
      </c>
      <c r="GV5" s="245" t="s">
        <v>1624</v>
      </c>
      <c r="GW5" s="246">
        <v>43767</v>
      </c>
      <c r="GX5" s="244" t="s">
        <v>4203</v>
      </c>
      <c r="GY5" s="247">
        <v>0</v>
      </c>
      <c r="GZ5" s="247" t="s">
        <v>1587</v>
      </c>
      <c r="HA5" s="247" t="s">
        <v>600</v>
      </c>
      <c r="HB5" s="247">
        <v>2</v>
      </c>
      <c r="HC5" s="247" t="s">
        <v>1623</v>
      </c>
      <c r="HD5" s="247" t="s">
        <v>1624</v>
      </c>
      <c r="HE5" s="237">
        <v>43767</v>
      </c>
      <c r="HF5" s="245" t="s">
        <v>4204</v>
      </c>
      <c r="HG5" s="245">
        <v>0</v>
      </c>
      <c r="HH5" s="245" t="s">
        <v>1587</v>
      </c>
      <c r="HI5" s="245" t="s">
        <v>600</v>
      </c>
      <c r="HJ5" s="245">
        <v>2</v>
      </c>
      <c r="HK5" s="245" t="s">
        <v>1623</v>
      </c>
      <c r="HL5" s="245" t="s">
        <v>1624</v>
      </c>
      <c r="HM5" s="246">
        <v>43767</v>
      </c>
      <c r="HN5" s="244" t="s">
        <v>4205</v>
      </c>
      <c r="HO5" s="247">
        <v>0</v>
      </c>
      <c r="HP5" s="247" t="s">
        <v>1587</v>
      </c>
      <c r="HQ5" s="247" t="s">
        <v>600</v>
      </c>
      <c r="HR5" s="247">
        <v>2</v>
      </c>
      <c r="HS5" s="247" t="s">
        <v>1623</v>
      </c>
      <c r="HT5" s="247" t="s">
        <v>1624</v>
      </c>
      <c r="HU5" s="237">
        <v>43767</v>
      </c>
      <c r="HV5" s="245" t="s">
        <v>4206</v>
      </c>
      <c r="HW5" s="245">
        <v>0</v>
      </c>
      <c r="HX5" s="245" t="s">
        <v>1587</v>
      </c>
      <c r="HY5" s="245" t="s">
        <v>600</v>
      </c>
      <c r="HZ5" s="245">
        <v>2</v>
      </c>
      <c r="IA5" s="245" t="s">
        <v>1623</v>
      </c>
      <c r="IB5" s="245" t="s">
        <v>1624</v>
      </c>
      <c r="IC5" s="246">
        <v>43767</v>
      </c>
      <c r="ID5" s="244" t="s">
        <v>4207</v>
      </c>
      <c r="IE5" s="247">
        <v>1</v>
      </c>
      <c r="IF5" s="247" t="s">
        <v>1587</v>
      </c>
      <c r="IG5" s="247" t="s">
        <v>600</v>
      </c>
      <c r="IH5" s="247">
        <v>2</v>
      </c>
      <c r="II5" s="247" t="s">
        <v>1623</v>
      </c>
      <c r="IJ5" s="247" t="s">
        <v>1624</v>
      </c>
      <c r="IK5" s="237">
        <v>43767</v>
      </c>
      <c r="IL5" s="245" t="s">
        <v>4208</v>
      </c>
      <c r="IM5" s="245">
        <v>1</v>
      </c>
      <c r="IN5" s="245" t="s">
        <v>1587</v>
      </c>
      <c r="IO5" s="245" t="s">
        <v>600</v>
      </c>
      <c r="IP5" s="245">
        <v>2</v>
      </c>
      <c r="IQ5" s="245" t="s">
        <v>1623</v>
      </c>
      <c r="IR5" s="245" t="s">
        <v>1624</v>
      </c>
      <c r="IS5" s="246">
        <v>43767</v>
      </c>
    </row>
    <row r="6" spans="1:253" s="11" customFormat="1" ht="13.2" x14ac:dyDescent="0.25">
      <c r="A6" s="11" t="s">
        <v>1155</v>
      </c>
      <c r="B6" s="11" t="s">
        <v>3258</v>
      </c>
      <c r="C6" s="11" t="s">
        <v>2586</v>
      </c>
      <c r="D6" s="11" t="s">
        <v>5</v>
      </c>
      <c r="E6" s="11" t="s">
        <v>4</v>
      </c>
      <c r="F6" s="11" t="s">
        <v>4209</v>
      </c>
      <c r="G6" s="235">
        <v>43100000</v>
      </c>
      <c r="H6" s="236" t="s">
        <v>1959</v>
      </c>
      <c r="I6" s="236" t="s">
        <v>1364</v>
      </c>
      <c r="J6" s="236">
        <v>2</v>
      </c>
      <c r="K6" s="236" t="s">
        <v>2610</v>
      </c>
      <c r="L6" s="236" t="s">
        <v>1974</v>
      </c>
      <c r="M6" s="237">
        <v>44005</v>
      </c>
      <c r="N6" s="244" t="s">
        <v>4210</v>
      </c>
      <c r="O6" s="239">
        <v>2381000</v>
      </c>
      <c r="P6" s="239" t="s">
        <v>842</v>
      </c>
      <c r="Q6" s="239" t="s">
        <v>600</v>
      </c>
      <c r="R6" s="239">
        <v>2</v>
      </c>
      <c r="S6" s="239" t="s">
        <v>2596</v>
      </c>
      <c r="T6" s="239" t="s">
        <v>970</v>
      </c>
      <c r="U6" s="240">
        <v>44005</v>
      </c>
      <c r="V6" s="244" t="s">
        <v>4211</v>
      </c>
      <c r="W6" s="236">
        <v>43100000</v>
      </c>
      <c r="X6" s="236" t="s">
        <v>2594</v>
      </c>
      <c r="Y6" s="236" t="s">
        <v>600</v>
      </c>
      <c r="Z6" s="236">
        <v>2</v>
      </c>
      <c r="AA6" s="236" t="s">
        <v>2609</v>
      </c>
      <c r="AB6" s="236" t="s">
        <v>2595</v>
      </c>
      <c r="AC6" s="237">
        <v>44005</v>
      </c>
      <c r="AD6" s="244" t="s">
        <v>4212</v>
      </c>
      <c r="AE6" s="241" t="s">
        <v>393</v>
      </c>
      <c r="AF6" s="241" t="s">
        <v>975</v>
      </c>
      <c r="AG6" s="241" t="s">
        <v>393</v>
      </c>
      <c r="AH6" s="241" t="s">
        <v>393</v>
      </c>
      <c r="AI6" s="241" t="s">
        <v>2608</v>
      </c>
      <c r="AJ6" s="241" t="s">
        <v>976</v>
      </c>
      <c r="AK6" s="242">
        <v>44005</v>
      </c>
      <c r="AL6" s="244" t="s">
        <v>4213</v>
      </c>
      <c r="AM6" s="236" t="s">
        <v>393</v>
      </c>
      <c r="AN6" s="236" t="s">
        <v>975</v>
      </c>
      <c r="AO6" s="236" t="s">
        <v>393</v>
      </c>
      <c r="AP6" s="236" t="s">
        <v>393</v>
      </c>
      <c r="AQ6" s="236" t="s">
        <v>2608</v>
      </c>
      <c r="AR6" s="236" t="s">
        <v>976</v>
      </c>
      <c r="AS6" s="237">
        <v>44005</v>
      </c>
      <c r="AT6" s="245" t="s">
        <v>4214</v>
      </c>
      <c r="AU6" s="241" t="s">
        <v>703</v>
      </c>
      <c r="AV6" s="241" t="s">
        <v>393</v>
      </c>
      <c r="AW6" s="241" t="s">
        <v>393</v>
      </c>
      <c r="AX6" s="241" t="s">
        <v>393</v>
      </c>
      <c r="AY6" s="241" t="s">
        <v>971</v>
      </c>
      <c r="AZ6" s="241" t="s">
        <v>393</v>
      </c>
      <c r="BA6" s="242">
        <v>44005</v>
      </c>
      <c r="BB6" s="244" t="s">
        <v>4215</v>
      </c>
      <c r="BC6" s="236" t="s">
        <v>703</v>
      </c>
      <c r="BD6" s="236" t="s">
        <v>393</v>
      </c>
      <c r="BE6" s="236" t="s">
        <v>393</v>
      </c>
      <c r="BF6" s="236" t="s">
        <v>393</v>
      </c>
      <c r="BG6" s="236" t="s">
        <v>704</v>
      </c>
      <c r="BH6" s="236" t="s">
        <v>393</v>
      </c>
      <c r="BI6" s="237">
        <v>44005</v>
      </c>
      <c r="BJ6" s="245" t="s">
        <v>4216</v>
      </c>
      <c r="BK6" s="245">
        <v>629</v>
      </c>
      <c r="BL6" s="245" t="s">
        <v>3852</v>
      </c>
      <c r="BM6" s="245" t="s">
        <v>599</v>
      </c>
      <c r="BN6" s="245">
        <v>3</v>
      </c>
      <c r="BO6" s="245" t="s">
        <v>2209</v>
      </c>
      <c r="BP6" s="241" t="s">
        <v>1033</v>
      </c>
      <c r="BQ6" s="246">
        <v>44133</v>
      </c>
      <c r="BR6" s="244" t="s">
        <v>4217</v>
      </c>
      <c r="BS6" s="247" t="s">
        <v>393</v>
      </c>
      <c r="BT6" s="247" t="s">
        <v>393</v>
      </c>
      <c r="BU6" s="247" t="s">
        <v>393</v>
      </c>
      <c r="BV6" s="247" t="s">
        <v>393</v>
      </c>
      <c r="BW6" s="247" t="s">
        <v>2597</v>
      </c>
      <c r="BX6" s="247" t="s">
        <v>393</v>
      </c>
      <c r="BY6" s="237">
        <v>44005</v>
      </c>
      <c r="BZ6" s="245" t="s">
        <v>4218</v>
      </c>
      <c r="CA6" s="245" t="s">
        <v>393</v>
      </c>
      <c r="CB6" s="245" t="s">
        <v>393</v>
      </c>
      <c r="CC6" s="245" t="s">
        <v>393</v>
      </c>
      <c r="CD6" s="245" t="s">
        <v>393</v>
      </c>
      <c r="CE6" s="245" t="s">
        <v>2597</v>
      </c>
      <c r="CF6" s="245" t="s">
        <v>393</v>
      </c>
      <c r="CG6" s="246">
        <v>44005</v>
      </c>
      <c r="CH6" s="244" t="s">
        <v>4219</v>
      </c>
      <c r="CI6" s="245" t="e">
        <v>#N/A</v>
      </c>
      <c r="CJ6" s="245" t="e">
        <v>#N/A</v>
      </c>
      <c r="CK6" s="245" t="e">
        <v>#N/A</v>
      </c>
      <c r="CL6" s="245" t="e">
        <v>#N/A</v>
      </c>
      <c r="CM6" s="245" t="e">
        <v>#N/A</v>
      </c>
      <c r="CN6" s="245" t="e">
        <v>#N/A</v>
      </c>
      <c r="CO6" s="248" t="e">
        <v>#N/A</v>
      </c>
      <c r="CP6" s="245" t="s">
        <v>4220</v>
      </c>
      <c r="CQ6" s="247" t="s">
        <v>703</v>
      </c>
      <c r="CR6" s="247" t="s">
        <v>393</v>
      </c>
      <c r="CS6" s="247" t="s">
        <v>393</v>
      </c>
      <c r="CT6" s="247" t="s">
        <v>393</v>
      </c>
      <c r="CU6" s="247" t="s">
        <v>704</v>
      </c>
      <c r="CV6" s="247" t="s">
        <v>393</v>
      </c>
      <c r="CW6" s="237">
        <v>44005</v>
      </c>
      <c r="CX6" s="245" t="s">
        <v>4221</v>
      </c>
      <c r="CY6" s="241" t="s">
        <v>393</v>
      </c>
      <c r="CZ6" s="241" t="s">
        <v>1233</v>
      </c>
      <c r="DA6" s="241" t="s">
        <v>393</v>
      </c>
      <c r="DB6" s="241" t="s">
        <v>393</v>
      </c>
      <c r="DC6" s="241" t="s">
        <v>2598</v>
      </c>
      <c r="DD6" s="241" t="s">
        <v>979</v>
      </c>
      <c r="DE6" s="243">
        <v>44005</v>
      </c>
      <c r="DF6" s="244" t="s">
        <v>4222</v>
      </c>
      <c r="DG6" s="236" t="s">
        <v>393</v>
      </c>
      <c r="DH6" s="247" t="s">
        <v>1233</v>
      </c>
      <c r="DI6" s="247" t="s">
        <v>393</v>
      </c>
      <c r="DJ6" s="247" t="s">
        <v>393</v>
      </c>
      <c r="DK6" s="247" t="s">
        <v>2598</v>
      </c>
      <c r="DL6" s="247" t="s">
        <v>979</v>
      </c>
      <c r="DM6" s="237">
        <v>44005</v>
      </c>
      <c r="DN6" s="245" t="s">
        <v>4223</v>
      </c>
      <c r="DO6" s="241" t="s">
        <v>393</v>
      </c>
      <c r="DP6" s="245" t="s">
        <v>1233</v>
      </c>
      <c r="DQ6" s="245" t="s">
        <v>393</v>
      </c>
      <c r="DR6" s="245" t="s">
        <v>393</v>
      </c>
      <c r="DS6" s="245" t="s">
        <v>2598</v>
      </c>
      <c r="DT6" s="245" t="s">
        <v>979</v>
      </c>
      <c r="DU6" s="246">
        <v>44005</v>
      </c>
      <c r="DV6" s="244" t="s">
        <v>4224</v>
      </c>
      <c r="DW6" s="236" t="s">
        <v>393</v>
      </c>
      <c r="DX6" s="247" t="s">
        <v>1233</v>
      </c>
      <c r="DY6" s="247" t="s">
        <v>393</v>
      </c>
      <c r="DZ6" s="247" t="s">
        <v>393</v>
      </c>
      <c r="EA6" s="247" t="s">
        <v>2598</v>
      </c>
      <c r="EB6" s="247" t="s">
        <v>979</v>
      </c>
      <c r="EC6" s="237">
        <v>44005</v>
      </c>
      <c r="ED6" s="245" t="s">
        <v>4225</v>
      </c>
      <c r="EE6" s="241" t="s">
        <v>393</v>
      </c>
      <c r="EF6" s="245" t="s">
        <v>1233</v>
      </c>
      <c r="EG6" s="245" t="s">
        <v>393</v>
      </c>
      <c r="EH6" s="245" t="s">
        <v>393</v>
      </c>
      <c r="EI6" s="245" t="s">
        <v>2598</v>
      </c>
      <c r="EJ6" s="245" t="s">
        <v>979</v>
      </c>
      <c r="EK6" s="246">
        <v>44005</v>
      </c>
      <c r="EL6" s="244" t="s">
        <v>4226</v>
      </c>
      <c r="EM6" s="236" t="s">
        <v>393</v>
      </c>
      <c r="EN6" s="247" t="s">
        <v>1233</v>
      </c>
      <c r="EO6" s="247" t="s">
        <v>393</v>
      </c>
      <c r="EP6" s="247" t="s">
        <v>393</v>
      </c>
      <c r="EQ6" s="247" t="s">
        <v>2598</v>
      </c>
      <c r="ER6" s="247" t="s">
        <v>979</v>
      </c>
      <c r="ES6" s="237">
        <v>44005</v>
      </c>
      <c r="ET6" s="245" t="s">
        <v>4227</v>
      </c>
      <c r="EU6" s="245">
        <v>629</v>
      </c>
      <c r="EV6" s="245" t="s">
        <v>3853</v>
      </c>
      <c r="EW6" s="245" t="s">
        <v>599</v>
      </c>
      <c r="EX6" s="245">
        <v>3</v>
      </c>
      <c r="EY6" s="245" t="s">
        <v>1905</v>
      </c>
      <c r="EZ6" s="245" t="s">
        <v>2563</v>
      </c>
      <c r="FA6" s="246">
        <v>44133</v>
      </c>
      <c r="FB6" s="244" t="s">
        <v>4228</v>
      </c>
      <c r="FC6" s="247">
        <v>2</v>
      </c>
      <c r="FD6" s="247" t="s">
        <v>2617</v>
      </c>
      <c r="FE6" s="247" t="s">
        <v>601</v>
      </c>
      <c r="FF6" s="247">
        <v>1</v>
      </c>
      <c r="FG6" s="247" t="s">
        <v>2599</v>
      </c>
      <c r="FH6" s="247" t="s">
        <v>2737</v>
      </c>
      <c r="FI6" s="237">
        <v>44005</v>
      </c>
      <c r="FJ6" s="244" t="s">
        <v>4229</v>
      </c>
      <c r="FK6" s="245" t="s">
        <v>703</v>
      </c>
      <c r="FL6" s="245" t="s">
        <v>393</v>
      </c>
      <c r="FM6" s="245" t="s">
        <v>393</v>
      </c>
      <c r="FN6" s="245" t="s">
        <v>393</v>
      </c>
      <c r="FO6" s="245" t="s">
        <v>704</v>
      </c>
      <c r="FP6" s="241" t="s">
        <v>393</v>
      </c>
      <c r="FQ6" s="242">
        <v>44005</v>
      </c>
      <c r="FR6" s="244" t="s">
        <v>4230</v>
      </c>
      <c r="FS6" s="247" t="s">
        <v>703</v>
      </c>
      <c r="FT6" s="247" t="s">
        <v>393</v>
      </c>
      <c r="FU6" s="247" t="s">
        <v>393</v>
      </c>
      <c r="FV6" s="247" t="s">
        <v>393</v>
      </c>
      <c r="FW6" s="247" t="s">
        <v>704</v>
      </c>
      <c r="FX6" s="247" t="s">
        <v>393</v>
      </c>
      <c r="FY6" s="237">
        <v>44005</v>
      </c>
      <c r="FZ6" s="245" t="s">
        <v>4231</v>
      </c>
      <c r="GA6" s="245">
        <v>1</v>
      </c>
      <c r="GB6" s="245" t="s">
        <v>2695</v>
      </c>
      <c r="GC6" s="245" t="s">
        <v>600</v>
      </c>
      <c r="GD6" s="245">
        <v>2</v>
      </c>
      <c r="GE6" s="245" t="s">
        <v>2735</v>
      </c>
      <c r="GF6" s="245" t="s">
        <v>2696</v>
      </c>
      <c r="GG6" s="246">
        <v>44005</v>
      </c>
      <c r="GH6" s="244" t="s">
        <v>4232</v>
      </c>
      <c r="GI6" s="247">
        <v>1</v>
      </c>
      <c r="GJ6" s="247" t="s">
        <v>2606</v>
      </c>
      <c r="GK6" s="247" t="s">
        <v>600</v>
      </c>
      <c r="GL6" s="247">
        <v>2</v>
      </c>
      <c r="GM6" s="247" t="s">
        <v>2735</v>
      </c>
      <c r="GN6" s="247" t="s">
        <v>2607</v>
      </c>
      <c r="GO6" s="237">
        <v>44005</v>
      </c>
      <c r="GP6" s="245" t="s">
        <v>4233</v>
      </c>
      <c r="GQ6" s="245">
        <v>1</v>
      </c>
      <c r="GR6" s="245" t="s">
        <v>2604</v>
      </c>
      <c r="GS6" s="245" t="s">
        <v>600</v>
      </c>
      <c r="GT6" s="245">
        <v>2</v>
      </c>
      <c r="GU6" s="245" t="s">
        <v>2735</v>
      </c>
      <c r="GV6" s="245" t="s">
        <v>2605</v>
      </c>
      <c r="GW6" s="246">
        <v>44005</v>
      </c>
      <c r="GX6" s="244" t="s">
        <v>4234</v>
      </c>
      <c r="GY6" s="247">
        <v>0</v>
      </c>
      <c r="GZ6" s="247" t="s">
        <v>2538</v>
      </c>
      <c r="HA6" s="247" t="s">
        <v>600</v>
      </c>
      <c r="HB6" s="247">
        <v>2</v>
      </c>
      <c r="HC6" s="247" t="s">
        <v>2735</v>
      </c>
      <c r="HD6" s="247" t="s">
        <v>1314</v>
      </c>
      <c r="HE6" s="237">
        <v>44005</v>
      </c>
      <c r="HF6" s="245" t="s">
        <v>4235</v>
      </c>
      <c r="HG6" s="245">
        <v>0</v>
      </c>
      <c r="HH6" s="245" t="s">
        <v>2538</v>
      </c>
      <c r="HI6" s="245" t="s">
        <v>600</v>
      </c>
      <c r="HJ6" s="245">
        <v>2</v>
      </c>
      <c r="HK6" s="245" t="s">
        <v>2735</v>
      </c>
      <c r="HL6" s="245" t="s">
        <v>1314</v>
      </c>
      <c r="HM6" s="246">
        <v>44005</v>
      </c>
      <c r="HN6" s="244" t="s">
        <v>4236</v>
      </c>
      <c r="HO6" s="247">
        <v>2</v>
      </c>
      <c r="HP6" s="247" t="s">
        <v>2602</v>
      </c>
      <c r="HQ6" s="247" t="s">
        <v>600</v>
      </c>
      <c r="HR6" s="247">
        <v>2</v>
      </c>
      <c r="HS6" s="247" t="s">
        <v>2735</v>
      </c>
      <c r="HT6" s="247" t="s">
        <v>2603</v>
      </c>
      <c r="HU6" s="237">
        <v>44005</v>
      </c>
      <c r="HV6" s="245" t="s">
        <v>4237</v>
      </c>
      <c r="HW6" s="245">
        <v>0</v>
      </c>
      <c r="HX6" s="245" t="s">
        <v>2538</v>
      </c>
      <c r="HY6" s="245" t="s">
        <v>600</v>
      </c>
      <c r="HZ6" s="245">
        <v>2</v>
      </c>
      <c r="IA6" s="245" t="s">
        <v>2735</v>
      </c>
      <c r="IB6" s="245" t="s">
        <v>1314</v>
      </c>
      <c r="IC6" s="246">
        <v>44005</v>
      </c>
      <c r="ID6" s="244" t="s">
        <v>4238</v>
      </c>
      <c r="IE6" s="247">
        <v>0</v>
      </c>
      <c r="IF6" s="247" t="s">
        <v>2538</v>
      </c>
      <c r="IG6" s="247" t="s">
        <v>600</v>
      </c>
      <c r="IH6" s="247">
        <v>2</v>
      </c>
      <c r="II6" s="247" t="s">
        <v>2735</v>
      </c>
      <c r="IJ6" s="247" t="s">
        <v>1314</v>
      </c>
      <c r="IK6" s="237">
        <v>44005</v>
      </c>
      <c r="IL6" s="245" t="s">
        <v>4239</v>
      </c>
      <c r="IM6" s="245">
        <v>1</v>
      </c>
      <c r="IN6" s="245" t="s">
        <v>2600</v>
      </c>
      <c r="IO6" s="245" t="s">
        <v>600</v>
      </c>
      <c r="IP6" s="245">
        <v>2</v>
      </c>
      <c r="IQ6" s="245" t="s">
        <v>2735</v>
      </c>
      <c r="IR6" s="245" t="s">
        <v>2601</v>
      </c>
      <c r="IS6" s="246">
        <v>44005</v>
      </c>
    </row>
    <row r="7" spans="1:253" s="11" customFormat="1" ht="13.2" x14ac:dyDescent="0.25">
      <c r="A7" s="11" t="s">
        <v>1248</v>
      </c>
      <c r="B7" s="11" t="s">
        <v>1281</v>
      </c>
      <c r="C7" s="11" t="s">
        <v>1252</v>
      </c>
      <c r="D7" s="11" t="s">
        <v>1256</v>
      </c>
      <c r="E7" s="11" t="s">
        <v>1260</v>
      </c>
      <c r="F7" s="11" t="s">
        <v>4240</v>
      </c>
      <c r="G7" s="235">
        <v>125787000</v>
      </c>
      <c r="H7" s="236" t="s">
        <v>1961</v>
      </c>
      <c r="I7" s="236" t="s">
        <v>601</v>
      </c>
      <c r="J7" s="236">
        <v>1</v>
      </c>
      <c r="K7" s="236" t="s">
        <v>1981</v>
      </c>
      <c r="L7" s="236" t="s">
        <v>1971</v>
      </c>
      <c r="M7" s="237">
        <v>43867</v>
      </c>
      <c r="N7" s="244" t="s">
        <v>4241</v>
      </c>
      <c r="O7" s="239" t="s">
        <v>393</v>
      </c>
      <c r="P7" s="239" t="s">
        <v>393</v>
      </c>
      <c r="Q7" s="239" t="s">
        <v>393</v>
      </c>
      <c r="R7" s="239" t="s">
        <v>393</v>
      </c>
      <c r="S7" s="239" t="s">
        <v>393</v>
      </c>
      <c r="T7" s="239" t="s">
        <v>393</v>
      </c>
      <c r="U7" s="240">
        <v>43581</v>
      </c>
      <c r="V7" s="244" t="s">
        <v>4242</v>
      </c>
      <c r="W7" s="236" t="s">
        <v>393</v>
      </c>
      <c r="X7" s="236" t="s">
        <v>393</v>
      </c>
      <c r="Y7" s="236" t="s">
        <v>393</v>
      </c>
      <c r="Z7" s="236" t="s">
        <v>393</v>
      </c>
      <c r="AA7" s="236" t="s">
        <v>393</v>
      </c>
      <c r="AB7" s="236" t="s">
        <v>393</v>
      </c>
      <c r="AC7" s="237">
        <v>43581</v>
      </c>
      <c r="AD7" s="244" t="s">
        <v>4243</v>
      </c>
      <c r="AE7" s="241" t="s">
        <v>393</v>
      </c>
      <c r="AF7" s="241" t="s">
        <v>393</v>
      </c>
      <c r="AG7" s="241" t="s">
        <v>393</v>
      </c>
      <c r="AH7" s="241" t="s">
        <v>393</v>
      </c>
      <c r="AI7" s="241" t="s">
        <v>393</v>
      </c>
      <c r="AJ7" s="241" t="s">
        <v>393</v>
      </c>
      <c r="AK7" s="242">
        <v>43581</v>
      </c>
      <c r="AL7" s="244" t="s">
        <v>4244</v>
      </c>
      <c r="AM7" s="236" t="s">
        <v>393</v>
      </c>
      <c r="AN7" s="236" t="s">
        <v>393</v>
      </c>
      <c r="AO7" s="236" t="s">
        <v>393</v>
      </c>
      <c r="AP7" s="236" t="s">
        <v>393</v>
      </c>
      <c r="AQ7" s="236" t="s">
        <v>393</v>
      </c>
      <c r="AR7" s="236" t="s">
        <v>393</v>
      </c>
      <c r="AS7" s="237">
        <v>43581</v>
      </c>
      <c r="AT7" s="245" t="s">
        <v>4245</v>
      </c>
      <c r="AU7" s="241" t="s">
        <v>393</v>
      </c>
      <c r="AV7" s="241" t="s">
        <v>393</v>
      </c>
      <c r="AW7" s="241" t="s">
        <v>393</v>
      </c>
      <c r="AX7" s="241" t="s">
        <v>393</v>
      </c>
      <c r="AY7" s="241" t="s">
        <v>393</v>
      </c>
      <c r="AZ7" s="241" t="s">
        <v>393</v>
      </c>
      <c r="BA7" s="242">
        <v>43581</v>
      </c>
      <c r="BB7" s="244" t="s">
        <v>4246</v>
      </c>
      <c r="BC7" s="236" t="s">
        <v>393</v>
      </c>
      <c r="BD7" s="236" t="s">
        <v>393</v>
      </c>
      <c r="BE7" s="236" t="s">
        <v>393</v>
      </c>
      <c r="BF7" s="236" t="s">
        <v>393</v>
      </c>
      <c r="BG7" s="236" t="s">
        <v>393</v>
      </c>
      <c r="BH7" s="236" t="s">
        <v>393</v>
      </c>
      <c r="BI7" s="237">
        <v>43581</v>
      </c>
      <c r="BJ7" s="245" t="s">
        <v>4247</v>
      </c>
      <c r="BK7" s="245">
        <v>63</v>
      </c>
      <c r="BL7" s="245" t="s">
        <v>4065</v>
      </c>
      <c r="BM7" s="245" t="s">
        <v>599</v>
      </c>
      <c r="BN7" s="245">
        <v>3</v>
      </c>
      <c r="BO7" s="245" t="s">
        <v>2618</v>
      </c>
      <c r="BP7" s="241" t="s">
        <v>1264</v>
      </c>
      <c r="BQ7" s="246">
        <v>44140</v>
      </c>
      <c r="BR7" s="244" t="s">
        <v>4248</v>
      </c>
      <c r="BS7" s="247" t="s">
        <v>393</v>
      </c>
      <c r="BT7" s="247" t="s">
        <v>393</v>
      </c>
      <c r="BU7" s="247" t="s">
        <v>393</v>
      </c>
      <c r="BV7" s="247" t="s">
        <v>393</v>
      </c>
      <c r="BW7" s="247" t="s">
        <v>393</v>
      </c>
      <c r="BX7" s="247" t="s">
        <v>393</v>
      </c>
      <c r="BY7" s="237">
        <v>43581</v>
      </c>
      <c r="BZ7" s="245" t="s">
        <v>4249</v>
      </c>
      <c r="CA7" s="245" t="s">
        <v>393</v>
      </c>
      <c r="CB7" s="245" t="s">
        <v>393</v>
      </c>
      <c r="CC7" s="245" t="s">
        <v>393</v>
      </c>
      <c r="CD7" s="245" t="s">
        <v>393</v>
      </c>
      <c r="CE7" s="245" t="s">
        <v>393</v>
      </c>
      <c r="CF7" s="245" t="s">
        <v>393</v>
      </c>
      <c r="CG7" s="246">
        <v>43581</v>
      </c>
      <c r="CH7" s="244" t="s">
        <v>4250</v>
      </c>
      <c r="CI7" s="245" t="e">
        <v>#N/A</v>
      </c>
      <c r="CJ7" s="245" t="e">
        <v>#N/A</v>
      </c>
      <c r="CK7" s="245" t="e">
        <v>#N/A</v>
      </c>
      <c r="CL7" s="245" t="e">
        <v>#N/A</v>
      </c>
      <c r="CM7" s="245" t="e">
        <v>#N/A</v>
      </c>
      <c r="CN7" s="245" t="e">
        <v>#N/A</v>
      </c>
      <c r="CO7" s="248" t="e">
        <v>#N/A</v>
      </c>
      <c r="CP7" s="245" t="s">
        <v>4251</v>
      </c>
      <c r="CQ7" s="247" t="s">
        <v>393</v>
      </c>
      <c r="CR7" s="247" t="s">
        <v>393</v>
      </c>
      <c r="CS7" s="247" t="s">
        <v>393</v>
      </c>
      <c r="CT7" s="247" t="s">
        <v>393</v>
      </c>
      <c r="CU7" s="247" t="s">
        <v>393</v>
      </c>
      <c r="CV7" s="247" t="s">
        <v>393</v>
      </c>
      <c r="CW7" s="237">
        <v>43581</v>
      </c>
      <c r="CX7" s="245" t="s">
        <v>4252</v>
      </c>
      <c r="CY7" s="241" t="s">
        <v>393</v>
      </c>
      <c r="CZ7" s="241" t="s">
        <v>393</v>
      </c>
      <c r="DA7" s="241" t="s">
        <v>393</v>
      </c>
      <c r="DB7" s="241" t="s">
        <v>393</v>
      </c>
      <c r="DC7" s="241" t="s">
        <v>393</v>
      </c>
      <c r="DD7" s="241" t="s">
        <v>393</v>
      </c>
      <c r="DE7" s="243">
        <v>43581</v>
      </c>
      <c r="DF7" s="244" t="s">
        <v>4253</v>
      </c>
      <c r="DG7" s="236" t="s">
        <v>393</v>
      </c>
      <c r="DH7" s="247" t="s">
        <v>393</v>
      </c>
      <c r="DI7" s="247" t="s">
        <v>393</v>
      </c>
      <c r="DJ7" s="247" t="s">
        <v>393</v>
      </c>
      <c r="DK7" s="247" t="s">
        <v>393</v>
      </c>
      <c r="DL7" s="247" t="s">
        <v>393</v>
      </c>
      <c r="DM7" s="237">
        <v>43581</v>
      </c>
      <c r="DN7" s="245" t="s">
        <v>4254</v>
      </c>
      <c r="DO7" s="241" t="s">
        <v>393</v>
      </c>
      <c r="DP7" s="245" t="s">
        <v>393</v>
      </c>
      <c r="DQ7" s="245" t="s">
        <v>393</v>
      </c>
      <c r="DR7" s="245" t="s">
        <v>393</v>
      </c>
      <c r="DS7" s="245" t="s">
        <v>393</v>
      </c>
      <c r="DT7" s="245" t="s">
        <v>393</v>
      </c>
      <c r="DU7" s="246">
        <v>43581</v>
      </c>
      <c r="DV7" s="244" t="s">
        <v>4255</v>
      </c>
      <c r="DW7" s="236" t="s">
        <v>393</v>
      </c>
      <c r="DX7" s="247" t="s">
        <v>393</v>
      </c>
      <c r="DY7" s="247" t="s">
        <v>393</v>
      </c>
      <c r="DZ7" s="247" t="s">
        <v>393</v>
      </c>
      <c r="EA7" s="247" t="s">
        <v>393</v>
      </c>
      <c r="EB7" s="247" t="s">
        <v>393</v>
      </c>
      <c r="EC7" s="237">
        <v>43581</v>
      </c>
      <c r="ED7" s="245" t="s">
        <v>4256</v>
      </c>
      <c r="EE7" s="241" t="s">
        <v>393</v>
      </c>
      <c r="EF7" s="245" t="s">
        <v>393</v>
      </c>
      <c r="EG7" s="245" t="s">
        <v>393</v>
      </c>
      <c r="EH7" s="245" t="s">
        <v>393</v>
      </c>
      <c r="EI7" s="245" t="s">
        <v>393</v>
      </c>
      <c r="EJ7" s="245" t="s">
        <v>393</v>
      </c>
      <c r="EK7" s="246">
        <v>43581</v>
      </c>
      <c r="EL7" s="244" t="s">
        <v>4257</v>
      </c>
      <c r="EM7" s="236" t="s">
        <v>393</v>
      </c>
      <c r="EN7" s="247" t="s">
        <v>393</v>
      </c>
      <c r="EO7" s="247" t="s">
        <v>393</v>
      </c>
      <c r="EP7" s="247" t="s">
        <v>393</v>
      </c>
      <c r="EQ7" s="247" t="s">
        <v>393</v>
      </c>
      <c r="ER7" s="247" t="s">
        <v>393</v>
      </c>
      <c r="ES7" s="237">
        <v>43581</v>
      </c>
      <c r="ET7" s="245" t="s">
        <v>4258</v>
      </c>
      <c r="EU7" s="245">
        <v>63</v>
      </c>
      <c r="EV7" s="245" t="s">
        <v>4065</v>
      </c>
      <c r="EW7" s="245" t="s">
        <v>599</v>
      </c>
      <c r="EX7" s="245">
        <v>3</v>
      </c>
      <c r="EY7" s="245" t="s">
        <v>2618</v>
      </c>
      <c r="EZ7" s="245" t="s">
        <v>1264</v>
      </c>
      <c r="FA7" s="246">
        <v>44140</v>
      </c>
      <c r="FB7" s="244" t="s">
        <v>4259</v>
      </c>
      <c r="FC7" s="247">
        <v>2</v>
      </c>
      <c r="FD7" s="247" t="s">
        <v>393</v>
      </c>
      <c r="FE7" s="247" t="s">
        <v>601</v>
      </c>
      <c r="FF7" s="247">
        <v>1</v>
      </c>
      <c r="FG7" s="247" t="s">
        <v>1211</v>
      </c>
      <c r="FH7" s="247" t="s">
        <v>393</v>
      </c>
      <c r="FI7" s="237">
        <v>43581</v>
      </c>
      <c r="FJ7" s="244" t="s">
        <v>4260</v>
      </c>
      <c r="FK7" s="245" t="s">
        <v>393</v>
      </c>
      <c r="FL7" s="245" t="s">
        <v>393</v>
      </c>
      <c r="FM7" s="245" t="s">
        <v>393</v>
      </c>
      <c r="FN7" s="245" t="s">
        <v>393</v>
      </c>
      <c r="FO7" s="245" t="s">
        <v>393</v>
      </c>
      <c r="FP7" s="241" t="s">
        <v>393</v>
      </c>
      <c r="FQ7" s="242">
        <v>43581</v>
      </c>
      <c r="FR7" s="244" t="s">
        <v>4261</v>
      </c>
      <c r="FS7" s="247" t="s">
        <v>393</v>
      </c>
      <c r="FT7" s="247" t="s">
        <v>393</v>
      </c>
      <c r="FU7" s="247" t="s">
        <v>393</v>
      </c>
      <c r="FV7" s="247" t="s">
        <v>393</v>
      </c>
      <c r="FW7" s="247" t="s">
        <v>393</v>
      </c>
      <c r="FX7" s="247" t="s">
        <v>393</v>
      </c>
      <c r="FY7" s="237">
        <v>43581</v>
      </c>
      <c r="FZ7" s="245" t="s">
        <v>4262</v>
      </c>
      <c r="GA7" s="245">
        <v>0</v>
      </c>
      <c r="GB7" s="245" t="s">
        <v>1286</v>
      </c>
      <c r="GC7" s="245" t="s">
        <v>600</v>
      </c>
      <c r="GD7" s="245">
        <v>2</v>
      </c>
      <c r="GE7" s="245" t="s">
        <v>393</v>
      </c>
      <c r="GF7" s="245" t="s">
        <v>393</v>
      </c>
      <c r="GG7" s="246">
        <v>43581</v>
      </c>
      <c r="GH7" s="244" t="s">
        <v>4263</v>
      </c>
      <c r="GI7" s="247">
        <v>0.33</v>
      </c>
      <c r="GJ7" s="247" t="s">
        <v>1286</v>
      </c>
      <c r="GK7" s="247" t="s">
        <v>600</v>
      </c>
      <c r="GL7" s="247">
        <v>2</v>
      </c>
      <c r="GM7" s="247" t="s">
        <v>393</v>
      </c>
      <c r="GN7" s="247" t="s">
        <v>393</v>
      </c>
      <c r="GO7" s="237">
        <v>43581</v>
      </c>
      <c r="GP7" s="245" t="s">
        <v>4264</v>
      </c>
      <c r="GQ7" s="245">
        <v>0.33</v>
      </c>
      <c r="GR7" s="245" t="s">
        <v>1286</v>
      </c>
      <c r="GS7" s="245" t="s">
        <v>600</v>
      </c>
      <c r="GT7" s="245">
        <v>2</v>
      </c>
      <c r="GU7" s="245" t="s">
        <v>393</v>
      </c>
      <c r="GV7" s="245" t="s">
        <v>393</v>
      </c>
      <c r="GW7" s="246">
        <v>43581</v>
      </c>
      <c r="GX7" s="244" t="s">
        <v>4265</v>
      </c>
      <c r="GY7" s="247">
        <v>0</v>
      </c>
      <c r="GZ7" s="247" t="s">
        <v>1286</v>
      </c>
      <c r="HA7" s="247" t="s">
        <v>600</v>
      </c>
      <c r="HB7" s="247">
        <v>2</v>
      </c>
      <c r="HC7" s="247" t="s">
        <v>393</v>
      </c>
      <c r="HD7" s="247" t="s">
        <v>393</v>
      </c>
      <c r="HE7" s="237">
        <v>43581</v>
      </c>
      <c r="HF7" s="245" t="s">
        <v>4266</v>
      </c>
      <c r="HG7" s="245">
        <v>0</v>
      </c>
      <c r="HH7" s="245" t="s">
        <v>1286</v>
      </c>
      <c r="HI7" s="245" t="s">
        <v>600</v>
      </c>
      <c r="HJ7" s="245">
        <v>2</v>
      </c>
      <c r="HK7" s="245" t="s">
        <v>393</v>
      </c>
      <c r="HL7" s="245" t="s">
        <v>393</v>
      </c>
      <c r="HM7" s="246">
        <v>43581</v>
      </c>
      <c r="HN7" s="244" t="s">
        <v>4267</v>
      </c>
      <c r="HO7" s="247">
        <v>0</v>
      </c>
      <c r="HP7" s="247" t="s">
        <v>1286</v>
      </c>
      <c r="HQ7" s="247" t="s">
        <v>600</v>
      </c>
      <c r="HR7" s="247">
        <v>2</v>
      </c>
      <c r="HS7" s="247" t="s">
        <v>393</v>
      </c>
      <c r="HT7" s="247" t="s">
        <v>393</v>
      </c>
      <c r="HU7" s="237">
        <v>43581</v>
      </c>
      <c r="HV7" s="245" t="s">
        <v>4268</v>
      </c>
      <c r="HW7" s="245">
        <v>0</v>
      </c>
      <c r="HX7" s="245" t="s">
        <v>1286</v>
      </c>
      <c r="HY7" s="245" t="s">
        <v>600</v>
      </c>
      <c r="HZ7" s="245">
        <v>2</v>
      </c>
      <c r="IA7" s="245" t="s">
        <v>393</v>
      </c>
      <c r="IB7" s="245" t="s">
        <v>393</v>
      </c>
      <c r="IC7" s="246">
        <v>43581</v>
      </c>
      <c r="ID7" s="244" t="s">
        <v>4269</v>
      </c>
      <c r="IE7" s="247">
        <v>0.33</v>
      </c>
      <c r="IF7" s="247" t="s">
        <v>1286</v>
      </c>
      <c r="IG7" s="247" t="s">
        <v>600</v>
      </c>
      <c r="IH7" s="247">
        <v>2</v>
      </c>
      <c r="II7" s="247" t="s">
        <v>393</v>
      </c>
      <c r="IJ7" s="247" t="s">
        <v>393</v>
      </c>
      <c r="IK7" s="237">
        <v>43581</v>
      </c>
      <c r="IL7" s="245" t="s">
        <v>4270</v>
      </c>
      <c r="IM7" s="245">
        <v>0.33</v>
      </c>
      <c r="IN7" s="245" t="s">
        <v>1286</v>
      </c>
      <c r="IO7" s="245" t="s">
        <v>600</v>
      </c>
      <c r="IP7" s="245">
        <v>2</v>
      </c>
      <c r="IQ7" s="245" t="s">
        <v>393</v>
      </c>
      <c r="IR7" s="245" t="s">
        <v>393</v>
      </c>
      <c r="IS7" s="246">
        <v>43581</v>
      </c>
    </row>
    <row r="8" spans="1:253" s="11" customFormat="1" ht="13.2" x14ac:dyDescent="0.25">
      <c r="A8" s="11" t="s">
        <v>1249</v>
      </c>
      <c r="B8" s="11" t="s">
        <v>1281</v>
      </c>
      <c r="C8" s="11" t="s">
        <v>1253</v>
      </c>
      <c r="D8" s="11" t="s">
        <v>1257</v>
      </c>
      <c r="E8" s="11" t="s">
        <v>1261</v>
      </c>
      <c r="F8" s="11" t="s">
        <v>4271</v>
      </c>
      <c r="G8" s="235">
        <v>121936000</v>
      </c>
      <c r="H8" s="236" t="s">
        <v>2331</v>
      </c>
      <c r="I8" s="236" t="s">
        <v>601</v>
      </c>
      <c r="J8" s="236">
        <v>1</v>
      </c>
      <c r="K8" s="236" t="s">
        <v>1979</v>
      </c>
      <c r="L8" s="236" t="s">
        <v>2341</v>
      </c>
      <c r="M8" s="237">
        <v>43950</v>
      </c>
      <c r="N8" s="244" t="s">
        <v>4272</v>
      </c>
      <c r="O8" s="239" t="s">
        <v>393</v>
      </c>
      <c r="P8" s="239" t="s">
        <v>393</v>
      </c>
      <c r="Q8" s="239" t="s">
        <v>393</v>
      </c>
      <c r="R8" s="239" t="s">
        <v>393</v>
      </c>
      <c r="S8" s="239" t="s">
        <v>393</v>
      </c>
      <c r="T8" s="239" t="s">
        <v>393</v>
      </c>
      <c r="U8" s="240">
        <v>43581</v>
      </c>
      <c r="V8" s="244" t="s">
        <v>4273</v>
      </c>
      <c r="W8" s="236" t="s">
        <v>393</v>
      </c>
      <c r="X8" s="236" t="s">
        <v>393</v>
      </c>
      <c r="Y8" s="236" t="s">
        <v>393</v>
      </c>
      <c r="Z8" s="236" t="s">
        <v>393</v>
      </c>
      <c r="AA8" s="236" t="s">
        <v>393</v>
      </c>
      <c r="AB8" s="236" t="s">
        <v>393</v>
      </c>
      <c r="AC8" s="237">
        <v>43581</v>
      </c>
      <c r="AD8" s="244" t="s">
        <v>4274</v>
      </c>
      <c r="AE8" s="241" t="s">
        <v>393</v>
      </c>
      <c r="AF8" s="241" t="s">
        <v>393</v>
      </c>
      <c r="AG8" s="241" t="s">
        <v>393</v>
      </c>
      <c r="AH8" s="241" t="s">
        <v>393</v>
      </c>
      <c r="AI8" s="241" t="s">
        <v>393</v>
      </c>
      <c r="AJ8" s="241" t="s">
        <v>393</v>
      </c>
      <c r="AK8" s="242">
        <v>43581</v>
      </c>
      <c r="AL8" s="244" t="s">
        <v>4275</v>
      </c>
      <c r="AM8" s="236" t="s">
        <v>393</v>
      </c>
      <c r="AN8" s="236" t="s">
        <v>393</v>
      </c>
      <c r="AO8" s="236" t="s">
        <v>393</v>
      </c>
      <c r="AP8" s="236" t="s">
        <v>393</v>
      </c>
      <c r="AQ8" s="236" t="s">
        <v>393</v>
      </c>
      <c r="AR8" s="236" t="s">
        <v>393</v>
      </c>
      <c r="AS8" s="237">
        <v>43581</v>
      </c>
      <c r="AT8" s="245" t="s">
        <v>4276</v>
      </c>
      <c r="AU8" s="241" t="s">
        <v>393</v>
      </c>
      <c r="AV8" s="241" t="s">
        <v>393</v>
      </c>
      <c r="AW8" s="241" t="s">
        <v>393</v>
      </c>
      <c r="AX8" s="241" t="s">
        <v>393</v>
      </c>
      <c r="AY8" s="241" t="s">
        <v>393</v>
      </c>
      <c r="AZ8" s="241" t="s">
        <v>393</v>
      </c>
      <c r="BA8" s="242">
        <v>43581</v>
      </c>
      <c r="BB8" s="244" t="s">
        <v>4277</v>
      </c>
      <c r="BC8" s="236" t="s">
        <v>393</v>
      </c>
      <c r="BD8" s="236" t="s">
        <v>393</v>
      </c>
      <c r="BE8" s="236" t="s">
        <v>393</v>
      </c>
      <c r="BF8" s="236" t="s">
        <v>393</v>
      </c>
      <c r="BG8" s="236" t="s">
        <v>393</v>
      </c>
      <c r="BH8" s="236" t="s">
        <v>393</v>
      </c>
      <c r="BI8" s="237">
        <v>43581</v>
      </c>
      <c r="BJ8" s="245" t="s">
        <v>4278</v>
      </c>
      <c r="BK8" s="245">
        <v>344</v>
      </c>
      <c r="BL8" s="245" t="s">
        <v>4065</v>
      </c>
      <c r="BM8" s="245" t="s">
        <v>599</v>
      </c>
      <c r="BN8" s="245">
        <v>3</v>
      </c>
      <c r="BO8" s="245" t="s">
        <v>1980</v>
      </c>
      <c r="BP8" s="241" t="s">
        <v>1264</v>
      </c>
      <c r="BQ8" s="246">
        <v>44140</v>
      </c>
      <c r="BR8" s="244" t="s">
        <v>4279</v>
      </c>
      <c r="BS8" s="247" t="s">
        <v>393</v>
      </c>
      <c r="BT8" s="247" t="s">
        <v>393</v>
      </c>
      <c r="BU8" s="247" t="s">
        <v>393</v>
      </c>
      <c r="BV8" s="247" t="s">
        <v>393</v>
      </c>
      <c r="BW8" s="247" t="s">
        <v>393</v>
      </c>
      <c r="BX8" s="247" t="s">
        <v>393</v>
      </c>
      <c r="BY8" s="237">
        <v>43581</v>
      </c>
      <c r="BZ8" s="245" t="s">
        <v>4280</v>
      </c>
      <c r="CA8" s="245" t="s">
        <v>393</v>
      </c>
      <c r="CB8" s="245" t="s">
        <v>393</v>
      </c>
      <c r="CC8" s="245" t="s">
        <v>393</v>
      </c>
      <c r="CD8" s="245" t="s">
        <v>393</v>
      </c>
      <c r="CE8" s="245" t="s">
        <v>393</v>
      </c>
      <c r="CF8" s="245" t="s">
        <v>393</v>
      </c>
      <c r="CG8" s="246">
        <v>43581</v>
      </c>
      <c r="CH8" s="244" t="s">
        <v>4281</v>
      </c>
      <c r="CI8" s="245" t="e">
        <v>#N/A</v>
      </c>
      <c r="CJ8" s="245" t="e">
        <v>#N/A</v>
      </c>
      <c r="CK8" s="245" t="e">
        <v>#N/A</v>
      </c>
      <c r="CL8" s="245" t="e">
        <v>#N/A</v>
      </c>
      <c r="CM8" s="245" t="e">
        <v>#N/A</v>
      </c>
      <c r="CN8" s="245" t="e">
        <v>#N/A</v>
      </c>
      <c r="CO8" s="248" t="e">
        <v>#N/A</v>
      </c>
      <c r="CP8" s="245" t="s">
        <v>4282</v>
      </c>
      <c r="CQ8" s="247" t="s">
        <v>393</v>
      </c>
      <c r="CR8" s="247" t="s">
        <v>393</v>
      </c>
      <c r="CS8" s="247" t="s">
        <v>393</v>
      </c>
      <c r="CT8" s="247" t="s">
        <v>393</v>
      </c>
      <c r="CU8" s="247" t="s">
        <v>393</v>
      </c>
      <c r="CV8" s="247" t="s">
        <v>393</v>
      </c>
      <c r="CW8" s="237">
        <v>43581</v>
      </c>
      <c r="CX8" s="245" t="s">
        <v>4283</v>
      </c>
      <c r="CY8" s="241" t="s">
        <v>393</v>
      </c>
      <c r="CZ8" s="241" t="s">
        <v>393</v>
      </c>
      <c r="DA8" s="241" t="s">
        <v>393</v>
      </c>
      <c r="DB8" s="241" t="s">
        <v>393</v>
      </c>
      <c r="DC8" s="241" t="s">
        <v>393</v>
      </c>
      <c r="DD8" s="241" t="s">
        <v>393</v>
      </c>
      <c r="DE8" s="243">
        <v>43581</v>
      </c>
      <c r="DF8" s="244" t="s">
        <v>4284</v>
      </c>
      <c r="DG8" s="236" t="s">
        <v>393</v>
      </c>
      <c r="DH8" s="247" t="s">
        <v>393</v>
      </c>
      <c r="DI8" s="247" t="s">
        <v>393</v>
      </c>
      <c r="DJ8" s="247" t="s">
        <v>393</v>
      </c>
      <c r="DK8" s="247" t="s">
        <v>393</v>
      </c>
      <c r="DL8" s="247" t="s">
        <v>393</v>
      </c>
      <c r="DM8" s="237">
        <v>43581</v>
      </c>
      <c r="DN8" s="245" t="s">
        <v>4285</v>
      </c>
      <c r="DO8" s="241" t="s">
        <v>393</v>
      </c>
      <c r="DP8" s="245" t="s">
        <v>393</v>
      </c>
      <c r="DQ8" s="245" t="s">
        <v>393</v>
      </c>
      <c r="DR8" s="245" t="s">
        <v>393</v>
      </c>
      <c r="DS8" s="245" t="s">
        <v>393</v>
      </c>
      <c r="DT8" s="245" t="s">
        <v>393</v>
      </c>
      <c r="DU8" s="246">
        <v>43581</v>
      </c>
      <c r="DV8" s="244" t="s">
        <v>4286</v>
      </c>
      <c r="DW8" s="236" t="s">
        <v>393</v>
      </c>
      <c r="DX8" s="247" t="s">
        <v>393</v>
      </c>
      <c r="DY8" s="247" t="s">
        <v>393</v>
      </c>
      <c r="DZ8" s="247" t="s">
        <v>393</v>
      </c>
      <c r="EA8" s="247" t="s">
        <v>393</v>
      </c>
      <c r="EB8" s="247" t="s">
        <v>393</v>
      </c>
      <c r="EC8" s="237">
        <v>43581</v>
      </c>
      <c r="ED8" s="245" t="s">
        <v>4287</v>
      </c>
      <c r="EE8" s="241" t="s">
        <v>393</v>
      </c>
      <c r="EF8" s="245" t="s">
        <v>393</v>
      </c>
      <c r="EG8" s="245" t="s">
        <v>393</v>
      </c>
      <c r="EH8" s="245" t="s">
        <v>393</v>
      </c>
      <c r="EI8" s="245" t="s">
        <v>393</v>
      </c>
      <c r="EJ8" s="245" t="s">
        <v>393</v>
      </c>
      <c r="EK8" s="246">
        <v>43581</v>
      </c>
      <c r="EL8" s="244" t="s">
        <v>4288</v>
      </c>
      <c r="EM8" s="236" t="s">
        <v>393</v>
      </c>
      <c r="EN8" s="247" t="s">
        <v>393</v>
      </c>
      <c r="EO8" s="247" t="s">
        <v>393</v>
      </c>
      <c r="EP8" s="247" t="s">
        <v>393</v>
      </c>
      <c r="EQ8" s="247" t="s">
        <v>393</v>
      </c>
      <c r="ER8" s="247" t="s">
        <v>393</v>
      </c>
      <c r="ES8" s="237">
        <v>43581</v>
      </c>
      <c r="ET8" s="245" t="s">
        <v>4289</v>
      </c>
      <c r="EU8" s="245">
        <v>344</v>
      </c>
      <c r="EV8" s="245" t="s">
        <v>4065</v>
      </c>
      <c r="EW8" s="245" t="s">
        <v>599</v>
      </c>
      <c r="EX8" s="245">
        <v>3</v>
      </c>
      <c r="EY8" s="245" t="s">
        <v>1980</v>
      </c>
      <c r="EZ8" s="245" t="s">
        <v>1264</v>
      </c>
      <c r="FA8" s="246">
        <v>44140</v>
      </c>
      <c r="FB8" s="244" t="s">
        <v>4290</v>
      </c>
      <c r="FC8" s="247">
        <v>2</v>
      </c>
      <c r="FD8" s="247" t="s">
        <v>393</v>
      </c>
      <c r="FE8" s="247" t="s">
        <v>601</v>
      </c>
      <c r="FF8" s="247">
        <v>1</v>
      </c>
      <c r="FG8" s="247" t="s">
        <v>1211</v>
      </c>
      <c r="FH8" s="247" t="s">
        <v>393</v>
      </c>
      <c r="FI8" s="237">
        <v>43581</v>
      </c>
      <c r="FJ8" s="244" t="s">
        <v>4291</v>
      </c>
      <c r="FK8" s="245" t="s">
        <v>393</v>
      </c>
      <c r="FL8" s="245" t="s">
        <v>393</v>
      </c>
      <c r="FM8" s="245" t="s">
        <v>393</v>
      </c>
      <c r="FN8" s="245" t="s">
        <v>393</v>
      </c>
      <c r="FO8" s="245" t="s">
        <v>393</v>
      </c>
      <c r="FP8" s="241" t="s">
        <v>393</v>
      </c>
      <c r="FQ8" s="242">
        <v>43581</v>
      </c>
      <c r="FR8" s="244" t="s">
        <v>4292</v>
      </c>
      <c r="FS8" s="247" t="s">
        <v>393</v>
      </c>
      <c r="FT8" s="247" t="s">
        <v>393</v>
      </c>
      <c r="FU8" s="247" t="s">
        <v>393</v>
      </c>
      <c r="FV8" s="247" t="s">
        <v>393</v>
      </c>
      <c r="FW8" s="247" t="s">
        <v>393</v>
      </c>
      <c r="FX8" s="247" t="s">
        <v>393</v>
      </c>
      <c r="FY8" s="237">
        <v>43581</v>
      </c>
      <c r="FZ8" s="245" t="s">
        <v>4293</v>
      </c>
      <c r="GA8" s="245">
        <v>0.33333333333333298</v>
      </c>
      <c r="GB8" s="245" t="s">
        <v>1327</v>
      </c>
      <c r="GC8" s="245" t="s">
        <v>1364</v>
      </c>
      <c r="GD8" s="245">
        <v>2</v>
      </c>
      <c r="GE8" s="245" t="s">
        <v>1596</v>
      </c>
      <c r="GF8" s="245" t="s">
        <v>1327</v>
      </c>
      <c r="GG8" s="246">
        <v>43767</v>
      </c>
      <c r="GH8" s="244" t="s">
        <v>4294</v>
      </c>
      <c r="GI8" s="247">
        <v>1</v>
      </c>
      <c r="GJ8" s="247" t="s">
        <v>1327</v>
      </c>
      <c r="GK8" s="247" t="s">
        <v>1364</v>
      </c>
      <c r="GL8" s="247">
        <v>2</v>
      </c>
      <c r="GM8" s="247" t="s">
        <v>1596</v>
      </c>
      <c r="GN8" s="247" t="s">
        <v>1327</v>
      </c>
      <c r="GO8" s="237">
        <v>43767</v>
      </c>
      <c r="GP8" s="245" t="s">
        <v>4295</v>
      </c>
      <c r="GQ8" s="245">
        <v>1</v>
      </c>
      <c r="GR8" s="245" t="s">
        <v>1327</v>
      </c>
      <c r="GS8" s="245" t="s">
        <v>1364</v>
      </c>
      <c r="GT8" s="245">
        <v>2</v>
      </c>
      <c r="GU8" s="245" t="s">
        <v>1596</v>
      </c>
      <c r="GV8" s="245" t="s">
        <v>1327</v>
      </c>
      <c r="GW8" s="246">
        <v>43767</v>
      </c>
      <c r="GX8" s="244" t="s">
        <v>4296</v>
      </c>
      <c r="GY8" s="247">
        <v>0.33333333333333298</v>
      </c>
      <c r="GZ8" s="247" t="s">
        <v>1327</v>
      </c>
      <c r="HA8" s="247" t="s">
        <v>1364</v>
      </c>
      <c r="HB8" s="247">
        <v>2</v>
      </c>
      <c r="HC8" s="247" t="s">
        <v>1596</v>
      </c>
      <c r="HD8" s="247" t="s">
        <v>1327</v>
      </c>
      <c r="HE8" s="237">
        <v>43767</v>
      </c>
      <c r="HF8" s="245" t="s">
        <v>4297</v>
      </c>
      <c r="HG8" s="245">
        <v>0.66666666666666696</v>
      </c>
      <c r="HH8" s="245" t="s">
        <v>1327</v>
      </c>
      <c r="HI8" s="245" t="s">
        <v>1364</v>
      </c>
      <c r="HJ8" s="245">
        <v>2</v>
      </c>
      <c r="HK8" s="245" t="s">
        <v>1596</v>
      </c>
      <c r="HL8" s="245" t="s">
        <v>1327</v>
      </c>
      <c r="HM8" s="246">
        <v>43767</v>
      </c>
      <c r="HN8" s="244" t="s">
        <v>4298</v>
      </c>
      <c r="HO8" s="247">
        <v>0.66666666666666696</v>
      </c>
      <c r="HP8" s="247" t="s">
        <v>1327</v>
      </c>
      <c r="HQ8" s="247" t="s">
        <v>1364</v>
      </c>
      <c r="HR8" s="247">
        <v>2</v>
      </c>
      <c r="HS8" s="247" t="s">
        <v>1596</v>
      </c>
      <c r="HT8" s="247" t="s">
        <v>1327</v>
      </c>
      <c r="HU8" s="237">
        <v>43767</v>
      </c>
      <c r="HV8" s="245" t="s">
        <v>4299</v>
      </c>
      <c r="HW8" s="245">
        <v>1</v>
      </c>
      <c r="HX8" s="245" t="s">
        <v>1327</v>
      </c>
      <c r="HY8" s="245" t="s">
        <v>1364</v>
      </c>
      <c r="HZ8" s="245">
        <v>2</v>
      </c>
      <c r="IA8" s="245" t="s">
        <v>1596</v>
      </c>
      <c r="IB8" s="245" t="s">
        <v>1327</v>
      </c>
      <c r="IC8" s="246">
        <v>43767</v>
      </c>
      <c r="ID8" s="244" t="s">
        <v>4300</v>
      </c>
      <c r="IE8" s="247">
        <v>1.6666666666666701</v>
      </c>
      <c r="IF8" s="247" t="s">
        <v>1327</v>
      </c>
      <c r="IG8" s="247" t="s">
        <v>1364</v>
      </c>
      <c r="IH8" s="247">
        <v>2</v>
      </c>
      <c r="II8" s="247" t="s">
        <v>1596</v>
      </c>
      <c r="IJ8" s="247" t="s">
        <v>1327</v>
      </c>
      <c r="IK8" s="237">
        <v>43767</v>
      </c>
      <c r="IL8" s="245" t="s">
        <v>4301</v>
      </c>
      <c r="IM8" s="245">
        <v>1</v>
      </c>
      <c r="IN8" s="245" t="s">
        <v>1327</v>
      </c>
      <c r="IO8" s="245" t="s">
        <v>1364</v>
      </c>
      <c r="IP8" s="245">
        <v>2</v>
      </c>
      <c r="IQ8" s="245" t="s">
        <v>1596</v>
      </c>
      <c r="IR8" s="245" t="s">
        <v>1327</v>
      </c>
      <c r="IS8" s="246">
        <v>43767</v>
      </c>
    </row>
    <row r="9" spans="1:253" s="11" customFormat="1" ht="13.2" x14ac:dyDescent="0.25">
      <c r="A9" s="11" t="s">
        <v>4009</v>
      </c>
      <c r="B9" s="11" t="s">
        <v>650</v>
      </c>
      <c r="C9" s="11" t="s">
        <v>4010</v>
      </c>
      <c r="D9" s="11" t="s">
        <v>13</v>
      </c>
      <c r="E9" s="11" t="s">
        <v>12</v>
      </c>
      <c r="F9" s="11" t="s">
        <v>4302</v>
      </c>
      <c r="G9" s="235">
        <v>2958000</v>
      </c>
      <c r="H9" s="236" t="s">
        <v>1983</v>
      </c>
      <c r="I9" s="236" t="s">
        <v>600</v>
      </c>
      <c r="J9" s="236">
        <v>2</v>
      </c>
      <c r="K9" s="236" t="s">
        <v>4016</v>
      </c>
      <c r="L9" s="236" t="s">
        <v>4017</v>
      </c>
      <c r="M9" s="237">
        <v>44139</v>
      </c>
      <c r="N9" s="244" t="s">
        <v>4303</v>
      </c>
      <c r="O9" s="239">
        <v>231</v>
      </c>
      <c r="P9" s="239" t="s">
        <v>4053</v>
      </c>
      <c r="Q9" s="239" t="s">
        <v>601</v>
      </c>
      <c r="R9" s="239">
        <v>1</v>
      </c>
      <c r="S9" s="239" t="s">
        <v>4055</v>
      </c>
      <c r="T9" s="239" t="s">
        <v>4054</v>
      </c>
      <c r="U9" s="240">
        <v>44139</v>
      </c>
      <c r="V9" s="244" t="s">
        <v>4304</v>
      </c>
      <c r="W9" s="236">
        <v>1198000</v>
      </c>
      <c r="X9" s="236" t="s">
        <v>4056</v>
      </c>
      <c r="Y9" s="236" t="s">
        <v>599</v>
      </c>
      <c r="Z9" s="236">
        <v>3</v>
      </c>
      <c r="AA9" s="236" t="s">
        <v>4018</v>
      </c>
      <c r="AB9" s="236" t="s">
        <v>4017</v>
      </c>
      <c r="AC9" s="237">
        <v>44139</v>
      </c>
      <c r="AD9" s="244" t="s">
        <v>4305</v>
      </c>
      <c r="AE9" s="241">
        <v>1198000</v>
      </c>
      <c r="AF9" s="241" t="s">
        <v>4019</v>
      </c>
      <c r="AG9" s="241" t="s">
        <v>599</v>
      </c>
      <c r="AH9" s="241">
        <v>3</v>
      </c>
      <c r="AI9" s="241" t="s">
        <v>4057</v>
      </c>
      <c r="AJ9" s="241" t="s">
        <v>4020</v>
      </c>
      <c r="AK9" s="242">
        <v>44139</v>
      </c>
      <c r="AL9" s="244" t="s">
        <v>4306</v>
      </c>
      <c r="AM9" s="236">
        <v>90000</v>
      </c>
      <c r="AN9" s="236" t="s">
        <v>4019</v>
      </c>
      <c r="AO9" s="236" t="s">
        <v>599</v>
      </c>
      <c r="AP9" s="236">
        <v>3</v>
      </c>
      <c r="AQ9" s="236" t="s">
        <v>4058</v>
      </c>
      <c r="AR9" s="236" t="s">
        <v>4020</v>
      </c>
      <c r="AS9" s="237">
        <v>44139</v>
      </c>
      <c r="AT9" s="245" t="s">
        <v>4307</v>
      </c>
      <c r="AU9" s="241" t="s">
        <v>393</v>
      </c>
      <c r="AV9" s="241" t="s">
        <v>393</v>
      </c>
      <c r="AW9" s="241" t="s">
        <v>393</v>
      </c>
      <c r="AX9" s="241" t="s">
        <v>393</v>
      </c>
      <c r="AY9" s="241" t="s">
        <v>393</v>
      </c>
      <c r="AZ9" s="241" t="s">
        <v>393</v>
      </c>
      <c r="BA9" s="242">
        <v>44139</v>
      </c>
      <c r="BB9" s="244" t="s">
        <v>4308</v>
      </c>
      <c r="BC9" s="236" t="s">
        <v>393</v>
      </c>
      <c r="BD9" s="236" t="s">
        <v>393</v>
      </c>
      <c r="BE9" s="236" t="s">
        <v>393</v>
      </c>
      <c r="BF9" s="236" t="s">
        <v>393</v>
      </c>
      <c r="BG9" s="236" t="s">
        <v>393</v>
      </c>
      <c r="BH9" s="236" t="s">
        <v>393</v>
      </c>
      <c r="BI9" s="237">
        <v>44139</v>
      </c>
      <c r="BJ9" s="245" t="s">
        <v>4309</v>
      </c>
      <c r="BK9" s="245">
        <v>2</v>
      </c>
      <c r="BL9" s="245" t="s">
        <v>4021</v>
      </c>
      <c r="BM9" s="245" t="s">
        <v>599</v>
      </c>
      <c r="BN9" s="245">
        <v>3</v>
      </c>
      <c r="BO9" s="245" t="s">
        <v>4023</v>
      </c>
      <c r="BP9" s="241" t="s">
        <v>4022</v>
      </c>
      <c r="BQ9" s="246">
        <v>44139</v>
      </c>
      <c r="BR9" s="244" t="s">
        <v>4310</v>
      </c>
      <c r="BS9" s="247" t="s">
        <v>393</v>
      </c>
      <c r="BT9" s="247" t="s">
        <v>393</v>
      </c>
      <c r="BU9" s="247" t="s">
        <v>393</v>
      </c>
      <c r="BV9" s="247" t="s">
        <v>393</v>
      </c>
      <c r="BW9" s="247" t="s">
        <v>393</v>
      </c>
      <c r="BX9" s="247" t="s">
        <v>393</v>
      </c>
      <c r="BY9" s="237">
        <v>44139</v>
      </c>
      <c r="BZ9" s="245" t="s">
        <v>4311</v>
      </c>
      <c r="CA9" s="245" t="s">
        <v>393</v>
      </c>
      <c r="CB9" s="245" t="s">
        <v>393</v>
      </c>
      <c r="CC9" s="245" t="s">
        <v>393</v>
      </c>
      <c r="CD9" s="245" t="s">
        <v>393</v>
      </c>
      <c r="CE9" s="245" t="s">
        <v>393</v>
      </c>
      <c r="CF9" s="245" t="s">
        <v>393</v>
      </c>
      <c r="CG9" s="246">
        <v>44139</v>
      </c>
      <c r="CH9" s="244" t="s">
        <v>4312</v>
      </c>
      <c r="CI9" s="245" t="e">
        <v>#N/A</v>
      </c>
      <c r="CJ9" s="245" t="e">
        <v>#N/A</v>
      </c>
      <c r="CK9" s="245" t="e">
        <v>#N/A</v>
      </c>
      <c r="CL9" s="245" t="e">
        <v>#N/A</v>
      </c>
      <c r="CM9" s="245" t="e">
        <v>#N/A</v>
      </c>
      <c r="CN9" s="245" t="e">
        <v>#N/A</v>
      </c>
      <c r="CO9" s="248" t="e">
        <v>#N/A</v>
      </c>
      <c r="CP9" s="245" t="s">
        <v>4313</v>
      </c>
      <c r="CQ9" s="247" t="s">
        <v>393</v>
      </c>
      <c r="CR9" s="247" t="s">
        <v>393</v>
      </c>
      <c r="CS9" s="247" t="s">
        <v>393</v>
      </c>
      <c r="CT9" s="247" t="s">
        <v>393</v>
      </c>
      <c r="CU9" s="247" t="s">
        <v>393</v>
      </c>
      <c r="CV9" s="247" t="s">
        <v>393</v>
      </c>
      <c r="CW9" s="237">
        <v>44139</v>
      </c>
      <c r="CX9" s="245" t="s">
        <v>4314</v>
      </c>
      <c r="CY9" s="241" t="s">
        <v>393</v>
      </c>
      <c r="CZ9" s="241" t="s">
        <v>393</v>
      </c>
      <c r="DA9" s="241" t="s">
        <v>393</v>
      </c>
      <c r="DB9" s="241" t="s">
        <v>393</v>
      </c>
      <c r="DC9" s="241" t="s">
        <v>4024</v>
      </c>
      <c r="DD9" s="241" t="s">
        <v>393</v>
      </c>
      <c r="DE9" s="243">
        <v>44139</v>
      </c>
      <c r="DF9" s="244" t="s">
        <v>4315</v>
      </c>
      <c r="DG9" s="236" t="s">
        <v>393</v>
      </c>
      <c r="DH9" s="247" t="s">
        <v>393</v>
      </c>
      <c r="DI9" s="247" t="s">
        <v>393</v>
      </c>
      <c r="DJ9" s="247" t="s">
        <v>393</v>
      </c>
      <c r="DK9" s="247" t="s">
        <v>4024</v>
      </c>
      <c r="DL9" s="247" t="s">
        <v>393</v>
      </c>
      <c r="DM9" s="237">
        <v>44139</v>
      </c>
      <c r="DN9" s="245" t="s">
        <v>4316</v>
      </c>
      <c r="DO9" s="241" t="s">
        <v>393</v>
      </c>
      <c r="DP9" s="245" t="s">
        <v>393</v>
      </c>
      <c r="DQ9" s="245" t="s">
        <v>393</v>
      </c>
      <c r="DR9" s="245" t="s">
        <v>393</v>
      </c>
      <c r="DS9" s="245" t="s">
        <v>4024</v>
      </c>
      <c r="DT9" s="245" t="s">
        <v>393</v>
      </c>
      <c r="DU9" s="246">
        <v>44139</v>
      </c>
      <c r="DV9" s="244" t="s">
        <v>4317</v>
      </c>
      <c r="DW9" s="236" t="s">
        <v>393</v>
      </c>
      <c r="DX9" s="247" t="s">
        <v>393</v>
      </c>
      <c r="DY9" s="247" t="s">
        <v>393</v>
      </c>
      <c r="DZ9" s="247" t="s">
        <v>393</v>
      </c>
      <c r="EA9" s="247" t="s">
        <v>4024</v>
      </c>
      <c r="EB9" s="247" t="s">
        <v>393</v>
      </c>
      <c r="EC9" s="237">
        <v>44139</v>
      </c>
      <c r="ED9" s="245" t="s">
        <v>4318</v>
      </c>
      <c r="EE9" s="241" t="s">
        <v>393</v>
      </c>
      <c r="EF9" s="245" t="s">
        <v>393</v>
      </c>
      <c r="EG9" s="245" t="s">
        <v>393</v>
      </c>
      <c r="EH9" s="245" t="s">
        <v>393</v>
      </c>
      <c r="EI9" s="245" t="s">
        <v>4024</v>
      </c>
      <c r="EJ9" s="245" t="s">
        <v>393</v>
      </c>
      <c r="EK9" s="246">
        <v>44139</v>
      </c>
      <c r="EL9" s="244" t="s">
        <v>4319</v>
      </c>
      <c r="EM9" s="236" t="s">
        <v>393</v>
      </c>
      <c r="EN9" s="247" t="s">
        <v>393</v>
      </c>
      <c r="EO9" s="247" t="s">
        <v>393</v>
      </c>
      <c r="EP9" s="247" t="s">
        <v>393</v>
      </c>
      <c r="EQ9" s="247" t="s">
        <v>4024</v>
      </c>
      <c r="ER9" s="247" t="s">
        <v>393</v>
      </c>
      <c r="ES9" s="237">
        <v>44139</v>
      </c>
      <c r="ET9" s="245" t="s">
        <v>4320</v>
      </c>
      <c r="EU9" s="245">
        <v>2</v>
      </c>
      <c r="EV9" s="245" t="s">
        <v>4021</v>
      </c>
      <c r="EW9" s="245" t="s">
        <v>599</v>
      </c>
      <c r="EX9" s="245">
        <v>3</v>
      </c>
      <c r="EY9" s="245" t="s">
        <v>4023</v>
      </c>
      <c r="EZ9" s="245" t="s">
        <v>4022</v>
      </c>
      <c r="FA9" s="246">
        <v>44139</v>
      </c>
      <c r="FB9" s="244" t="s">
        <v>4321</v>
      </c>
      <c r="FC9" s="247">
        <v>3</v>
      </c>
      <c r="FD9" s="247" t="s">
        <v>393</v>
      </c>
      <c r="FE9" s="247" t="s">
        <v>393</v>
      </c>
      <c r="FF9" s="247" t="s">
        <v>393</v>
      </c>
      <c r="FG9" s="247" t="s">
        <v>4025</v>
      </c>
      <c r="FH9" s="247" t="s">
        <v>393</v>
      </c>
      <c r="FI9" s="237">
        <v>44139</v>
      </c>
      <c r="FJ9" s="244" t="s">
        <v>4322</v>
      </c>
      <c r="FK9" s="245" t="s">
        <v>393</v>
      </c>
      <c r="FL9" s="245" t="s">
        <v>393</v>
      </c>
      <c r="FM9" s="245" t="s">
        <v>393</v>
      </c>
      <c r="FN9" s="245" t="s">
        <v>393</v>
      </c>
      <c r="FO9" s="245" t="s">
        <v>393</v>
      </c>
      <c r="FP9" s="241" t="s">
        <v>393</v>
      </c>
      <c r="FQ9" s="242">
        <v>44139</v>
      </c>
      <c r="FR9" s="244" t="s">
        <v>4323</v>
      </c>
      <c r="FS9" s="247" t="s">
        <v>393</v>
      </c>
      <c r="FT9" s="247" t="s">
        <v>393</v>
      </c>
      <c r="FU9" s="247" t="s">
        <v>393</v>
      </c>
      <c r="FV9" s="247" t="s">
        <v>393</v>
      </c>
      <c r="FW9" s="247" t="s">
        <v>393</v>
      </c>
      <c r="FX9" s="247" t="s">
        <v>393</v>
      </c>
      <c r="FY9" s="237">
        <v>44139</v>
      </c>
      <c r="FZ9" s="245" t="s">
        <v>4324</v>
      </c>
      <c r="GA9" s="245">
        <v>0</v>
      </c>
      <c r="GB9" s="245" t="s">
        <v>2096</v>
      </c>
      <c r="GC9" s="245" t="s">
        <v>600</v>
      </c>
      <c r="GD9" s="245">
        <v>2</v>
      </c>
      <c r="GE9" s="245" t="s">
        <v>3323</v>
      </c>
      <c r="GF9" s="245" t="s">
        <v>2097</v>
      </c>
      <c r="GG9" s="246">
        <v>44139</v>
      </c>
      <c r="GH9" s="244" t="s">
        <v>4325</v>
      </c>
      <c r="GI9" s="247">
        <v>0</v>
      </c>
      <c r="GJ9" s="247" t="s">
        <v>2096</v>
      </c>
      <c r="GK9" s="247" t="s">
        <v>600</v>
      </c>
      <c r="GL9" s="247">
        <v>2</v>
      </c>
      <c r="GM9" s="247" t="s">
        <v>3323</v>
      </c>
      <c r="GN9" s="247" t="s">
        <v>2097</v>
      </c>
      <c r="GO9" s="237">
        <v>44139</v>
      </c>
      <c r="GP9" s="245" t="s">
        <v>4326</v>
      </c>
      <c r="GQ9" s="245">
        <v>0</v>
      </c>
      <c r="GR9" s="245" t="s">
        <v>2096</v>
      </c>
      <c r="GS9" s="245" t="s">
        <v>600</v>
      </c>
      <c r="GT9" s="245">
        <v>2</v>
      </c>
      <c r="GU9" s="245" t="s">
        <v>3323</v>
      </c>
      <c r="GV9" s="245" t="s">
        <v>2097</v>
      </c>
      <c r="GW9" s="246">
        <v>44139</v>
      </c>
      <c r="GX9" s="244" t="s">
        <v>4327</v>
      </c>
      <c r="GY9" s="247">
        <v>0</v>
      </c>
      <c r="GZ9" s="247" t="s">
        <v>2096</v>
      </c>
      <c r="HA9" s="247" t="s">
        <v>600</v>
      </c>
      <c r="HB9" s="247">
        <v>2</v>
      </c>
      <c r="HC9" s="247" t="s">
        <v>3323</v>
      </c>
      <c r="HD9" s="247" t="s">
        <v>2097</v>
      </c>
      <c r="HE9" s="237">
        <v>44139</v>
      </c>
      <c r="HF9" s="245" t="s">
        <v>4328</v>
      </c>
      <c r="HG9" s="245">
        <v>0</v>
      </c>
      <c r="HH9" s="245" t="s">
        <v>2096</v>
      </c>
      <c r="HI9" s="245" t="s">
        <v>600</v>
      </c>
      <c r="HJ9" s="245">
        <v>2</v>
      </c>
      <c r="HK9" s="245" t="s">
        <v>3323</v>
      </c>
      <c r="HL9" s="245" t="s">
        <v>2097</v>
      </c>
      <c r="HM9" s="246">
        <v>44139</v>
      </c>
      <c r="HN9" s="244" t="s">
        <v>4329</v>
      </c>
      <c r="HO9" s="247">
        <v>0</v>
      </c>
      <c r="HP9" s="247" t="s">
        <v>2096</v>
      </c>
      <c r="HQ9" s="247" t="s">
        <v>600</v>
      </c>
      <c r="HR9" s="247">
        <v>2</v>
      </c>
      <c r="HS9" s="247" t="s">
        <v>3323</v>
      </c>
      <c r="HT9" s="247" t="s">
        <v>2097</v>
      </c>
      <c r="HU9" s="237">
        <v>44139</v>
      </c>
      <c r="HV9" s="245" t="s">
        <v>4330</v>
      </c>
      <c r="HW9" s="245">
        <v>0</v>
      </c>
      <c r="HX9" s="245" t="s">
        <v>2096</v>
      </c>
      <c r="HY9" s="245" t="s">
        <v>600</v>
      </c>
      <c r="HZ9" s="245">
        <v>2</v>
      </c>
      <c r="IA9" s="245" t="s">
        <v>3323</v>
      </c>
      <c r="IB9" s="245" t="s">
        <v>2097</v>
      </c>
      <c r="IC9" s="246">
        <v>44139</v>
      </c>
      <c r="ID9" s="244" t="s">
        <v>4331</v>
      </c>
      <c r="IE9" s="247">
        <v>0</v>
      </c>
      <c r="IF9" s="247" t="s">
        <v>2096</v>
      </c>
      <c r="IG9" s="247" t="s">
        <v>600</v>
      </c>
      <c r="IH9" s="247">
        <v>2</v>
      </c>
      <c r="II9" s="247" t="s">
        <v>3323</v>
      </c>
      <c r="IJ9" s="247" t="s">
        <v>2097</v>
      </c>
      <c r="IK9" s="237">
        <v>44139</v>
      </c>
      <c r="IL9" s="245" t="s">
        <v>4332</v>
      </c>
      <c r="IM9" s="245">
        <v>0</v>
      </c>
      <c r="IN9" s="245" t="s">
        <v>2096</v>
      </c>
      <c r="IO9" s="245" t="s">
        <v>600</v>
      </c>
      <c r="IP9" s="245">
        <v>2</v>
      </c>
      <c r="IQ9" s="245" t="s">
        <v>3323</v>
      </c>
      <c r="IR9" s="245" t="s">
        <v>2097</v>
      </c>
      <c r="IS9" s="246">
        <v>44139</v>
      </c>
    </row>
    <row r="10" spans="1:253" s="11" customFormat="1" ht="13.2" x14ac:dyDescent="0.25">
      <c r="A10" s="11" t="s">
        <v>4011</v>
      </c>
      <c r="B10" s="11" t="s">
        <v>1281</v>
      </c>
      <c r="C10" s="11" t="s">
        <v>3820</v>
      </c>
      <c r="D10" s="11" t="s">
        <v>3817</v>
      </c>
      <c r="E10" s="11" t="s">
        <v>3823</v>
      </c>
      <c r="F10" s="11" t="s">
        <v>4333</v>
      </c>
      <c r="G10" s="235">
        <v>12935000</v>
      </c>
      <c r="H10" s="236" t="s">
        <v>4034</v>
      </c>
      <c r="I10" s="236" t="s">
        <v>601</v>
      </c>
      <c r="J10" s="236">
        <v>1</v>
      </c>
      <c r="K10" s="236" t="s">
        <v>4036</v>
      </c>
      <c r="L10" s="236" t="s">
        <v>4035</v>
      </c>
      <c r="M10" s="237">
        <v>44139</v>
      </c>
      <c r="N10" s="244" t="s">
        <v>4334</v>
      </c>
      <c r="O10" s="239">
        <v>31791</v>
      </c>
      <c r="P10" s="239" t="s">
        <v>4059</v>
      </c>
      <c r="Q10" s="239" t="s">
        <v>601</v>
      </c>
      <c r="R10" s="239">
        <v>1</v>
      </c>
      <c r="S10" s="239" t="s">
        <v>4061</v>
      </c>
      <c r="T10" s="239" t="s">
        <v>4060</v>
      </c>
      <c r="U10" s="240">
        <v>44139</v>
      </c>
      <c r="V10" s="244" t="s">
        <v>4335</v>
      </c>
      <c r="W10" s="236">
        <v>4024000</v>
      </c>
      <c r="X10" s="236" t="s">
        <v>4062</v>
      </c>
      <c r="Y10" s="236" t="s">
        <v>599</v>
      </c>
      <c r="Z10" s="236">
        <v>3</v>
      </c>
      <c r="AA10" s="236" t="s">
        <v>4061</v>
      </c>
      <c r="AB10" s="236" t="s">
        <v>4063</v>
      </c>
      <c r="AC10" s="237">
        <v>44139</v>
      </c>
      <c r="AD10" s="244" t="s">
        <v>4336</v>
      </c>
      <c r="AE10" s="241">
        <v>4024000</v>
      </c>
      <c r="AF10" s="241" t="s">
        <v>4062</v>
      </c>
      <c r="AG10" s="241" t="s">
        <v>599</v>
      </c>
      <c r="AH10" s="241">
        <v>3</v>
      </c>
      <c r="AI10" s="241" t="s">
        <v>4064</v>
      </c>
      <c r="AJ10" s="241" t="s">
        <v>4063</v>
      </c>
      <c r="AK10" s="242">
        <v>44139</v>
      </c>
      <c r="AL10" s="244" t="s">
        <v>4337</v>
      </c>
      <c r="AM10" s="236">
        <v>130000</v>
      </c>
      <c r="AN10" s="236" t="s">
        <v>4021</v>
      </c>
      <c r="AO10" s="236" t="s">
        <v>599</v>
      </c>
      <c r="AP10" s="236">
        <v>3</v>
      </c>
      <c r="AQ10" s="236" t="s">
        <v>4037</v>
      </c>
      <c r="AR10" s="236" t="s">
        <v>4022</v>
      </c>
      <c r="AS10" s="237">
        <v>44139</v>
      </c>
      <c r="AT10" s="245" t="s">
        <v>4338</v>
      </c>
      <c r="AU10" s="241" t="s">
        <v>393</v>
      </c>
      <c r="AV10" s="241" t="s">
        <v>393</v>
      </c>
      <c r="AW10" s="241" t="s">
        <v>393</v>
      </c>
      <c r="AX10" s="241" t="s">
        <v>393</v>
      </c>
      <c r="AY10" s="241" t="s">
        <v>393</v>
      </c>
      <c r="AZ10" s="241" t="s">
        <v>393</v>
      </c>
      <c r="BA10" s="242">
        <v>44139</v>
      </c>
      <c r="BB10" s="244" t="s">
        <v>4339</v>
      </c>
      <c r="BC10" s="236" t="s">
        <v>393</v>
      </c>
      <c r="BD10" s="236" t="s">
        <v>393</v>
      </c>
      <c r="BE10" s="236" t="s">
        <v>393</v>
      </c>
      <c r="BF10" s="236" t="s">
        <v>393</v>
      </c>
      <c r="BG10" s="236" t="s">
        <v>393</v>
      </c>
      <c r="BH10" s="236" t="s">
        <v>393</v>
      </c>
      <c r="BI10" s="237">
        <v>44139</v>
      </c>
      <c r="BJ10" s="245" t="s">
        <v>4340</v>
      </c>
      <c r="BK10" s="245">
        <v>138</v>
      </c>
      <c r="BL10" s="245" t="s">
        <v>4021</v>
      </c>
      <c r="BM10" s="245" t="s">
        <v>599</v>
      </c>
      <c r="BN10" s="245">
        <v>3</v>
      </c>
      <c r="BO10" s="245" t="s">
        <v>4038</v>
      </c>
      <c r="BP10" s="241" t="s">
        <v>4022</v>
      </c>
      <c r="BQ10" s="246">
        <v>44139</v>
      </c>
      <c r="BR10" s="244" t="s">
        <v>4341</v>
      </c>
      <c r="BS10" s="247" t="s">
        <v>393</v>
      </c>
      <c r="BT10" s="247" t="s">
        <v>393</v>
      </c>
      <c r="BU10" s="247" t="s">
        <v>393</v>
      </c>
      <c r="BV10" s="247" t="s">
        <v>393</v>
      </c>
      <c r="BW10" s="247" t="s">
        <v>393</v>
      </c>
      <c r="BX10" s="247" t="s">
        <v>393</v>
      </c>
      <c r="BY10" s="237">
        <v>44139</v>
      </c>
      <c r="BZ10" s="245" t="s">
        <v>4342</v>
      </c>
      <c r="CA10" s="245" t="s">
        <v>393</v>
      </c>
      <c r="CB10" s="245" t="s">
        <v>393</v>
      </c>
      <c r="CC10" s="245" t="s">
        <v>393</v>
      </c>
      <c r="CD10" s="245" t="s">
        <v>393</v>
      </c>
      <c r="CE10" s="245" t="s">
        <v>393</v>
      </c>
      <c r="CF10" s="245" t="s">
        <v>393</v>
      </c>
      <c r="CG10" s="246">
        <v>44139</v>
      </c>
      <c r="CH10" s="244" t="s">
        <v>4343</v>
      </c>
      <c r="CI10" s="245" t="e">
        <v>#N/A</v>
      </c>
      <c r="CJ10" s="245" t="e">
        <v>#N/A</v>
      </c>
      <c r="CK10" s="245" t="e">
        <v>#N/A</v>
      </c>
      <c r="CL10" s="245" t="e">
        <v>#N/A</v>
      </c>
      <c r="CM10" s="245" t="e">
        <v>#N/A</v>
      </c>
      <c r="CN10" s="245" t="e">
        <v>#N/A</v>
      </c>
      <c r="CO10" s="248" t="e">
        <v>#N/A</v>
      </c>
      <c r="CP10" s="245" t="s">
        <v>4344</v>
      </c>
      <c r="CQ10" s="247" t="s">
        <v>393</v>
      </c>
      <c r="CR10" s="247" t="s">
        <v>393</v>
      </c>
      <c r="CS10" s="247" t="s">
        <v>393</v>
      </c>
      <c r="CT10" s="247" t="s">
        <v>393</v>
      </c>
      <c r="CU10" s="247" t="s">
        <v>393</v>
      </c>
      <c r="CV10" s="247" t="s">
        <v>393</v>
      </c>
      <c r="CW10" s="237">
        <v>44139</v>
      </c>
      <c r="CX10" s="245" t="s">
        <v>4345</v>
      </c>
      <c r="CY10" s="241" t="s">
        <v>393</v>
      </c>
      <c r="CZ10" s="241" t="s">
        <v>393</v>
      </c>
      <c r="DA10" s="241" t="s">
        <v>393</v>
      </c>
      <c r="DB10" s="241" t="s">
        <v>393</v>
      </c>
      <c r="DC10" s="241" t="s">
        <v>4024</v>
      </c>
      <c r="DD10" s="241" t="s">
        <v>393</v>
      </c>
      <c r="DE10" s="243">
        <v>44139</v>
      </c>
      <c r="DF10" s="244" t="s">
        <v>4346</v>
      </c>
      <c r="DG10" s="236" t="s">
        <v>393</v>
      </c>
      <c r="DH10" s="247" t="s">
        <v>393</v>
      </c>
      <c r="DI10" s="247" t="s">
        <v>393</v>
      </c>
      <c r="DJ10" s="247" t="s">
        <v>393</v>
      </c>
      <c r="DK10" s="247" t="s">
        <v>4024</v>
      </c>
      <c r="DL10" s="247" t="s">
        <v>393</v>
      </c>
      <c r="DM10" s="237">
        <v>44139</v>
      </c>
      <c r="DN10" s="245" t="s">
        <v>4347</v>
      </c>
      <c r="DO10" s="241" t="s">
        <v>393</v>
      </c>
      <c r="DP10" s="245" t="s">
        <v>393</v>
      </c>
      <c r="DQ10" s="245" t="s">
        <v>393</v>
      </c>
      <c r="DR10" s="245" t="s">
        <v>393</v>
      </c>
      <c r="DS10" s="245" t="s">
        <v>4024</v>
      </c>
      <c r="DT10" s="245" t="s">
        <v>393</v>
      </c>
      <c r="DU10" s="246">
        <v>44139</v>
      </c>
      <c r="DV10" s="244" t="s">
        <v>4348</v>
      </c>
      <c r="DW10" s="236" t="s">
        <v>393</v>
      </c>
      <c r="DX10" s="247" t="s">
        <v>393</v>
      </c>
      <c r="DY10" s="247" t="s">
        <v>393</v>
      </c>
      <c r="DZ10" s="247" t="s">
        <v>393</v>
      </c>
      <c r="EA10" s="247" t="s">
        <v>4024</v>
      </c>
      <c r="EB10" s="247" t="s">
        <v>393</v>
      </c>
      <c r="EC10" s="237">
        <v>44139</v>
      </c>
      <c r="ED10" s="245" t="s">
        <v>4349</v>
      </c>
      <c r="EE10" s="241" t="s">
        <v>393</v>
      </c>
      <c r="EF10" s="245" t="s">
        <v>393</v>
      </c>
      <c r="EG10" s="245" t="s">
        <v>393</v>
      </c>
      <c r="EH10" s="245" t="s">
        <v>393</v>
      </c>
      <c r="EI10" s="245" t="s">
        <v>4024</v>
      </c>
      <c r="EJ10" s="245" t="s">
        <v>393</v>
      </c>
      <c r="EK10" s="246">
        <v>44139</v>
      </c>
      <c r="EL10" s="244" t="s">
        <v>4350</v>
      </c>
      <c r="EM10" s="236" t="s">
        <v>393</v>
      </c>
      <c r="EN10" s="247" t="s">
        <v>393</v>
      </c>
      <c r="EO10" s="247" t="s">
        <v>393</v>
      </c>
      <c r="EP10" s="247" t="s">
        <v>393</v>
      </c>
      <c r="EQ10" s="247" t="s">
        <v>4024</v>
      </c>
      <c r="ER10" s="247" t="s">
        <v>393</v>
      </c>
      <c r="ES10" s="237">
        <v>44139</v>
      </c>
      <c r="ET10" s="245" t="s">
        <v>4351</v>
      </c>
      <c r="EU10" s="245">
        <v>138</v>
      </c>
      <c r="EV10" s="245" t="s">
        <v>4021</v>
      </c>
      <c r="EW10" s="245" t="s">
        <v>599</v>
      </c>
      <c r="EX10" s="245">
        <v>3</v>
      </c>
      <c r="EY10" s="245" t="s">
        <v>4038</v>
      </c>
      <c r="EZ10" s="245" t="s">
        <v>4022</v>
      </c>
      <c r="FA10" s="246">
        <v>44139</v>
      </c>
      <c r="FB10" s="244" t="s">
        <v>4352</v>
      </c>
      <c r="FC10" s="247">
        <v>3</v>
      </c>
      <c r="FD10" s="247" t="s">
        <v>393</v>
      </c>
      <c r="FE10" s="247" t="s">
        <v>393</v>
      </c>
      <c r="FF10" s="247" t="s">
        <v>393</v>
      </c>
      <c r="FG10" s="247" t="s">
        <v>4025</v>
      </c>
      <c r="FH10" s="247" t="s">
        <v>393</v>
      </c>
      <c r="FI10" s="237">
        <v>44139</v>
      </c>
      <c r="FJ10" s="244" t="s">
        <v>4353</v>
      </c>
      <c r="FK10" s="245" t="s">
        <v>393</v>
      </c>
      <c r="FL10" s="245" t="s">
        <v>393</v>
      </c>
      <c r="FM10" s="245" t="s">
        <v>393</v>
      </c>
      <c r="FN10" s="245" t="s">
        <v>393</v>
      </c>
      <c r="FO10" s="245" t="s">
        <v>393</v>
      </c>
      <c r="FP10" s="241" t="s">
        <v>393</v>
      </c>
      <c r="FQ10" s="242">
        <v>44139</v>
      </c>
      <c r="FR10" s="244" t="s">
        <v>4354</v>
      </c>
      <c r="FS10" s="247" t="s">
        <v>393</v>
      </c>
      <c r="FT10" s="247" t="s">
        <v>393</v>
      </c>
      <c r="FU10" s="247" t="s">
        <v>393</v>
      </c>
      <c r="FV10" s="247" t="s">
        <v>393</v>
      </c>
      <c r="FW10" s="247" t="s">
        <v>393</v>
      </c>
      <c r="FX10" s="247" t="s">
        <v>393</v>
      </c>
      <c r="FY10" s="237">
        <v>44139</v>
      </c>
      <c r="FZ10" s="245" t="s">
        <v>4355</v>
      </c>
      <c r="GA10" s="245">
        <v>2</v>
      </c>
      <c r="GB10" s="245" t="s">
        <v>2096</v>
      </c>
      <c r="GC10" s="245" t="s">
        <v>600</v>
      </c>
      <c r="GD10" s="245">
        <v>2</v>
      </c>
      <c r="GE10" s="245" t="s">
        <v>3323</v>
      </c>
      <c r="GF10" s="245" t="s">
        <v>2097</v>
      </c>
      <c r="GG10" s="246">
        <v>44139</v>
      </c>
      <c r="GH10" s="244" t="s">
        <v>4356</v>
      </c>
      <c r="GI10" s="247">
        <v>2</v>
      </c>
      <c r="GJ10" s="247" t="s">
        <v>2096</v>
      </c>
      <c r="GK10" s="247" t="s">
        <v>600</v>
      </c>
      <c r="GL10" s="247">
        <v>2</v>
      </c>
      <c r="GM10" s="247" t="s">
        <v>3323</v>
      </c>
      <c r="GN10" s="247" t="s">
        <v>2097</v>
      </c>
      <c r="GO10" s="237">
        <v>44139</v>
      </c>
      <c r="GP10" s="245" t="s">
        <v>4357</v>
      </c>
      <c r="GQ10" s="245">
        <v>0</v>
      </c>
      <c r="GR10" s="245" t="s">
        <v>2096</v>
      </c>
      <c r="GS10" s="245" t="s">
        <v>600</v>
      </c>
      <c r="GT10" s="245">
        <v>2</v>
      </c>
      <c r="GU10" s="245" t="s">
        <v>3323</v>
      </c>
      <c r="GV10" s="245" t="s">
        <v>2097</v>
      </c>
      <c r="GW10" s="246">
        <v>44139</v>
      </c>
      <c r="GX10" s="244" t="s">
        <v>4358</v>
      </c>
      <c r="GY10" s="247">
        <v>0</v>
      </c>
      <c r="GZ10" s="247" t="s">
        <v>2096</v>
      </c>
      <c r="HA10" s="247" t="s">
        <v>600</v>
      </c>
      <c r="HB10" s="247">
        <v>2</v>
      </c>
      <c r="HC10" s="247" t="s">
        <v>3323</v>
      </c>
      <c r="HD10" s="247" t="s">
        <v>2097</v>
      </c>
      <c r="HE10" s="237">
        <v>44139</v>
      </c>
      <c r="HF10" s="245" t="s">
        <v>4359</v>
      </c>
      <c r="HG10" s="245">
        <v>0</v>
      </c>
      <c r="HH10" s="245" t="s">
        <v>2096</v>
      </c>
      <c r="HI10" s="245" t="s">
        <v>600</v>
      </c>
      <c r="HJ10" s="245">
        <v>2</v>
      </c>
      <c r="HK10" s="245" t="s">
        <v>3323</v>
      </c>
      <c r="HL10" s="245" t="s">
        <v>2097</v>
      </c>
      <c r="HM10" s="246">
        <v>44139</v>
      </c>
      <c r="HN10" s="244" t="s">
        <v>4360</v>
      </c>
      <c r="HO10" s="247">
        <v>0</v>
      </c>
      <c r="HP10" s="247" t="s">
        <v>2096</v>
      </c>
      <c r="HQ10" s="247" t="s">
        <v>600</v>
      </c>
      <c r="HR10" s="247">
        <v>2</v>
      </c>
      <c r="HS10" s="247" t="s">
        <v>3323</v>
      </c>
      <c r="HT10" s="247" t="s">
        <v>2097</v>
      </c>
      <c r="HU10" s="237">
        <v>44139</v>
      </c>
      <c r="HV10" s="245" t="s">
        <v>4361</v>
      </c>
      <c r="HW10" s="245">
        <v>1</v>
      </c>
      <c r="HX10" s="245" t="s">
        <v>2096</v>
      </c>
      <c r="HY10" s="245" t="s">
        <v>600</v>
      </c>
      <c r="HZ10" s="245">
        <v>2</v>
      </c>
      <c r="IA10" s="245" t="s">
        <v>3323</v>
      </c>
      <c r="IB10" s="245" t="s">
        <v>2097</v>
      </c>
      <c r="IC10" s="246">
        <v>44139</v>
      </c>
      <c r="ID10" s="244" t="s">
        <v>4362</v>
      </c>
      <c r="IE10" s="247">
        <v>0</v>
      </c>
      <c r="IF10" s="247" t="s">
        <v>2096</v>
      </c>
      <c r="IG10" s="247" t="s">
        <v>600</v>
      </c>
      <c r="IH10" s="247">
        <v>2</v>
      </c>
      <c r="II10" s="247" t="s">
        <v>3323</v>
      </c>
      <c r="IJ10" s="247" t="s">
        <v>2097</v>
      </c>
      <c r="IK10" s="237">
        <v>44139</v>
      </c>
      <c r="IL10" s="245" t="s">
        <v>4363</v>
      </c>
      <c r="IM10" s="245">
        <v>0</v>
      </c>
      <c r="IN10" s="245" t="s">
        <v>2096</v>
      </c>
      <c r="IO10" s="245" t="s">
        <v>600</v>
      </c>
      <c r="IP10" s="245">
        <v>2</v>
      </c>
      <c r="IQ10" s="245" t="s">
        <v>3323</v>
      </c>
      <c r="IR10" s="245" t="s">
        <v>2097</v>
      </c>
      <c r="IS10" s="246">
        <v>44139</v>
      </c>
    </row>
    <row r="11" spans="1:253" s="11" customFormat="1" ht="13.2" x14ac:dyDescent="0.25">
      <c r="A11" s="11" t="s">
        <v>4013</v>
      </c>
      <c r="B11" s="11" t="s">
        <v>650</v>
      </c>
      <c r="C11" s="11" t="s">
        <v>4014</v>
      </c>
      <c r="D11" s="11" t="s">
        <v>19</v>
      </c>
      <c r="E11" s="11" t="s">
        <v>18</v>
      </c>
      <c r="F11" s="11" t="s">
        <v>4364</v>
      </c>
      <c r="G11" s="235">
        <v>9977000</v>
      </c>
      <c r="H11" s="236" t="s">
        <v>4026</v>
      </c>
      <c r="I11" s="236" t="s">
        <v>600</v>
      </c>
      <c r="J11" s="236">
        <v>2</v>
      </c>
      <c r="K11" s="236" t="s">
        <v>4028</v>
      </c>
      <c r="L11" s="236" t="s">
        <v>4027</v>
      </c>
      <c r="M11" s="237">
        <v>44139</v>
      </c>
      <c r="N11" s="244" t="s">
        <v>4365</v>
      </c>
      <c r="O11" s="239">
        <v>31560</v>
      </c>
      <c r="P11" s="239" t="s">
        <v>4029</v>
      </c>
      <c r="Q11" s="239" t="s">
        <v>601</v>
      </c>
      <c r="R11" s="239">
        <v>1</v>
      </c>
      <c r="S11" s="239" t="s">
        <v>4033</v>
      </c>
      <c r="T11" s="239" t="s">
        <v>4027</v>
      </c>
      <c r="U11" s="240">
        <v>44139</v>
      </c>
      <c r="V11" s="244" t="s">
        <v>4366</v>
      </c>
      <c r="W11" s="236">
        <v>2826000</v>
      </c>
      <c r="X11" s="236" t="s">
        <v>4029</v>
      </c>
      <c r="Y11" s="236" t="s">
        <v>599</v>
      </c>
      <c r="Z11" s="236">
        <v>3</v>
      </c>
      <c r="AA11" s="236" t="s">
        <v>4033</v>
      </c>
      <c r="AB11" s="236" t="s">
        <v>4027</v>
      </c>
      <c r="AC11" s="237">
        <v>44139</v>
      </c>
      <c r="AD11" s="244" t="s">
        <v>4367</v>
      </c>
      <c r="AE11" s="241">
        <v>2826000</v>
      </c>
      <c r="AF11" s="241" t="s">
        <v>4029</v>
      </c>
      <c r="AG11" s="241" t="s">
        <v>599</v>
      </c>
      <c r="AH11" s="241">
        <v>3</v>
      </c>
      <c r="AI11" s="241" t="s">
        <v>4032</v>
      </c>
      <c r="AJ11" s="241" t="s">
        <v>4027</v>
      </c>
      <c r="AK11" s="242">
        <v>44139</v>
      </c>
      <c r="AL11" s="244" t="s">
        <v>4368</v>
      </c>
      <c r="AM11" s="236">
        <v>40000</v>
      </c>
      <c r="AN11" s="236" t="s">
        <v>4021</v>
      </c>
      <c r="AO11" s="236" t="s">
        <v>599</v>
      </c>
      <c r="AP11" s="236">
        <v>3</v>
      </c>
      <c r="AQ11" s="236" t="s">
        <v>4030</v>
      </c>
      <c r="AR11" s="236" t="s">
        <v>4022</v>
      </c>
      <c r="AS11" s="237">
        <v>44139</v>
      </c>
      <c r="AT11" s="245" t="s">
        <v>4369</v>
      </c>
      <c r="AU11" s="241" t="s">
        <v>393</v>
      </c>
      <c r="AV11" s="241" t="s">
        <v>393</v>
      </c>
      <c r="AW11" s="241" t="s">
        <v>393</v>
      </c>
      <c r="AX11" s="241" t="s">
        <v>393</v>
      </c>
      <c r="AY11" s="241" t="s">
        <v>393</v>
      </c>
      <c r="AZ11" s="241" t="s">
        <v>393</v>
      </c>
      <c r="BA11" s="242">
        <v>44139</v>
      </c>
      <c r="BB11" s="244" t="s">
        <v>4370</v>
      </c>
      <c r="BC11" s="236" t="s">
        <v>393</v>
      </c>
      <c r="BD11" s="236" t="s">
        <v>393</v>
      </c>
      <c r="BE11" s="236" t="s">
        <v>393</v>
      </c>
      <c r="BF11" s="236" t="s">
        <v>393</v>
      </c>
      <c r="BG11" s="236" t="s">
        <v>393</v>
      </c>
      <c r="BH11" s="236" t="s">
        <v>393</v>
      </c>
      <c r="BI11" s="237">
        <v>44139</v>
      </c>
      <c r="BJ11" s="245" t="s">
        <v>4371</v>
      </c>
      <c r="BK11" s="245">
        <v>136</v>
      </c>
      <c r="BL11" s="245" t="s">
        <v>4021</v>
      </c>
      <c r="BM11" s="245" t="s">
        <v>599</v>
      </c>
      <c r="BN11" s="245">
        <v>3</v>
      </c>
      <c r="BO11" s="245" t="s">
        <v>4031</v>
      </c>
      <c r="BP11" s="241" t="s">
        <v>4022</v>
      </c>
      <c r="BQ11" s="246">
        <v>44139</v>
      </c>
      <c r="BR11" s="244" t="s">
        <v>4372</v>
      </c>
      <c r="BS11" s="247" t="s">
        <v>393</v>
      </c>
      <c r="BT11" s="247" t="s">
        <v>393</v>
      </c>
      <c r="BU11" s="247" t="s">
        <v>393</v>
      </c>
      <c r="BV11" s="247" t="s">
        <v>393</v>
      </c>
      <c r="BW11" s="247" t="s">
        <v>393</v>
      </c>
      <c r="BX11" s="247" t="s">
        <v>393</v>
      </c>
      <c r="BY11" s="237">
        <v>44139</v>
      </c>
      <c r="BZ11" s="245" t="s">
        <v>4373</v>
      </c>
      <c r="CA11" s="245" t="s">
        <v>393</v>
      </c>
      <c r="CB11" s="245" t="s">
        <v>393</v>
      </c>
      <c r="CC11" s="245" t="s">
        <v>393</v>
      </c>
      <c r="CD11" s="245" t="s">
        <v>393</v>
      </c>
      <c r="CE11" s="245" t="s">
        <v>393</v>
      </c>
      <c r="CF11" s="245" t="s">
        <v>393</v>
      </c>
      <c r="CG11" s="246">
        <v>44139</v>
      </c>
      <c r="CH11" s="244" t="s">
        <v>4374</v>
      </c>
      <c r="CI11" s="245" t="e">
        <v>#N/A</v>
      </c>
      <c r="CJ11" s="245" t="e">
        <v>#N/A</v>
      </c>
      <c r="CK11" s="245" t="e">
        <v>#N/A</v>
      </c>
      <c r="CL11" s="245" t="e">
        <v>#N/A</v>
      </c>
      <c r="CM11" s="245" t="e">
        <v>#N/A</v>
      </c>
      <c r="CN11" s="245" t="e">
        <v>#N/A</v>
      </c>
      <c r="CO11" s="248" t="e">
        <v>#N/A</v>
      </c>
      <c r="CP11" s="245" t="s">
        <v>4375</v>
      </c>
      <c r="CQ11" s="247" t="s">
        <v>393</v>
      </c>
      <c r="CR11" s="247" t="s">
        <v>393</v>
      </c>
      <c r="CS11" s="247" t="s">
        <v>393</v>
      </c>
      <c r="CT11" s="247" t="s">
        <v>393</v>
      </c>
      <c r="CU11" s="247" t="s">
        <v>393</v>
      </c>
      <c r="CV11" s="247" t="s">
        <v>393</v>
      </c>
      <c r="CW11" s="237">
        <v>44139</v>
      </c>
      <c r="CX11" s="245" t="s">
        <v>4376</v>
      </c>
      <c r="CY11" s="241" t="s">
        <v>393</v>
      </c>
      <c r="CZ11" s="241" t="s">
        <v>393</v>
      </c>
      <c r="DA11" s="241" t="s">
        <v>393</v>
      </c>
      <c r="DB11" s="241" t="s">
        <v>393</v>
      </c>
      <c r="DC11" s="241" t="s">
        <v>4024</v>
      </c>
      <c r="DD11" s="241" t="s">
        <v>393</v>
      </c>
      <c r="DE11" s="243">
        <v>44139</v>
      </c>
      <c r="DF11" s="244" t="s">
        <v>4377</v>
      </c>
      <c r="DG11" s="236" t="s">
        <v>393</v>
      </c>
      <c r="DH11" s="247" t="s">
        <v>393</v>
      </c>
      <c r="DI11" s="247" t="s">
        <v>393</v>
      </c>
      <c r="DJ11" s="247" t="s">
        <v>393</v>
      </c>
      <c r="DK11" s="247" t="s">
        <v>4024</v>
      </c>
      <c r="DL11" s="247" t="s">
        <v>393</v>
      </c>
      <c r="DM11" s="237">
        <v>44139</v>
      </c>
      <c r="DN11" s="245" t="s">
        <v>4378</v>
      </c>
      <c r="DO11" s="241" t="s">
        <v>393</v>
      </c>
      <c r="DP11" s="245" t="s">
        <v>393</v>
      </c>
      <c r="DQ11" s="245" t="s">
        <v>393</v>
      </c>
      <c r="DR11" s="245" t="s">
        <v>393</v>
      </c>
      <c r="DS11" s="245" t="s">
        <v>4024</v>
      </c>
      <c r="DT11" s="245" t="s">
        <v>393</v>
      </c>
      <c r="DU11" s="246">
        <v>44139</v>
      </c>
      <c r="DV11" s="244" t="s">
        <v>4379</v>
      </c>
      <c r="DW11" s="236" t="s">
        <v>393</v>
      </c>
      <c r="DX11" s="247" t="s">
        <v>393</v>
      </c>
      <c r="DY11" s="247" t="s">
        <v>393</v>
      </c>
      <c r="DZ11" s="247" t="s">
        <v>393</v>
      </c>
      <c r="EA11" s="247" t="s">
        <v>4024</v>
      </c>
      <c r="EB11" s="247" t="s">
        <v>393</v>
      </c>
      <c r="EC11" s="237">
        <v>44139</v>
      </c>
      <c r="ED11" s="245" t="s">
        <v>4380</v>
      </c>
      <c r="EE11" s="241" t="s">
        <v>393</v>
      </c>
      <c r="EF11" s="245" t="s">
        <v>393</v>
      </c>
      <c r="EG11" s="245" t="s">
        <v>393</v>
      </c>
      <c r="EH11" s="245" t="s">
        <v>393</v>
      </c>
      <c r="EI11" s="245" t="s">
        <v>4024</v>
      </c>
      <c r="EJ11" s="245" t="s">
        <v>393</v>
      </c>
      <c r="EK11" s="246">
        <v>44139</v>
      </c>
      <c r="EL11" s="244" t="s">
        <v>4381</v>
      </c>
      <c r="EM11" s="236" t="s">
        <v>393</v>
      </c>
      <c r="EN11" s="247" t="s">
        <v>393</v>
      </c>
      <c r="EO11" s="247" t="s">
        <v>393</v>
      </c>
      <c r="EP11" s="247" t="s">
        <v>393</v>
      </c>
      <c r="EQ11" s="247" t="s">
        <v>4024</v>
      </c>
      <c r="ER11" s="247" t="s">
        <v>393</v>
      </c>
      <c r="ES11" s="237">
        <v>44139</v>
      </c>
      <c r="ET11" s="245" t="s">
        <v>4382</v>
      </c>
      <c r="EU11" s="245">
        <v>136</v>
      </c>
      <c r="EV11" s="245" t="s">
        <v>4021</v>
      </c>
      <c r="EW11" s="245" t="s">
        <v>599</v>
      </c>
      <c r="EX11" s="245">
        <v>3</v>
      </c>
      <c r="EY11" s="245" t="s">
        <v>4031</v>
      </c>
      <c r="EZ11" s="245" t="s">
        <v>4022</v>
      </c>
      <c r="FA11" s="246">
        <v>44139</v>
      </c>
      <c r="FB11" s="244" t="s">
        <v>4383</v>
      </c>
      <c r="FC11" s="247">
        <v>3</v>
      </c>
      <c r="FD11" s="247" t="s">
        <v>393</v>
      </c>
      <c r="FE11" s="247" t="s">
        <v>393</v>
      </c>
      <c r="FF11" s="247" t="s">
        <v>393</v>
      </c>
      <c r="FG11" s="247" t="s">
        <v>4025</v>
      </c>
      <c r="FH11" s="247" t="s">
        <v>393</v>
      </c>
      <c r="FI11" s="237">
        <v>44139</v>
      </c>
      <c r="FJ11" s="244" t="s">
        <v>4384</v>
      </c>
      <c r="FK11" s="245" t="s">
        <v>393</v>
      </c>
      <c r="FL11" s="245" t="s">
        <v>393</v>
      </c>
      <c r="FM11" s="245" t="s">
        <v>393</v>
      </c>
      <c r="FN11" s="245" t="s">
        <v>393</v>
      </c>
      <c r="FO11" s="245" t="s">
        <v>393</v>
      </c>
      <c r="FP11" s="241" t="s">
        <v>393</v>
      </c>
      <c r="FQ11" s="242">
        <v>44139</v>
      </c>
      <c r="FR11" s="244" t="s">
        <v>4385</v>
      </c>
      <c r="FS11" s="247" t="s">
        <v>393</v>
      </c>
      <c r="FT11" s="247" t="s">
        <v>393</v>
      </c>
      <c r="FU11" s="247" t="s">
        <v>393</v>
      </c>
      <c r="FV11" s="247" t="s">
        <v>393</v>
      </c>
      <c r="FW11" s="247" t="s">
        <v>393</v>
      </c>
      <c r="FX11" s="247" t="s">
        <v>393</v>
      </c>
      <c r="FY11" s="237">
        <v>44139</v>
      </c>
      <c r="FZ11" s="245" t="s">
        <v>4386</v>
      </c>
      <c r="GA11" s="245">
        <v>2</v>
      </c>
      <c r="GB11" s="245" t="s">
        <v>2096</v>
      </c>
      <c r="GC11" s="245" t="s">
        <v>600</v>
      </c>
      <c r="GD11" s="245">
        <v>2</v>
      </c>
      <c r="GE11" s="245" t="s">
        <v>3323</v>
      </c>
      <c r="GF11" s="245" t="s">
        <v>2097</v>
      </c>
      <c r="GG11" s="246">
        <v>44139</v>
      </c>
      <c r="GH11" s="244" t="s">
        <v>4387</v>
      </c>
      <c r="GI11" s="247">
        <v>1</v>
      </c>
      <c r="GJ11" s="247" t="s">
        <v>2096</v>
      </c>
      <c r="GK11" s="247" t="s">
        <v>600</v>
      </c>
      <c r="GL11" s="247">
        <v>2</v>
      </c>
      <c r="GM11" s="247" t="s">
        <v>3323</v>
      </c>
      <c r="GN11" s="247" t="s">
        <v>2097</v>
      </c>
      <c r="GO11" s="237">
        <v>44139</v>
      </c>
      <c r="GP11" s="245" t="s">
        <v>4388</v>
      </c>
      <c r="GQ11" s="245">
        <v>0</v>
      </c>
      <c r="GR11" s="245" t="s">
        <v>2096</v>
      </c>
      <c r="GS11" s="245" t="s">
        <v>600</v>
      </c>
      <c r="GT11" s="245">
        <v>2</v>
      </c>
      <c r="GU11" s="245" t="s">
        <v>3323</v>
      </c>
      <c r="GV11" s="245" t="s">
        <v>2097</v>
      </c>
      <c r="GW11" s="246">
        <v>44139</v>
      </c>
      <c r="GX11" s="244" t="s">
        <v>4389</v>
      </c>
      <c r="GY11" s="247">
        <v>0</v>
      </c>
      <c r="GZ11" s="247" t="s">
        <v>2096</v>
      </c>
      <c r="HA11" s="247" t="s">
        <v>600</v>
      </c>
      <c r="HB11" s="247">
        <v>2</v>
      </c>
      <c r="HC11" s="247" t="s">
        <v>3323</v>
      </c>
      <c r="HD11" s="247" t="s">
        <v>2097</v>
      </c>
      <c r="HE11" s="237">
        <v>44139</v>
      </c>
      <c r="HF11" s="245" t="s">
        <v>4390</v>
      </c>
      <c r="HG11" s="245">
        <v>0</v>
      </c>
      <c r="HH11" s="245" t="s">
        <v>2096</v>
      </c>
      <c r="HI11" s="245" t="s">
        <v>600</v>
      </c>
      <c r="HJ11" s="245">
        <v>2</v>
      </c>
      <c r="HK11" s="245" t="s">
        <v>3323</v>
      </c>
      <c r="HL11" s="245" t="s">
        <v>2097</v>
      </c>
      <c r="HM11" s="246">
        <v>44139</v>
      </c>
      <c r="HN11" s="244" t="s">
        <v>4391</v>
      </c>
      <c r="HO11" s="247">
        <v>0</v>
      </c>
      <c r="HP11" s="247" t="s">
        <v>2096</v>
      </c>
      <c r="HQ11" s="247" t="s">
        <v>600</v>
      </c>
      <c r="HR11" s="247">
        <v>2</v>
      </c>
      <c r="HS11" s="247" t="s">
        <v>3323</v>
      </c>
      <c r="HT11" s="247" t="s">
        <v>2097</v>
      </c>
      <c r="HU11" s="237">
        <v>44139</v>
      </c>
      <c r="HV11" s="245" t="s">
        <v>4392</v>
      </c>
      <c r="HW11" s="245">
        <v>1</v>
      </c>
      <c r="HX11" s="245" t="s">
        <v>2096</v>
      </c>
      <c r="HY11" s="245" t="s">
        <v>600</v>
      </c>
      <c r="HZ11" s="245">
        <v>2</v>
      </c>
      <c r="IA11" s="245" t="s">
        <v>3323</v>
      </c>
      <c r="IB11" s="245" t="s">
        <v>2097</v>
      </c>
      <c r="IC11" s="246">
        <v>44139</v>
      </c>
      <c r="ID11" s="244" t="s">
        <v>4393</v>
      </c>
      <c r="IE11" s="247">
        <v>0</v>
      </c>
      <c r="IF11" s="247" t="s">
        <v>2096</v>
      </c>
      <c r="IG11" s="247" t="s">
        <v>600</v>
      </c>
      <c r="IH11" s="247">
        <v>2</v>
      </c>
      <c r="II11" s="247" t="s">
        <v>3323</v>
      </c>
      <c r="IJ11" s="247" t="s">
        <v>2097</v>
      </c>
      <c r="IK11" s="237">
        <v>44139</v>
      </c>
      <c r="IL11" s="245" t="s">
        <v>4394</v>
      </c>
      <c r="IM11" s="245">
        <v>0</v>
      </c>
      <c r="IN11" s="245" t="s">
        <v>2096</v>
      </c>
      <c r="IO11" s="245" t="s">
        <v>600</v>
      </c>
      <c r="IP11" s="245">
        <v>2</v>
      </c>
      <c r="IQ11" s="245" t="s">
        <v>3323</v>
      </c>
      <c r="IR11" s="245" t="s">
        <v>2097</v>
      </c>
      <c r="IS11" s="246">
        <v>44139</v>
      </c>
    </row>
    <row r="12" spans="1:253" s="11" customFormat="1" ht="13.2" x14ac:dyDescent="0.25">
      <c r="A12" s="11" t="s">
        <v>2411</v>
      </c>
      <c r="B12" s="11" t="s">
        <v>3258</v>
      </c>
      <c r="C12" s="11" t="s">
        <v>2412</v>
      </c>
      <c r="D12" s="11" t="s">
        <v>25</v>
      </c>
      <c r="E12" s="11" t="s">
        <v>24</v>
      </c>
      <c r="F12" s="11" t="s">
        <v>4395</v>
      </c>
      <c r="G12" s="235">
        <v>143181000</v>
      </c>
      <c r="H12" s="236" t="s">
        <v>3715</v>
      </c>
      <c r="I12" s="236" t="s">
        <v>600</v>
      </c>
      <c r="J12" s="236">
        <v>2</v>
      </c>
      <c r="K12" s="236" t="s">
        <v>3717</v>
      </c>
      <c r="L12" s="236" t="s">
        <v>3716</v>
      </c>
      <c r="M12" s="237">
        <v>44132</v>
      </c>
      <c r="N12" s="244" t="s">
        <v>4396</v>
      </c>
      <c r="O12" s="239">
        <v>39433</v>
      </c>
      <c r="P12" s="239" t="s">
        <v>2435</v>
      </c>
      <c r="Q12" s="239" t="s">
        <v>600</v>
      </c>
      <c r="R12" s="239">
        <v>2</v>
      </c>
      <c r="S12" s="239" t="s">
        <v>2467</v>
      </c>
      <c r="T12" s="239" t="s">
        <v>2466</v>
      </c>
      <c r="U12" s="240">
        <v>43987</v>
      </c>
      <c r="V12" s="244" t="s">
        <v>4397</v>
      </c>
      <c r="W12" s="236">
        <v>98684000</v>
      </c>
      <c r="X12" s="236" t="s">
        <v>3297</v>
      </c>
      <c r="Y12" s="236" t="s">
        <v>600</v>
      </c>
      <c r="Z12" s="236">
        <v>2</v>
      </c>
      <c r="AA12" s="236" t="s">
        <v>3458</v>
      </c>
      <c r="AB12" s="236" t="s">
        <v>3457</v>
      </c>
      <c r="AC12" s="237">
        <v>44132</v>
      </c>
      <c r="AD12" s="244" t="s">
        <v>4398</v>
      </c>
      <c r="AE12" s="241">
        <v>19484000</v>
      </c>
      <c r="AF12" s="241" t="s">
        <v>3297</v>
      </c>
      <c r="AG12" s="241" t="s">
        <v>600</v>
      </c>
      <c r="AH12" s="241">
        <v>2</v>
      </c>
      <c r="AI12" s="241" t="s">
        <v>3459</v>
      </c>
      <c r="AJ12" s="241" t="s">
        <v>3457</v>
      </c>
      <c r="AK12" s="242">
        <v>44132</v>
      </c>
      <c r="AL12" s="244" t="s">
        <v>4399</v>
      </c>
      <c r="AM12" s="236">
        <v>1176000</v>
      </c>
      <c r="AN12" s="236" t="s">
        <v>3719</v>
      </c>
      <c r="AO12" s="236" t="s">
        <v>599</v>
      </c>
      <c r="AP12" s="236">
        <v>3</v>
      </c>
      <c r="AQ12" s="236" t="s">
        <v>3461</v>
      </c>
      <c r="AR12" s="236" t="s">
        <v>3460</v>
      </c>
      <c r="AS12" s="237">
        <v>44132</v>
      </c>
      <c r="AT12" s="245" t="s">
        <v>4400</v>
      </c>
      <c r="AU12" s="241" t="s">
        <v>393</v>
      </c>
      <c r="AV12" s="241" t="s">
        <v>393</v>
      </c>
      <c r="AW12" s="241" t="s">
        <v>393</v>
      </c>
      <c r="AX12" s="241" t="s">
        <v>393</v>
      </c>
      <c r="AY12" s="241" t="s">
        <v>393</v>
      </c>
      <c r="AZ12" s="241" t="s">
        <v>393</v>
      </c>
      <c r="BA12" s="242">
        <v>43987</v>
      </c>
      <c r="BB12" s="244" t="s">
        <v>4401</v>
      </c>
      <c r="BC12" s="236" t="s">
        <v>393</v>
      </c>
      <c r="BD12" s="236" t="s">
        <v>393</v>
      </c>
      <c r="BE12" s="236" t="s">
        <v>393</v>
      </c>
      <c r="BF12" s="236" t="s">
        <v>393</v>
      </c>
      <c r="BG12" s="236" t="s">
        <v>393</v>
      </c>
      <c r="BH12" s="236" t="s">
        <v>393</v>
      </c>
      <c r="BI12" s="237">
        <v>43987</v>
      </c>
      <c r="BJ12" s="245" t="s">
        <v>4402</v>
      </c>
      <c r="BK12" s="245">
        <v>71</v>
      </c>
      <c r="BL12" s="245" t="s">
        <v>3720</v>
      </c>
      <c r="BM12" s="245" t="s">
        <v>600</v>
      </c>
      <c r="BN12" s="245">
        <v>2</v>
      </c>
      <c r="BO12" s="245" t="s">
        <v>3722</v>
      </c>
      <c r="BP12" s="241" t="s">
        <v>3721</v>
      </c>
      <c r="BQ12" s="246">
        <v>44132</v>
      </c>
      <c r="BR12" s="244" t="s">
        <v>4403</v>
      </c>
      <c r="BS12" s="247" t="s">
        <v>393</v>
      </c>
      <c r="BT12" s="247" t="s">
        <v>393</v>
      </c>
      <c r="BU12" s="247" t="s">
        <v>393</v>
      </c>
      <c r="BV12" s="247" t="s">
        <v>393</v>
      </c>
      <c r="BW12" s="247" t="s">
        <v>393</v>
      </c>
      <c r="BX12" s="247" t="s">
        <v>393</v>
      </c>
      <c r="BY12" s="237">
        <v>43987</v>
      </c>
      <c r="BZ12" s="245" t="s">
        <v>4404</v>
      </c>
      <c r="CA12" s="245" t="s">
        <v>393</v>
      </c>
      <c r="CB12" s="245" t="s">
        <v>393</v>
      </c>
      <c r="CC12" s="245" t="s">
        <v>393</v>
      </c>
      <c r="CD12" s="245" t="s">
        <v>393</v>
      </c>
      <c r="CE12" s="245" t="s">
        <v>393</v>
      </c>
      <c r="CF12" s="245" t="s">
        <v>393</v>
      </c>
      <c r="CG12" s="246">
        <v>43987</v>
      </c>
      <c r="CH12" s="244" t="s">
        <v>4405</v>
      </c>
      <c r="CI12" s="245" t="e">
        <v>#N/A</v>
      </c>
      <c r="CJ12" s="245" t="e">
        <v>#N/A</v>
      </c>
      <c r="CK12" s="245" t="e">
        <v>#N/A</v>
      </c>
      <c r="CL12" s="245" t="e">
        <v>#N/A</v>
      </c>
      <c r="CM12" s="245" t="e">
        <v>#N/A</v>
      </c>
      <c r="CN12" s="245" t="e">
        <v>#N/A</v>
      </c>
      <c r="CO12" s="248" t="e">
        <v>#N/A</v>
      </c>
      <c r="CP12" s="245" t="s">
        <v>4406</v>
      </c>
      <c r="CQ12" s="247" t="s">
        <v>393</v>
      </c>
      <c r="CR12" s="247" t="s">
        <v>393</v>
      </c>
      <c r="CS12" s="247" t="s">
        <v>393</v>
      </c>
      <c r="CT12" s="247" t="s">
        <v>393</v>
      </c>
      <c r="CU12" s="247" t="s">
        <v>393</v>
      </c>
      <c r="CV12" s="247" t="s">
        <v>393</v>
      </c>
      <c r="CW12" s="237">
        <v>43987</v>
      </c>
      <c r="CX12" s="245" t="s">
        <v>4407</v>
      </c>
      <c r="CY12" s="241">
        <v>1656000</v>
      </c>
      <c r="CZ12" s="241" t="s">
        <v>3718</v>
      </c>
      <c r="DA12" s="241" t="s">
        <v>599</v>
      </c>
      <c r="DB12" s="241">
        <v>3</v>
      </c>
      <c r="DC12" s="241" t="s">
        <v>3463</v>
      </c>
      <c r="DD12" s="241" t="s">
        <v>3462</v>
      </c>
      <c r="DE12" s="243">
        <v>44132</v>
      </c>
      <c r="DF12" s="244" t="s">
        <v>4408</v>
      </c>
      <c r="DG12" s="236">
        <v>79200000</v>
      </c>
      <c r="DH12" s="247" t="s">
        <v>3718</v>
      </c>
      <c r="DI12" s="247" t="s">
        <v>599</v>
      </c>
      <c r="DJ12" s="247">
        <v>3</v>
      </c>
      <c r="DK12" s="247" t="s">
        <v>3463</v>
      </c>
      <c r="DL12" s="247" t="s">
        <v>3462</v>
      </c>
      <c r="DM12" s="237">
        <v>44132</v>
      </c>
      <c r="DN12" s="245" t="s">
        <v>4409</v>
      </c>
      <c r="DO12" s="241">
        <v>17828000</v>
      </c>
      <c r="DP12" s="245" t="s">
        <v>3718</v>
      </c>
      <c r="DQ12" s="245" t="s">
        <v>599</v>
      </c>
      <c r="DR12" s="245">
        <v>3</v>
      </c>
      <c r="DS12" s="245" t="s">
        <v>3463</v>
      </c>
      <c r="DT12" s="245" t="s">
        <v>3462</v>
      </c>
      <c r="DU12" s="246">
        <v>44132</v>
      </c>
      <c r="DV12" s="244" t="s">
        <v>4410</v>
      </c>
      <c r="DW12" s="236">
        <v>1449000</v>
      </c>
      <c r="DX12" s="247" t="s">
        <v>3718</v>
      </c>
      <c r="DY12" s="247" t="s">
        <v>599</v>
      </c>
      <c r="DZ12" s="247">
        <v>3</v>
      </c>
      <c r="EA12" s="247" t="s">
        <v>3463</v>
      </c>
      <c r="EB12" s="247" t="s">
        <v>3462</v>
      </c>
      <c r="EC12" s="237">
        <v>44132</v>
      </c>
      <c r="ED12" s="245" t="s">
        <v>4411</v>
      </c>
      <c r="EE12" s="241">
        <v>207000</v>
      </c>
      <c r="EF12" s="245" t="s">
        <v>3718</v>
      </c>
      <c r="EG12" s="245" t="s">
        <v>599</v>
      </c>
      <c r="EH12" s="245">
        <v>3</v>
      </c>
      <c r="EI12" s="245" t="s">
        <v>3463</v>
      </c>
      <c r="EJ12" s="245" t="s">
        <v>3462</v>
      </c>
      <c r="EK12" s="246">
        <v>44132</v>
      </c>
      <c r="EL12" s="244" t="s">
        <v>4412</v>
      </c>
      <c r="EM12" s="236">
        <v>0</v>
      </c>
      <c r="EN12" s="247" t="s">
        <v>3718</v>
      </c>
      <c r="EO12" s="247" t="s">
        <v>599</v>
      </c>
      <c r="EP12" s="247">
        <v>3</v>
      </c>
      <c r="EQ12" s="247" t="s">
        <v>3463</v>
      </c>
      <c r="ER12" s="247" t="s">
        <v>3462</v>
      </c>
      <c r="ES12" s="237">
        <v>44132</v>
      </c>
      <c r="ET12" s="245" t="s">
        <v>4413</v>
      </c>
      <c r="EU12" s="245">
        <v>71</v>
      </c>
      <c r="EV12" s="245" t="s">
        <v>3720</v>
      </c>
      <c r="EW12" s="245" t="s">
        <v>600</v>
      </c>
      <c r="EX12" s="245">
        <v>2</v>
      </c>
      <c r="EY12" s="245" t="s">
        <v>3722</v>
      </c>
      <c r="EZ12" s="245" t="s">
        <v>3721</v>
      </c>
      <c r="FA12" s="246">
        <v>44132</v>
      </c>
      <c r="FB12" s="244" t="s">
        <v>4414</v>
      </c>
      <c r="FC12" s="247">
        <v>3</v>
      </c>
      <c r="FD12" s="247" t="s">
        <v>2436</v>
      </c>
      <c r="FE12" s="247" t="s">
        <v>600</v>
      </c>
      <c r="FF12" s="247">
        <v>2</v>
      </c>
      <c r="FG12" s="247" t="s">
        <v>2469</v>
      </c>
      <c r="FH12" s="247" t="s">
        <v>2468</v>
      </c>
      <c r="FI12" s="237">
        <v>43987</v>
      </c>
      <c r="FJ12" s="244" t="s">
        <v>4415</v>
      </c>
      <c r="FK12" s="245" t="s">
        <v>393</v>
      </c>
      <c r="FL12" s="245" t="s">
        <v>393</v>
      </c>
      <c r="FM12" s="245" t="s">
        <v>393</v>
      </c>
      <c r="FN12" s="245" t="s">
        <v>393</v>
      </c>
      <c r="FO12" s="245" t="s">
        <v>393</v>
      </c>
      <c r="FP12" s="241" t="s">
        <v>393</v>
      </c>
      <c r="FQ12" s="242">
        <v>43987</v>
      </c>
      <c r="FR12" s="244" t="s">
        <v>4416</v>
      </c>
      <c r="FS12" s="247" t="s">
        <v>393</v>
      </c>
      <c r="FT12" s="247" t="s">
        <v>393</v>
      </c>
      <c r="FU12" s="247" t="s">
        <v>393</v>
      </c>
      <c r="FV12" s="247" t="s">
        <v>393</v>
      </c>
      <c r="FW12" s="247" t="s">
        <v>393</v>
      </c>
      <c r="FX12" s="247" t="s">
        <v>393</v>
      </c>
      <c r="FY12" s="237">
        <v>43987</v>
      </c>
      <c r="FZ12" s="245" t="s">
        <v>4417</v>
      </c>
      <c r="GA12" s="245">
        <v>2</v>
      </c>
      <c r="GB12" s="245" t="s">
        <v>2096</v>
      </c>
      <c r="GC12" s="245" t="s">
        <v>600</v>
      </c>
      <c r="GD12" s="245">
        <v>2</v>
      </c>
      <c r="GE12" s="245" t="s">
        <v>2735</v>
      </c>
      <c r="GF12" s="245" t="s">
        <v>1314</v>
      </c>
      <c r="GG12" s="246">
        <v>44015</v>
      </c>
      <c r="GH12" s="244" t="s">
        <v>4418</v>
      </c>
      <c r="GI12" s="247">
        <v>1</v>
      </c>
      <c r="GJ12" s="247" t="s">
        <v>2096</v>
      </c>
      <c r="GK12" s="247" t="s">
        <v>600</v>
      </c>
      <c r="GL12" s="247">
        <v>2</v>
      </c>
      <c r="GM12" s="247" t="s">
        <v>2735</v>
      </c>
      <c r="GN12" s="247" t="s">
        <v>1314</v>
      </c>
      <c r="GO12" s="237">
        <v>44015</v>
      </c>
      <c r="GP12" s="245" t="s">
        <v>4419</v>
      </c>
      <c r="GQ12" s="245">
        <v>2</v>
      </c>
      <c r="GR12" s="245" t="s">
        <v>2096</v>
      </c>
      <c r="GS12" s="245" t="s">
        <v>600</v>
      </c>
      <c r="GT12" s="245">
        <v>2</v>
      </c>
      <c r="GU12" s="245" t="s">
        <v>2735</v>
      </c>
      <c r="GV12" s="245" t="s">
        <v>1314</v>
      </c>
      <c r="GW12" s="246">
        <v>44015</v>
      </c>
      <c r="GX12" s="244" t="s">
        <v>4420</v>
      </c>
      <c r="GY12" s="247">
        <v>0</v>
      </c>
      <c r="GZ12" s="247" t="s">
        <v>2096</v>
      </c>
      <c r="HA12" s="247" t="s">
        <v>600</v>
      </c>
      <c r="HB12" s="247">
        <v>2</v>
      </c>
      <c r="HC12" s="247" t="s">
        <v>2735</v>
      </c>
      <c r="HD12" s="247" t="s">
        <v>1314</v>
      </c>
      <c r="HE12" s="237">
        <v>44015</v>
      </c>
      <c r="HF12" s="245" t="s">
        <v>4421</v>
      </c>
      <c r="HG12" s="245">
        <v>2</v>
      </c>
      <c r="HH12" s="245" t="s">
        <v>2096</v>
      </c>
      <c r="HI12" s="245" t="s">
        <v>600</v>
      </c>
      <c r="HJ12" s="245">
        <v>2</v>
      </c>
      <c r="HK12" s="245" t="s">
        <v>2735</v>
      </c>
      <c r="HL12" s="245" t="s">
        <v>1314</v>
      </c>
      <c r="HM12" s="246">
        <v>44015</v>
      </c>
      <c r="HN12" s="244" t="s">
        <v>4422</v>
      </c>
      <c r="HO12" s="247">
        <v>3</v>
      </c>
      <c r="HP12" s="247" t="s">
        <v>2096</v>
      </c>
      <c r="HQ12" s="247" t="s">
        <v>600</v>
      </c>
      <c r="HR12" s="247">
        <v>2</v>
      </c>
      <c r="HS12" s="247" t="s">
        <v>2735</v>
      </c>
      <c r="HT12" s="247" t="s">
        <v>1314</v>
      </c>
      <c r="HU12" s="237">
        <v>44015</v>
      </c>
      <c r="HV12" s="245" t="s">
        <v>4423</v>
      </c>
      <c r="HW12" s="245">
        <v>3</v>
      </c>
      <c r="HX12" s="245" t="s">
        <v>2096</v>
      </c>
      <c r="HY12" s="245" t="s">
        <v>600</v>
      </c>
      <c r="HZ12" s="245">
        <v>2</v>
      </c>
      <c r="IA12" s="245" t="s">
        <v>2735</v>
      </c>
      <c r="IB12" s="245" t="s">
        <v>1314</v>
      </c>
      <c r="IC12" s="246">
        <v>44015</v>
      </c>
      <c r="ID12" s="244" t="s">
        <v>4424</v>
      </c>
      <c r="IE12" s="247">
        <v>1</v>
      </c>
      <c r="IF12" s="247" t="s">
        <v>2096</v>
      </c>
      <c r="IG12" s="247" t="s">
        <v>600</v>
      </c>
      <c r="IH12" s="247">
        <v>2</v>
      </c>
      <c r="II12" s="247" t="s">
        <v>2735</v>
      </c>
      <c r="IJ12" s="247" t="s">
        <v>1314</v>
      </c>
      <c r="IK12" s="237">
        <v>44015</v>
      </c>
      <c r="IL12" s="245" t="s">
        <v>4425</v>
      </c>
      <c r="IM12" s="245">
        <v>3</v>
      </c>
      <c r="IN12" s="245" t="s">
        <v>2096</v>
      </c>
      <c r="IO12" s="245" t="s">
        <v>600</v>
      </c>
      <c r="IP12" s="245">
        <v>2</v>
      </c>
      <c r="IQ12" s="245" t="s">
        <v>2735</v>
      </c>
      <c r="IR12" s="245" t="s">
        <v>1314</v>
      </c>
      <c r="IS12" s="246">
        <v>44015</v>
      </c>
    </row>
    <row r="13" spans="1:253" s="11" customFormat="1" ht="13.2" x14ac:dyDescent="0.25">
      <c r="A13" s="11" t="s">
        <v>652</v>
      </c>
      <c r="B13" s="11" t="s">
        <v>1280</v>
      </c>
      <c r="C13" s="11" t="s">
        <v>663</v>
      </c>
      <c r="D13" s="11" t="s">
        <v>25</v>
      </c>
      <c r="E13" s="11" t="s">
        <v>24</v>
      </c>
      <c r="F13" s="11" t="s">
        <v>4426</v>
      </c>
      <c r="G13" s="235">
        <v>143181000</v>
      </c>
      <c r="H13" s="236" t="s">
        <v>3715</v>
      </c>
      <c r="I13" s="236" t="s">
        <v>600</v>
      </c>
      <c r="J13" s="236">
        <v>2</v>
      </c>
      <c r="K13" s="236" t="s">
        <v>3717</v>
      </c>
      <c r="L13" s="236" t="s">
        <v>3716</v>
      </c>
      <c r="M13" s="237">
        <v>44132</v>
      </c>
      <c r="N13" s="244" t="s">
        <v>4427</v>
      </c>
      <c r="O13" s="239">
        <v>650</v>
      </c>
      <c r="P13" s="239" t="s">
        <v>1070</v>
      </c>
      <c r="Q13" s="239" t="s">
        <v>600</v>
      </c>
      <c r="R13" s="239">
        <v>2</v>
      </c>
      <c r="S13" s="239" t="s">
        <v>823</v>
      </c>
      <c r="T13" s="239" t="s">
        <v>1334</v>
      </c>
      <c r="U13" s="240">
        <v>43608</v>
      </c>
      <c r="V13" s="244" t="s">
        <v>4428</v>
      </c>
      <c r="W13" s="236">
        <v>1333000</v>
      </c>
      <c r="X13" s="236" t="s">
        <v>2139</v>
      </c>
      <c r="Y13" s="236" t="s">
        <v>600</v>
      </c>
      <c r="Z13" s="236">
        <v>2</v>
      </c>
      <c r="AA13" s="236" t="s">
        <v>3727</v>
      </c>
      <c r="AB13" s="236" t="s">
        <v>3675</v>
      </c>
      <c r="AC13" s="237">
        <v>44132</v>
      </c>
      <c r="AD13" s="244" t="s">
        <v>4429</v>
      </c>
      <c r="AE13" s="241">
        <v>1333000</v>
      </c>
      <c r="AF13" s="241" t="s">
        <v>2139</v>
      </c>
      <c r="AG13" s="241" t="s">
        <v>601</v>
      </c>
      <c r="AH13" s="241">
        <v>1</v>
      </c>
      <c r="AI13" s="241" t="s">
        <v>3728</v>
      </c>
      <c r="AJ13" s="241" t="s">
        <v>3675</v>
      </c>
      <c r="AK13" s="242">
        <v>44132</v>
      </c>
      <c r="AL13" s="244" t="s">
        <v>4430</v>
      </c>
      <c r="AM13" s="236">
        <v>862000</v>
      </c>
      <c r="AN13" s="236" t="s">
        <v>3723</v>
      </c>
      <c r="AO13" s="236" t="s">
        <v>600</v>
      </c>
      <c r="AP13" s="236">
        <v>2</v>
      </c>
      <c r="AQ13" s="236" t="s">
        <v>3729</v>
      </c>
      <c r="AR13" s="236" t="s">
        <v>3725</v>
      </c>
      <c r="AS13" s="237">
        <v>44132</v>
      </c>
      <c r="AT13" s="245" t="s">
        <v>4431</v>
      </c>
      <c r="AU13" s="241">
        <v>37140</v>
      </c>
      <c r="AV13" s="241" t="s">
        <v>1583</v>
      </c>
      <c r="AW13" s="241" t="s">
        <v>600</v>
      </c>
      <c r="AX13" s="241">
        <v>2</v>
      </c>
      <c r="AY13" s="241" t="s">
        <v>1585</v>
      </c>
      <c r="AZ13" s="241" t="s">
        <v>825</v>
      </c>
      <c r="BA13" s="242">
        <v>43767</v>
      </c>
      <c r="BB13" s="244" t="s">
        <v>4432</v>
      </c>
      <c r="BC13" s="236">
        <v>141302</v>
      </c>
      <c r="BD13" s="236" t="s">
        <v>1583</v>
      </c>
      <c r="BE13" s="236" t="s">
        <v>600</v>
      </c>
      <c r="BF13" s="236">
        <v>2</v>
      </c>
      <c r="BG13" s="236" t="s">
        <v>1584</v>
      </c>
      <c r="BH13" s="236" t="s">
        <v>825</v>
      </c>
      <c r="BI13" s="237">
        <v>43767</v>
      </c>
      <c r="BJ13" s="245" t="s">
        <v>4433</v>
      </c>
      <c r="BK13" s="245">
        <v>4</v>
      </c>
      <c r="BL13" s="245" t="s">
        <v>3724</v>
      </c>
      <c r="BM13" s="245" t="s">
        <v>599</v>
      </c>
      <c r="BN13" s="245">
        <v>3</v>
      </c>
      <c r="BO13" s="245" t="s">
        <v>3730</v>
      </c>
      <c r="BP13" s="241" t="s">
        <v>882</v>
      </c>
      <c r="BQ13" s="246">
        <v>44132</v>
      </c>
      <c r="BR13" s="244" t="s">
        <v>4434</v>
      </c>
      <c r="BS13" s="247" t="s">
        <v>393</v>
      </c>
      <c r="BT13" s="247" t="s">
        <v>393</v>
      </c>
      <c r="BU13" s="247" t="s">
        <v>393</v>
      </c>
      <c r="BV13" s="247" t="s">
        <v>393</v>
      </c>
      <c r="BW13" s="247" t="s">
        <v>393</v>
      </c>
      <c r="BX13" s="247" t="s">
        <v>393</v>
      </c>
      <c r="BY13" s="237">
        <v>43608</v>
      </c>
      <c r="BZ13" s="245" t="s">
        <v>4435</v>
      </c>
      <c r="CA13" s="245" t="s">
        <v>393</v>
      </c>
      <c r="CB13" s="245" t="s">
        <v>393</v>
      </c>
      <c r="CC13" s="245" t="s">
        <v>393</v>
      </c>
      <c r="CD13" s="245" t="s">
        <v>393</v>
      </c>
      <c r="CE13" s="245" t="s">
        <v>393</v>
      </c>
      <c r="CF13" s="245" t="s">
        <v>393</v>
      </c>
      <c r="CG13" s="246">
        <v>43608</v>
      </c>
      <c r="CH13" s="244" t="s">
        <v>4436</v>
      </c>
      <c r="CI13" s="245" t="e">
        <v>#N/A</v>
      </c>
      <c r="CJ13" s="245" t="e">
        <v>#N/A</v>
      </c>
      <c r="CK13" s="245" t="e">
        <v>#N/A</v>
      </c>
      <c r="CL13" s="245" t="e">
        <v>#N/A</v>
      </c>
      <c r="CM13" s="245" t="e">
        <v>#N/A</v>
      </c>
      <c r="CN13" s="245" t="e">
        <v>#N/A</v>
      </c>
      <c r="CO13" s="248" t="e">
        <v>#N/A</v>
      </c>
      <c r="CP13" s="245" t="s">
        <v>4437</v>
      </c>
      <c r="CQ13" s="247" t="s">
        <v>393</v>
      </c>
      <c r="CR13" s="247" t="s">
        <v>393</v>
      </c>
      <c r="CS13" s="247" t="s">
        <v>393</v>
      </c>
      <c r="CT13" s="247" t="s">
        <v>393</v>
      </c>
      <c r="CU13" s="247" t="s">
        <v>393</v>
      </c>
      <c r="CV13" s="247" t="s">
        <v>393</v>
      </c>
      <c r="CW13" s="237">
        <v>43860</v>
      </c>
      <c r="CX13" s="245" t="s">
        <v>4438</v>
      </c>
      <c r="CY13" s="241">
        <v>861000</v>
      </c>
      <c r="CZ13" s="241" t="s">
        <v>2140</v>
      </c>
      <c r="DA13" s="241" t="s">
        <v>600</v>
      </c>
      <c r="DB13" s="241">
        <v>2</v>
      </c>
      <c r="DC13" s="241" t="s">
        <v>3731</v>
      </c>
      <c r="DD13" s="241" t="s">
        <v>3726</v>
      </c>
      <c r="DE13" s="243">
        <v>44132</v>
      </c>
      <c r="DF13" s="244" t="s">
        <v>4439</v>
      </c>
      <c r="DG13" s="236">
        <v>0</v>
      </c>
      <c r="DH13" s="247" t="s">
        <v>2140</v>
      </c>
      <c r="DI13" s="247" t="s">
        <v>600</v>
      </c>
      <c r="DJ13" s="247">
        <v>2</v>
      </c>
      <c r="DK13" s="247" t="s">
        <v>3731</v>
      </c>
      <c r="DL13" s="247" t="s">
        <v>3726</v>
      </c>
      <c r="DM13" s="237">
        <v>44132</v>
      </c>
      <c r="DN13" s="245" t="s">
        <v>4440</v>
      </c>
      <c r="DO13" s="241">
        <v>472000</v>
      </c>
      <c r="DP13" s="245" t="s">
        <v>2140</v>
      </c>
      <c r="DQ13" s="245" t="s">
        <v>600</v>
      </c>
      <c r="DR13" s="245">
        <v>2</v>
      </c>
      <c r="DS13" s="245" t="s">
        <v>3731</v>
      </c>
      <c r="DT13" s="245" t="s">
        <v>3726</v>
      </c>
      <c r="DU13" s="246">
        <v>44132</v>
      </c>
      <c r="DV13" s="244" t="s">
        <v>4441</v>
      </c>
      <c r="DW13" s="236">
        <v>654000</v>
      </c>
      <c r="DX13" s="247" t="s">
        <v>2140</v>
      </c>
      <c r="DY13" s="247" t="s">
        <v>600</v>
      </c>
      <c r="DZ13" s="247">
        <v>2</v>
      </c>
      <c r="EA13" s="247" t="s">
        <v>3731</v>
      </c>
      <c r="EB13" s="247" t="s">
        <v>3726</v>
      </c>
      <c r="EC13" s="237">
        <v>44132</v>
      </c>
      <c r="ED13" s="245" t="s">
        <v>4442</v>
      </c>
      <c r="EE13" s="241">
        <v>207000</v>
      </c>
      <c r="EF13" s="245" t="s">
        <v>2140</v>
      </c>
      <c r="EG13" s="245" t="s">
        <v>600</v>
      </c>
      <c r="EH13" s="245">
        <v>2</v>
      </c>
      <c r="EI13" s="245" t="s">
        <v>3731</v>
      </c>
      <c r="EJ13" s="245" t="s">
        <v>3726</v>
      </c>
      <c r="EK13" s="246">
        <v>44132</v>
      </c>
      <c r="EL13" s="244" t="s">
        <v>4443</v>
      </c>
      <c r="EM13" s="236">
        <v>0</v>
      </c>
      <c r="EN13" s="247" t="s">
        <v>2140</v>
      </c>
      <c r="EO13" s="247" t="s">
        <v>600</v>
      </c>
      <c r="EP13" s="247">
        <v>2</v>
      </c>
      <c r="EQ13" s="247" t="s">
        <v>3731</v>
      </c>
      <c r="ER13" s="247" t="s">
        <v>3726</v>
      </c>
      <c r="ES13" s="237">
        <v>44132</v>
      </c>
      <c r="ET13" s="245" t="s">
        <v>4444</v>
      </c>
      <c r="EU13" s="245">
        <v>71</v>
      </c>
      <c r="EV13" s="245" t="s">
        <v>3720</v>
      </c>
      <c r="EW13" s="245" t="s">
        <v>600</v>
      </c>
      <c r="EX13" s="245">
        <v>2</v>
      </c>
      <c r="EY13" s="245" t="s">
        <v>3722</v>
      </c>
      <c r="EZ13" s="245" t="s">
        <v>3721</v>
      </c>
      <c r="FA13" s="246">
        <v>44132</v>
      </c>
      <c r="FB13" s="244" t="s">
        <v>4445</v>
      </c>
      <c r="FC13" s="247">
        <v>3</v>
      </c>
      <c r="FD13" s="247" t="s">
        <v>2140</v>
      </c>
      <c r="FE13" s="247" t="s">
        <v>601</v>
      </c>
      <c r="FF13" s="247">
        <v>1</v>
      </c>
      <c r="FG13" s="247" t="s">
        <v>2143</v>
      </c>
      <c r="FH13" s="247" t="s">
        <v>2142</v>
      </c>
      <c r="FI13" s="237">
        <v>43920</v>
      </c>
      <c r="FJ13" s="244" t="s">
        <v>4446</v>
      </c>
      <c r="FK13" s="245">
        <v>0</v>
      </c>
      <c r="FL13" s="245">
        <v>0</v>
      </c>
      <c r="FM13" s="245" t="s">
        <v>600</v>
      </c>
      <c r="FN13" s="245">
        <v>2</v>
      </c>
      <c r="FO13" s="245" t="s">
        <v>824</v>
      </c>
      <c r="FP13" s="241">
        <v>0</v>
      </c>
      <c r="FQ13" s="242">
        <v>43503</v>
      </c>
      <c r="FR13" s="244" t="s">
        <v>4447</v>
      </c>
      <c r="FS13" s="247">
        <v>0</v>
      </c>
      <c r="FT13" s="247" t="s">
        <v>822</v>
      </c>
      <c r="FU13" s="247" t="s">
        <v>600</v>
      </c>
      <c r="FV13" s="247">
        <v>2</v>
      </c>
      <c r="FW13" s="247" t="s">
        <v>824</v>
      </c>
      <c r="FX13" s="247">
        <v>0</v>
      </c>
      <c r="FY13" s="237">
        <v>43503</v>
      </c>
      <c r="FZ13" s="245" t="s">
        <v>4448</v>
      </c>
      <c r="GA13" s="245">
        <v>2</v>
      </c>
      <c r="GB13" s="245" t="s">
        <v>1587</v>
      </c>
      <c r="GC13" s="245" t="s">
        <v>601</v>
      </c>
      <c r="GD13" s="245">
        <v>1</v>
      </c>
      <c r="GE13" s="245" t="s">
        <v>1623</v>
      </c>
      <c r="GF13" s="245" t="s">
        <v>1624</v>
      </c>
      <c r="GG13" s="246">
        <v>43767</v>
      </c>
      <c r="GH13" s="244" t="s">
        <v>4449</v>
      </c>
      <c r="GI13" s="247">
        <v>1</v>
      </c>
      <c r="GJ13" s="247" t="s">
        <v>1587</v>
      </c>
      <c r="GK13" s="247" t="s">
        <v>601</v>
      </c>
      <c r="GL13" s="247">
        <v>1</v>
      </c>
      <c r="GM13" s="247" t="s">
        <v>1623</v>
      </c>
      <c r="GN13" s="247" t="s">
        <v>1624</v>
      </c>
      <c r="GO13" s="237">
        <v>43767</v>
      </c>
      <c r="GP13" s="245" t="s">
        <v>4450</v>
      </c>
      <c r="GQ13" s="245">
        <v>1</v>
      </c>
      <c r="GR13" s="245" t="s">
        <v>1587</v>
      </c>
      <c r="GS13" s="245" t="s">
        <v>601</v>
      </c>
      <c r="GT13" s="245">
        <v>1</v>
      </c>
      <c r="GU13" s="245" t="s">
        <v>1623</v>
      </c>
      <c r="GV13" s="245" t="s">
        <v>1624</v>
      </c>
      <c r="GW13" s="246">
        <v>43767</v>
      </c>
      <c r="GX13" s="244" t="s">
        <v>4451</v>
      </c>
      <c r="GY13" s="247">
        <v>0</v>
      </c>
      <c r="GZ13" s="247" t="s">
        <v>1587</v>
      </c>
      <c r="HA13" s="247" t="s">
        <v>601</v>
      </c>
      <c r="HB13" s="247">
        <v>1</v>
      </c>
      <c r="HC13" s="247" t="s">
        <v>1623</v>
      </c>
      <c r="HD13" s="247" t="s">
        <v>1624</v>
      </c>
      <c r="HE13" s="237">
        <v>43767</v>
      </c>
      <c r="HF13" s="245" t="s">
        <v>4452</v>
      </c>
      <c r="HG13" s="245">
        <v>1</v>
      </c>
      <c r="HH13" s="245" t="s">
        <v>1587</v>
      </c>
      <c r="HI13" s="245" t="s">
        <v>601</v>
      </c>
      <c r="HJ13" s="245">
        <v>1</v>
      </c>
      <c r="HK13" s="245" t="s">
        <v>1623</v>
      </c>
      <c r="HL13" s="245" t="s">
        <v>1624</v>
      </c>
      <c r="HM13" s="246">
        <v>43767</v>
      </c>
      <c r="HN13" s="244" t="s">
        <v>4453</v>
      </c>
      <c r="HO13" s="247">
        <v>2</v>
      </c>
      <c r="HP13" s="247" t="s">
        <v>1587</v>
      </c>
      <c r="HQ13" s="247" t="s">
        <v>601</v>
      </c>
      <c r="HR13" s="247">
        <v>1</v>
      </c>
      <c r="HS13" s="247" t="s">
        <v>1623</v>
      </c>
      <c r="HT13" s="247" t="s">
        <v>1624</v>
      </c>
      <c r="HU13" s="237">
        <v>43767</v>
      </c>
      <c r="HV13" s="245" t="s">
        <v>4454</v>
      </c>
      <c r="HW13" s="245">
        <v>3</v>
      </c>
      <c r="HX13" s="245" t="s">
        <v>1587</v>
      </c>
      <c r="HY13" s="245" t="s">
        <v>601</v>
      </c>
      <c r="HZ13" s="245">
        <v>1</v>
      </c>
      <c r="IA13" s="245" t="s">
        <v>1623</v>
      </c>
      <c r="IB13" s="245" t="s">
        <v>1624</v>
      </c>
      <c r="IC13" s="246">
        <v>43767</v>
      </c>
      <c r="ID13" s="244" t="s">
        <v>4455</v>
      </c>
      <c r="IE13" s="247">
        <v>0</v>
      </c>
      <c r="IF13" s="247" t="s">
        <v>1587</v>
      </c>
      <c r="IG13" s="247" t="s">
        <v>600</v>
      </c>
      <c r="IH13" s="247">
        <v>2</v>
      </c>
      <c r="II13" s="247" t="s">
        <v>1623</v>
      </c>
      <c r="IJ13" s="247" t="s">
        <v>1624</v>
      </c>
      <c r="IK13" s="237">
        <v>43767</v>
      </c>
      <c r="IL13" s="245" t="s">
        <v>4456</v>
      </c>
      <c r="IM13" s="245">
        <v>2</v>
      </c>
      <c r="IN13" s="245" t="s">
        <v>1587</v>
      </c>
      <c r="IO13" s="245" t="s">
        <v>600</v>
      </c>
      <c r="IP13" s="245">
        <v>2</v>
      </c>
      <c r="IQ13" s="245" t="s">
        <v>1623</v>
      </c>
      <c r="IR13" s="245" t="s">
        <v>1624</v>
      </c>
      <c r="IS13" s="246">
        <v>43767</v>
      </c>
    </row>
    <row r="14" spans="1:253" s="11" customFormat="1" ht="13.2" x14ac:dyDescent="0.25">
      <c r="A14" s="11" t="s">
        <v>1510</v>
      </c>
      <c r="B14" s="11" t="s">
        <v>1279</v>
      </c>
      <c r="C14" s="11" t="s">
        <v>3198</v>
      </c>
      <c r="D14" s="11" t="s">
        <v>25</v>
      </c>
      <c r="E14" s="11" t="s">
        <v>24</v>
      </c>
      <c r="F14" s="11" t="s">
        <v>4457</v>
      </c>
      <c r="G14" s="235">
        <v>143181000</v>
      </c>
      <c r="H14" s="236" t="s">
        <v>3715</v>
      </c>
      <c r="I14" s="236" t="s">
        <v>600</v>
      </c>
      <c r="J14" s="236">
        <v>2</v>
      </c>
      <c r="K14" s="236" t="s">
        <v>3717</v>
      </c>
      <c r="L14" s="236" t="s">
        <v>3716</v>
      </c>
      <c r="M14" s="237">
        <v>44132</v>
      </c>
      <c r="N14" s="244" t="s">
        <v>4458</v>
      </c>
      <c r="O14" s="239">
        <v>34002</v>
      </c>
      <c r="P14" s="239" t="s">
        <v>3272</v>
      </c>
      <c r="Q14" s="239" t="s">
        <v>600</v>
      </c>
      <c r="R14" s="239">
        <v>2</v>
      </c>
      <c r="S14" s="239" t="s">
        <v>3403</v>
      </c>
      <c r="T14" s="239" t="s">
        <v>3402</v>
      </c>
      <c r="U14" s="240">
        <v>44088</v>
      </c>
      <c r="V14" s="244" t="s">
        <v>4459</v>
      </c>
      <c r="W14" s="236">
        <v>70168000</v>
      </c>
      <c r="X14" s="236" t="s">
        <v>3273</v>
      </c>
      <c r="Y14" s="236" t="s">
        <v>601</v>
      </c>
      <c r="Z14" s="236">
        <v>1</v>
      </c>
      <c r="AA14" s="236" t="s">
        <v>3405</v>
      </c>
      <c r="AB14" s="236" t="s">
        <v>3404</v>
      </c>
      <c r="AC14" s="237">
        <v>44088</v>
      </c>
      <c r="AD14" s="244" t="s">
        <v>4460</v>
      </c>
      <c r="AE14" s="241">
        <v>5400000</v>
      </c>
      <c r="AF14" s="241" t="s">
        <v>3272</v>
      </c>
      <c r="AG14" s="241" t="s">
        <v>600</v>
      </c>
      <c r="AH14" s="241">
        <v>2</v>
      </c>
      <c r="AI14" s="241">
        <v>0</v>
      </c>
      <c r="AJ14" s="241" t="s">
        <v>3402</v>
      </c>
      <c r="AK14" s="242">
        <v>44088</v>
      </c>
      <c r="AL14" s="244" t="s">
        <v>4461</v>
      </c>
      <c r="AM14" s="236">
        <v>94000</v>
      </c>
      <c r="AN14" s="236" t="s">
        <v>3272</v>
      </c>
      <c r="AO14" s="236" t="s">
        <v>601</v>
      </c>
      <c r="AP14" s="236">
        <v>1</v>
      </c>
      <c r="AQ14" s="236">
        <v>0</v>
      </c>
      <c r="AR14" s="236" t="s">
        <v>3402</v>
      </c>
      <c r="AS14" s="237">
        <v>44088</v>
      </c>
      <c r="AT14" s="245" t="s">
        <v>4462</v>
      </c>
      <c r="AU14" s="241" t="s">
        <v>393</v>
      </c>
      <c r="AV14" s="241" t="s">
        <v>393</v>
      </c>
      <c r="AW14" s="241" t="s">
        <v>393</v>
      </c>
      <c r="AX14" s="241" t="s">
        <v>393</v>
      </c>
      <c r="AY14" s="241" t="s">
        <v>393</v>
      </c>
      <c r="AZ14" s="241" t="s">
        <v>393</v>
      </c>
      <c r="BA14" s="242">
        <v>44088</v>
      </c>
      <c r="BB14" s="244" t="s">
        <v>4463</v>
      </c>
      <c r="BC14" s="236" t="s">
        <v>393</v>
      </c>
      <c r="BD14" s="236" t="s">
        <v>393</v>
      </c>
      <c r="BE14" s="236" t="s">
        <v>393</v>
      </c>
      <c r="BF14" s="236" t="s">
        <v>393</v>
      </c>
      <c r="BG14" s="236" t="s">
        <v>393</v>
      </c>
      <c r="BH14" s="236" t="s">
        <v>393</v>
      </c>
      <c r="BI14" s="237">
        <v>44088</v>
      </c>
      <c r="BJ14" s="245" t="s">
        <v>4464</v>
      </c>
      <c r="BK14" s="245">
        <v>41</v>
      </c>
      <c r="BL14" s="245" t="s">
        <v>3272</v>
      </c>
      <c r="BM14" s="245" t="s">
        <v>600</v>
      </c>
      <c r="BN14" s="245">
        <v>2</v>
      </c>
      <c r="BO14" s="245" t="s">
        <v>3406</v>
      </c>
      <c r="BP14" s="241" t="s">
        <v>3402</v>
      </c>
      <c r="BQ14" s="246">
        <v>44106</v>
      </c>
      <c r="BR14" s="244" t="s">
        <v>4465</v>
      </c>
      <c r="BS14" s="247" t="s">
        <v>393</v>
      </c>
      <c r="BT14" s="247" t="s">
        <v>393</v>
      </c>
      <c r="BU14" s="247" t="s">
        <v>393</v>
      </c>
      <c r="BV14" s="247" t="s">
        <v>393</v>
      </c>
      <c r="BW14" s="247" t="s">
        <v>393</v>
      </c>
      <c r="BX14" s="247" t="s">
        <v>393</v>
      </c>
      <c r="BY14" s="237">
        <v>44088</v>
      </c>
      <c r="BZ14" s="245" t="s">
        <v>4466</v>
      </c>
      <c r="CA14" s="245" t="s">
        <v>393</v>
      </c>
      <c r="CB14" s="245" t="s">
        <v>393</v>
      </c>
      <c r="CC14" s="245" t="s">
        <v>393</v>
      </c>
      <c r="CD14" s="245" t="s">
        <v>393</v>
      </c>
      <c r="CE14" s="245" t="s">
        <v>393</v>
      </c>
      <c r="CF14" s="245" t="s">
        <v>393</v>
      </c>
      <c r="CG14" s="246">
        <v>44088</v>
      </c>
      <c r="CH14" s="244" t="s">
        <v>4467</v>
      </c>
      <c r="CI14" s="245" t="e">
        <v>#N/A</v>
      </c>
      <c r="CJ14" s="245" t="e">
        <v>#N/A</v>
      </c>
      <c r="CK14" s="245" t="e">
        <v>#N/A</v>
      </c>
      <c r="CL14" s="245" t="e">
        <v>#N/A</v>
      </c>
      <c r="CM14" s="245" t="e">
        <v>#N/A</v>
      </c>
      <c r="CN14" s="245" t="e">
        <v>#N/A</v>
      </c>
      <c r="CO14" s="248" t="e">
        <v>#N/A</v>
      </c>
      <c r="CP14" s="245" t="s">
        <v>4468</v>
      </c>
      <c r="CQ14" s="247" t="s">
        <v>393</v>
      </c>
      <c r="CR14" s="247" t="s">
        <v>393</v>
      </c>
      <c r="CS14" s="247" t="s">
        <v>393</v>
      </c>
      <c r="CT14" s="247" t="s">
        <v>393</v>
      </c>
      <c r="CU14" s="247" t="s">
        <v>393</v>
      </c>
      <c r="CV14" s="247" t="s">
        <v>393</v>
      </c>
      <c r="CW14" s="237">
        <v>44088</v>
      </c>
      <c r="CX14" s="245" t="s">
        <v>4469</v>
      </c>
      <c r="CY14" s="241">
        <v>94000</v>
      </c>
      <c r="CZ14" s="241" t="s">
        <v>3273</v>
      </c>
      <c r="DA14" s="241" t="s">
        <v>600</v>
      </c>
      <c r="DB14" s="241">
        <v>2</v>
      </c>
      <c r="DC14" s="241" t="s">
        <v>3407</v>
      </c>
      <c r="DD14" s="241" t="s">
        <v>3404</v>
      </c>
      <c r="DE14" s="243">
        <v>44088</v>
      </c>
      <c r="DF14" s="244" t="s">
        <v>4470</v>
      </c>
      <c r="DG14" s="236">
        <v>64768000</v>
      </c>
      <c r="DH14" s="247" t="s">
        <v>3273</v>
      </c>
      <c r="DI14" s="247" t="s">
        <v>600</v>
      </c>
      <c r="DJ14" s="247">
        <v>2</v>
      </c>
      <c r="DK14" s="247" t="s">
        <v>3407</v>
      </c>
      <c r="DL14" s="247" t="s">
        <v>3404</v>
      </c>
      <c r="DM14" s="237">
        <v>44088</v>
      </c>
      <c r="DN14" s="245" t="s">
        <v>4471</v>
      </c>
      <c r="DO14" s="241">
        <v>5306000</v>
      </c>
      <c r="DP14" s="245" t="s">
        <v>3273</v>
      </c>
      <c r="DQ14" s="245" t="s">
        <v>600</v>
      </c>
      <c r="DR14" s="245">
        <v>2</v>
      </c>
      <c r="DS14" s="245" t="s">
        <v>3407</v>
      </c>
      <c r="DT14" s="245" t="s">
        <v>3404</v>
      </c>
      <c r="DU14" s="249">
        <v>44088</v>
      </c>
      <c r="DV14" s="244" t="s">
        <v>4472</v>
      </c>
      <c r="DW14" s="236">
        <v>94000</v>
      </c>
      <c r="DX14" s="247" t="s">
        <v>3273</v>
      </c>
      <c r="DY14" s="247" t="s">
        <v>600</v>
      </c>
      <c r="DZ14" s="247">
        <v>2</v>
      </c>
      <c r="EA14" s="247" t="s">
        <v>3407</v>
      </c>
      <c r="EB14" s="247" t="s">
        <v>3404</v>
      </c>
      <c r="EC14" s="237">
        <v>44088</v>
      </c>
      <c r="ED14" s="245" t="s">
        <v>4473</v>
      </c>
      <c r="EE14" s="241">
        <v>0</v>
      </c>
      <c r="EF14" s="245" t="s">
        <v>3273</v>
      </c>
      <c r="EG14" s="245" t="s">
        <v>600</v>
      </c>
      <c r="EH14" s="245">
        <v>2</v>
      </c>
      <c r="EI14" s="245" t="s">
        <v>3407</v>
      </c>
      <c r="EJ14" s="245" t="s">
        <v>3404</v>
      </c>
      <c r="EK14" s="246">
        <v>44088</v>
      </c>
      <c r="EL14" s="244" t="s">
        <v>4474</v>
      </c>
      <c r="EM14" s="236">
        <v>0</v>
      </c>
      <c r="EN14" s="247" t="s">
        <v>3273</v>
      </c>
      <c r="EO14" s="247" t="s">
        <v>600</v>
      </c>
      <c r="EP14" s="247">
        <v>2</v>
      </c>
      <c r="EQ14" s="247" t="s">
        <v>3407</v>
      </c>
      <c r="ER14" s="247" t="s">
        <v>3404</v>
      </c>
      <c r="ES14" s="237">
        <v>44088</v>
      </c>
      <c r="ET14" s="245" t="s">
        <v>4475</v>
      </c>
      <c r="EU14" s="245">
        <v>71</v>
      </c>
      <c r="EV14" s="245" t="s">
        <v>3720</v>
      </c>
      <c r="EW14" s="245" t="s">
        <v>600</v>
      </c>
      <c r="EX14" s="245">
        <v>2</v>
      </c>
      <c r="EY14" s="245" t="s">
        <v>3722</v>
      </c>
      <c r="EZ14" s="245" t="s">
        <v>3721</v>
      </c>
      <c r="FA14" s="246">
        <v>44132</v>
      </c>
      <c r="FB14" s="244" t="s">
        <v>4476</v>
      </c>
      <c r="FC14" s="247">
        <v>5</v>
      </c>
      <c r="FD14" s="247" t="s">
        <v>3273</v>
      </c>
      <c r="FE14" s="247" t="s">
        <v>600</v>
      </c>
      <c r="FF14" s="247">
        <v>2</v>
      </c>
      <c r="FG14" s="247" t="s">
        <v>3407</v>
      </c>
      <c r="FH14" s="247" t="s">
        <v>3404</v>
      </c>
      <c r="FI14" s="237">
        <v>44088</v>
      </c>
      <c r="FJ14" s="244" t="s">
        <v>4477</v>
      </c>
      <c r="FK14" s="245" t="s">
        <v>393</v>
      </c>
      <c r="FL14" s="245" t="s">
        <v>3274</v>
      </c>
      <c r="FM14" s="245" t="s">
        <v>393</v>
      </c>
      <c r="FN14" s="245" t="s">
        <v>393</v>
      </c>
      <c r="FO14" s="245" t="s">
        <v>2096</v>
      </c>
      <c r="FP14" s="241" t="s">
        <v>1314</v>
      </c>
      <c r="FQ14" s="242">
        <v>44088</v>
      </c>
      <c r="FR14" s="244" t="s">
        <v>4478</v>
      </c>
      <c r="FS14" s="247" t="s">
        <v>393</v>
      </c>
      <c r="FT14" s="247" t="s">
        <v>3274</v>
      </c>
      <c r="FU14" s="247" t="s">
        <v>393</v>
      </c>
      <c r="FV14" s="247" t="s">
        <v>393</v>
      </c>
      <c r="FW14" s="247" t="s">
        <v>2096</v>
      </c>
      <c r="FX14" s="247" t="s">
        <v>1314</v>
      </c>
      <c r="FY14" s="237">
        <v>44088</v>
      </c>
      <c r="FZ14" s="245" t="s">
        <v>4479</v>
      </c>
      <c r="GA14" s="245" t="s">
        <v>393</v>
      </c>
      <c r="GB14" s="245" t="s">
        <v>3274</v>
      </c>
      <c r="GC14" s="245" t="s">
        <v>393</v>
      </c>
      <c r="GD14" s="245" t="s">
        <v>393</v>
      </c>
      <c r="GE14" s="245" t="s">
        <v>2096</v>
      </c>
      <c r="GF14" s="245" t="s">
        <v>1314</v>
      </c>
      <c r="GG14" s="246">
        <v>44088</v>
      </c>
      <c r="GH14" s="244" t="s">
        <v>4480</v>
      </c>
      <c r="GI14" s="247" t="s">
        <v>393</v>
      </c>
      <c r="GJ14" s="247" t="s">
        <v>3274</v>
      </c>
      <c r="GK14" s="247" t="s">
        <v>393</v>
      </c>
      <c r="GL14" s="247" t="s">
        <v>393</v>
      </c>
      <c r="GM14" s="247" t="s">
        <v>2096</v>
      </c>
      <c r="GN14" s="247" t="s">
        <v>1314</v>
      </c>
      <c r="GO14" s="237">
        <v>44088</v>
      </c>
      <c r="GP14" s="245" t="s">
        <v>4481</v>
      </c>
      <c r="GQ14" s="245" t="s">
        <v>393</v>
      </c>
      <c r="GR14" s="245" t="s">
        <v>3274</v>
      </c>
      <c r="GS14" s="245" t="s">
        <v>393</v>
      </c>
      <c r="GT14" s="245" t="s">
        <v>393</v>
      </c>
      <c r="GU14" s="245" t="s">
        <v>2096</v>
      </c>
      <c r="GV14" s="245" t="s">
        <v>1314</v>
      </c>
      <c r="GW14" s="246">
        <v>44088</v>
      </c>
      <c r="GX14" s="244" t="s">
        <v>4482</v>
      </c>
      <c r="GY14" s="247" t="s">
        <v>393</v>
      </c>
      <c r="GZ14" s="247" t="s">
        <v>3274</v>
      </c>
      <c r="HA14" s="247" t="s">
        <v>393</v>
      </c>
      <c r="HB14" s="247" t="s">
        <v>393</v>
      </c>
      <c r="HC14" s="247" t="s">
        <v>2096</v>
      </c>
      <c r="HD14" s="247" t="s">
        <v>1314</v>
      </c>
      <c r="HE14" s="237">
        <v>44088</v>
      </c>
      <c r="HF14" s="245" t="s">
        <v>4483</v>
      </c>
      <c r="HG14" s="245" t="s">
        <v>393</v>
      </c>
      <c r="HH14" s="245" t="s">
        <v>3274</v>
      </c>
      <c r="HI14" s="245" t="s">
        <v>393</v>
      </c>
      <c r="HJ14" s="245" t="s">
        <v>393</v>
      </c>
      <c r="HK14" s="245" t="s">
        <v>2096</v>
      </c>
      <c r="HL14" s="245" t="s">
        <v>1314</v>
      </c>
      <c r="HM14" s="246">
        <v>44088</v>
      </c>
      <c r="HN14" s="244" t="s">
        <v>4484</v>
      </c>
      <c r="HO14" s="247" t="s">
        <v>393</v>
      </c>
      <c r="HP14" s="247" t="s">
        <v>3274</v>
      </c>
      <c r="HQ14" s="247" t="s">
        <v>393</v>
      </c>
      <c r="HR14" s="247" t="s">
        <v>393</v>
      </c>
      <c r="HS14" s="247" t="s">
        <v>2096</v>
      </c>
      <c r="HT14" s="247" t="s">
        <v>1314</v>
      </c>
      <c r="HU14" s="237">
        <v>44088</v>
      </c>
      <c r="HV14" s="245" t="s">
        <v>4485</v>
      </c>
      <c r="HW14" s="245" t="s">
        <v>393</v>
      </c>
      <c r="HX14" s="245" t="s">
        <v>3274</v>
      </c>
      <c r="HY14" s="245" t="s">
        <v>393</v>
      </c>
      <c r="HZ14" s="245" t="s">
        <v>393</v>
      </c>
      <c r="IA14" s="245" t="s">
        <v>2096</v>
      </c>
      <c r="IB14" s="245" t="s">
        <v>1314</v>
      </c>
      <c r="IC14" s="246">
        <v>44088</v>
      </c>
      <c r="ID14" s="244" t="s">
        <v>4486</v>
      </c>
      <c r="IE14" s="247" t="s">
        <v>393</v>
      </c>
      <c r="IF14" s="247" t="s">
        <v>3274</v>
      </c>
      <c r="IG14" s="247" t="s">
        <v>393</v>
      </c>
      <c r="IH14" s="247" t="s">
        <v>393</v>
      </c>
      <c r="II14" s="247" t="s">
        <v>2096</v>
      </c>
      <c r="IJ14" s="247" t="s">
        <v>1314</v>
      </c>
      <c r="IK14" s="237">
        <v>44088</v>
      </c>
      <c r="IL14" s="245" t="s">
        <v>4487</v>
      </c>
      <c r="IM14" s="245" t="s">
        <v>393</v>
      </c>
      <c r="IN14" s="245" t="s">
        <v>3274</v>
      </c>
      <c r="IO14" s="245" t="s">
        <v>393</v>
      </c>
      <c r="IP14" s="245" t="s">
        <v>393</v>
      </c>
      <c r="IQ14" s="245" t="s">
        <v>2096</v>
      </c>
      <c r="IR14" s="245" t="s">
        <v>1314</v>
      </c>
      <c r="IS14" s="246">
        <v>44088</v>
      </c>
    </row>
    <row r="15" spans="1:253" s="11" customFormat="1" ht="13.2" x14ac:dyDescent="0.25">
      <c r="A15" s="11" t="s">
        <v>2413</v>
      </c>
      <c r="B15" s="11" t="s">
        <v>1549</v>
      </c>
      <c r="C15" s="11" t="s">
        <v>2929</v>
      </c>
      <c r="D15" s="11" t="s">
        <v>25</v>
      </c>
      <c r="E15" s="11" t="s">
        <v>24</v>
      </c>
      <c r="F15" s="11" t="s">
        <v>4488</v>
      </c>
      <c r="G15" s="235">
        <v>143181000</v>
      </c>
      <c r="H15" s="236" t="s">
        <v>3715</v>
      </c>
      <c r="I15" s="236" t="s">
        <v>600</v>
      </c>
      <c r="J15" s="236">
        <v>2</v>
      </c>
      <c r="K15" s="236" t="s">
        <v>3717</v>
      </c>
      <c r="L15" s="236" t="s">
        <v>3716</v>
      </c>
      <c r="M15" s="237">
        <v>44132</v>
      </c>
      <c r="N15" s="244" t="s">
        <v>4489</v>
      </c>
      <c r="O15" s="239">
        <v>38783</v>
      </c>
      <c r="P15" s="239" t="s">
        <v>2430</v>
      </c>
      <c r="Q15" s="239" t="s">
        <v>600</v>
      </c>
      <c r="R15" s="239">
        <v>2</v>
      </c>
      <c r="S15" s="239" t="s">
        <v>2457</v>
      </c>
      <c r="T15" s="239" t="s">
        <v>2456</v>
      </c>
      <c r="U15" s="240">
        <v>43987</v>
      </c>
      <c r="V15" s="244" t="s">
        <v>4490</v>
      </c>
      <c r="W15" s="236">
        <v>27182000</v>
      </c>
      <c r="X15" s="236" t="s">
        <v>2431</v>
      </c>
      <c r="Y15" s="236" t="s">
        <v>600</v>
      </c>
      <c r="Z15" s="236">
        <v>2</v>
      </c>
      <c r="AA15" s="236" t="s">
        <v>3464</v>
      </c>
      <c r="AB15" s="236" t="s">
        <v>2458</v>
      </c>
      <c r="AC15" s="237">
        <v>44106</v>
      </c>
      <c r="AD15" s="244" t="s">
        <v>4491</v>
      </c>
      <c r="AE15" s="241">
        <v>12751000</v>
      </c>
      <c r="AF15" s="241" t="s">
        <v>2432</v>
      </c>
      <c r="AG15" s="241" t="s">
        <v>600</v>
      </c>
      <c r="AH15" s="241">
        <v>2</v>
      </c>
      <c r="AI15" s="241" t="s">
        <v>3465</v>
      </c>
      <c r="AJ15" s="241" t="s">
        <v>2459</v>
      </c>
      <c r="AK15" s="242">
        <v>44106</v>
      </c>
      <c r="AL15" s="244" t="s">
        <v>4492</v>
      </c>
      <c r="AM15" s="236">
        <v>220000</v>
      </c>
      <c r="AN15" s="236" t="s">
        <v>2433</v>
      </c>
      <c r="AO15" s="236" t="s">
        <v>599</v>
      </c>
      <c r="AP15" s="236">
        <v>3</v>
      </c>
      <c r="AQ15" s="236" t="s">
        <v>2461</v>
      </c>
      <c r="AR15" s="236" t="s">
        <v>2460</v>
      </c>
      <c r="AS15" s="237">
        <v>43987</v>
      </c>
      <c r="AT15" s="245" t="s">
        <v>4493</v>
      </c>
      <c r="AU15" s="241" t="s">
        <v>393</v>
      </c>
      <c r="AV15" s="241" t="s">
        <v>393</v>
      </c>
      <c r="AW15" s="241" t="s">
        <v>393</v>
      </c>
      <c r="AX15" s="241" t="s">
        <v>393</v>
      </c>
      <c r="AY15" s="241" t="s">
        <v>393</v>
      </c>
      <c r="AZ15" s="241" t="s">
        <v>393</v>
      </c>
      <c r="BA15" s="242">
        <v>43987</v>
      </c>
      <c r="BB15" s="244" t="s">
        <v>4494</v>
      </c>
      <c r="BC15" s="236" t="s">
        <v>393</v>
      </c>
      <c r="BD15" s="236" t="s">
        <v>393</v>
      </c>
      <c r="BE15" s="236" t="s">
        <v>393</v>
      </c>
      <c r="BF15" s="236" t="s">
        <v>393</v>
      </c>
      <c r="BG15" s="236" t="s">
        <v>393</v>
      </c>
      <c r="BH15" s="236" t="s">
        <v>393</v>
      </c>
      <c r="BI15" s="237">
        <v>43987</v>
      </c>
      <c r="BJ15" s="245" t="s">
        <v>4495</v>
      </c>
      <c r="BK15" s="245">
        <v>26</v>
      </c>
      <c r="BL15" s="245" t="s">
        <v>2431</v>
      </c>
      <c r="BM15" s="245" t="s">
        <v>601</v>
      </c>
      <c r="BN15" s="245">
        <v>1</v>
      </c>
      <c r="BO15" s="245" t="s">
        <v>2462</v>
      </c>
      <c r="BP15" s="241" t="s">
        <v>2458</v>
      </c>
      <c r="BQ15" s="246">
        <v>43987</v>
      </c>
      <c r="BR15" s="244" t="s">
        <v>4496</v>
      </c>
      <c r="BS15" s="247" t="s">
        <v>393</v>
      </c>
      <c r="BT15" s="247" t="s">
        <v>393</v>
      </c>
      <c r="BU15" s="247" t="s">
        <v>393</v>
      </c>
      <c r="BV15" s="247" t="s">
        <v>393</v>
      </c>
      <c r="BW15" s="247" t="s">
        <v>393</v>
      </c>
      <c r="BX15" s="247" t="s">
        <v>393</v>
      </c>
      <c r="BY15" s="237">
        <v>43987</v>
      </c>
      <c r="BZ15" s="245" t="s">
        <v>4497</v>
      </c>
      <c r="CA15" s="245" t="s">
        <v>393</v>
      </c>
      <c r="CB15" s="245" t="s">
        <v>393</v>
      </c>
      <c r="CC15" s="245" t="s">
        <v>393</v>
      </c>
      <c r="CD15" s="245" t="s">
        <v>393</v>
      </c>
      <c r="CE15" s="245" t="s">
        <v>393</v>
      </c>
      <c r="CF15" s="245" t="s">
        <v>393</v>
      </c>
      <c r="CG15" s="246">
        <v>43987</v>
      </c>
      <c r="CH15" s="244" t="s">
        <v>4498</v>
      </c>
      <c r="CI15" s="245" t="e">
        <v>#N/A</v>
      </c>
      <c r="CJ15" s="245" t="e">
        <v>#N/A</v>
      </c>
      <c r="CK15" s="245" t="e">
        <v>#N/A</v>
      </c>
      <c r="CL15" s="245" t="e">
        <v>#N/A</v>
      </c>
      <c r="CM15" s="245" t="e">
        <v>#N/A</v>
      </c>
      <c r="CN15" s="245" t="e">
        <v>#N/A</v>
      </c>
      <c r="CO15" s="248" t="e">
        <v>#N/A</v>
      </c>
      <c r="CP15" s="245" t="s">
        <v>4499</v>
      </c>
      <c r="CQ15" s="247" t="s">
        <v>393</v>
      </c>
      <c r="CR15" s="247" t="s">
        <v>393</v>
      </c>
      <c r="CS15" s="247" t="s">
        <v>393</v>
      </c>
      <c r="CT15" s="247" t="s">
        <v>393</v>
      </c>
      <c r="CU15" s="247" t="s">
        <v>393</v>
      </c>
      <c r="CV15" s="247" t="s">
        <v>393</v>
      </c>
      <c r="CW15" s="237">
        <v>43987</v>
      </c>
      <c r="CX15" s="245" t="s">
        <v>4500</v>
      </c>
      <c r="CY15" s="241">
        <v>700000</v>
      </c>
      <c r="CZ15" s="241" t="s">
        <v>2434</v>
      </c>
      <c r="DA15" s="241" t="s">
        <v>599</v>
      </c>
      <c r="DB15" s="241">
        <v>3</v>
      </c>
      <c r="DC15" s="241" t="s">
        <v>2464</v>
      </c>
      <c r="DD15" s="241" t="s">
        <v>2463</v>
      </c>
      <c r="DE15" s="243">
        <v>43987</v>
      </c>
      <c r="DF15" s="244" t="s">
        <v>4501</v>
      </c>
      <c r="DG15" s="236">
        <v>14432000</v>
      </c>
      <c r="DH15" s="247" t="s">
        <v>2434</v>
      </c>
      <c r="DI15" s="247" t="s">
        <v>600</v>
      </c>
      <c r="DJ15" s="247">
        <v>2</v>
      </c>
      <c r="DK15" s="247" t="s">
        <v>2464</v>
      </c>
      <c r="DL15" s="247" t="s">
        <v>2463</v>
      </c>
      <c r="DM15" s="237">
        <v>44106</v>
      </c>
      <c r="DN15" s="245" t="s">
        <v>4502</v>
      </c>
      <c r="DO15" s="241">
        <v>12051000</v>
      </c>
      <c r="DP15" s="245" t="s">
        <v>2434</v>
      </c>
      <c r="DQ15" s="245" t="s">
        <v>600</v>
      </c>
      <c r="DR15" s="245">
        <v>2</v>
      </c>
      <c r="DS15" s="245" t="s">
        <v>2464</v>
      </c>
      <c r="DT15" s="245" t="s">
        <v>2463</v>
      </c>
      <c r="DU15" s="246">
        <v>44106</v>
      </c>
      <c r="DV15" s="244" t="s">
        <v>4503</v>
      </c>
      <c r="DW15" s="236">
        <v>700000</v>
      </c>
      <c r="DX15" s="247" t="s">
        <v>2434</v>
      </c>
      <c r="DY15" s="247" t="s">
        <v>599</v>
      </c>
      <c r="DZ15" s="247">
        <v>3</v>
      </c>
      <c r="EA15" s="247" t="s">
        <v>2464</v>
      </c>
      <c r="EB15" s="247" t="s">
        <v>2463</v>
      </c>
      <c r="EC15" s="237">
        <v>43987</v>
      </c>
      <c r="ED15" s="245" t="s">
        <v>4504</v>
      </c>
      <c r="EE15" s="241">
        <v>0</v>
      </c>
      <c r="EF15" s="245" t="s">
        <v>2434</v>
      </c>
      <c r="EG15" s="245" t="s">
        <v>599</v>
      </c>
      <c r="EH15" s="245">
        <v>3</v>
      </c>
      <c r="EI15" s="245" t="s">
        <v>2464</v>
      </c>
      <c r="EJ15" s="245" t="s">
        <v>2463</v>
      </c>
      <c r="EK15" s="246">
        <v>43987</v>
      </c>
      <c r="EL15" s="244" t="s">
        <v>4505</v>
      </c>
      <c r="EM15" s="236">
        <v>0</v>
      </c>
      <c r="EN15" s="247" t="s">
        <v>2434</v>
      </c>
      <c r="EO15" s="247" t="s">
        <v>599</v>
      </c>
      <c r="EP15" s="247">
        <v>3</v>
      </c>
      <c r="EQ15" s="247" t="s">
        <v>2464</v>
      </c>
      <c r="ER15" s="247" t="s">
        <v>2463</v>
      </c>
      <c r="ES15" s="237">
        <v>43987</v>
      </c>
      <c r="ET15" s="245" t="s">
        <v>4506</v>
      </c>
      <c r="EU15" s="245">
        <v>71</v>
      </c>
      <c r="EV15" s="245" t="s">
        <v>3720</v>
      </c>
      <c r="EW15" s="245" t="s">
        <v>600</v>
      </c>
      <c r="EX15" s="245">
        <v>2</v>
      </c>
      <c r="EY15" s="245" t="s">
        <v>3722</v>
      </c>
      <c r="EZ15" s="245" t="s">
        <v>3721</v>
      </c>
      <c r="FA15" s="246">
        <v>44132</v>
      </c>
      <c r="FB15" s="244" t="s">
        <v>4507</v>
      </c>
      <c r="FC15" s="247">
        <v>3</v>
      </c>
      <c r="FD15" s="247" t="s">
        <v>2434</v>
      </c>
      <c r="FE15" s="247" t="s">
        <v>600</v>
      </c>
      <c r="FF15" s="247">
        <v>2</v>
      </c>
      <c r="FG15" s="247" t="s">
        <v>2465</v>
      </c>
      <c r="FH15" s="247" t="s">
        <v>2463</v>
      </c>
      <c r="FI15" s="237">
        <v>43987</v>
      </c>
      <c r="FJ15" s="244" t="s">
        <v>4508</v>
      </c>
      <c r="FK15" s="245" t="s">
        <v>393</v>
      </c>
      <c r="FL15" s="245" t="s">
        <v>393</v>
      </c>
      <c r="FM15" s="245" t="s">
        <v>393</v>
      </c>
      <c r="FN15" s="245" t="s">
        <v>393</v>
      </c>
      <c r="FO15" s="245" t="s">
        <v>393</v>
      </c>
      <c r="FP15" s="241" t="s">
        <v>393</v>
      </c>
      <c r="FQ15" s="242">
        <v>43987</v>
      </c>
      <c r="FR15" s="244" t="s">
        <v>4509</v>
      </c>
      <c r="FS15" s="247" t="s">
        <v>393</v>
      </c>
      <c r="FT15" s="247" t="s">
        <v>393</v>
      </c>
      <c r="FU15" s="247" t="s">
        <v>393</v>
      </c>
      <c r="FV15" s="247" t="s">
        <v>393</v>
      </c>
      <c r="FW15" s="247" t="s">
        <v>393</v>
      </c>
      <c r="FX15" s="247" t="s">
        <v>393</v>
      </c>
      <c r="FY15" s="237">
        <v>43987</v>
      </c>
      <c r="FZ15" s="245" t="s">
        <v>4510</v>
      </c>
      <c r="GA15" s="245">
        <v>0</v>
      </c>
      <c r="GB15" s="245" t="s">
        <v>519</v>
      </c>
      <c r="GC15" s="245" t="s">
        <v>600</v>
      </c>
      <c r="GD15" s="245">
        <v>2</v>
      </c>
      <c r="GE15" s="245" t="s">
        <v>2697</v>
      </c>
      <c r="GF15" s="245" t="s">
        <v>1314</v>
      </c>
      <c r="GG15" s="246">
        <v>44015</v>
      </c>
      <c r="GH15" s="244" t="s">
        <v>4511</v>
      </c>
      <c r="GI15" s="247">
        <v>0</v>
      </c>
      <c r="GJ15" s="247" t="s">
        <v>519</v>
      </c>
      <c r="GK15" s="247" t="s">
        <v>600</v>
      </c>
      <c r="GL15" s="247">
        <v>2</v>
      </c>
      <c r="GM15" s="247" t="s">
        <v>2697</v>
      </c>
      <c r="GN15" s="247" t="s">
        <v>1314</v>
      </c>
      <c r="GO15" s="237">
        <v>44015</v>
      </c>
      <c r="GP15" s="245" t="s">
        <v>4512</v>
      </c>
      <c r="GQ15" s="245">
        <v>0</v>
      </c>
      <c r="GR15" s="245" t="s">
        <v>519</v>
      </c>
      <c r="GS15" s="245" t="s">
        <v>600</v>
      </c>
      <c r="GT15" s="245">
        <v>2</v>
      </c>
      <c r="GU15" s="245" t="s">
        <v>2697</v>
      </c>
      <c r="GV15" s="245" t="s">
        <v>1314</v>
      </c>
      <c r="GW15" s="246">
        <v>44015</v>
      </c>
      <c r="GX15" s="244" t="s">
        <v>4513</v>
      </c>
      <c r="GY15" s="247">
        <v>0</v>
      </c>
      <c r="GZ15" s="247" t="s">
        <v>519</v>
      </c>
      <c r="HA15" s="247" t="s">
        <v>600</v>
      </c>
      <c r="HB15" s="247">
        <v>2</v>
      </c>
      <c r="HC15" s="247" t="s">
        <v>2697</v>
      </c>
      <c r="HD15" s="247" t="s">
        <v>1314</v>
      </c>
      <c r="HE15" s="237">
        <v>44015</v>
      </c>
      <c r="HF15" s="245" t="s">
        <v>4514</v>
      </c>
      <c r="HG15" s="245">
        <v>0</v>
      </c>
      <c r="HH15" s="245" t="s">
        <v>519</v>
      </c>
      <c r="HI15" s="245" t="s">
        <v>600</v>
      </c>
      <c r="HJ15" s="245">
        <v>2</v>
      </c>
      <c r="HK15" s="245" t="s">
        <v>2697</v>
      </c>
      <c r="HL15" s="245" t="s">
        <v>1314</v>
      </c>
      <c r="HM15" s="246">
        <v>44015</v>
      </c>
      <c r="HN15" s="244" t="s">
        <v>4515</v>
      </c>
      <c r="HO15" s="247">
        <v>0</v>
      </c>
      <c r="HP15" s="247" t="s">
        <v>519</v>
      </c>
      <c r="HQ15" s="247" t="s">
        <v>600</v>
      </c>
      <c r="HR15" s="247">
        <v>2</v>
      </c>
      <c r="HS15" s="247" t="s">
        <v>2697</v>
      </c>
      <c r="HT15" s="247" t="s">
        <v>1314</v>
      </c>
      <c r="HU15" s="237">
        <v>44015</v>
      </c>
      <c r="HV15" s="245" t="s">
        <v>4516</v>
      </c>
      <c r="HW15" s="245">
        <v>0</v>
      </c>
      <c r="HX15" s="245" t="s">
        <v>519</v>
      </c>
      <c r="HY15" s="245" t="s">
        <v>600</v>
      </c>
      <c r="HZ15" s="245">
        <v>2</v>
      </c>
      <c r="IA15" s="245" t="s">
        <v>2697</v>
      </c>
      <c r="IB15" s="245" t="s">
        <v>1314</v>
      </c>
      <c r="IC15" s="246">
        <v>44015</v>
      </c>
      <c r="ID15" s="244" t="s">
        <v>4517</v>
      </c>
      <c r="IE15" s="247">
        <v>1</v>
      </c>
      <c r="IF15" s="247" t="s">
        <v>519</v>
      </c>
      <c r="IG15" s="247" t="s">
        <v>600</v>
      </c>
      <c r="IH15" s="247">
        <v>2</v>
      </c>
      <c r="II15" s="247" t="s">
        <v>2736</v>
      </c>
      <c r="IJ15" s="247" t="s">
        <v>1314</v>
      </c>
      <c r="IK15" s="237">
        <v>44015</v>
      </c>
      <c r="IL15" s="245" t="s">
        <v>4518</v>
      </c>
      <c r="IM15" s="245">
        <v>2</v>
      </c>
      <c r="IN15" s="245" t="s">
        <v>2431</v>
      </c>
      <c r="IO15" s="245" t="s">
        <v>600</v>
      </c>
      <c r="IP15" s="245">
        <v>2</v>
      </c>
      <c r="IQ15" s="245" t="s">
        <v>2699</v>
      </c>
      <c r="IR15" s="245" t="s">
        <v>2698</v>
      </c>
      <c r="IS15" s="246">
        <v>44015</v>
      </c>
    </row>
    <row r="16" spans="1:253" s="11" customFormat="1" ht="13.2" x14ac:dyDescent="0.25">
      <c r="A16" s="11" t="s">
        <v>1265</v>
      </c>
      <c r="B16" s="11" t="s">
        <v>1281</v>
      </c>
      <c r="C16" s="11" t="s">
        <v>1268</v>
      </c>
      <c r="D16" s="11" t="s">
        <v>1270</v>
      </c>
      <c r="E16" s="11" t="s">
        <v>1271</v>
      </c>
      <c r="F16" s="11" t="s">
        <v>4519</v>
      </c>
      <c r="G16" s="235">
        <v>195916000</v>
      </c>
      <c r="H16" s="236" t="s">
        <v>3801</v>
      </c>
      <c r="I16" s="236" t="s">
        <v>600</v>
      </c>
      <c r="J16" s="236">
        <v>2</v>
      </c>
      <c r="K16" s="236" t="s">
        <v>3805</v>
      </c>
      <c r="L16" s="236" t="s">
        <v>3525</v>
      </c>
      <c r="M16" s="237">
        <v>44132</v>
      </c>
      <c r="N16" s="244" t="s">
        <v>4520</v>
      </c>
      <c r="O16" s="239">
        <v>45507</v>
      </c>
      <c r="P16" s="239" t="s">
        <v>2183</v>
      </c>
      <c r="Q16" s="239" t="s">
        <v>601</v>
      </c>
      <c r="R16" s="239">
        <v>1</v>
      </c>
      <c r="S16" s="239" t="s">
        <v>2197</v>
      </c>
      <c r="T16" s="239" t="s">
        <v>2196</v>
      </c>
      <c r="U16" s="240">
        <v>43920</v>
      </c>
      <c r="V16" s="244" t="s">
        <v>4521</v>
      </c>
      <c r="W16" s="236">
        <v>5215000</v>
      </c>
      <c r="X16" s="236" t="s">
        <v>3802</v>
      </c>
      <c r="Y16" s="236" t="s">
        <v>600</v>
      </c>
      <c r="Z16" s="236">
        <v>2</v>
      </c>
      <c r="AA16" s="236" t="s">
        <v>3806</v>
      </c>
      <c r="AB16" s="236" t="s">
        <v>3526</v>
      </c>
      <c r="AC16" s="237">
        <v>44132</v>
      </c>
      <c r="AD16" s="244" t="s">
        <v>4522</v>
      </c>
      <c r="AE16" s="241">
        <v>2897000</v>
      </c>
      <c r="AF16" s="241" t="s">
        <v>3802</v>
      </c>
      <c r="AG16" s="241" t="s">
        <v>600</v>
      </c>
      <c r="AH16" s="241">
        <v>2</v>
      </c>
      <c r="AI16" s="241" t="s">
        <v>3807</v>
      </c>
      <c r="AJ16" s="241" t="s">
        <v>3526</v>
      </c>
      <c r="AK16" s="242">
        <v>44132</v>
      </c>
      <c r="AL16" s="244" t="s">
        <v>4523</v>
      </c>
      <c r="AM16" s="236">
        <v>1238000</v>
      </c>
      <c r="AN16" s="236" t="s">
        <v>3789</v>
      </c>
      <c r="AO16" s="236" t="s">
        <v>600</v>
      </c>
      <c r="AP16" s="236">
        <v>2</v>
      </c>
      <c r="AQ16" s="236" t="s">
        <v>3808</v>
      </c>
      <c r="AR16" s="236" t="s">
        <v>3790</v>
      </c>
      <c r="AS16" s="237">
        <v>44132</v>
      </c>
      <c r="AT16" s="245" t="s">
        <v>4524</v>
      </c>
      <c r="AU16" s="241" t="s">
        <v>393</v>
      </c>
      <c r="AV16" s="241" t="s">
        <v>393</v>
      </c>
      <c r="AW16" s="241" t="s">
        <v>393</v>
      </c>
      <c r="AX16" s="241" t="s">
        <v>393</v>
      </c>
      <c r="AY16" s="241" t="s">
        <v>393</v>
      </c>
      <c r="AZ16" s="241" t="s">
        <v>393</v>
      </c>
      <c r="BA16" s="242">
        <v>43798</v>
      </c>
      <c r="BB16" s="244" t="s">
        <v>4525</v>
      </c>
      <c r="BC16" s="236" t="s">
        <v>393</v>
      </c>
      <c r="BD16" s="236" t="s">
        <v>393</v>
      </c>
      <c r="BE16" s="236" t="s">
        <v>393</v>
      </c>
      <c r="BF16" s="236" t="s">
        <v>393</v>
      </c>
      <c r="BG16" s="236" t="s">
        <v>393</v>
      </c>
      <c r="BH16" s="236" t="s">
        <v>393</v>
      </c>
      <c r="BI16" s="237">
        <v>43798</v>
      </c>
      <c r="BJ16" s="245" t="s">
        <v>4526</v>
      </c>
      <c r="BK16" s="245">
        <v>195</v>
      </c>
      <c r="BL16" s="245" t="s">
        <v>3724</v>
      </c>
      <c r="BM16" s="245" t="s">
        <v>600</v>
      </c>
      <c r="BN16" s="245">
        <v>2</v>
      </c>
      <c r="BO16" s="245" t="s">
        <v>3809</v>
      </c>
      <c r="BP16" s="241" t="s">
        <v>812</v>
      </c>
      <c r="BQ16" s="246">
        <v>44132</v>
      </c>
      <c r="BR16" s="244" t="s">
        <v>4527</v>
      </c>
      <c r="BS16" s="247" t="s">
        <v>393</v>
      </c>
      <c r="BT16" s="247">
        <v>0</v>
      </c>
      <c r="BU16" s="247" t="s">
        <v>393</v>
      </c>
      <c r="BV16" s="247" t="s">
        <v>393</v>
      </c>
      <c r="BW16" s="247" t="s">
        <v>393</v>
      </c>
      <c r="BX16" s="247">
        <v>0</v>
      </c>
      <c r="BY16" s="237">
        <v>43585</v>
      </c>
      <c r="BZ16" s="245" t="s">
        <v>4528</v>
      </c>
      <c r="CA16" s="245" t="s">
        <v>393</v>
      </c>
      <c r="CB16" s="245" t="s">
        <v>393</v>
      </c>
      <c r="CC16" s="245" t="s">
        <v>393</v>
      </c>
      <c r="CD16" s="245" t="s">
        <v>393</v>
      </c>
      <c r="CE16" s="245" t="s">
        <v>393</v>
      </c>
      <c r="CF16" s="245" t="s">
        <v>393</v>
      </c>
      <c r="CG16" s="246">
        <v>43585</v>
      </c>
      <c r="CH16" s="244" t="s">
        <v>4529</v>
      </c>
      <c r="CI16" s="245" t="e">
        <v>#N/A</v>
      </c>
      <c r="CJ16" s="245" t="e">
        <v>#N/A</v>
      </c>
      <c r="CK16" s="245" t="e">
        <v>#N/A</v>
      </c>
      <c r="CL16" s="245" t="e">
        <v>#N/A</v>
      </c>
      <c r="CM16" s="245" t="e">
        <v>#N/A</v>
      </c>
      <c r="CN16" s="245" t="e">
        <v>#N/A</v>
      </c>
      <c r="CO16" s="248" t="e">
        <v>#N/A</v>
      </c>
      <c r="CP16" s="245" t="s">
        <v>4530</v>
      </c>
      <c r="CQ16" s="247" t="s">
        <v>393</v>
      </c>
      <c r="CR16" s="247">
        <v>0</v>
      </c>
      <c r="CS16" s="247" t="s">
        <v>393</v>
      </c>
      <c r="CT16" s="247" t="s">
        <v>393</v>
      </c>
      <c r="CU16" s="247" t="s">
        <v>393</v>
      </c>
      <c r="CV16" s="247">
        <v>0</v>
      </c>
      <c r="CW16" s="237">
        <v>43585</v>
      </c>
      <c r="CX16" s="245" t="s">
        <v>4531</v>
      </c>
      <c r="CY16" s="241">
        <v>1616000</v>
      </c>
      <c r="CZ16" s="241" t="s">
        <v>2184</v>
      </c>
      <c r="DA16" s="241" t="s">
        <v>600</v>
      </c>
      <c r="DB16" s="241">
        <v>2</v>
      </c>
      <c r="DC16" s="241" t="s">
        <v>3811</v>
      </c>
      <c r="DD16" s="241" t="s">
        <v>3804</v>
      </c>
      <c r="DE16" s="243">
        <v>44132</v>
      </c>
      <c r="DF16" s="244" t="s">
        <v>4532</v>
      </c>
      <c r="DG16" s="236">
        <v>2318000</v>
      </c>
      <c r="DH16" s="247" t="s">
        <v>2184</v>
      </c>
      <c r="DI16" s="247" t="s">
        <v>600</v>
      </c>
      <c r="DJ16" s="247">
        <v>2</v>
      </c>
      <c r="DK16" s="247" t="s">
        <v>3811</v>
      </c>
      <c r="DL16" s="247" t="s">
        <v>3804</v>
      </c>
      <c r="DM16" s="237">
        <v>44132</v>
      </c>
      <c r="DN16" s="245" t="s">
        <v>4533</v>
      </c>
      <c r="DO16" s="241">
        <v>1281000</v>
      </c>
      <c r="DP16" s="245" t="s">
        <v>2184</v>
      </c>
      <c r="DQ16" s="245" t="s">
        <v>600</v>
      </c>
      <c r="DR16" s="245">
        <v>2</v>
      </c>
      <c r="DS16" s="245" t="s">
        <v>3811</v>
      </c>
      <c r="DT16" s="245" t="s">
        <v>3804</v>
      </c>
      <c r="DU16" s="246">
        <v>44132</v>
      </c>
      <c r="DV16" s="244" t="s">
        <v>4534</v>
      </c>
      <c r="DW16" s="236">
        <v>905000</v>
      </c>
      <c r="DX16" s="247" t="s">
        <v>2184</v>
      </c>
      <c r="DY16" s="247" t="s">
        <v>600</v>
      </c>
      <c r="DZ16" s="247">
        <v>2</v>
      </c>
      <c r="EA16" s="247" t="s">
        <v>3811</v>
      </c>
      <c r="EB16" s="247" t="s">
        <v>3804</v>
      </c>
      <c r="EC16" s="237">
        <v>44132</v>
      </c>
      <c r="ED16" s="245" t="s">
        <v>4535</v>
      </c>
      <c r="EE16" s="241">
        <v>711000</v>
      </c>
      <c r="EF16" s="245" t="s">
        <v>2184</v>
      </c>
      <c r="EG16" s="245" t="s">
        <v>600</v>
      </c>
      <c r="EH16" s="245">
        <v>2</v>
      </c>
      <c r="EI16" s="245" t="s">
        <v>3811</v>
      </c>
      <c r="EJ16" s="245" t="s">
        <v>3804</v>
      </c>
      <c r="EK16" s="246">
        <v>44132</v>
      </c>
      <c r="EL16" s="244" t="s">
        <v>4536</v>
      </c>
      <c r="EM16" s="236">
        <v>0</v>
      </c>
      <c r="EN16" s="247" t="s">
        <v>2184</v>
      </c>
      <c r="EO16" s="247" t="s">
        <v>600</v>
      </c>
      <c r="EP16" s="247">
        <v>2</v>
      </c>
      <c r="EQ16" s="247" t="s">
        <v>3811</v>
      </c>
      <c r="ER16" s="247" t="s">
        <v>3804</v>
      </c>
      <c r="ES16" s="237">
        <v>44132</v>
      </c>
      <c r="ET16" s="245" t="s">
        <v>4537</v>
      </c>
      <c r="EU16" s="245">
        <v>305</v>
      </c>
      <c r="EV16" s="245" t="s">
        <v>3803</v>
      </c>
      <c r="EW16" s="245" t="s">
        <v>600</v>
      </c>
      <c r="EX16" s="245">
        <v>2</v>
      </c>
      <c r="EY16" s="245" t="s">
        <v>3810</v>
      </c>
      <c r="EZ16" s="245" t="s">
        <v>3527</v>
      </c>
      <c r="FA16" s="246">
        <v>44132</v>
      </c>
      <c r="FB16" s="244" t="s">
        <v>4538</v>
      </c>
      <c r="FC16" s="247">
        <v>4</v>
      </c>
      <c r="FD16" s="247" t="s">
        <v>2184</v>
      </c>
      <c r="FE16" s="247" t="s">
        <v>600</v>
      </c>
      <c r="FF16" s="247">
        <v>2</v>
      </c>
      <c r="FG16" s="247" t="s">
        <v>2199</v>
      </c>
      <c r="FH16" s="247" t="s">
        <v>3804</v>
      </c>
      <c r="FI16" s="237">
        <v>44132</v>
      </c>
      <c r="FJ16" s="244" t="s">
        <v>4539</v>
      </c>
      <c r="FK16" s="245" t="s">
        <v>393</v>
      </c>
      <c r="FL16" s="245">
        <v>0</v>
      </c>
      <c r="FM16" s="245" t="s">
        <v>393</v>
      </c>
      <c r="FN16" s="245" t="s">
        <v>393</v>
      </c>
      <c r="FO16" s="245" t="s">
        <v>393</v>
      </c>
      <c r="FP16" s="241">
        <v>0</v>
      </c>
      <c r="FQ16" s="242">
        <v>43585</v>
      </c>
      <c r="FR16" s="244" t="s">
        <v>4540</v>
      </c>
      <c r="FS16" s="247" t="s">
        <v>393</v>
      </c>
      <c r="FT16" s="247">
        <v>0</v>
      </c>
      <c r="FU16" s="247" t="s">
        <v>393</v>
      </c>
      <c r="FV16" s="247" t="s">
        <v>393</v>
      </c>
      <c r="FW16" s="247" t="s">
        <v>393</v>
      </c>
      <c r="FX16" s="247">
        <v>0</v>
      </c>
      <c r="FY16" s="237">
        <v>43585</v>
      </c>
      <c r="FZ16" s="245" t="s">
        <v>4541</v>
      </c>
      <c r="GA16" s="245">
        <v>2</v>
      </c>
      <c r="GB16" s="245" t="s">
        <v>1587</v>
      </c>
      <c r="GC16" s="245" t="s">
        <v>601</v>
      </c>
      <c r="GD16" s="245">
        <v>1</v>
      </c>
      <c r="GE16" s="245" t="s">
        <v>1623</v>
      </c>
      <c r="GF16" s="245" t="s">
        <v>1624</v>
      </c>
      <c r="GG16" s="246">
        <v>43767</v>
      </c>
      <c r="GH16" s="244" t="s">
        <v>4542</v>
      </c>
      <c r="GI16" s="247">
        <v>2</v>
      </c>
      <c r="GJ16" s="247" t="s">
        <v>1587</v>
      </c>
      <c r="GK16" s="247" t="s">
        <v>600</v>
      </c>
      <c r="GL16" s="247">
        <v>2</v>
      </c>
      <c r="GM16" s="247" t="s">
        <v>1623</v>
      </c>
      <c r="GN16" s="247" t="s">
        <v>1624</v>
      </c>
      <c r="GO16" s="237">
        <v>43767</v>
      </c>
      <c r="GP16" s="245" t="s">
        <v>4543</v>
      </c>
      <c r="GQ16" s="245">
        <v>1</v>
      </c>
      <c r="GR16" s="245" t="s">
        <v>1587</v>
      </c>
      <c r="GS16" s="245" t="s">
        <v>600</v>
      </c>
      <c r="GT16" s="245">
        <v>2</v>
      </c>
      <c r="GU16" s="245" t="s">
        <v>1623</v>
      </c>
      <c r="GV16" s="245" t="s">
        <v>1624</v>
      </c>
      <c r="GW16" s="246">
        <v>43767</v>
      </c>
      <c r="GX16" s="244" t="s">
        <v>4544</v>
      </c>
      <c r="GY16" s="247">
        <v>0</v>
      </c>
      <c r="GZ16" s="247" t="s">
        <v>1587</v>
      </c>
      <c r="HA16" s="247" t="s">
        <v>600</v>
      </c>
      <c r="HB16" s="247">
        <v>2</v>
      </c>
      <c r="HC16" s="247" t="s">
        <v>1623</v>
      </c>
      <c r="HD16" s="247" t="s">
        <v>1624</v>
      </c>
      <c r="HE16" s="237">
        <v>43767</v>
      </c>
      <c r="HF16" s="245" t="s">
        <v>4545</v>
      </c>
      <c r="HG16" s="245">
        <v>2</v>
      </c>
      <c r="HH16" s="245" t="s">
        <v>1587</v>
      </c>
      <c r="HI16" s="245" t="s">
        <v>601</v>
      </c>
      <c r="HJ16" s="245">
        <v>1</v>
      </c>
      <c r="HK16" s="245" t="s">
        <v>1623</v>
      </c>
      <c r="HL16" s="245" t="s">
        <v>1624</v>
      </c>
      <c r="HM16" s="246">
        <v>43767</v>
      </c>
      <c r="HN16" s="244" t="s">
        <v>4546</v>
      </c>
      <c r="HO16" s="247">
        <v>3</v>
      </c>
      <c r="HP16" s="247" t="s">
        <v>1587</v>
      </c>
      <c r="HQ16" s="247" t="s">
        <v>601</v>
      </c>
      <c r="HR16" s="247">
        <v>1</v>
      </c>
      <c r="HS16" s="247" t="s">
        <v>1623</v>
      </c>
      <c r="HT16" s="247" t="s">
        <v>1624</v>
      </c>
      <c r="HU16" s="237">
        <v>43767</v>
      </c>
      <c r="HV16" s="245" t="s">
        <v>4547</v>
      </c>
      <c r="HW16" s="245">
        <v>3</v>
      </c>
      <c r="HX16" s="245" t="s">
        <v>1587</v>
      </c>
      <c r="HY16" s="245" t="s">
        <v>601</v>
      </c>
      <c r="HZ16" s="245">
        <v>1</v>
      </c>
      <c r="IA16" s="245" t="s">
        <v>1623</v>
      </c>
      <c r="IB16" s="245" t="s">
        <v>1624</v>
      </c>
      <c r="IC16" s="246">
        <v>43767</v>
      </c>
      <c r="ID16" s="244" t="s">
        <v>4548</v>
      </c>
      <c r="IE16" s="247">
        <v>0</v>
      </c>
      <c r="IF16" s="247" t="s">
        <v>1587</v>
      </c>
      <c r="IG16" s="247" t="s">
        <v>600</v>
      </c>
      <c r="IH16" s="247">
        <v>2</v>
      </c>
      <c r="II16" s="247" t="s">
        <v>1623</v>
      </c>
      <c r="IJ16" s="247" t="s">
        <v>1624</v>
      </c>
      <c r="IK16" s="237">
        <v>43767</v>
      </c>
      <c r="IL16" s="245" t="s">
        <v>4549</v>
      </c>
      <c r="IM16" s="245">
        <v>2</v>
      </c>
      <c r="IN16" s="245" t="s">
        <v>1587</v>
      </c>
      <c r="IO16" s="245" t="s">
        <v>601</v>
      </c>
      <c r="IP16" s="245">
        <v>1</v>
      </c>
      <c r="IQ16" s="245" t="s">
        <v>1623</v>
      </c>
      <c r="IR16" s="245" t="s">
        <v>1624</v>
      </c>
      <c r="IS16" s="246">
        <v>43767</v>
      </c>
    </row>
    <row r="17" spans="1:253" s="11" customFormat="1" ht="13.2" x14ac:dyDescent="0.25">
      <c r="A17" s="11" t="s">
        <v>772</v>
      </c>
      <c r="B17" s="11" t="s">
        <v>1280</v>
      </c>
      <c r="C17" s="11" t="s">
        <v>669</v>
      </c>
      <c r="D17" s="11" t="s">
        <v>44</v>
      </c>
      <c r="E17" s="11" t="s">
        <v>43</v>
      </c>
      <c r="F17" s="11" t="s">
        <v>4550</v>
      </c>
      <c r="G17" s="235">
        <v>210147000</v>
      </c>
      <c r="H17" s="236" t="s">
        <v>1725</v>
      </c>
      <c r="I17" s="236" t="s">
        <v>600</v>
      </c>
      <c r="J17" s="236">
        <v>2</v>
      </c>
      <c r="K17" s="236" t="s">
        <v>1907</v>
      </c>
      <c r="L17" s="236" t="s">
        <v>1143</v>
      </c>
      <c r="M17" s="237">
        <v>43798</v>
      </c>
      <c r="N17" s="244" t="s">
        <v>4551</v>
      </c>
      <c r="O17" s="239">
        <v>224274</v>
      </c>
      <c r="P17" s="239" t="s">
        <v>1059</v>
      </c>
      <c r="Q17" s="239" t="s">
        <v>600</v>
      </c>
      <c r="R17" s="239">
        <v>2</v>
      </c>
      <c r="S17" s="239" t="s">
        <v>1144</v>
      </c>
      <c r="T17" s="239" t="s">
        <v>1060</v>
      </c>
      <c r="U17" s="240">
        <v>43798</v>
      </c>
      <c r="V17" s="244" t="s">
        <v>4552</v>
      </c>
      <c r="W17" s="236">
        <v>870000</v>
      </c>
      <c r="X17" s="236" t="s">
        <v>3352</v>
      </c>
      <c r="Y17" s="236" t="s">
        <v>600</v>
      </c>
      <c r="Z17" s="236">
        <v>2</v>
      </c>
      <c r="AA17" s="236" t="s">
        <v>3574</v>
      </c>
      <c r="AB17" s="236" t="s">
        <v>1060</v>
      </c>
      <c r="AC17" s="237">
        <v>44110</v>
      </c>
      <c r="AD17" s="244" t="s">
        <v>4553</v>
      </c>
      <c r="AE17" s="241">
        <v>663000</v>
      </c>
      <c r="AF17" s="241" t="s">
        <v>3353</v>
      </c>
      <c r="AG17" s="241" t="s">
        <v>600</v>
      </c>
      <c r="AH17" s="241">
        <v>2</v>
      </c>
      <c r="AI17" s="241" t="s">
        <v>3576</v>
      </c>
      <c r="AJ17" s="241" t="s">
        <v>3575</v>
      </c>
      <c r="AK17" s="242">
        <v>44110</v>
      </c>
      <c r="AL17" s="244" t="s">
        <v>4554</v>
      </c>
      <c r="AM17" s="236">
        <v>264000</v>
      </c>
      <c r="AN17" s="236" t="s">
        <v>3354</v>
      </c>
      <c r="AO17" s="236" t="s">
        <v>600</v>
      </c>
      <c r="AP17" s="236">
        <v>2</v>
      </c>
      <c r="AQ17" s="236" t="s">
        <v>3577</v>
      </c>
      <c r="AR17" s="236" t="s">
        <v>1729</v>
      </c>
      <c r="AS17" s="237">
        <v>44110</v>
      </c>
      <c r="AT17" s="245" t="s">
        <v>4555</v>
      </c>
      <c r="AU17" s="241" t="s">
        <v>393</v>
      </c>
      <c r="AV17" s="241">
        <v>0</v>
      </c>
      <c r="AW17" s="241" t="s">
        <v>600</v>
      </c>
      <c r="AX17" s="241">
        <v>2</v>
      </c>
      <c r="AY17" s="241" t="s">
        <v>1145</v>
      </c>
      <c r="AZ17" s="241">
        <v>0</v>
      </c>
      <c r="BA17" s="242">
        <v>43511</v>
      </c>
      <c r="BB17" s="244" t="s">
        <v>4556</v>
      </c>
      <c r="BC17" s="236" t="s">
        <v>393</v>
      </c>
      <c r="BD17" s="236">
        <v>0</v>
      </c>
      <c r="BE17" s="236" t="s">
        <v>600</v>
      </c>
      <c r="BF17" s="236">
        <v>2</v>
      </c>
      <c r="BG17" s="236" t="s">
        <v>1145</v>
      </c>
      <c r="BH17" s="236">
        <v>0</v>
      </c>
      <c r="BI17" s="237">
        <v>43511</v>
      </c>
      <c r="BJ17" s="245" t="s">
        <v>4557</v>
      </c>
      <c r="BK17" s="245">
        <v>0</v>
      </c>
      <c r="BL17" s="245" t="s">
        <v>3342</v>
      </c>
      <c r="BM17" s="245" t="s">
        <v>599</v>
      </c>
      <c r="BN17" s="245">
        <v>3</v>
      </c>
      <c r="BO17" s="245" t="s">
        <v>1736</v>
      </c>
      <c r="BP17" s="241" t="s">
        <v>1033</v>
      </c>
      <c r="BQ17" s="246">
        <v>44110</v>
      </c>
      <c r="BR17" s="244" t="s">
        <v>4558</v>
      </c>
      <c r="BS17" s="247" t="s">
        <v>393</v>
      </c>
      <c r="BT17" s="247" t="s">
        <v>393</v>
      </c>
      <c r="BU17" s="247" t="s">
        <v>393</v>
      </c>
      <c r="BV17" s="247" t="s">
        <v>393</v>
      </c>
      <c r="BW17" s="247" t="s">
        <v>1993</v>
      </c>
      <c r="BX17" s="247" t="s">
        <v>393</v>
      </c>
      <c r="BY17" s="237">
        <v>43867</v>
      </c>
      <c r="BZ17" s="245" t="s">
        <v>4559</v>
      </c>
      <c r="CA17" s="245" t="s">
        <v>393</v>
      </c>
      <c r="CB17" s="245" t="s">
        <v>393</v>
      </c>
      <c r="CC17" s="245" t="s">
        <v>393</v>
      </c>
      <c r="CD17" s="245" t="s">
        <v>393</v>
      </c>
      <c r="CE17" s="245" t="s">
        <v>1993</v>
      </c>
      <c r="CF17" s="245" t="s">
        <v>393</v>
      </c>
      <c r="CG17" s="246">
        <v>43867</v>
      </c>
      <c r="CH17" s="244" t="s">
        <v>4560</v>
      </c>
      <c r="CI17" s="245" t="e">
        <v>#N/A</v>
      </c>
      <c r="CJ17" s="245" t="e">
        <v>#N/A</v>
      </c>
      <c r="CK17" s="245" t="e">
        <v>#N/A</v>
      </c>
      <c r="CL17" s="245" t="e">
        <v>#N/A</v>
      </c>
      <c r="CM17" s="245" t="e">
        <v>#N/A</v>
      </c>
      <c r="CN17" s="245" t="e">
        <v>#N/A</v>
      </c>
      <c r="CO17" s="248" t="e">
        <v>#N/A</v>
      </c>
      <c r="CP17" s="245" t="s">
        <v>4561</v>
      </c>
      <c r="CQ17" s="247" t="s">
        <v>393</v>
      </c>
      <c r="CR17" s="247" t="s">
        <v>393</v>
      </c>
      <c r="CS17" s="247" t="s">
        <v>393</v>
      </c>
      <c r="CT17" s="247" t="s">
        <v>393</v>
      </c>
      <c r="CU17" s="247" t="s">
        <v>1993</v>
      </c>
      <c r="CV17" s="247" t="s">
        <v>393</v>
      </c>
      <c r="CW17" s="237">
        <v>43867</v>
      </c>
      <c r="CX17" s="245" t="s">
        <v>4562</v>
      </c>
      <c r="CY17" s="241">
        <v>264000</v>
      </c>
      <c r="CZ17" s="241" t="s">
        <v>3355</v>
      </c>
      <c r="DA17" s="241" t="s">
        <v>600</v>
      </c>
      <c r="DB17" s="241">
        <v>2</v>
      </c>
      <c r="DC17" s="241" t="s">
        <v>3579</v>
      </c>
      <c r="DD17" s="241" t="s">
        <v>3578</v>
      </c>
      <c r="DE17" s="243">
        <v>44110</v>
      </c>
      <c r="DF17" s="244" t="s">
        <v>4563</v>
      </c>
      <c r="DG17" s="236">
        <v>207000</v>
      </c>
      <c r="DH17" s="247" t="s">
        <v>3355</v>
      </c>
      <c r="DI17" s="247" t="s">
        <v>600</v>
      </c>
      <c r="DJ17" s="247">
        <v>2</v>
      </c>
      <c r="DK17" s="247" t="s">
        <v>3579</v>
      </c>
      <c r="DL17" s="247" t="s">
        <v>3578</v>
      </c>
      <c r="DM17" s="237">
        <v>44110</v>
      </c>
      <c r="DN17" s="245" t="s">
        <v>4564</v>
      </c>
      <c r="DO17" s="241">
        <v>399000</v>
      </c>
      <c r="DP17" s="245" t="s">
        <v>3355</v>
      </c>
      <c r="DQ17" s="245" t="s">
        <v>600</v>
      </c>
      <c r="DR17" s="245">
        <v>2</v>
      </c>
      <c r="DS17" s="245" t="s">
        <v>3579</v>
      </c>
      <c r="DT17" s="245" t="s">
        <v>3578</v>
      </c>
      <c r="DU17" s="246">
        <v>44110</v>
      </c>
      <c r="DV17" s="244" t="s">
        <v>4565</v>
      </c>
      <c r="DW17" s="236">
        <v>264000</v>
      </c>
      <c r="DX17" s="247" t="s">
        <v>3355</v>
      </c>
      <c r="DY17" s="247" t="s">
        <v>600</v>
      </c>
      <c r="DZ17" s="247">
        <v>2</v>
      </c>
      <c r="EA17" s="247" t="s">
        <v>3579</v>
      </c>
      <c r="EB17" s="247" t="s">
        <v>3578</v>
      </c>
      <c r="EC17" s="237">
        <v>44110</v>
      </c>
      <c r="ED17" s="245" t="s">
        <v>4566</v>
      </c>
      <c r="EE17" s="241">
        <v>0</v>
      </c>
      <c r="EF17" s="245" t="s">
        <v>3355</v>
      </c>
      <c r="EG17" s="245" t="s">
        <v>600</v>
      </c>
      <c r="EH17" s="245">
        <v>2</v>
      </c>
      <c r="EI17" s="245" t="s">
        <v>3579</v>
      </c>
      <c r="EJ17" s="245" t="s">
        <v>3578</v>
      </c>
      <c r="EK17" s="246">
        <v>44110</v>
      </c>
      <c r="EL17" s="244" t="s">
        <v>4567</v>
      </c>
      <c r="EM17" s="236">
        <v>0</v>
      </c>
      <c r="EN17" s="247" t="s">
        <v>3355</v>
      </c>
      <c r="EO17" s="247" t="s">
        <v>600</v>
      </c>
      <c r="EP17" s="247">
        <v>2</v>
      </c>
      <c r="EQ17" s="247" t="s">
        <v>3579</v>
      </c>
      <c r="ER17" s="247" t="s">
        <v>3578</v>
      </c>
      <c r="ES17" s="237">
        <v>44110</v>
      </c>
      <c r="ET17" s="245" t="s">
        <v>4568</v>
      </c>
      <c r="EU17" s="245">
        <v>0</v>
      </c>
      <c r="EV17" s="245" t="s">
        <v>3342</v>
      </c>
      <c r="EW17" s="245" t="s">
        <v>599</v>
      </c>
      <c r="EX17" s="245">
        <v>3</v>
      </c>
      <c r="EY17" s="245" t="s">
        <v>1736</v>
      </c>
      <c r="EZ17" s="245" t="s">
        <v>1033</v>
      </c>
      <c r="FA17" s="246">
        <v>44110</v>
      </c>
      <c r="FB17" s="244" t="s">
        <v>4569</v>
      </c>
      <c r="FC17" s="247">
        <v>2</v>
      </c>
      <c r="FD17" s="247">
        <v>0</v>
      </c>
      <c r="FE17" s="247" t="s">
        <v>600</v>
      </c>
      <c r="FF17" s="247">
        <v>2</v>
      </c>
      <c r="FG17" s="247" t="s">
        <v>1061</v>
      </c>
      <c r="FH17" s="247">
        <v>0</v>
      </c>
      <c r="FI17" s="237">
        <v>43511</v>
      </c>
      <c r="FJ17" s="244" t="s">
        <v>4570</v>
      </c>
      <c r="FK17" s="245" t="s">
        <v>393</v>
      </c>
      <c r="FL17" s="245">
        <v>0</v>
      </c>
      <c r="FM17" s="245" t="s">
        <v>600</v>
      </c>
      <c r="FN17" s="245">
        <v>2</v>
      </c>
      <c r="FO17" s="245">
        <v>0</v>
      </c>
      <c r="FP17" s="241">
        <v>0</v>
      </c>
      <c r="FQ17" s="242">
        <v>43511</v>
      </c>
      <c r="FR17" s="244" t="s">
        <v>4571</v>
      </c>
      <c r="FS17" s="247" t="s">
        <v>393</v>
      </c>
      <c r="FT17" s="247">
        <v>0</v>
      </c>
      <c r="FU17" s="247" t="s">
        <v>600</v>
      </c>
      <c r="FV17" s="247">
        <v>2</v>
      </c>
      <c r="FW17" s="247">
        <v>0</v>
      </c>
      <c r="FX17" s="247">
        <v>0</v>
      </c>
      <c r="FY17" s="237">
        <v>43511</v>
      </c>
      <c r="FZ17" s="245" t="s">
        <v>4572</v>
      </c>
      <c r="GA17" s="245">
        <v>0</v>
      </c>
      <c r="GB17" s="245" t="s">
        <v>1587</v>
      </c>
      <c r="GC17" s="245" t="s">
        <v>600</v>
      </c>
      <c r="GD17" s="245">
        <v>2</v>
      </c>
      <c r="GE17" s="245" t="s">
        <v>1623</v>
      </c>
      <c r="GF17" s="245" t="s">
        <v>1624</v>
      </c>
      <c r="GG17" s="246">
        <v>43770</v>
      </c>
      <c r="GH17" s="244" t="s">
        <v>4573</v>
      </c>
      <c r="GI17" s="247">
        <v>0</v>
      </c>
      <c r="GJ17" s="247" t="s">
        <v>1587</v>
      </c>
      <c r="GK17" s="247" t="s">
        <v>600</v>
      </c>
      <c r="GL17" s="247">
        <v>2</v>
      </c>
      <c r="GM17" s="247" t="s">
        <v>1623</v>
      </c>
      <c r="GN17" s="247" t="s">
        <v>1624</v>
      </c>
      <c r="GO17" s="237">
        <v>43770</v>
      </c>
      <c r="GP17" s="245" t="s">
        <v>4574</v>
      </c>
      <c r="GQ17" s="245">
        <v>0</v>
      </c>
      <c r="GR17" s="245" t="s">
        <v>1587</v>
      </c>
      <c r="GS17" s="245" t="s">
        <v>600</v>
      </c>
      <c r="GT17" s="245">
        <v>2</v>
      </c>
      <c r="GU17" s="245" t="s">
        <v>1623</v>
      </c>
      <c r="GV17" s="245" t="s">
        <v>1624</v>
      </c>
      <c r="GW17" s="246">
        <v>43770</v>
      </c>
      <c r="GX17" s="244" t="s">
        <v>4575</v>
      </c>
      <c r="GY17" s="247">
        <v>0</v>
      </c>
      <c r="GZ17" s="247" t="s">
        <v>1587</v>
      </c>
      <c r="HA17" s="247" t="s">
        <v>600</v>
      </c>
      <c r="HB17" s="247">
        <v>2</v>
      </c>
      <c r="HC17" s="247" t="s">
        <v>1623</v>
      </c>
      <c r="HD17" s="247" t="s">
        <v>1624</v>
      </c>
      <c r="HE17" s="237">
        <v>43770</v>
      </c>
      <c r="HF17" s="245" t="s">
        <v>4576</v>
      </c>
      <c r="HG17" s="245">
        <v>0</v>
      </c>
      <c r="HH17" s="245" t="s">
        <v>1587</v>
      </c>
      <c r="HI17" s="245" t="s">
        <v>600</v>
      </c>
      <c r="HJ17" s="245">
        <v>2</v>
      </c>
      <c r="HK17" s="245" t="s">
        <v>1623</v>
      </c>
      <c r="HL17" s="245" t="s">
        <v>1624</v>
      </c>
      <c r="HM17" s="246">
        <v>43770</v>
      </c>
      <c r="HN17" s="244" t="s">
        <v>4577</v>
      </c>
      <c r="HO17" s="247">
        <v>0</v>
      </c>
      <c r="HP17" s="247" t="s">
        <v>1587</v>
      </c>
      <c r="HQ17" s="247" t="s">
        <v>600</v>
      </c>
      <c r="HR17" s="247">
        <v>2</v>
      </c>
      <c r="HS17" s="247" t="s">
        <v>1623</v>
      </c>
      <c r="HT17" s="247" t="s">
        <v>1624</v>
      </c>
      <c r="HU17" s="237">
        <v>43770</v>
      </c>
      <c r="HV17" s="245" t="s">
        <v>4578</v>
      </c>
      <c r="HW17" s="245">
        <v>0</v>
      </c>
      <c r="HX17" s="245" t="s">
        <v>1587</v>
      </c>
      <c r="HY17" s="245" t="s">
        <v>600</v>
      </c>
      <c r="HZ17" s="245">
        <v>2</v>
      </c>
      <c r="IA17" s="245" t="s">
        <v>1623</v>
      </c>
      <c r="IB17" s="245" t="s">
        <v>1624</v>
      </c>
      <c r="IC17" s="246">
        <v>43770</v>
      </c>
      <c r="ID17" s="244" t="s">
        <v>4579</v>
      </c>
      <c r="IE17" s="247">
        <v>0</v>
      </c>
      <c r="IF17" s="247" t="s">
        <v>1587</v>
      </c>
      <c r="IG17" s="247" t="s">
        <v>600</v>
      </c>
      <c r="IH17" s="247">
        <v>2</v>
      </c>
      <c r="II17" s="247" t="s">
        <v>1623</v>
      </c>
      <c r="IJ17" s="247" t="s">
        <v>1624</v>
      </c>
      <c r="IK17" s="237">
        <v>43770</v>
      </c>
      <c r="IL17" s="245" t="s">
        <v>4580</v>
      </c>
      <c r="IM17" s="245">
        <v>0</v>
      </c>
      <c r="IN17" s="245" t="s">
        <v>1587</v>
      </c>
      <c r="IO17" s="245" t="s">
        <v>600</v>
      </c>
      <c r="IP17" s="245">
        <v>2</v>
      </c>
      <c r="IQ17" s="245" t="s">
        <v>1623</v>
      </c>
      <c r="IR17" s="245" t="s">
        <v>1624</v>
      </c>
      <c r="IS17" s="246">
        <v>43770</v>
      </c>
    </row>
    <row r="18" spans="1:253" s="11" customFormat="1" ht="13.2" x14ac:dyDescent="0.25">
      <c r="A18" s="11" t="s">
        <v>801</v>
      </c>
      <c r="B18" s="11" t="s">
        <v>650</v>
      </c>
      <c r="C18" s="11" t="s">
        <v>805</v>
      </c>
      <c r="D18" s="11" t="s">
        <v>49</v>
      </c>
      <c r="E18" s="11" t="s">
        <v>48</v>
      </c>
      <c r="F18" s="11" t="s">
        <v>4581</v>
      </c>
      <c r="G18" s="235">
        <v>21138000</v>
      </c>
      <c r="H18" s="236" t="s">
        <v>3275</v>
      </c>
      <c r="I18" s="236" t="s">
        <v>600</v>
      </c>
      <c r="J18" s="236">
        <v>2</v>
      </c>
      <c r="K18" s="236" t="s">
        <v>2574</v>
      </c>
      <c r="L18" s="236" t="s">
        <v>2581</v>
      </c>
      <c r="M18" s="237">
        <v>44103</v>
      </c>
      <c r="N18" s="244" t="s">
        <v>4582</v>
      </c>
      <c r="O18" s="239">
        <v>151789</v>
      </c>
      <c r="P18" s="239" t="s">
        <v>2575</v>
      </c>
      <c r="Q18" s="239" t="s">
        <v>601</v>
      </c>
      <c r="R18" s="239">
        <v>1</v>
      </c>
      <c r="S18" s="239" t="s">
        <v>2577</v>
      </c>
      <c r="T18" s="239" t="s">
        <v>2576</v>
      </c>
      <c r="U18" s="240">
        <v>44001</v>
      </c>
      <c r="V18" s="244" t="s">
        <v>4583</v>
      </c>
      <c r="W18" s="236">
        <v>8736000</v>
      </c>
      <c r="X18" s="236" t="s">
        <v>3275</v>
      </c>
      <c r="Y18" s="236" t="s">
        <v>600</v>
      </c>
      <c r="Z18" s="236">
        <v>2</v>
      </c>
      <c r="AA18" s="236" t="s">
        <v>2578</v>
      </c>
      <c r="AB18" s="236" t="s">
        <v>2581</v>
      </c>
      <c r="AC18" s="237">
        <v>44103</v>
      </c>
      <c r="AD18" s="244" t="s">
        <v>4584</v>
      </c>
      <c r="AE18" s="241">
        <v>5277000</v>
      </c>
      <c r="AF18" s="241" t="s">
        <v>3276</v>
      </c>
      <c r="AG18" s="241" t="s">
        <v>600</v>
      </c>
      <c r="AH18" s="241">
        <v>2</v>
      </c>
      <c r="AI18" s="241" t="s">
        <v>2580</v>
      </c>
      <c r="AJ18" s="241" t="s">
        <v>2579</v>
      </c>
      <c r="AK18" s="242">
        <v>44103</v>
      </c>
      <c r="AL18" s="244" t="s">
        <v>4585</v>
      </c>
      <c r="AM18" s="236">
        <v>1051000</v>
      </c>
      <c r="AN18" s="236" t="s">
        <v>3277</v>
      </c>
      <c r="AO18" s="236" t="s">
        <v>599</v>
      </c>
      <c r="AP18" s="236">
        <v>3</v>
      </c>
      <c r="AQ18" s="236" t="s">
        <v>1800</v>
      </c>
      <c r="AR18" s="236" t="s">
        <v>2806</v>
      </c>
      <c r="AS18" s="237">
        <v>44103</v>
      </c>
      <c r="AT18" s="245" t="s">
        <v>4586</v>
      </c>
      <c r="AU18" s="241" t="s">
        <v>703</v>
      </c>
      <c r="AV18" s="241">
        <v>0</v>
      </c>
      <c r="AW18" s="241" t="s">
        <v>393</v>
      </c>
      <c r="AX18" s="241" t="s">
        <v>393</v>
      </c>
      <c r="AY18" s="241">
        <v>0</v>
      </c>
      <c r="AZ18" s="241">
        <v>0</v>
      </c>
      <c r="BA18" s="242">
        <v>43511</v>
      </c>
      <c r="BB18" s="244" t="s">
        <v>4587</v>
      </c>
      <c r="BC18" s="236" t="s">
        <v>703</v>
      </c>
      <c r="BD18" s="236">
        <v>0</v>
      </c>
      <c r="BE18" s="236" t="s">
        <v>393</v>
      </c>
      <c r="BF18" s="236" t="s">
        <v>393</v>
      </c>
      <c r="BG18" s="236">
        <v>0</v>
      </c>
      <c r="BH18" s="236">
        <v>0</v>
      </c>
      <c r="BI18" s="237">
        <v>43511</v>
      </c>
      <c r="BJ18" s="245" t="s">
        <v>4588</v>
      </c>
      <c r="BK18" s="245">
        <v>1116</v>
      </c>
      <c r="BL18" s="245" t="s">
        <v>3872</v>
      </c>
      <c r="BM18" s="245" t="s">
        <v>600</v>
      </c>
      <c r="BN18" s="245">
        <v>2</v>
      </c>
      <c r="BO18" s="245" t="s">
        <v>3873</v>
      </c>
      <c r="BP18" s="241" t="s">
        <v>1071</v>
      </c>
      <c r="BQ18" s="246">
        <v>44134</v>
      </c>
      <c r="BR18" s="244" t="s">
        <v>4589</v>
      </c>
      <c r="BS18" s="247" t="s">
        <v>703</v>
      </c>
      <c r="BT18" s="247">
        <v>0</v>
      </c>
      <c r="BU18" s="247" t="s">
        <v>393</v>
      </c>
      <c r="BV18" s="247" t="s">
        <v>393</v>
      </c>
      <c r="BW18" s="247">
        <v>0</v>
      </c>
      <c r="BX18" s="247">
        <v>0</v>
      </c>
      <c r="BY18" s="237">
        <v>43511</v>
      </c>
      <c r="BZ18" s="245" t="s">
        <v>4590</v>
      </c>
      <c r="CA18" s="245" t="s">
        <v>703</v>
      </c>
      <c r="CB18" s="245">
        <v>0</v>
      </c>
      <c r="CC18" s="245" t="s">
        <v>393</v>
      </c>
      <c r="CD18" s="245" t="s">
        <v>393</v>
      </c>
      <c r="CE18" s="245">
        <v>0</v>
      </c>
      <c r="CF18" s="245">
        <v>0</v>
      </c>
      <c r="CG18" s="246">
        <v>43511</v>
      </c>
      <c r="CH18" s="244" t="s">
        <v>4591</v>
      </c>
      <c r="CI18" s="245" t="e">
        <v>#N/A</v>
      </c>
      <c r="CJ18" s="245" t="e">
        <v>#N/A</v>
      </c>
      <c r="CK18" s="245" t="e">
        <v>#N/A</v>
      </c>
      <c r="CL18" s="245" t="e">
        <v>#N/A</v>
      </c>
      <c r="CM18" s="245" t="e">
        <v>#N/A</v>
      </c>
      <c r="CN18" s="245" t="e">
        <v>#N/A</v>
      </c>
      <c r="CO18" s="248" t="e">
        <v>#N/A</v>
      </c>
      <c r="CP18" s="245" t="s">
        <v>4592</v>
      </c>
      <c r="CQ18" s="247" t="s">
        <v>703</v>
      </c>
      <c r="CR18" s="247">
        <v>0</v>
      </c>
      <c r="CS18" s="247" t="s">
        <v>600</v>
      </c>
      <c r="CT18" s="247">
        <v>2</v>
      </c>
      <c r="CU18" s="247">
        <v>0</v>
      </c>
      <c r="CV18" s="247">
        <v>0</v>
      </c>
      <c r="CW18" s="237">
        <v>43511</v>
      </c>
      <c r="CX18" s="245" t="s">
        <v>4593</v>
      </c>
      <c r="CY18" s="241">
        <v>2170000</v>
      </c>
      <c r="CZ18" s="241" t="s">
        <v>2582</v>
      </c>
      <c r="DA18" s="241" t="s">
        <v>600</v>
      </c>
      <c r="DB18" s="241">
        <v>2</v>
      </c>
      <c r="DC18" s="241" t="s">
        <v>3673</v>
      </c>
      <c r="DD18" s="241" t="s">
        <v>2583</v>
      </c>
      <c r="DE18" s="243">
        <v>44119</v>
      </c>
      <c r="DF18" s="244" t="s">
        <v>4594</v>
      </c>
      <c r="DG18" s="236">
        <v>3459000</v>
      </c>
      <c r="DH18" s="247" t="s">
        <v>2582</v>
      </c>
      <c r="DI18" s="247" t="s">
        <v>600</v>
      </c>
      <c r="DJ18" s="247">
        <v>2</v>
      </c>
      <c r="DK18" s="247" t="s">
        <v>3673</v>
      </c>
      <c r="DL18" s="247" t="s">
        <v>2583</v>
      </c>
      <c r="DM18" s="237">
        <v>44119</v>
      </c>
      <c r="DN18" s="245" t="s">
        <v>4595</v>
      </c>
      <c r="DO18" s="241">
        <v>3107000</v>
      </c>
      <c r="DP18" s="245" t="s">
        <v>2582</v>
      </c>
      <c r="DQ18" s="245" t="s">
        <v>600</v>
      </c>
      <c r="DR18" s="245">
        <v>2</v>
      </c>
      <c r="DS18" s="245" t="s">
        <v>3673</v>
      </c>
      <c r="DT18" s="245" t="s">
        <v>2583</v>
      </c>
      <c r="DU18" s="246">
        <v>44119</v>
      </c>
      <c r="DV18" s="244" t="s">
        <v>4596</v>
      </c>
      <c r="DW18" s="236">
        <v>490000</v>
      </c>
      <c r="DX18" s="247" t="s">
        <v>2582</v>
      </c>
      <c r="DY18" s="247" t="s">
        <v>600</v>
      </c>
      <c r="DZ18" s="247">
        <v>2</v>
      </c>
      <c r="EA18" s="247" t="s">
        <v>3673</v>
      </c>
      <c r="EB18" s="247" t="s">
        <v>2583</v>
      </c>
      <c r="EC18" s="237">
        <v>44119</v>
      </c>
      <c r="ED18" s="245" t="s">
        <v>4597</v>
      </c>
      <c r="EE18" s="241">
        <v>764000</v>
      </c>
      <c r="EF18" s="245" t="s">
        <v>2582</v>
      </c>
      <c r="EG18" s="245" t="s">
        <v>600</v>
      </c>
      <c r="EH18" s="245">
        <v>2</v>
      </c>
      <c r="EI18" s="245" t="s">
        <v>3673</v>
      </c>
      <c r="EJ18" s="245" t="s">
        <v>2583</v>
      </c>
      <c r="EK18" s="246">
        <v>44119</v>
      </c>
      <c r="EL18" s="244" t="s">
        <v>4598</v>
      </c>
      <c r="EM18" s="236">
        <v>916000</v>
      </c>
      <c r="EN18" s="247" t="s">
        <v>2582</v>
      </c>
      <c r="EO18" s="247" t="s">
        <v>600</v>
      </c>
      <c r="EP18" s="247">
        <v>2</v>
      </c>
      <c r="EQ18" s="247" t="s">
        <v>3673</v>
      </c>
      <c r="ER18" s="247" t="s">
        <v>2583</v>
      </c>
      <c r="ES18" s="237">
        <v>44119</v>
      </c>
      <c r="ET18" s="245" t="s">
        <v>4599</v>
      </c>
      <c r="EU18" s="245">
        <v>1157</v>
      </c>
      <c r="EV18" s="245" t="s">
        <v>3856</v>
      </c>
      <c r="EW18" s="245" t="s">
        <v>600</v>
      </c>
      <c r="EX18" s="245">
        <v>2</v>
      </c>
      <c r="EY18" s="245" t="s">
        <v>3868</v>
      </c>
      <c r="EZ18" s="245" t="s">
        <v>3861</v>
      </c>
      <c r="FA18" s="246">
        <v>44134</v>
      </c>
      <c r="FB18" s="244" t="s">
        <v>4600</v>
      </c>
      <c r="FC18" s="247">
        <v>4</v>
      </c>
      <c r="FD18" s="247">
        <v>0</v>
      </c>
      <c r="FE18" s="247" t="s">
        <v>600</v>
      </c>
      <c r="FF18" s="247">
        <v>2</v>
      </c>
      <c r="FG18" s="247" t="s">
        <v>981</v>
      </c>
      <c r="FH18" s="247">
        <v>0</v>
      </c>
      <c r="FI18" s="237">
        <v>43511</v>
      </c>
      <c r="FJ18" s="244" t="s">
        <v>4601</v>
      </c>
      <c r="FK18" s="245" t="s">
        <v>393</v>
      </c>
      <c r="FL18" s="245" t="s">
        <v>393</v>
      </c>
      <c r="FM18" s="245" t="s">
        <v>393</v>
      </c>
      <c r="FN18" s="245" t="s">
        <v>393</v>
      </c>
      <c r="FO18" s="245" t="s">
        <v>2584</v>
      </c>
      <c r="FP18" s="241" t="s">
        <v>393</v>
      </c>
      <c r="FQ18" s="242">
        <v>44001</v>
      </c>
      <c r="FR18" s="244" t="s">
        <v>4602</v>
      </c>
      <c r="FS18" s="247" t="s">
        <v>393</v>
      </c>
      <c r="FT18" s="247" t="s">
        <v>393</v>
      </c>
      <c r="FU18" s="247" t="s">
        <v>393</v>
      </c>
      <c r="FV18" s="247" t="s">
        <v>393</v>
      </c>
      <c r="FW18" s="247" t="s">
        <v>2584</v>
      </c>
      <c r="FX18" s="247" t="s">
        <v>393</v>
      </c>
      <c r="FY18" s="237">
        <v>44001</v>
      </c>
      <c r="FZ18" s="245" t="s">
        <v>4603</v>
      </c>
      <c r="GA18" s="245">
        <v>0</v>
      </c>
      <c r="GB18" s="245" t="s">
        <v>2096</v>
      </c>
      <c r="GC18" s="245" t="s">
        <v>600</v>
      </c>
      <c r="GD18" s="245">
        <v>2</v>
      </c>
      <c r="GE18" s="245" t="s">
        <v>3323</v>
      </c>
      <c r="GF18" s="245" t="s">
        <v>2097</v>
      </c>
      <c r="GG18" s="246">
        <v>44134</v>
      </c>
      <c r="GH18" s="244" t="s">
        <v>4604</v>
      </c>
      <c r="GI18" s="247">
        <v>2</v>
      </c>
      <c r="GJ18" s="247" t="s">
        <v>2096</v>
      </c>
      <c r="GK18" s="247" t="s">
        <v>600</v>
      </c>
      <c r="GL18" s="247">
        <v>2</v>
      </c>
      <c r="GM18" s="247" t="s">
        <v>3323</v>
      </c>
      <c r="GN18" s="247" t="s">
        <v>2097</v>
      </c>
      <c r="GO18" s="237">
        <v>44134</v>
      </c>
      <c r="GP18" s="245" t="s">
        <v>4605</v>
      </c>
      <c r="GQ18" s="245">
        <v>0</v>
      </c>
      <c r="GR18" s="245" t="s">
        <v>2096</v>
      </c>
      <c r="GS18" s="245" t="s">
        <v>600</v>
      </c>
      <c r="GT18" s="245">
        <v>2</v>
      </c>
      <c r="GU18" s="245" t="s">
        <v>3323</v>
      </c>
      <c r="GV18" s="245" t="s">
        <v>2097</v>
      </c>
      <c r="GW18" s="246">
        <v>44134</v>
      </c>
      <c r="GX18" s="244" t="s">
        <v>4606</v>
      </c>
      <c r="GY18" s="247">
        <v>3</v>
      </c>
      <c r="GZ18" s="247" t="s">
        <v>2096</v>
      </c>
      <c r="HA18" s="247" t="s">
        <v>600</v>
      </c>
      <c r="HB18" s="247">
        <v>2</v>
      </c>
      <c r="HC18" s="247" t="s">
        <v>3323</v>
      </c>
      <c r="HD18" s="247" t="s">
        <v>2097</v>
      </c>
      <c r="HE18" s="237">
        <v>44134</v>
      </c>
      <c r="HF18" s="245" t="s">
        <v>4607</v>
      </c>
      <c r="HG18" s="245">
        <v>0</v>
      </c>
      <c r="HH18" s="245" t="s">
        <v>2096</v>
      </c>
      <c r="HI18" s="245" t="s">
        <v>600</v>
      </c>
      <c r="HJ18" s="245">
        <v>2</v>
      </c>
      <c r="HK18" s="245" t="s">
        <v>3323</v>
      </c>
      <c r="HL18" s="245" t="s">
        <v>2097</v>
      </c>
      <c r="HM18" s="246">
        <v>44134</v>
      </c>
      <c r="HN18" s="244" t="s">
        <v>4608</v>
      </c>
      <c r="HO18" s="247">
        <v>2</v>
      </c>
      <c r="HP18" s="247" t="s">
        <v>2096</v>
      </c>
      <c r="HQ18" s="247" t="s">
        <v>600</v>
      </c>
      <c r="HR18" s="247">
        <v>2</v>
      </c>
      <c r="HS18" s="247" t="s">
        <v>3323</v>
      </c>
      <c r="HT18" s="247" t="s">
        <v>2097</v>
      </c>
      <c r="HU18" s="237">
        <v>44134</v>
      </c>
      <c r="HV18" s="245" t="s">
        <v>4609</v>
      </c>
      <c r="HW18" s="245">
        <v>3</v>
      </c>
      <c r="HX18" s="245" t="s">
        <v>2096</v>
      </c>
      <c r="HY18" s="245" t="s">
        <v>600</v>
      </c>
      <c r="HZ18" s="245">
        <v>2</v>
      </c>
      <c r="IA18" s="245" t="s">
        <v>3323</v>
      </c>
      <c r="IB18" s="245" t="s">
        <v>2097</v>
      </c>
      <c r="IC18" s="246">
        <v>44134</v>
      </c>
      <c r="ID18" s="244" t="s">
        <v>4610</v>
      </c>
      <c r="IE18" s="247">
        <v>0</v>
      </c>
      <c r="IF18" s="247" t="s">
        <v>2096</v>
      </c>
      <c r="IG18" s="247" t="s">
        <v>600</v>
      </c>
      <c r="IH18" s="247">
        <v>2</v>
      </c>
      <c r="II18" s="247" t="s">
        <v>3323</v>
      </c>
      <c r="IJ18" s="247" t="s">
        <v>2097</v>
      </c>
      <c r="IK18" s="237">
        <v>44134</v>
      </c>
      <c r="IL18" s="245" t="s">
        <v>4611</v>
      </c>
      <c r="IM18" s="245">
        <v>0</v>
      </c>
      <c r="IN18" s="245" t="s">
        <v>2096</v>
      </c>
      <c r="IO18" s="245" t="s">
        <v>600</v>
      </c>
      <c r="IP18" s="245">
        <v>2</v>
      </c>
      <c r="IQ18" s="245" t="s">
        <v>3323</v>
      </c>
      <c r="IR18" s="245" t="s">
        <v>2097</v>
      </c>
      <c r="IS18" s="246">
        <v>44134</v>
      </c>
    </row>
    <row r="19" spans="1:253" s="11" customFormat="1" ht="13.2" x14ac:dyDescent="0.25">
      <c r="A19" s="11" t="s">
        <v>3260</v>
      </c>
      <c r="B19" s="11" t="s">
        <v>1279</v>
      </c>
      <c r="C19" s="11" t="s">
        <v>3261</v>
      </c>
      <c r="D19" s="11" t="s">
        <v>49</v>
      </c>
      <c r="E19" s="11" t="s">
        <v>48</v>
      </c>
      <c r="F19" s="11" t="s">
        <v>4612</v>
      </c>
      <c r="G19" s="235">
        <v>21138000</v>
      </c>
      <c r="H19" s="236" t="s">
        <v>3275</v>
      </c>
      <c r="I19" s="236">
        <v>0</v>
      </c>
      <c r="J19" s="236" t="b">
        <v>0</v>
      </c>
      <c r="K19" s="236" t="s">
        <v>2574</v>
      </c>
      <c r="L19" s="236" t="s">
        <v>2581</v>
      </c>
      <c r="M19" s="237">
        <v>44103</v>
      </c>
      <c r="N19" s="244" t="s">
        <v>4613</v>
      </c>
      <c r="O19" s="239">
        <v>270764</v>
      </c>
      <c r="P19" s="239" t="s">
        <v>3279</v>
      </c>
      <c r="Q19" s="239" t="s">
        <v>601</v>
      </c>
      <c r="R19" s="239">
        <v>1</v>
      </c>
      <c r="S19" s="239" t="s">
        <v>3409</v>
      </c>
      <c r="T19" s="239" t="s">
        <v>3408</v>
      </c>
      <c r="U19" s="240">
        <v>44103</v>
      </c>
      <c r="V19" s="244" t="s">
        <v>4614</v>
      </c>
      <c r="W19" s="236">
        <v>21138000</v>
      </c>
      <c r="X19" s="236" t="s">
        <v>3275</v>
      </c>
      <c r="Y19" s="236" t="s">
        <v>600</v>
      </c>
      <c r="Z19" s="236">
        <v>2</v>
      </c>
      <c r="AA19" s="236" t="s">
        <v>3409</v>
      </c>
      <c r="AB19" s="236" t="s">
        <v>2581</v>
      </c>
      <c r="AC19" s="237">
        <v>44103</v>
      </c>
      <c r="AD19" s="244" t="s">
        <v>4615</v>
      </c>
      <c r="AE19" s="241">
        <v>106000</v>
      </c>
      <c r="AF19" s="241" t="s">
        <v>3874</v>
      </c>
      <c r="AG19" s="241" t="s">
        <v>600</v>
      </c>
      <c r="AH19" s="241">
        <v>2</v>
      </c>
      <c r="AI19" s="241" t="s">
        <v>3876</v>
      </c>
      <c r="AJ19" s="241" t="s">
        <v>3875</v>
      </c>
      <c r="AK19" s="242">
        <v>44134</v>
      </c>
      <c r="AL19" s="244" t="s">
        <v>4616</v>
      </c>
      <c r="AM19" s="236" t="s">
        <v>393</v>
      </c>
      <c r="AN19" s="236" t="s">
        <v>393</v>
      </c>
      <c r="AO19" s="236" t="s">
        <v>393</v>
      </c>
      <c r="AP19" s="236" t="s">
        <v>393</v>
      </c>
      <c r="AQ19" s="236" t="s">
        <v>3411</v>
      </c>
      <c r="AR19" s="236" t="s">
        <v>393</v>
      </c>
      <c r="AS19" s="237">
        <v>44103</v>
      </c>
      <c r="AT19" s="245" t="s">
        <v>4617</v>
      </c>
      <c r="AU19" s="241">
        <v>112</v>
      </c>
      <c r="AV19" s="241" t="s">
        <v>3877</v>
      </c>
      <c r="AW19" s="241" t="s">
        <v>600</v>
      </c>
      <c r="AX19" s="241">
        <v>2</v>
      </c>
      <c r="AY19" s="241" t="s">
        <v>3879</v>
      </c>
      <c r="AZ19" s="241" t="s">
        <v>3878</v>
      </c>
      <c r="BA19" s="242">
        <v>44134</v>
      </c>
      <c r="BB19" s="244" t="s">
        <v>4618</v>
      </c>
      <c r="BC19" s="236" t="s">
        <v>393</v>
      </c>
      <c r="BD19" s="236" t="s">
        <v>393</v>
      </c>
      <c r="BE19" s="236" t="s">
        <v>393</v>
      </c>
      <c r="BF19" s="236" t="s">
        <v>393</v>
      </c>
      <c r="BG19" s="236" t="s">
        <v>393</v>
      </c>
      <c r="BH19" s="236" t="s">
        <v>393</v>
      </c>
      <c r="BI19" s="237">
        <v>44103</v>
      </c>
      <c r="BJ19" s="245" t="s">
        <v>4619</v>
      </c>
      <c r="BK19" s="245">
        <v>41</v>
      </c>
      <c r="BL19" s="245" t="s">
        <v>3877</v>
      </c>
      <c r="BM19" s="245" t="s">
        <v>600</v>
      </c>
      <c r="BN19" s="245">
        <v>2</v>
      </c>
      <c r="BO19" s="245" t="s">
        <v>3880</v>
      </c>
      <c r="BP19" s="241" t="s">
        <v>3878</v>
      </c>
      <c r="BQ19" s="246">
        <v>44134</v>
      </c>
      <c r="BR19" s="244" t="s">
        <v>4620</v>
      </c>
      <c r="BS19" s="247">
        <v>3446</v>
      </c>
      <c r="BT19" s="247" t="s">
        <v>3280</v>
      </c>
      <c r="BU19" s="247" t="s">
        <v>600</v>
      </c>
      <c r="BV19" s="247">
        <v>2</v>
      </c>
      <c r="BW19" s="247" t="s">
        <v>3412</v>
      </c>
      <c r="BX19" s="247" t="s">
        <v>3410</v>
      </c>
      <c r="BY19" s="237">
        <v>44103</v>
      </c>
      <c r="BZ19" s="245" t="s">
        <v>4621</v>
      </c>
      <c r="CA19" s="245">
        <v>12378</v>
      </c>
      <c r="CB19" s="245" t="s">
        <v>3857</v>
      </c>
      <c r="CC19" s="245" t="s">
        <v>600</v>
      </c>
      <c r="CD19" s="245">
        <v>2</v>
      </c>
      <c r="CE19" s="245" t="s">
        <v>3869</v>
      </c>
      <c r="CF19" s="245" t="s">
        <v>3862</v>
      </c>
      <c r="CG19" s="246">
        <v>44134</v>
      </c>
      <c r="CH19" s="244" t="s">
        <v>4622</v>
      </c>
      <c r="CI19" s="245" t="e">
        <v>#N/A</v>
      </c>
      <c r="CJ19" s="245" t="e">
        <v>#N/A</v>
      </c>
      <c r="CK19" s="245" t="e">
        <v>#N/A</v>
      </c>
      <c r="CL19" s="245" t="e">
        <v>#N/A</v>
      </c>
      <c r="CM19" s="245" t="e">
        <v>#N/A</v>
      </c>
      <c r="CN19" s="245" t="e">
        <v>#N/A</v>
      </c>
      <c r="CO19" s="248" t="e">
        <v>#N/A</v>
      </c>
      <c r="CP19" s="245" t="s">
        <v>4623</v>
      </c>
      <c r="CQ19" s="247" t="s">
        <v>393</v>
      </c>
      <c r="CR19" s="247" t="s">
        <v>393</v>
      </c>
      <c r="CS19" s="247" t="s">
        <v>393</v>
      </c>
      <c r="CT19" s="247" t="s">
        <v>393</v>
      </c>
      <c r="CU19" s="247" t="s">
        <v>393</v>
      </c>
      <c r="CV19" s="247" t="s">
        <v>393</v>
      </c>
      <c r="CW19" s="237">
        <v>44103</v>
      </c>
      <c r="CX19" s="245" t="s">
        <v>4624</v>
      </c>
      <c r="CY19" s="241">
        <v>50000</v>
      </c>
      <c r="CZ19" s="241" t="s">
        <v>3857</v>
      </c>
      <c r="DA19" s="241" t="s">
        <v>600</v>
      </c>
      <c r="DB19" s="241">
        <v>2</v>
      </c>
      <c r="DC19" s="241" t="s">
        <v>3881</v>
      </c>
      <c r="DD19" s="241" t="s">
        <v>3862</v>
      </c>
      <c r="DE19" s="243">
        <v>44134</v>
      </c>
      <c r="DF19" s="244" t="s">
        <v>4625</v>
      </c>
      <c r="DG19" s="236">
        <v>21032000</v>
      </c>
      <c r="DH19" s="247" t="s">
        <v>3857</v>
      </c>
      <c r="DI19" s="247" t="s">
        <v>600</v>
      </c>
      <c r="DJ19" s="247">
        <v>2</v>
      </c>
      <c r="DK19" s="247" t="s">
        <v>3881</v>
      </c>
      <c r="DL19" s="247" t="s">
        <v>3862</v>
      </c>
      <c r="DM19" s="237">
        <v>44134</v>
      </c>
      <c r="DN19" s="245" t="s">
        <v>4626</v>
      </c>
      <c r="DO19" s="241">
        <v>56000</v>
      </c>
      <c r="DP19" s="245" t="s">
        <v>3857</v>
      </c>
      <c r="DQ19" s="245" t="s">
        <v>600</v>
      </c>
      <c r="DR19" s="245">
        <v>2</v>
      </c>
      <c r="DS19" s="245" t="s">
        <v>3881</v>
      </c>
      <c r="DT19" s="245" t="s">
        <v>3862</v>
      </c>
      <c r="DU19" s="246">
        <v>44134</v>
      </c>
      <c r="DV19" s="244" t="s">
        <v>4627</v>
      </c>
      <c r="DW19" s="236">
        <v>50000</v>
      </c>
      <c r="DX19" s="247" t="s">
        <v>3857</v>
      </c>
      <c r="DY19" s="247" t="s">
        <v>600</v>
      </c>
      <c r="DZ19" s="247">
        <v>2</v>
      </c>
      <c r="EA19" s="247" t="s">
        <v>3881</v>
      </c>
      <c r="EB19" s="247" t="s">
        <v>3862</v>
      </c>
      <c r="EC19" s="237">
        <v>44134</v>
      </c>
      <c r="ED19" s="245" t="s">
        <v>4628</v>
      </c>
      <c r="EE19" s="241">
        <v>0</v>
      </c>
      <c r="EF19" s="245" t="s">
        <v>3857</v>
      </c>
      <c r="EG19" s="245" t="s">
        <v>600</v>
      </c>
      <c r="EH19" s="245">
        <v>2</v>
      </c>
      <c r="EI19" s="245" t="s">
        <v>3881</v>
      </c>
      <c r="EJ19" s="245" t="s">
        <v>3862</v>
      </c>
      <c r="EK19" s="246">
        <v>44134</v>
      </c>
      <c r="EL19" s="244" t="s">
        <v>4629</v>
      </c>
      <c r="EM19" s="236">
        <v>0</v>
      </c>
      <c r="EN19" s="247" t="s">
        <v>3857</v>
      </c>
      <c r="EO19" s="247" t="s">
        <v>600</v>
      </c>
      <c r="EP19" s="247">
        <v>2</v>
      </c>
      <c r="EQ19" s="247" t="s">
        <v>3881</v>
      </c>
      <c r="ER19" s="247" t="s">
        <v>3862</v>
      </c>
      <c r="ES19" s="237">
        <v>44134</v>
      </c>
      <c r="ET19" s="245" t="s">
        <v>4630</v>
      </c>
      <c r="EU19" s="245">
        <v>1157</v>
      </c>
      <c r="EV19" s="245" t="s">
        <v>3856</v>
      </c>
      <c r="EW19" s="245" t="s">
        <v>600</v>
      </c>
      <c r="EX19" s="245">
        <v>2</v>
      </c>
      <c r="EY19" s="245" t="s">
        <v>3868</v>
      </c>
      <c r="EZ19" s="245" t="s">
        <v>3861</v>
      </c>
      <c r="FA19" s="246">
        <v>44134</v>
      </c>
      <c r="FB19" s="244" t="s">
        <v>4631</v>
      </c>
      <c r="FC19" s="247">
        <v>5</v>
      </c>
      <c r="FD19" s="247" t="s">
        <v>393</v>
      </c>
      <c r="FE19" s="247" t="s">
        <v>599</v>
      </c>
      <c r="FF19" s="247">
        <v>3</v>
      </c>
      <c r="FG19" s="247" t="s">
        <v>3413</v>
      </c>
      <c r="FH19" s="247" t="s">
        <v>393</v>
      </c>
      <c r="FI19" s="237">
        <v>44103</v>
      </c>
      <c r="FJ19" s="244" t="s">
        <v>4632</v>
      </c>
      <c r="FK19" s="245" t="s">
        <v>393</v>
      </c>
      <c r="FL19" s="245" t="s">
        <v>393</v>
      </c>
      <c r="FM19" s="245" t="s">
        <v>393</v>
      </c>
      <c r="FN19" s="245" t="s">
        <v>393</v>
      </c>
      <c r="FO19" s="245" t="s">
        <v>393</v>
      </c>
      <c r="FP19" s="241" t="s">
        <v>393</v>
      </c>
      <c r="FQ19" s="242">
        <v>44103</v>
      </c>
      <c r="FR19" s="244" t="s">
        <v>4633</v>
      </c>
      <c r="FS19" s="247" t="s">
        <v>393</v>
      </c>
      <c r="FT19" s="247" t="s">
        <v>393</v>
      </c>
      <c r="FU19" s="247" t="s">
        <v>393</v>
      </c>
      <c r="FV19" s="247" t="s">
        <v>393</v>
      </c>
      <c r="FW19" s="247" t="s">
        <v>393</v>
      </c>
      <c r="FX19" s="247" t="s">
        <v>393</v>
      </c>
      <c r="FY19" s="237">
        <v>44103</v>
      </c>
      <c r="FZ19" s="245" t="s">
        <v>4634</v>
      </c>
      <c r="GA19" s="245">
        <v>0</v>
      </c>
      <c r="GB19" s="245" t="s">
        <v>2096</v>
      </c>
      <c r="GC19" s="245" t="s">
        <v>600</v>
      </c>
      <c r="GD19" s="245">
        <v>2</v>
      </c>
      <c r="GE19" s="245" t="s">
        <v>3323</v>
      </c>
      <c r="GF19" s="245" t="s">
        <v>2097</v>
      </c>
      <c r="GG19" s="246">
        <v>44134</v>
      </c>
      <c r="GH19" s="244" t="s">
        <v>4635</v>
      </c>
      <c r="GI19" s="247">
        <v>2</v>
      </c>
      <c r="GJ19" s="247" t="s">
        <v>2096</v>
      </c>
      <c r="GK19" s="247" t="s">
        <v>600</v>
      </c>
      <c r="GL19" s="247">
        <v>2</v>
      </c>
      <c r="GM19" s="247" t="s">
        <v>3323</v>
      </c>
      <c r="GN19" s="247" t="s">
        <v>2097</v>
      </c>
      <c r="GO19" s="237">
        <v>44134</v>
      </c>
      <c r="GP19" s="245" t="s">
        <v>4636</v>
      </c>
      <c r="GQ19" s="245">
        <v>0</v>
      </c>
      <c r="GR19" s="245" t="s">
        <v>2096</v>
      </c>
      <c r="GS19" s="245" t="s">
        <v>600</v>
      </c>
      <c r="GT19" s="245">
        <v>2</v>
      </c>
      <c r="GU19" s="245" t="s">
        <v>3323</v>
      </c>
      <c r="GV19" s="245" t="s">
        <v>2097</v>
      </c>
      <c r="GW19" s="246">
        <v>44134</v>
      </c>
      <c r="GX19" s="244" t="s">
        <v>4637</v>
      </c>
      <c r="GY19" s="247">
        <v>3</v>
      </c>
      <c r="GZ19" s="247" t="s">
        <v>2096</v>
      </c>
      <c r="HA19" s="247" t="s">
        <v>600</v>
      </c>
      <c r="HB19" s="247">
        <v>2</v>
      </c>
      <c r="HC19" s="247" t="s">
        <v>3323</v>
      </c>
      <c r="HD19" s="247" t="s">
        <v>2097</v>
      </c>
      <c r="HE19" s="237">
        <v>44134</v>
      </c>
      <c r="HF19" s="245" t="s">
        <v>4638</v>
      </c>
      <c r="HG19" s="245">
        <v>0</v>
      </c>
      <c r="HH19" s="245" t="s">
        <v>2096</v>
      </c>
      <c r="HI19" s="245" t="s">
        <v>600</v>
      </c>
      <c r="HJ19" s="245">
        <v>2</v>
      </c>
      <c r="HK19" s="245" t="s">
        <v>3323</v>
      </c>
      <c r="HL19" s="245" t="s">
        <v>2097</v>
      </c>
      <c r="HM19" s="246">
        <v>44134</v>
      </c>
      <c r="HN19" s="244" t="s">
        <v>4639</v>
      </c>
      <c r="HO19" s="247">
        <v>2</v>
      </c>
      <c r="HP19" s="247" t="s">
        <v>2096</v>
      </c>
      <c r="HQ19" s="247" t="s">
        <v>600</v>
      </c>
      <c r="HR19" s="247">
        <v>2</v>
      </c>
      <c r="HS19" s="247" t="s">
        <v>3323</v>
      </c>
      <c r="HT19" s="247" t="s">
        <v>2097</v>
      </c>
      <c r="HU19" s="237">
        <v>44134</v>
      </c>
      <c r="HV19" s="245" t="s">
        <v>4640</v>
      </c>
      <c r="HW19" s="245">
        <v>3</v>
      </c>
      <c r="HX19" s="245" t="s">
        <v>2096</v>
      </c>
      <c r="HY19" s="245" t="s">
        <v>600</v>
      </c>
      <c r="HZ19" s="245">
        <v>2</v>
      </c>
      <c r="IA19" s="245" t="s">
        <v>3323</v>
      </c>
      <c r="IB19" s="245" t="s">
        <v>2097</v>
      </c>
      <c r="IC19" s="246">
        <v>44134</v>
      </c>
      <c r="ID19" s="244" t="s">
        <v>4641</v>
      </c>
      <c r="IE19" s="247">
        <v>0</v>
      </c>
      <c r="IF19" s="247" t="s">
        <v>2096</v>
      </c>
      <c r="IG19" s="247" t="s">
        <v>600</v>
      </c>
      <c r="IH19" s="247">
        <v>2</v>
      </c>
      <c r="II19" s="247" t="s">
        <v>3323</v>
      </c>
      <c r="IJ19" s="247" t="s">
        <v>2097</v>
      </c>
      <c r="IK19" s="237">
        <v>44134</v>
      </c>
      <c r="IL19" s="245" t="s">
        <v>4642</v>
      </c>
      <c r="IM19" s="245">
        <v>0</v>
      </c>
      <c r="IN19" s="245" t="s">
        <v>2096</v>
      </c>
      <c r="IO19" s="245" t="s">
        <v>600</v>
      </c>
      <c r="IP19" s="245">
        <v>2</v>
      </c>
      <c r="IQ19" s="245" t="s">
        <v>3323</v>
      </c>
      <c r="IR19" s="245" t="s">
        <v>2097</v>
      </c>
      <c r="IS19" s="246">
        <v>44134</v>
      </c>
    </row>
    <row r="20" spans="1:253" s="11" customFormat="1" ht="13.2" x14ac:dyDescent="0.25">
      <c r="A20" s="11" t="s">
        <v>3819</v>
      </c>
      <c r="B20" s="11" t="s">
        <v>3258</v>
      </c>
      <c r="C20" s="11" t="s">
        <v>3821</v>
      </c>
      <c r="D20" s="11" t="s">
        <v>49</v>
      </c>
      <c r="E20" s="11" t="s">
        <v>48</v>
      </c>
      <c r="F20" s="11" t="s">
        <v>4643</v>
      </c>
      <c r="G20" s="235">
        <v>21138000</v>
      </c>
      <c r="H20" s="236" t="s">
        <v>3275</v>
      </c>
      <c r="I20" s="236" t="s">
        <v>600</v>
      </c>
      <c r="J20" s="236">
        <v>2</v>
      </c>
      <c r="K20" s="236" t="s">
        <v>2574</v>
      </c>
      <c r="L20" s="236" t="s">
        <v>2581</v>
      </c>
      <c r="M20" s="237">
        <v>44134</v>
      </c>
      <c r="N20" s="244" t="s">
        <v>4644</v>
      </c>
      <c r="O20" s="239">
        <v>270764</v>
      </c>
      <c r="P20" s="239" t="s">
        <v>2575</v>
      </c>
      <c r="Q20" s="239" t="s">
        <v>601</v>
      </c>
      <c r="R20" s="239">
        <v>1</v>
      </c>
      <c r="S20" s="239" t="s">
        <v>3864</v>
      </c>
      <c r="T20" s="239" t="s">
        <v>3859</v>
      </c>
      <c r="U20" s="240">
        <v>44134</v>
      </c>
      <c r="V20" s="244" t="s">
        <v>4645</v>
      </c>
      <c r="W20" s="236">
        <v>21138000</v>
      </c>
      <c r="X20" s="236" t="s">
        <v>3275</v>
      </c>
      <c r="Y20" s="236" t="s">
        <v>600</v>
      </c>
      <c r="Z20" s="236">
        <v>2</v>
      </c>
      <c r="AA20" s="236" t="s">
        <v>3864</v>
      </c>
      <c r="AB20" s="236" t="s">
        <v>2581</v>
      </c>
      <c r="AC20" s="237">
        <v>44134</v>
      </c>
      <c r="AD20" s="244" t="s">
        <v>4646</v>
      </c>
      <c r="AE20" s="241">
        <v>5383000</v>
      </c>
      <c r="AF20" s="241" t="s">
        <v>3855</v>
      </c>
      <c r="AG20" s="241" t="s">
        <v>599</v>
      </c>
      <c r="AH20" s="241">
        <v>3</v>
      </c>
      <c r="AI20" s="241">
        <v>0</v>
      </c>
      <c r="AJ20" s="241" t="s">
        <v>3860</v>
      </c>
      <c r="AK20" s="242">
        <v>44134</v>
      </c>
      <c r="AL20" s="244" t="s">
        <v>4647</v>
      </c>
      <c r="AM20" s="236">
        <v>1051000</v>
      </c>
      <c r="AN20" s="236" t="s">
        <v>3277</v>
      </c>
      <c r="AO20" s="236" t="s">
        <v>599</v>
      </c>
      <c r="AP20" s="236">
        <v>3</v>
      </c>
      <c r="AQ20" s="236" t="s">
        <v>3865</v>
      </c>
      <c r="AR20" s="236" t="s">
        <v>2806</v>
      </c>
      <c r="AS20" s="237">
        <v>44134</v>
      </c>
      <c r="AT20" s="245" t="s">
        <v>4648</v>
      </c>
      <c r="AU20" s="241" t="s">
        <v>393</v>
      </c>
      <c r="AV20" s="241" t="s">
        <v>393</v>
      </c>
      <c r="AW20" s="241" t="s">
        <v>393</v>
      </c>
      <c r="AX20" s="241" t="s">
        <v>393</v>
      </c>
      <c r="AY20" s="241" t="s">
        <v>3866</v>
      </c>
      <c r="AZ20" s="241" t="s">
        <v>3854</v>
      </c>
      <c r="BA20" s="242">
        <v>44134</v>
      </c>
      <c r="BB20" s="244" t="s">
        <v>4649</v>
      </c>
      <c r="BC20" s="236" t="s">
        <v>393</v>
      </c>
      <c r="BD20" s="236" t="s">
        <v>393</v>
      </c>
      <c r="BE20" s="236" t="s">
        <v>393</v>
      </c>
      <c r="BF20" s="236" t="s">
        <v>393</v>
      </c>
      <c r="BG20" s="236" t="s">
        <v>3867</v>
      </c>
      <c r="BH20" s="236" t="s">
        <v>3854</v>
      </c>
      <c r="BI20" s="237">
        <v>44134</v>
      </c>
      <c r="BJ20" s="245" t="s">
        <v>4650</v>
      </c>
      <c r="BK20" s="245">
        <v>1157</v>
      </c>
      <c r="BL20" s="245" t="s">
        <v>3856</v>
      </c>
      <c r="BM20" s="245" t="s">
        <v>600</v>
      </c>
      <c r="BN20" s="245">
        <v>2</v>
      </c>
      <c r="BO20" s="245" t="s">
        <v>3868</v>
      </c>
      <c r="BP20" s="241" t="s">
        <v>3861</v>
      </c>
      <c r="BQ20" s="246">
        <v>44134</v>
      </c>
      <c r="BR20" s="244" t="s">
        <v>4651</v>
      </c>
      <c r="BS20" s="247">
        <v>3446</v>
      </c>
      <c r="BT20" s="247" t="s">
        <v>3280</v>
      </c>
      <c r="BU20" s="247" t="s">
        <v>599</v>
      </c>
      <c r="BV20" s="247">
        <v>3</v>
      </c>
      <c r="BW20" s="247" t="s">
        <v>3412</v>
      </c>
      <c r="BX20" s="247" t="s">
        <v>3410</v>
      </c>
      <c r="BY20" s="237">
        <v>44134</v>
      </c>
      <c r="BZ20" s="245" t="s">
        <v>4652</v>
      </c>
      <c r="CA20" s="245">
        <v>12378</v>
      </c>
      <c r="CB20" s="245" t="s">
        <v>3857</v>
      </c>
      <c r="CC20" s="245" t="s">
        <v>600</v>
      </c>
      <c r="CD20" s="245">
        <v>2</v>
      </c>
      <c r="CE20" s="245" t="s">
        <v>3869</v>
      </c>
      <c r="CF20" s="245" t="s">
        <v>3862</v>
      </c>
      <c r="CG20" s="246">
        <v>44134</v>
      </c>
      <c r="CH20" s="244" t="s">
        <v>4653</v>
      </c>
      <c r="CI20" s="245" t="e">
        <v>#N/A</v>
      </c>
      <c r="CJ20" s="245" t="e">
        <v>#N/A</v>
      </c>
      <c r="CK20" s="245" t="e">
        <v>#N/A</v>
      </c>
      <c r="CL20" s="245" t="e">
        <v>#N/A</v>
      </c>
      <c r="CM20" s="245" t="e">
        <v>#N/A</v>
      </c>
      <c r="CN20" s="245" t="e">
        <v>#N/A</v>
      </c>
      <c r="CO20" s="248" t="e">
        <v>#N/A</v>
      </c>
      <c r="CP20" s="245" t="s">
        <v>4654</v>
      </c>
      <c r="CQ20" s="247" t="s">
        <v>393</v>
      </c>
      <c r="CR20" s="247" t="s">
        <v>393</v>
      </c>
      <c r="CS20" s="247" t="s">
        <v>393</v>
      </c>
      <c r="CT20" s="247" t="s">
        <v>393</v>
      </c>
      <c r="CU20" s="247" t="s">
        <v>704</v>
      </c>
      <c r="CV20" s="247" t="s">
        <v>3854</v>
      </c>
      <c r="CW20" s="237">
        <v>44134</v>
      </c>
      <c r="CX20" s="245" t="s">
        <v>4655</v>
      </c>
      <c r="CY20" s="241">
        <v>2220000</v>
      </c>
      <c r="CZ20" s="241" t="s">
        <v>3858</v>
      </c>
      <c r="DA20" s="241" t="s">
        <v>600</v>
      </c>
      <c r="DB20" s="241">
        <v>2</v>
      </c>
      <c r="DC20" s="241" t="s">
        <v>3870</v>
      </c>
      <c r="DD20" s="241" t="s">
        <v>3863</v>
      </c>
      <c r="DE20" s="243">
        <v>44134</v>
      </c>
      <c r="DF20" s="244" t="s">
        <v>4656</v>
      </c>
      <c r="DG20" s="236">
        <v>15755000</v>
      </c>
      <c r="DH20" s="247" t="s">
        <v>3858</v>
      </c>
      <c r="DI20" s="247" t="s">
        <v>600</v>
      </c>
      <c r="DJ20" s="247">
        <v>2</v>
      </c>
      <c r="DK20" s="247" t="s">
        <v>3870</v>
      </c>
      <c r="DL20" s="247" t="s">
        <v>3863</v>
      </c>
      <c r="DM20" s="237">
        <v>44134</v>
      </c>
      <c r="DN20" s="245" t="s">
        <v>4657</v>
      </c>
      <c r="DO20" s="241">
        <v>3163000</v>
      </c>
      <c r="DP20" s="245" t="s">
        <v>3858</v>
      </c>
      <c r="DQ20" s="245" t="s">
        <v>600</v>
      </c>
      <c r="DR20" s="245">
        <v>2</v>
      </c>
      <c r="DS20" s="245" t="s">
        <v>3870</v>
      </c>
      <c r="DT20" s="245" t="s">
        <v>3863</v>
      </c>
      <c r="DU20" s="246">
        <v>44134</v>
      </c>
      <c r="DV20" s="244" t="s">
        <v>4658</v>
      </c>
      <c r="DW20" s="236">
        <v>540000</v>
      </c>
      <c r="DX20" s="247" t="s">
        <v>3858</v>
      </c>
      <c r="DY20" s="247" t="s">
        <v>600</v>
      </c>
      <c r="DZ20" s="247">
        <v>2</v>
      </c>
      <c r="EA20" s="247" t="s">
        <v>3870</v>
      </c>
      <c r="EB20" s="247" t="s">
        <v>3863</v>
      </c>
      <c r="EC20" s="237">
        <v>44134</v>
      </c>
      <c r="ED20" s="245" t="s">
        <v>4659</v>
      </c>
      <c r="EE20" s="241">
        <v>764000</v>
      </c>
      <c r="EF20" s="245" t="s">
        <v>3858</v>
      </c>
      <c r="EG20" s="245" t="s">
        <v>600</v>
      </c>
      <c r="EH20" s="245">
        <v>2</v>
      </c>
      <c r="EI20" s="245" t="s">
        <v>3870</v>
      </c>
      <c r="EJ20" s="245" t="s">
        <v>3863</v>
      </c>
      <c r="EK20" s="246">
        <v>44134</v>
      </c>
      <c r="EL20" s="244" t="s">
        <v>4660</v>
      </c>
      <c r="EM20" s="236">
        <v>916000</v>
      </c>
      <c r="EN20" s="247" t="s">
        <v>3858</v>
      </c>
      <c r="EO20" s="247" t="s">
        <v>600</v>
      </c>
      <c r="EP20" s="247">
        <v>2</v>
      </c>
      <c r="EQ20" s="247" t="s">
        <v>3870</v>
      </c>
      <c r="ER20" s="247" t="s">
        <v>3863</v>
      </c>
      <c r="ES20" s="237">
        <v>44134</v>
      </c>
      <c r="ET20" s="245" t="s">
        <v>4661</v>
      </c>
      <c r="EU20" s="245">
        <v>1157</v>
      </c>
      <c r="EV20" s="245" t="s">
        <v>3856</v>
      </c>
      <c r="EW20" s="245" t="s">
        <v>600</v>
      </c>
      <c r="EX20" s="245">
        <v>2</v>
      </c>
      <c r="EY20" s="245" t="s">
        <v>3868</v>
      </c>
      <c r="EZ20" s="245" t="s">
        <v>3861</v>
      </c>
      <c r="FA20" s="246">
        <v>44134</v>
      </c>
      <c r="FB20" s="244" t="s">
        <v>4662</v>
      </c>
      <c r="FC20" s="247">
        <v>5</v>
      </c>
      <c r="FD20" s="247" t="s">
        <v>393</v>
      </c>
      <c r="FE20" s="247" t="s">
        <v>393</v>
      </c>
      <c r="FF20" s="247" t="s">
        <v>393</v>
      </c>
      <c r="FG20" s="247" t="s">
        <v>3871</v>
      </c>
      <c r="FH20" s="247" t="s">
        <v>3854</v>
      </c>
      <c r="FI20" s="237">
        <v>44134</v>
      </c>
      <c r="FJ20" s="244" t="s">
        <v>4663</v>
      </c>
      <c r="FK20" s="245" t="s">
        <v>393</v>
      </c>
      <c r="FL20" s="245" t="s">
        <v>393</v>
      </c>
      <c r="FM20" s="245" t="s">
        <v>393</v>
      </c>
      <c r="FN20" s="245" t="s">
        <v>393</v>
      </c>
      <c r="FO20" s="245" t="s">
        <v>393</v>
      </c>
      <c r="FP20" s="241" t="s">
        <v>3854</v>
      </c>
      <c r="FQ20" s="242">
        <v>44134</v>
      </c>
      <c r="FR20" s="244" t="s">
        <v>4664</v>
      </c>
      <c r="FS20" s="247" t="s">
        <v>393</v>
      </c>
      <c r="FT20" s="247" t="s">
        <v>393</v>
      </c>
      <c r="FU20" s="247" t="s">
        <v>393</v>
      </c>
      <c r="FV20" s="247" t="s">
        <v>393</v>
      </c>
      <c r="FW20" s="247" t="s">
        <v>393</v>
      </c>
      <c r="FX20" s="247" t="s">
        <v>3854</v>
      </c>
      <c r="FY20" s="237">
        <v>44134</v>
      </c>
      <c r="FZ20" s="245" t="s">
        <v>4665</v>
      </c>
      <c r="GA20" s="245">
        <v>0</v>
      </c>
      <c r="GB20" s="245" t="s">
        <v>2096</v>
      </c>
      <c r="GC20" s="245" t="s">
        <v>600</v>
      </c>
      <c r="GD20" s="245">
        <v>2</v>
      </c>
      <c r="GE20" s="245" t="s">
        <v>3323</v>
      </c>
      <c r="GF20" s="245" t="s">
        <v>2097</v>
      </c>
      <c r="GG20" s="246">
        <v>44134</v>
      </c>
      <c r="GH20" s="244" t="s">
        <v>4666</v>
      </c>
      <c r="GI20" s="247">
        <v>2</v>
      </c>
      <c r="GJ20" s="247" t="s">
        <v>2096</v>
      </c>
      <c r="GK20" s="247" t="s">
        <v>600</v>
      </c>
      <c r="GL20" s="247">
        <v>2</v>
      </c>
      <c r="GM20" s="247" t="s">
        <v>3323</v>
      </c>
      <c r="GN20" s="247" t="s">
        <v>2097</v>
      </c>
      <c r="GO20" s="237">
        <v>44134</v>
      </c>
      <c r="GP20" s="245" t="s">
        <v>4667</v>
      </c>
      <c r="GQ20" s="245">
        <v>0</v>
      </c>
      <c r="GR20" s="245" t="s">
        <v>2096</v>
      </c>
      <c r="GS20" s="245" t="s">
        <v>600</v>
      </c>
      <c r="GT20" s="245">
        <v>2</v>
      </c>
      <c r="GU20" s="245" t="s">
        <v>3323</v>
      </c>
      <c r="GV20" s="245" t="s">
        <v>2097</v>
      </c>
      <c r="GW20" s="246">
        <v>44134</v>
      </c>
      <c r="GX20" s="244" t="s">
        <v>4668</v>
      </c>
      <c r="GY20" s="247">
        <v>3</v>
      </c>
      <c r="GZ20" s="247" t="s">
        <v>2096</v>
      </c>
      <c r="HA20" s="247" t="s">
        <v>600</v>
      </c>
      <c r="HB20" s="247">
        <v>2</v>
      </c>
      <c r="HC20" s="247" t="s">
        <v>3323</v>
      </c>
      <c r="HD20" s="247" t="s">
        <v>2097</v>
      </c>
      <c r="HE20" s="237">
        <v>44134</v>
      </c>
      <c r="HF20" s="245" t="s">
        <v>4669</v>
      </c>
      <c r="HG20" s="245">
        <v>0</v>
      </c>
      <c r="HH20" s="245" t="s">
        <v>2096</v>
      </c>
      <c r="HI20" s="245" t="s">
        <v>600</v>
      </c>
      <c r="HJ20" s="245">
        <v>2</v>
      </c>
      <c r="HK20" s="245" t="s">
        <v>3323</v>
      </c>
      <c r="HL20" s="245" t="s">
        <v>2097</v>
      </c>
      <c r="HM20" s="246">
        <v>44134</v>
      </c>
      <c r="HN20" s="244" t="s">
        <v>4670</v>
      </c>
      <c r="HO20" s="247">
        <v>2</v>
      </c>
      <c r="HP20" s="247" t="s">
        <v>2096</v>
      </c>
      <c r="HQ20" s="247" t="s">
        <v>600</v>
      </c>
      <c r="HR20" s="247">
        <v>2</v>
      </c>
      <c r="HS20" s="247" t="s">
        <v>3323</v>
      </c>
      <c r="HT20" s="247" t="s">
        <v>2097</v>
      </c>
      <c r="HU20" s="237">
        <v>44134</v>
      </c>
      <c r="HV20" s="245" t="s">
        <v>4671</v>
      </c>
      <c r="HW20" s="245">
        <v>3</v>
      </c>
      <c r="HX20" s="245" t="s">
        <v>2096</v>
      </c>
      <c r="HY20" s="245" t="s">
        <v>600</v>
      </c>
      <c r="HZ20" s="245">
        <v>2</v>
      </c>
      <c r="IA20" s="245" t="s">
        <v>3323</v>
      </c>
      <c r="IB20" s="245" t="s">
        <v>2097</v>
      </c>
      <c r="IC20" s="246">
        <v>44134</v>
      </c>
      <c r="ID20" s="244" t="s">
        <v>4672</v>
      </c>
      <c r="IE20" s="247">
        <v>0</v>
      </c>
      <c r="IF20" s="247" t="s">
        <v>2096</v>
      </c>
      <c r="IG20" s="247" t="s">
        <v>600</v>
      </c>
      <c r="IH20" s="247">
        <v>2</v>
      </c>
      <c r="II20" s="247" t="s">
        <v>3323</v>
      </c>
      <c r="IJ20" s="247" t="s">
        <v>2097</v>
      </c>
      <c r="IK20" s="237">
        <v>44134</v>
      </c>
      <c r="IL20" s="245" t="s">
        <v>4673</v>
      </c>
      <c r="IM20" s="245">
        <v>0</v>
      </c>
      <c r="IN20" s="245" t="s">
        <v>2096</v>
      </c>
      <c r="IO20" s="245" t="s">
        <v>600</v>
      </c>
      <c r="IP20" s="245">
        <v>2</v>
      </c>
      <c r="IQ20" s="245" t="s">
        <v>3323</v>
      </c>
      <c r="IR20" s="245" t="s">
        <v>2097</v>
      </c>
      <c r="IS20" s="246">
        <v>44134</v>
      </c>
    </row>
    <row r="21" spans="1:253" s="11" customFormat="1" ht="13.2" x14ac:dyDescent="0.25">
      <c r="A21" s="11" t="s">
        <v>1320</v>
      </c>
      <c r="B21" s="11" t="s">
        <v>691</v>
      </c>
      <c r="C21" s="11" t="s">
        <v>2914</v>
      </c>
      <c r="D21" s="11" t="s">
        <v>51</v>
      </c>
      <c r="E21" s="11" t="s">
        <v>50</v>
      </c>
      <c r="F21" s="11" t="s">
        <v>4674</v>
      </c>
      <c r="G21" s="235">
        <v>11891000</v>
      </c>
      <c r="H21" s="236" t="s">
        <v>3367</v>
      </c>
      <c r="I21" s="236" t="s">
        <v>600</v>
      </c>
      <c r="J21" s="236">
        <v>2</v>
      </c>
      <c r="K21" s="236" t="s">
        <v>3602</v>
      </c>
      <c r="L21" s="236" t="s">
        <v>3603</v>
      </c>
      <c r="M21" s="237">
        <v>44110</v>
      </c>
      <c r="N21" s="244" t="s">
        <v>4675</v>
      </c>
      <c r="O21" s="239">
        <v>25680</v>
      </c>
      <c r="P21" s="239" t="s">
        <v>3368</v>
      </c>
      <c r="Q21" s="239" t="s">
        <v>601</v>
      </c>
      <c r="R21" s="239">
        <v>1</v>
      </c>
      <c r="S21" s="239" t="s">
        <v>3605</v>
      </c>
      <c r="T21" s="239" t="s">
        <v>3604</v>
      </c>
      <c r="U21" s="240">
        <v>44110</v>
      </c>
      <c r="V21" s="244" t="s">
        <v>4676</v>
      </c>
      <c r="W21" s="236">
        <v>11657000</v>
      </c>
      <c r="X21" s="236" t="s">
        <v>3928</v>
      </c>
      <c r="Y21" s="236" t="s">
        <v>600</v>
      </c>
      <c r="Z21" s="236">
        <v>2</v>
      </c>
      <c r="AA21" s="236" t="s">
        <v>3927</v>
      </c>
      <c r="AB21" s="236" t="s">
        <v>3483</v>
      </c>
      <c r="AC21" s="237">
        <v>44134</v>
      </c>
      <c r="AD21" s="244" t="s">
        <v>4677</v>
      </c>
      <c r="AE21" s="241">
        <v>5289000</v>
      </c>
      <c r="AF21" s="241" t="s">
        <v>3928</v>
      </c>
      <c r="AG21" s="241" t="s">
        <v>600</v>
      </c>
      <c r="AH21" s="241">
        <v>2</v>
      </c>
      <c r="AI21" s="241" t="s">
        <v>3915</v>
      </c>
      <c r="AJ21" s="241" t="s">
        <v>3483</v>
      </c>
      <c r="AK21" s="242">
        <v>44134</v>
      </c>
      <c r="AL21" s="244" t="s">
        <v>4678</v>
      </c>
      <c r="AM21" s="236">
        <v>502000</v>
      </c>
      <c r="AN21" s="236" t="s">
        <v>3945</v>
      </c>
      <c r="AO21" s="236" t="s">
        <v>600</v>
      </c>
      <c r="AP21" s="236">
        <v>2</v>
      </c>
      <c r="AQ21" s="236" t="s">
        <v>3484</v>
      </c>
      <c r="AR21" s="236" t="s">
        <v>3944</v>
      </c>
      <c r="AS21" s="237">
        <v>44134</v>
      </c>
      <c r="AT21" s="245" t="s">
        <v>4679</v>
      </c>
      <c r="AU21" s="241" t="s">
        <v>393</v>
      </c>
      <c r="AV21" s="241" t="s">
        <v>393</v>
      </c>
      <c r="AW21" s="241" t="s">
        <v>393</v>
      </c>
      <c r="AX21" s="241" t="s">
        <v>393</v>
      </c>
      <c r="AY21" s="241" t="s">
        <v>1428</v>
      </c>
      <c r="AZ21" s="241" t="s">
        <v>393</v>
      </c>
      <c r="BA21" s="242">
        <v>43676</v>
      </c>
      <c r="BB21" s="244" t="s">
        <v>4680</v>
      </c>
      <c r="BC21" s="236">
        <v>70187</v>
      </c>
      <c r="BD21" s="236" t="s">
        <v>1073</v>
      </c>
      <c r="BE21" s="236" t="s">
        <v>600</v>
      </c>
      <c r="BF21" s="236">
        <v>2</v>
      </c>
      <c r="BG21" s="236" t="s">
        <v>1131</v>
      </c>
      <c r="BH21" s="236" t="s">
        <v>1075</v>
      </c>
      <c r="BI21" s="237">
        <v>43523</v>
      </c>
      <c r="BJ21" s="245" t="s">
        <v>4681</v>
      </c>
      <c r="BK21" s="245">
        <v>223</v>
      </c>
      <c r="BL21" s="245" t="s">
        <v>3929</v>
      </c>
      <c r="BM21" s="245" t="s">
        <v>600</v>
      </c>
      <c r="BN21" s="245">
        <v>2</v>
      </c>
      <c r="BO21" s="245" t="s">
        <v>3946</v>
      </c>
      <c r="BP21" s="241" t="s">
        <v>2205</v>
      </c>
      <c r="BQ21" s="246">
        <v>44134</v>
      </c>
      <c r="BR21" s="244" t="s">
        <v>4682</v>
      </c>
      <c r="BS21" s="247" t="s">
        <v>393</v>
      </c>
      <c r="BT21" s="247">
        <v>0</v>
      </c>
      <c r="BU21" s="247" t="s">
        <v>600</v>
      </c>
      <c r="BV21" s="247">
        <v>2</v>
      </c>
      <c r="BW21" s="247" t="s">
        <v>1132</v>
      </c>
      <c r="BX21" s="247">
        <v>0</v>
      </c>
      <c r="BY21" s="237">
        <v>43523</v>
      </c>
      <c r="BZ21" s="245" t="s">
        <v>4683</v>
      </c>
      <c r="CA21" s="245" t="s">
        <v>393</v>
      </c>
      <c r="CB21" s="245" t="s">
        <v>393</v>
      </c>
      <c r="CC21" s="245" t="s">
        <v>393</v>
      </c>
      <c r="CD21" s="245" t="s">
        <v>393</v>
      </c>
      <c r="CE21" s="245" t="s">
        <v>1132</v>
      </c>
      <c r="CF21" s="245" t="s">
        <v>393</v>
      </c>
      <c r="CG21" s="246">
        <v>43523</v>
      </c>
      <c r="CH21" s="244" t="s">
        <v>4684</v>
      </c>
      <c r="CI21" s="245" t="e">
        <v>#N/A</v>
      </c>
      <c r="CJ21" s="245" t="e">
        <v>#N/A</v>
      </c>
      <c r="CK21" s="245" t="e">
        <v>#N/A</v>
      </c>
      <c r="CL21" s="245" t="e">
        <v>#N/A</v>
      </c>
      <c r="CM21" s="245" t="e">
        <v>#N/A</v>
      </c>
      <c r="CN21" s="245" t="e">
        <v>#N/A</v>
      </c>
      <c r="CO21" s="248" t="e">
        <v>#N/A</v>
      </c>
      <c r="CP21" s="245" t="s">
        <v>4685</v>
      </c>
      <c r="CQ21" s="247">
        <v>444</v>
      </c>
      <c r="CR21" s="247" t="s">
        <v>954</v>
      </c>
      <c r="CS21" s="247" t="s">
        <v>600</v>
      </c>
      <c r="CT21" s="247">
        <v>2</v>
      </c>
      <c r="CU21" s="247" t="s">
        <v>1133</v>
      </c>
      <c r="CV21" s="247" t="s">
        <v>955</v>
      </c>
      <c r="CW21" s="237">
        <v>43523</v>
      </c>
      <c r="CX21" s="245" t="s">
        <v>4686</v>
      </c>
      <c r="CY21" s="241">
        <v>1334000</v>
      </c>
      <c r="CZ21" s="241" t="s">
        <v>3928</v>
      </c>
      <c r="DA21" s="241" t="s">
        <v>600</v>
      </c>
      <c r="DB21" s="241">
        <v>2</v>
      </c>
      <c r="DC21" s="241" t="s">
        <v>3916</v>
      </c>
      <c r="DD21" s="241" t="s">
        <v>3483</v>
      </c>
      <c r="DE21" s="243">
        <v>44134</v>
      </c>
      <c r="DF21" s="244" t="s">
        <v>4687</v>
      </c>
      <c r="DG21" s="236">
        <v>6368000</v>
      </c>
      <c r="DH21" s="247" t="s">
        <v>3928</v>
      </c>
      <c r="DI21" s="247" t="s">
        <v>600</v>
      </c>
      <c r="DJ21" s="247">
        <v>2</v>
      </c>
      <c r="DK21" s="247" t="s">
        <v>3916</v>
      </c>
      <c r="DL21" s="247" t="s">
        <v>3483</v>
      </c>
      <c r="DM21" s="237">
        <v>44134</v>
      </c>
      <c r="DN21" s="245" t="s">
        <v>4688</v>
      </c>
      <c r="DO21" s="241">
        <v>3955000</v>
      </c>
      <c r="DP21" s="245" t="s">
        <v>3928</v>
      </c>
      <c r="DQ21" s="245" t="s">
        <v>600</v>
      </c>
      <c r="DR21" s="245">
        <v>2</v>
      </c>
      <c r="DS21" s="245" t="s">
        <v>3916</v>
      </c>
      <c r="DT21" s="245" t="s">
        <v>3483</v>
      </c>
      <c r="DU21" s="246">
        <v>44134</v>
      </c>
      <c r="DV21" s="244" t="s">
        <v>4689</v>
      </c>
      <c r="DW21" s="236">
        <v>1206000</v>
      </c>
      <c r="DX21" s="247" t="s">
        <v>3928</v>
      </c>
      <c r="DY21" s="247" t="s">
        <v>600</v>
      </c>
      <c r="DZ21" s="247">
        <v>2</v>
      </c>
      <c r="EA21" s="247" t="s">
        <v>3916</v>
      </c>
      <c r="EB21" s="247" t="s">
        <v>3483</v>
      </c>
      <c r="EC21" s="237">
        <v>44134</v>
      </c>
      <c r="ED21" s="245" t="s">
        <v>4690</v>
      </c>
      <c r="EE21" s="241">
        <v>128000</v>
      </c>
      <c r="EF21" s="245" t="s">
        <v>3928</v>
      </c>
      <c r="EG21" s="245" t="s">
        <v>600</v>
      </c>
      <c r="EH21" s="245">
        <v>2</v>
      </c>
      <c r="EI21" s="245" t="s">
        <v>3916</v>
      </c>
      <c r="EJ21" s="245" t="s">
        <v>3483</v>
      </c>
      <c r="EK21" s="246">
        <v>44134</v>
      </c>
      <c r="EL21" s="244" t="s">
        <v>4691</v>
      </c>
      <c r="EM21" s="236">
        <v>0</v>
      </c>
      <c r="EN21" s="247" t="s">
        <v>3928</v>
      </c>
      <c r="EO21" s="247" t="s">
        <v>600</v>
      </c>
      <c r="EP21" s="247">
        <v>2</v>
      </c>
      <c r="EQ21" s="247" t="s">
        <v>3916</v>
      </c>
      <c r="ER21" s="247" t="s">
        <v>3483</v>
      </c>
      <c r="ES21" s="237">
        <v>44134</v>
      </c>
      <c r="ET21" s="245" t="s">
        <v>4692</v>
      </c>
      <c r="EU21" s="245">
        <v>223</v>
      </c>
      <c r="EV21" s="245" t="s">
        <v>3929</v>
      </c>
      <c r="EW21" s="245" t="s">
        <v>600</v>
      </c>
      <c r="EX21" s="245">
        <v>2</v>
      </c>
      <c r="EY21" s="245" t="s">
        <v>3946</v>
      </c>
      <c r="EZ21" s="245" t="s">
        <v>2205</v>
      </c>
      <c r="FA21" s="246">
        <v>44134</v>
      </c>
      <c r="FB21" s="244" t="s">
        <v>4693</v>
      </c>
      <c r="FC21" s="247">
        <v>5</v>
      </c>
      <c r="FD21" s="247">
        <v>0</v>
      </c>
      <c r="FE21" s="247" t="s">
        <v>600</v>
      </c>
      <c r="FF21" s="247">
        <v>2</v>
      </c>
      <c r="FG21" s="247" t="s">
        <v>1134</v>
      </c>
      <c r="FH21" s="247">
        <v>0</v>
      </c>
      <c r="FI21" s="237">
        <v>43523</v>
      </c>
      <c r="FJ21" s="244" t="s">
        <v>4694</v>
      </c>
      <c r="FK21" s="245" t="s">
        <v>393</v>
      </c>
      <c r="FL21" s="245">
        <v>0</v>
      </c>
      <c r="FM21" s="245" t="s">
        <v>600</v>
      </c>
      <c r="FN21" s="245">
        <v>2</v>
      </c>
      <c r="FO21" s="245">
        <v>0</v>
      </c>
      <c r="FP21" s="241">
        <v>0</v>
      </c>
      <c r="FQ21" s="242">
        <v>43523</v>
      </c>
      <c r="FR21" s="244" t="s">
        <v>4695</v>
      </c>
      <c r="FS21" s="247" t="s">
        <v>393</v>
      </c>
      <c r="FT21" s="247">
        <v>0</v>
      </c>
      <c r="FU21" s="247" t="s">
        <v>600</v>
      </c>
      <c r="FV21" s="247">
        <v>2</v>
      </c>
      <c r="FW21" s="247">
        <v>0</v>
      </c>
      <c r="FX21" s="247">
        <v>0</v>
      </c>
      <c r="FY21" s="237">
        <v>43523</v>
      </c>
      <c r="FZ21" s="245" t="s">
        <v>4696</v>
      </c>
      <c r="GA21" s="245">
        <v>2</v>
      </c>
      <c r="GB21" s="245" t="s">
        <v>1587</v>
      </c>
      <c r="GC21" s="245" t="s">
        <v>1364</v>
      </c>
      <c r="GD21" s="245">
        <v>2</v>
      </c>
      <c r="GE21" s="245" t="s">
        <v>1623</v>
      </c>
      <c r="GF21" s="245" t="s">
        <v>1624</v>
      </c>
      <c r="GG21" s="246">
        <v>43767</v>
      </c>
      <c r="GH21" s="244" t="s">
        <v>4697</v>
      </c>
      <c r="GI21" s="247">
        <v>2</v>
      </c>
      <c r="GJ21" s="247" t="s">
        <v>1587</v>
      </c>
      <c r="GK21" s="247" t="s">
        <v>1364</v>
      </c>
      <c r="GL21" s="247">
        <v>2</v>
      </c>
      <c r="GM21" s="247" t="s">
        <v>1623</v>
      </c>
      <c r="GN21" s="247" t="s">
        <v>1624</v>
      </c>
      <c r="GO21" s="237">
        <v>43767</v>
      </c>
      <c r="GP21" s="245" t="s">
        <v>4698</v>
      </c>
      <c r="GQ21" s="245">
        <v>1</v>
      </c>
      <c r="GR21" s="245" t="s">
        <v>1587</v>
      </c>
      <c r="GS21" s="245" t="s">
        <v>1364</v>
      </c>
      <c r="GT21" s="245">
        <v>2</v>
      </c>
      <c r="GU21" s="245" t="s">
        <v>1623</v>
      </c>
      <c r="GV21" s="245" t="s">
        <v>1624</v>
      </c>
      <c r="GW21" s="246">
        <v>43767</v>
      </c>
      <c r="GX21" s="244" t="s">
        <v>4699</v>
      </c>
      <c r="GY21" s="247">
        <v>0</v>
      </c>
      <c r="GZ21" s="247" t="s">
        <v>1587</v>
      </c>
      <c r="HA21" s="247" t="s">
        <v>1364</v>
      </c>
      <c r="HB21" s="247">
        <v>2</v>
      </c>
      <c r="HC21" s="247" t="s">
        <v>1623</v>
      </c>
      <c r="HD21" s="247" t="s">
        <v>1624</v>
      </c>
      <c r="HE21" s="237">
        <v>43767</v>
      </c>
      <c r="HF21" s="245" t="s">
        <v>4700</v>
      </c>
      <c r="HG21" s="245">
        <v>3</v>
      </c>
      <c r="HH21" s="245" t="s">
        <v>1587</v>
      </c>
      <c r="HI21" s="245" t="s">
        <v>1364</v>
      </c>
      <c r="HJ21" s="245">
        <v>2</v>
      </c>
      <c r="HK21" s="245" t="s">
        <v>1623</v>
      </c>
      <c r="HL21" s="245" t="s">
        <v>1624</v>
      </c>
      <c r="HM21" s="246">
        <v>43767</v>
      </c>
      <c r="HN21" s="244" t="s">
        <v>4701</v>
      </c>
      <c r="HO21" s="247">
        <v>1</v>
      </c>
      <c r="HP21" s="247" t="s">
        <v>1587</v>
      </c>
      <c r="HQ21" s="247" t="s">
        <v>1364</v>
      </c>
      <c r="HR21" s="247">
        <v>2</v>
      </c>
      <c r="HS21" s="247" t="s">
        <v>1623</v>
      </c>
      <c r="HT21" s="247" t="s">
        <v>1624</v>
      </c>
      <c r="HU21" s="237">
        <v>43767</v>
      </c>
      <c r="HV21" s="245" t="s">
        <v>4702</v>
      </c>
      <c r="HW21" s="245">
        <v>1</v>
      </c>
      <c r="HX21" s="245" t="s">
        <v>1587</v>
      </c>
      <c r="HY21" s="245" t="s">
        <v>1364</v>
      </c>
      <c r="HZ21" s="245">
        <v>2</v>
      </c>
      <c r="IA21" s="245" t="s">
        <v>1623</v>
      </c>
      <c r="IB21" s="245" t="s">
        <v>1624</v>
      </c>
      <c r="IC21" s="246">
        <v>43767</v>
      </c>
      <c r="ID21" s="244" t="s">
        <v>4703</v>
      </c>
      <c r="IE21" s="247">
        <v>0</v>
      </c>
      <c r="IF21" s="247" t="s">
        <v>1587</v>
      </c>
      <c r="IG21" s="247" t="s">
        <v>1364</v>
      </c>
      <c r="IH21" s="247">
        <v>2</v>
      </c>
      <c r="II21" s="247" t="s">
        <v>1623</v>
      </c>
      <c r="IJ21" s="247" t="s">
        <v>1624</v>
      </c>
      <c r="IK21" s="237">
        <v>43767</v>
      </c>
      <c r="IL21" s="245" t="s">
        <v>4704</v>
      </c>
      <c r="IM21" s="245">
        <v>2</v>
      </c>
      <c r="IN21" s="245" t="s">
        <v>1587</v>
      </c>
      <c r="IO21" s="245" t="s">
        <v>1364</v>
      </c>
      <c r="IP21" s="245">
        <v>2</v>
      </c>
      <c r="IQ21" s="245" t="s">
        <v>1623</v>
      </c>
      <c r="IR21" s="245" t="s">
        <v>1624</v>
      </c>
      <c r="IS21" s="246">
        <v>43767</v>
      </c>
    </row>
    <row r="22" spans="1:253" s="11" customFormat="1" ht="13.2" x14ac:dyDescent="0.25">
      <c r="A22" s="11" t="s">
        <v>1156</v>
      </c>
      <c r="B22" s="11" t="s">
        <v>3258</v>
      </c>
      <c r="C22" s="11" t="s">
        <v>576</v>
      </c>
      <c r="D22" s="11" t="s">
        <v>55</v>
      </c>
      <c r="E22" s="11" t="s">
        <v>54</v>
      </c>
      <c r="F22" s="11" t="s">
        <v>4705</v>
      </c>
      <c r="G22" s="235">
        <v>25947000</v>
      </c>
      <c r="H22" s="236" t="s">
        <v>2835</v>
      </c>
      <c r="I22" s="236" t="s">
        <v>601</v>
      </c>
      <c r="J22" s="236">
        <v>1</v>
      </c>
      <c r="K22" s="236" t="s">
        <v>2115</v>
      </c>
      <c r="L22" s="236" t="s">
        <v>2836</v>
      </c>
      <c r="M22" s="237">
        <v>44069</v>
      </c>
      <c r="N22" s="244" t="s">
        <v>4706</v>
      </c>
      <c r="O22" s="239">
        <v>283816</v>
      </c>
      <c r="P22" s="239" t="s">
        <v>878</v>
      </c>
      <c r="Q22" s="239" t="s">
        <v>601</v>
      </c>
      <c r="R22" s="239">
        <v>1</v>
      </c>
      <c r="S22" s="239" t="s">
        <v>1520</v>
      </c>
      <c r="T22" s="239" t="s">
        <v>881</v>
      </c>
      <c r="U22" s="240">
        <v>43697</v>
      </c>
      <c r="V22" s="244" t="s">
        <v>4707</v>
      </c>
      <c r="W22" s="236">
        <v>10316000</v>
      </c>
      <c r="X22" s="236" t="s">
        <v>3973</v>
      </c>
      <c r="Y22" s="236" t="s">
        <v>600</v>
      </c>
      <c r="Z22" s="236">
        <v>2</v>
      </c>
      <c r="AA22" s="236" t="s">
        <v>1606</v>
      </c>
      <c r="AB22" s="236" t="s">
        <v>3976</v>
      </c>
      <c r="AC22" s="237">
        <v>44134</v>
      </c>
      <c r="AD22" s="244" t="s">
        <v>4708</v>
      </c>
      <c r="AE22" s="241">
        <v>5567000</v>
      </c>
      <c r="AF22" s="241" t="s">
        <v>3974</v>
      </c>
      <c r="AG22" s="241" t="s">
        <v>600</v>
      </c>
      <c r="AH22" s="241">
        <v>2</v>
      </c>
      <c r="AI22" s="241" t="s">
        <v>3966</v>
      </c>
      <c r="AJ22" s="241" t="s">
        <v>3984</v>
      </c>
      <c r="AK22" s="242">
        <v>44134</v>
      </c>
      <c r="AL22" s="244" t="s">
        <v>4709</v>
      </c>
      <c r="AM22" s="236">
        <v>1976000</v>
      </c>
      <c r="AN22" s="236" t="s">
        <v>3982</v>
      </c>
      <c r="AO22" s="236" t="s">
        <v>600</v>
      </c>
      <c r="AP22" s="236">
        <v>2</v>
      </c>
      <c r="AQ22" s="236" t="s">
        <v>3985</v>
      </c>
      <c r="AR22" s="236" t="s">
        <v>3983</v>
      </c>
      <c r="AS22" s="237">
        <v>44134</v>
      </c>
      <c r="AT22" s="245" t="s">
        <v>4710</v>
      </c>
      <c r="AU22" s="241">
        <v>150</v>
      </c>
      <c r="AV22" s="241" t="s">
        <v>1288</v>
      </c>
      <c r="AW22" s="241" t="s">
        <v>600</v>
      </c>
      <c r="AX22" s="241">
        <v>2</v>
      </c>
      <c r="AY22" s="241" t="s">
        <v>1289</v>
      </c>
      <c r="AZ22" s="241" t="s">
        <v>882</v>
      </c>
      <c r="BA22" s="242">
        <v>43584</v>
      </c>
      <c r="BB22" s="244" t="s">
        <v>4711</v>
      </c>
      <c r="BC22" s="236" t="s">
        <v>393</v>
      </c>
      <c r="BD22" s="236" t="s">
        <v>1413</v>
      </c>
      <c r="BE22" s="236" t="s">
        <v>393</v>
      </c>
      <c r="BF22" s="236" t="s">
        <v>393</v>
      </c>
      <c r="BG22" s="236" t="s">
        <v>1415</v>
      </c>
      <c r="BH22" s="236" t="s">
        <v>1414</v>
      </c>
      <c r="BI22" s="237">
        <v>43642</v>
      </c>
      <c r="BJ22" s="245" t="s">
        <v>4712</v>
      </c>
      <c r="BK22" s="245">
        <v>519</v>
      </c>
      <c r="BL22" s="245" t="s">
        <v>3929</v>
      </c>
      <c r="BM22" s="245" t="s">
        <v>600</v>
      </c>
      <c r="BN22" s="245">
        <v>2</v>
      </c>
      <c r="BO22" s="245" t="s">
        <v>3970</v>
      </c>
      <c r="BP22" s="241" t="s">
        <v>2205</v>
      </c>
      <c r="BQ22" s="246">
        <v>44134</v>
      </c>
      <c r="BR22" s="244" t="s">
        <v>4713</v>
      </c>
      <c r="BS22" s="247" t="s">
        <v>393</v>
      </c>
      <c r="BT22" s="247" t="s">
        <v>393</v>
      </c>
      <c r="BU22" s="247" t="s">
        <v>393</v>
      </c>
      <c r="BV22" s="247" t="s">
        <v>393</v>
      </c>
      <c r="BW22" s="247" t="s">
        <v>1519</v>
      </c>
      <c r="BX22" s="247" t="s">
        <v>393</v>
      </c>
      <c r="BY22" s="237">
        <v>43697</v>
      </c>
      <c r="BZ22" s="245" t="s">
        <v>4714</v>
      </c>
      <c r="CA22" s="245" t="s">
        <v>393</v>
      </c>
      <c r="CB22" s="245" t="s">
        <v>393</v>
      </c>
      <c r="CC22" s="245" t="s">
        <v>393</v>
      </c>
      <c r="CD22" s="245" t="s">
        <v>393</v>
      </c>
      <c r="CE22" s="245" t="s">
        <v>1519</v>
      </c>
      <c r="CF22" s="245" t="s">
        <v>393</v>
      </c>
      <c r="CG22" s="246">
        <v>43697</v>
      </c>
      <c r="CH22" s="244" t="s">
        <v>4715</v>
      </c>
      <c r="CI22" s="245" t="e">
        <v>#N/A</v>
      </c>
      <c r="CJ22" s="245" t="e">
        <v>#N/A</v>
      </c>
      <c r="CK22" s="245" t="e">
        <v>#N/A</v>
      </c>
      <c r="CL22" s="245" t="e">
        <v>#N/A</v>
      </c>
      <c r="CM22" s="245" t="e">
        <v>#N/A</v>
      </c>
      <c r="CN22" s="245" t="e">
        <v>#N/A</v>
      </c>
      <c r="CO22" s="248" t="e">
        <v>#N/A</v>
      </c>
      <c r="CP22" s="245" t="s">
        <v>4716</v>
      </c>
      <c r="CQ22" s="247" t="s">
        <v>393</v>
      </c>
      <c r="CR22" s="247" t="s">
        <v>393</v>
      </c>
      <c r="CS22" s="247" t="s">
        <v>393</v>
      </c>
      <c r="CT22" s="247" t="s">
        <v>393</v>
      </c>
      <c r="CU22" s="247" t="s">
        <v>1519</v>
      </c>
      <c r="CV22" s="247" t="s">
        <v>393</v>
      </c>
      <c r="CW22" s="237">
        <v>43697</v>
      </c>
      <c r="CX22" s="245" t="s">
        <v>4717</v>
      </c>
      <c r="CY22" s="241">
        <v>1728000</v>
      </c>
      <c r="CZ22" s="241" t="s">
        <v>2839</v>
      </c>
      <c r="DA22" s="241" t="s">
        <v>600</v>
      </c>
      <c r="DB22" s="241">
        <v>2</v>
      </c>
      <c r="DC22" s="241" t="s">
        <v>1707</v>
      </c>
      <c r="DD22" s="241" t="s">
        <v>3682</v>
      </c>
      <c r="DE22" s="243">
        <v>44069</v>
      </c>
      <c r="DF22" s="244" t="s">
        <v>4718</v>
      </c>
      <c r="DG22" s="236">
        <v>5124000</v>
      </c>
      <c r="DH22" s="247" t="s">
        <v>2839</v>
      </c>
      <c r="DI22" s="247" t="s">
        <v>600</v>
      </c>
      <c r="DJ22" s="247">
        <v>2</v>
      </c>
      <c r="DK22" s="247" t="s">
        <v>1707</v>
      </c>
      <c r="DL22" s="247" t="s">
        <v>3682</v>
      </c>
      <c r="DM22" s="237">
        <v>44069</v>
      </c>
      <c r="DN22" s="245" t="s">
        <v>4719</v>
      </c>
      <c r="DO22" s="241">
        <v>3855000</v>
      </c>
      <c r="DP22" s="245" t="s">
        <v>2839</v>
      </c>
      <c r="DQ22" s="245" t="s">
        <v>600</v>
      </c>
      <c r="DR22" s="245">
        <v>2</v>
      </c>
      <c r="DS22" s="245" t="s">
        <v>1707</v>
      </c>
      <c r="DT22" s="245" t="s">
        <v>3682</v>
      </c>
      <c r="DU22" s="246">
        <v>44069</v>
      </c>
      <c r="DV22" s="244" t="s">
        <v>4720</v>
      </c>
      <c r="DW22" s="236">
        <v>1543000</v>
      </c>
      <c r="DX22" s="247" t="s">
        <v>2839</v>
      </c>
      <c r="DY22" s="247" t="s">
        <v>600</v>
      </c>
      <c r="DZ22" s="247">
        <v>2</v>
      </c>
      <c r="EA22" s="247" t="s">
        <v>1707</v>
      </c>
      <c r="EB22" s="247" t="s">
        <v>3682</v>
      </c>
      <c r="EC22" s="237">
        <v>44069</v>
      </c>
      <c r="ED22" s="245" t="s">
        <v>4721</v>
      </c>
      <c r="EE22" s="241">
        <v>185000</v>
      </c>
      <c r="EF22" s="245" t="s">
        <v>2839</v>
      </c>
      <c r="EG22" s="245" t="s">
        <v>600</v>
      </c>
      <c r="EH22" s="245">
        <v>2</v>
      </c>
      <c r="EI22" s="245" t="s">
        <v>1707</v>
      </c>
      <c r="EJ22" s="245" t="s">
        <v>3682</v>
      </c>
      <c r="EK22" s="246">
        <v>44069</v>
      </c>
      <c r="EL22" s="244" t="s">
        <v>4722</v>
      </c>
      <c r="EM22" s="236">
        <v>0</v>
      </c>
      <c r="EN22" s="247" t="s">
        <v>2839</v>
      </c>
      <c r="EO22" s="247" t="s">
        <v>600</v>
      </c>
      <c r="EP22" s="247">
        <v>2</v>
      </c>
      <c r="EQ22" s="247" t="s">
        <v>1707</v>
      </c>
      <c r="ER22" s="247" t="s">
        <v>3682</v>
      </c>
      <c r="ES22" s="237">
        <v>44069</v>
      </c>
      <c r="ET22" s="245" t="s">
        <v>4723</v>
      </c>
      <c r="EU22" s="245">
        <v>519</v>
      </c>
      <c r="EV22" s="245" t="s">
        <v>3929</v>
      </c>
      <c r="EW22" s="245" t="s">
        <v>600</v>
      </c>
      <c r="EX22" s="245">
        <v>2</v>
      </c>
      <c r="EY22" s="245" t="s">
        <v>3970</v>
      </c>
      <c r="EZ22" s="245" t="s">
        <v>2205</v>
      </c>
      <c r="FA22" s="246">
        <v>44134</v>
      </c>
      <c r="FB22" s="244" t="s">
        <v>4724</v>
      </c>
      <c r="FC22" s="247">
        <v>5</v>
      </c>
      <c r="FD22" s="247">
        <v>0</v>
      </c>
      <c r="FE22" s="247" t="s">
        <v>600</v>
      </c>
      <c r="FF22" s="247">
        <v>2</v>
      </c>
      <c r="FG22" s="247" t="s">
        <v>883</v>
      </c>
      <c r="FH22" s="247">
        <v>0</v>
      </c>
      <c r="FI22" s="237">
        <v>43509</v>
      </c>
      <c r="FJ22" s="244" t="s">
        <v>4725</v>
      </c>
      <c r="FK22" s="245" t="s">
        <v>393</v>
      </c>
      <c r="FL22" s="245">
        <v>0</v>
      </c>
      <c r="FM22" s="245" t="s">
        <v>600</v>
      </c>
      <c r="FN22" s="245">
        <v>2</v>
      </c>
      <c r="FO22" s="245">
        <v>0</v>
      </c>
      <c r="FP22" s="241">
        <v>0</v>
      </c>
      <c r="FQ22" s="242">
        <v>43509</v>
      </c>
      <c r="FR22" s="244" t="s">
        <v>4726</v>
      </c>
      <c r="FS22" s="247" t="s">
        <v>393</v>
      </c>
      <c r="FT22" s="247" t="s">
        <v>393</v>
      </c>
      <c r="FU22" s="247" t="s">
        <v>393</v>
      </c>
      <c r="FV22" s="247" t="s">
        <v>393</v>
      </c>
      <c r="FW22" s="247" t="s">
        <v>1519</v>
      </c>
      <c r="FX22" s="247" t="s">
        <v>393</v>
      </c>
      <c r="FY22" s="237">
        <v>43697</v>
      </c>
      <c r="FZ22" s="245" t="s">
        <v>4727</v>
      </c>
      <c r="GA22" s="245">
        <v>0</v>
      </c>
      <c r="GB22" s="245" t="s">
        <v>1587</v>
      </c>
      <c r="GC22" s="245" t="s">
        <v>601</v>
      </c>
      <c r="GD22" s="245">
        <v>1</v>
      </c>
      <c r="GE22" s="245" t="s">
        <v>1623</v>
      </c>
      <c r="GF22" s="245" t="s">
        <v>1624</v>
      </c>
      <c r="GG22" s="246">
        <v>43767</v>
      </c>
      <c r="GH22" s="244" t="s">
        <v>4728</v>
      </c>
      <c r="GI22" s="247">
        <v>3</v>
      </c>
      <c r="GJ22" s="247" t="s">
        <v>1587</v>
      </c>
      <c r="GK22" s="247" t="s">
        <v>601</v>
      </c>
      <c r="GL22" s="247">
        <v>1</v>
      </c>
      <c r="GM22" s="247" t="s">
        <v>1623</v>
      </c>
      <c r="GN22" s="247" t="s">
        <v>1624</v>
      </c>
      <c r="GO22" s="237">
        <v>43767</v>
      </c>
      <c r="GP22" s="245" t="s">
        <v>4729</v>
      </c>
      <c r="GQ22" s="245">
        <v>3</v>
      </c>
      <c r="GR22" s="245" t="s">
        <v>1587</v>
      </c>
      <c r="GS22" s="245" t="s">
        <v>601</v>
      </c>
      <c r="GT22" s="245">
        <v>1</v>
      </c>
      <c r="GU22" s="245" t="s">
        <v>1623</v>
      </c>
      <c r="GV22" s="245" t="s">
        <v>1624</v>
      </c>
      <c r="GW22" s="246">
        <v>43767</v>
      </c>
      <c r="GX22" s="244" t="s">
        <v>4730</v>
      </c>
      <c r="GY22" s="247">
        <v>0</v>
      </c>
      <c r="GZ22" s="247" t="s">
        <v>1587</v>
      </c>
      <c r="HA22" s="247" t="s">
        <v>601</v>
      </c>
      <c r="HB22" s="247">
        <v>1</v>
      </c>
      <c r="HC22" s="247" t="s">
        <v>1623</v>
      </c>
      <c r="HD22" s="247" t="s">
        <v>1624</v>
      </c>
      <c r="HE22" s="237">
        <v>43767</v>
      </c>
      <c r="HF22" s="245" t="s">
        <v>4731</v>
      </c>
      <c r="HG22" s="245">
        <v>1</v>
      </c>
      <c r="HH22" s="245" t="s">
        <v>1587</v>
      </c>
      <c r="HI22" s="245" t="s">
        <v>601</v>
      </c>
      <c r="HJ22" s="245">
        <v>1</v>
      </c>
      <c r="HK22" s="245" t="s">
        <v>1623</v>
      </c>
      <c r="HL22" s="245" t="s">
        <v>1624</v>
      </c>
      <c r="HM22" s="246">
        <v>43767</v>
      </c>
      <c r="HN22" s="244" t="s">
        <v>4732</v>
      </c>
      <c r="HO22" s="247">
        <v>3</v>
      </c>
      <c r="HP22" s="247" t="s">
        <v>1587</v>
      </c>
      <c r="HQ22" s="247" t="s">
        <v>601</v>
      </c>
      <c r="HR22" s="247">
        <v>1</v>
      </c>
      <c r="HS22" s="247" t="s">
        <v>1623</v>
      </c>
      <c r="HT22" s="247" t="s">
        <v>1624</v>
      </c>
      <c r="HU22" s="237">
        <v>43767</v>
      </c>
      <c r="HV22" s="245" t="s">
        <v>4733</v>
      </c>
      <c r="HW22" s="245">
        <v>2</v>
      </c>
      <c r="HX22" s="245" t="s">
        <v>1587</v>
      </c>
      <c r="HY22" s="245" t="s">
        <v>601</v>
      </c>
      <c r="HZ22" s="245">
        <v>1</v>
      </c>
      <c r="IA22" s="245" t="s">
        <v>1623</v>
      </c>
      <c r="IB22" s="245" t="s">
        <v>1624</v>
      </c>
      <c r="IC22" s="246">
        <v>43767</v>
      </c>
      <c r="ID22" s="244" t="s">
        <v>4734</v>
      </c>
      <c r="IE22" s="247">
        <v>1</v>
      </c>
      <c r="IF22" s="247" t="s">
        <v>1587</v>
      </c>
      <c r="IG22" s="247" t="s">
        <v>601</v>
      </c>
      <c r="IH22" s="247">
        <v>1</v>
      </c>
      <c r="II22" s="247" t="s">
        <v>1623</v>
      </c>
      <c r="IJ22" s="247" t="s">
        <v>1624</v>
      </c>
      <c r="IK22" s="237">
        <v>43767</v>
      </c>
      <c r="IL22" s="245" t="s">
        <v>4735</v>
      </c>
      <c r="IM22" s="245">
        <v>3</v>
      </c>
      <c r="IN22" s="245" t="s">
        <v>1587</v>
      </c>
      <c r="IO22" s="245" t="s">
        <v>601</v>
      </c>
      <c r="IP22" s="245">
        <v>1</v>
      </c>
      <c r="IQ22" s="245" t="s">
        <v>1623</v>
      </c>
      <c r="IR22" s="245" t="s">
        <v>1624</v>
      </c>
      <c r="IS22" s="246">
        <v>43767</v>
      </c>
    </row>
    <row r="23" spans="1:253" s="11" customFormat="1" ht="13.2" x14ac:dyDescent="0.25">
      <c r="A23" s="11" t="s">
        <v>775</v>
      </c>
      <c r="B23" s="11" t="s">
        <v>650</v>
      </c>
      <c r="C23" s="11" t="s">
        <v>670</v>
      </c>
      <c r="D23" s="11" t="s">
        <v>55</v>
      </c>
      <c r="E23" s="11" t="s">
        <v>54</v>
      </c>
      <c r="F23" s="11" t="s">
        <v>4736</v>
      </c>
      <c r="G23" s="235">
        <v>25947000</v>
      </c>
      <c r="H23" s="236" t="s">
        <v>2835</v>
      </c>
      <c r="I23" s="236" t="s">
        <v>601</v>
      </c>
      <c r="J23" s="236">
        <v>1</v>
      </c>
      <c r="K23" s="236" t="s">
        <v>2115</v>
      </c>
      <c r="L23" s="236" t="s">
        <v>2836</v>
      </c>
      <c r="M23" s="237">
        <v>44069</v>
      </c>
      <c r="N23" s="244" t="s">
        <v>4737</v>
      </c>
      <c r="O23" s="239">
        <v>34263</v>
      </c>
      <c r="P23" s="239" t="s">
        <v>1513</v>
      </c>
      <c r="Q23" s="239" t="s">
        <v>601</v>
      </c>
      <c r="R23" s="239">
        <v>1</v>
      </c>
      <c r="S23" s="239" t="s">
        <v>1512</v>
      </c>
      <c r="T23" s="239" t="s">
        <v>881</v>
      </c>
      <c r="U23" s="240">
        <v>43697</v>
      </c>
      <c r="V23" s="244" t="s">
        <v>4738</v>
      </c>
      <c r="W23" s="236">
        <v>4378000</v>
      </c>
      <c r="X23" s="236" t="s">
        <v>2837</v>
      </c>
      <c r="Y23" s="236" t="s">
        <v>600</v>
      </c>
      <c r="Z23" s="236">
        <v>2</v>
      </c>
      <c r="AA23" s="236" t="s">
        <v>2116</v>
      </c>
      <c r="AB23" s="236" t="s">
        <v>3682</v>
      </c>
      <c r="AC23" s="237">
        <v>44069</v>
      </c>
      <c r="AD23" s="244" t="s">
        <v>4739</v>
      </c>
      <c r="AE23" s="241">
        <v>2521000</v>
      </c>
      <c r="AF23" s="241" t="s">
        <v>2837</v>
      </c>
      <c r="AG23" s="241" t="s">
        <v>600</v>
      </c>
      <c r="AH23" s="241">
        <v>2</v>
      </c>
      <c r="AI23" s="241" t="s">
        <v>2117</v>
      </c>
      <c r="AJ23" s="241" t="s">
        <v>3682</v>
      </c>
      <c r="AK23" s="242">
        <v>44069</v>
      </c>
      <c r="AL23" s="244" t="s">
        <v>4740</v>
      </c>
      <c r="AM23" s="236">
        <v>560000</v>
      </c>
      <c r="AN23" s="236" t="s">
        <v>3977</v>
      </c>
      <c r="AO23" s="236" t="s">
        <v>600</v>
      </c>
      <c r="AP23" s="236">
        <v>2</v>
      </c>
      <c r="AQ23" s="236" t="s">
        <v>3979</v>
      </c>
      <c r="AR23" s="236" t="s">
        <v>3978</v>
      </c>
      <c r="AS23" s="237">
        <v>44134</v>
      </c>
      <c r="AT23" s="245" t="s">
        <v>4741</v>
      </c>
      <c r="AU23" s="241" t="s">
        <v>703</v>
      </c>
      <c r="AV23" s="241" t="s">
        <v>703</v>
      </c>
      <c r="AW23" s="241" t="s">
        <v>393</v>
      </c>
      <c r="AX23" s="241" t="s">
        <v>393</v>
      </c>
      <c r="AY23" s="241" t="s">
        <v>1515</v>
      </c>
      <c r="AZ23" s="241" t="s">
        <v>703</v>
      </c>
      <c r="BA23" s="242">
        <v>43697</v>
      </c>
      <c r="BB23" s="244" t="s">
        <v>4742</v>
      </c>
      <c r="BC23" s="236" t="s">
        <v>703</v>
      </c>
      <c r="BD23" s="236" t="s">
        <v>703</v>
      </c>
      <c r="BE23" s="236" t="s">
        <v>393</v>
      </c>
      <c r="BF23" s="236" t="s">
        <v>393</v>
      </c>
      <c r="BG23" s="236" t="s">
        <v>1514</v>
      </c>
      <c r="BH23" s="236" t="s">
        <v>703</v>
      </c>
      <c r="BI23" s="237">
        <v>43697</v>
      </c>
      <c r="BJ23" s="245" t="s">
        <v>4743</v>
      </c>
      <c r="BK23" s="245">
        <v>189</v>
      </c>
      <c r="BL23" s="245" t="s">
        <v>3929</v>
      </c>
      <c r="BM23" s="245" t="s">
        <v>600</v>
      </c>
      <c r="BN23" s="245">
        <v>2</v>
      </c>
      <c r="BO23" s="245" t="s">
        <v>3971</v>
      </c>
      <c r="BP23" s="241" t="s">
        <v>2205</v>
      </c>
      <c r="BQ23" s="246">
        <v>44134</v>
      </c>
      <c r="BR23" s="244" t="s">
        <v>4744</v>
      </c>
      <c r="BS23" s="247" t="s">
        <v>393</v>
      </c>
      <c r="BT23" s="247">
        <v>0</v>
      </c>
      <c r="BU23" s="247" t="s">
        <v>600</v>
      </c>
      <c r="BV23" s="247">
        <v>2</v>
      </c>
      <c r="BW23" s="247">
        <v>0</v>
      </c>
      <c r="BX23" s="247">
        <v>0</v>
      </c>
      <c r="BY23" s="237">
        <v>43509</v>
      </c>
      <c r="BZ23" s="245" t="s">
        <v>4745</v>
      </c>
      <c r="CA23" s="245" t="s">
        <v>393</v>
      </c>
      <c r="CB23" s="245">
        <v>0</v>
      </c>
      <c r="CC23" s="245" t="s">
        <v>393</v>
      </c>
      <c r="CD23" s="245" t="s">
        <v>393</v>
      </c>
      <c r="CE23" s="245">
        <v>0</v>
      </c>
      <c r="CF23" s="245">
        <v>0</v>
      </c>
      <c r="CG23" s="246">
        <v>43509</v>
      </c>
      <c r="CH23" s="244" t="s">
        <v>4746</v>
      </c>
      <c r="CI23" s="245" t="e">
        <v>#N/A</v>
      </c>
      <c r="CJ23" s="245" t="e">
        <v>#N/A</v>
      </c>
      <c r="CK23" s="245" t="e">
        <v>#N/A</v>
      </c>
      <c r="CL23" s="245" t="e">
        <v>#N/A</v>
      </c>
      <c r="CM23" s="245" t="e">
        <v>#N/A</v>
      </c>
      <c r="CN23" s="245" t="e">
        <v>#N/A</v>
      </c>
      <c r="CO23" s="248" t="e">
        <v>#N/A</v>
      </c>
      <c r="CP23" s="245" t="s">
        <v>4747</v>
      </c>
      <c r="CQ23" s="247">
        <v>5.2</v>
      </c>
      <c r="CR23" s="247" t="s">
        <v>886</v>
      </c>
      <c r="CS23" s="247" t="s">
        <v>600</v>
      </c>
      <c r="CT23" s="247">
        <v>2</v>
      </c>
      <c r="CU23" s="247" t="s">
        <v>888</v>
      </c>
      <c r="CV23" s="247" t="s">
        <v>887</v>
      </c>
      <c r="CW23" s="237">
        <v>43509</v>
      </c>
      <c r="CX23" s="245" t="s">
        <v>4748</v>
      </c>
      <c r="CY23" s="241">
        <v>642000</v>
      </c>
      <c r="CZ23" s="241" t="s">
        <v>2837</v>
      </c>
      <c r="DA23" s="241" t="s">
        <v>600</v>
      </c>
      <c r="DB23" s="241">
        <v>2</v>
      </c>
      <c r="DC23" s="241" t="s">
        <v>2840</v>
      </c>
      <c r="DD23" s="241" t="s">
        <v>3682</v>
      </c>
      <c r="DE23" s="243">
        <v>44069</v>
      </c>
      <c r="DF23" s="244" t="s">
        <v>4749</v>
      </c>
      <c r="DG23" s="236">
        <v>1857000</v>
      </c>
      <c r="DH23" s="247" t="s">
        <v>2837</v>
      </c>
      <c r="DI23" s="247" t="s">
        <v>600</v>
      </c>
      <c r="DJ23" s="247">
        <v>2</v>
      </c>
      <c r="DK23" s="247" t="s">
        <v>2840</v>
      </c>
      <c r="DL23" s="247" t="s">
        <v>3682</v>
      </c>
      <c r="DM23" s="237">
        <v>44069</v>
      </c>
      <c r="DN23" s="245" t="s">
        <v>4750</v>
      </c>
      <c r="DO23" s="241">
        <v>1879000</v>
      </c>
      <c r="DP23" s="245" t="s">
        <v>2837</v>
      </c>
      <c r="DQ23" s="245" t="s">
        <v>600</v>
      </c>
      <c r="DR23" s="245">
        <v>2</v>
      </c>
      <c r="DS23" s="245" t="s">
        <v>2840</v>
      </c>
      <c r="DT23" s="245" t="s">
        <v>3682</v>
      </c>
      <c r="DU23" s="246">
        <v>44069</v>
      </c>
      <c r="DV23" s="244" t="s">
        <v>4751</v>
      </c>
      <c r="DW23" s="236">
        <v>553000</v>
      </c>
      <c r="DX23" s="247" t="s">
        <v>2837</v>
      </c>
      <c r="DY23" s="247" t="s">
        <v>600</v>
      </c>
      <c r="DZ23" s="247">
        <v>2</v>
      </c>
      <c r="EA23" s="247" t="s">
        <v>2840</v>
      </c>
      <c r="EB23" s="247" t="s">
        <v>3682</v>
      </c>
      <c r="EC23" s="237">
        <v>44069</v>
      </c>
      <c r="ED23" s="245" t="s">
        <v>4752</v>
      </c>
      <c r="EE23" s="241">
        <v>89000</v>
      </c>
      <c r="EF23" s="245" t="s">
        <v>2837</v>
      </c>
      <c r="EG23" s="245" t="s">
        <v>600</v>
      </c>
      <c r="EH23" s="245">
        <v>2</v>
      </c>
      <c r="EI23" s="245" t="s">
        <v>2840</v>
      </c>
      <c r="EJ23" s="245" t="s">
        <v>3682</v>
      </c>
      <c r="EK23" s="246">
        <v>44069</v>
      </c>
      <c r="EL23" s="244" t="s">
        <v>4753</v>
      </c>
      <c r="EM23" s="236">
        <v>0</v>
      </c>
      <c r="EN23" s="247" t="s">
        <v>2837</v>
      </c>
      <c r="EO23" s="247" t="s">
        <v>600</v>
      </c>
      <c r="EP23" s="247">
        <v>2</v>
      </c>
      <c r="EQ23" s="247" t="s">
        <v>2840</v>
      </c>
      <c r="ER23" s="247" t="s">
        <v>3682</v>
      </c>
      <c r="ES23" s="237">
        <v>44069</v>
      </c>
      <c r="ET23" s="245" t="s">
        <v>4754</v>
      </c>
      <c r="EU23" s="245">
        <v>519</v>
      </c>
      <c r="EV23" s="245" t="s">
        <v>3929</v>
      </c>
      <c r="EW23" s="245" t="s">
        <v>600</v>
      </c>
      <c r="EX23" s="245">
        <v>2</v>
      </c>
      <c r="EY23" s="245" t="s">
        <v>3970</v>
      </c>
      <c r="EZ23" s="245" t="s">
        <v>2205</v>
      </c>
      <c r="FA23" s="246">
        <v>44134</v>
      </c>
      <c r="FB23" s="244" t="s">
        <v>4755</v>
      </c>
      <c r="FC23" s="247">
        <v>5</v>
      </c>
      <c r="FD23" s="247" t="s">
        <v>393</v>
      </c>
      <c r="FE23" s="247" t="s">
        <v>601</v>
      </c>
      <c r="FF23" s="247">
        <v>1</v>
      </c>
      <c r="FG23" s="247" t="s">
        <v>1291</v>
      </c>
      <c r="FH23" s="247" t="s">
        <v>393</v>
      </c>
      <c r="FI23" s="237">
        <v>43584</v>
      </c>
      <c r="FJ23" s="244" t="s">
        <v>4756</v>
      </c>
      <c r="FK23" s="245" t="s">
        <v>393</v>
      </c>
      <c r="FL23" s="245">
        <v>0</v>
      </c>
      <c r="FM23" s="245" t="s">
        <v>600</v>
      </c>
      <c r="FN23" s="245">
        <v>2</v>
      </c>
      <c r="FO23" s="245">
        <v>0</v>
      </c>
      <c r="FP23" s="241">
        <v>0</v>
      </c>
      <c r="FQ23" s="242">
        <v>43509</v>
      </c>
      <c r="FR23" s="244" t="s">
        <v>4757</v>
      </c>
      <c r="FS23" s="247" t="s">
        <v>393</v>
      </c>
      <c r="FT23" s="247">
        <v>0</v>
      </c>
      <c r="FU23" s="247" t="s">
        <v>600</v>
      </c>
      <c r="FV23" s="247">
        <v>2</v>
      </c>
      <c r="FW23" s="247">
        <v>0</v>
      </c>
      <c r="FX23" s="247">
        <v>0</v>
      </c>
      <c r="FY23" s="237">
        <v>43509</v>
      </c>
      <c r="FZ23" s="245" t="s">
        <v>4758</v>
      </c>
      <c r="GA23" s="245">
        <v>0</v>
      </c>
      <c r="GB23" s="245" t="s">
        <v>1587</v>
      </c>
      <c r="GC23" s="245" t="s">
        <v>601</v>
      </c>
      <c r="GD23" s="245">
        <v>1</v>
      </c>
      <c r="GE23" s="245" t="s">
        <v>1623</v>
      </c>
      <c r="GF23" s="245" t="s">
        <v>1624</v>
      </c>
      <c r="GG23" s="246">
        <v>43767</v>
      </c>
      <c r="GH23" s="244" t="s">
        <v>4759</v>
      </c>
      <c r="GI23" s="247">
        <v>0</v>
      </c>
      <c r="GJ23" s="247" t="s">
        <v>1587</v>
      </c>
      <c r="GK23" s="247" t="s">
        <v>601</v>
      </c>
      <c r="GL23" s="247">
        <v>1</v>
      </c>
      <c r="GM23" s="247" t="s">
        <v>1623</v>
      </c>
      <c r="GN23" s="247" t="s">
        <v>1624</v>
      </c>
      <c r="GO23" s="237">
        <v>43767</v>
      </c>
      <c r="GP23" s="245" t="s">
        <v>4760</v>
      </c>
      <c r="GQ23" s="245">
        <v>0</v>
      </c>
      <c r="GR23" s="245" t="s">
        <v>1587</v>
      </c>
      <c r="GS23" s="245" t="s">
        <v>601</v>
      </c>
      <c r="GT23" s="245">
        <v>1</v>
      </c>
      <c r="GU23" s="245" t="s">
        <v>1623</v>
      </c>
      <c r="GV23" s="245" t="s">
        <v>1624</v>
      </c>
      <c r="GW23" s="246">
        <v>43767</v>
      </c>
      <c r="GX23" s="244" t="s">
        <v>4761</v>
      </c>
      <c r="GY23" s="247">
        <v>0</v>
      </c>
      <c r="GZ23" s="247" t="s">
        <v>1587</v>
      </c>
      <c r="HA23" s="247" t="s">
        <v>601</v>
      </c>
      <c r="HB23" s="247">
        <v>1</v>
      </c>
      <c r="HC23" s="247" t="s">
        <v>1623</v>
      </c>
      <c r="HD23" s="247" t="s">
        <v>1624</v>
      </c>
      <c r="HE23" s="237">
        <v>43767</v>
      </c>
      <c r="HF23" s="245" t="s">
        <v>4762</v>
      </c>
      <c r="HG23" s="245">
        <v>0</v>
      </c>
      <c r="HH23" s="245" t="s">
        <v>1587</v>
      </c>
      <c r="HI23" s="245" t="s">
        <v>601</v>
      </c>
      <c r="HJ23" s="245">
        <v>1</v>
      </c>
      <c r="HK23" s="245" t="s">
        <v>1623</v>
      </c>
      <c r="HL23" s="245" t="s">
        <v>1624</v>
      </c>
      <c r="HM23" s="246">
        <v>43767</v>
      </c>
      <c r="HN23" s="244" t="s">
        <v>4763</v>
      </c>
      <c r="HO23" s="247">
        <v>2</v>
      </c>
      <c r="HP23" s="247" t="s">
        <v>1587</v>
      </c>
      <c r="HQ23" s="247" t="s">
        <v>601</v>
      </c>
      <c r="HR23" s="247">
        <v>1</v>
      </c>
      <c r="HS23" s="247" t="s">
        <v>1623</v>
      </c>
      <c r="HT23" s="247" t="s">
        <v>1624</v>
      </c>
      <c r="HU23" s="237">
        <v>43767</v>
      </c>
      <c r="HV23" s="245" t="s">
        <v>4764</v>
      </c>
      <c r="HW23" s="245">
        <v>1</v>
      </c>
      <c r="HX23" s="245" t="s">
        <v>1587</v>
      </c>
      <c r="HY23" s="245" t="s">
        <v>601</v>
      </c>
      <c r="HZ23" s="245">
        <v>1</v>
      </c>
      <c r="IA23" s="245" t="s">
        <v>1623</v>
      </c>
      <c r="IB23" s="245" t="s">
        <v>1624</v>
      </c>
      <c r="IC23" s="246">
        <v>43767</v>
      </c>
      <c r="ID23" s="244" t="s">
        <v>4765</v>
      </c>
      <c r="IE23" s="247">
        <v>2</v>
      </c>
      <c r="IF23" s="247" t="s">
        <v>1587</v>
      </c>
      <c r="IG23" s="247" t="s">
        <v>601</v>
      </c>
      <c r="IH23" s="247">
        <v>1</v>
      </c>
      <c r="II23" s="247" t="s">
        <v>1623</v>
      </c>
      <c r="IJ23" s="247" t="s">
        <v>1624</v>
      </c>
      <c r="IK23" s="237">
        <v>43767</v>
      </c>
      <c r="IL23" s="245" t="s">
        <v>4766</v>
      </c>
      <c r="IM23" s="245">
        <v>2</v>
      </c>
      <c r="IN23" s="245" t="s">
        <v>1587</v>
      </c>
      <c r="IO23" s="245" t="s">
        <v>601</v>
      </c>
      <c r="IP23" s="245">
        <v>1</v>
      </c>
      <c r="IQ23" s="245" t="s">
        <v>1623</v>
      </c>
      <c r="IR23" s="245" t="s">
        <v>1624</v>
      </c>
      <c r="IS23" s="246">
        <v>43767</v>
      </c>
    </row>
    <row r="24" spans="1:253" s="11" customFormat="1" ht="13.2" x14ac:dyDescent="0.25">
      <c r="A24" s="11" t="s">
        <v>776</v>
      </c>
      <c r="B24" s="11" t="s">
        <v>650</v>
      </c>
      <c r="C24" s="11" t="s">
        <v>671</v>
      </c>
      <c r="D24" s="11" t="s">
        <v>55</v>
      </c>
      <c r="E24" s="11" t="s">
        <v>54</v>
      </c>
      <c r="F24" s="11" t="s">
        <v>4767</v>
      </c>
      <c r="G24" s="235">
        <v>25947000</v>
      </c>
      <c r="H24" s="236" t="s">
        <v>2835</v>
      </c>
      <c r="I24" s="236" t="s">
        <v>601</v>
      </c>
      <c r="J24" s="236">
        <v>1</v>
      </c>
      <c r="K24" s="236" t="s">
        <v>2115</v>
      </c>
      <c r="L24" s="236" t="s">
        <v>2836</v>
      </c>
      <c r="M24" s="237">
        <v>44069</v>
      </c>
      <c r="N24" s="244" t="s">
        <v>4768</v>
      </c>
      <c r="O24" s="239">
        <v>76850</v>
      </c>
      <c r="P24" s="239" t="s">
        <v>878</v>
      </c>
      <c r="Q24" s="239" t="s">
        <v>600</v>
      </c>
      <c r="R24" s="239">
        <v>2</v>
      </c>
      <c r="S24" s="239" t="s">
        <v>889</v>
      </c>
      <c r="T24" s="239" t="s">
        <v>881</v>
      </c>
      <c r="U24" s="240">
        <v>43509</v>
      </c>
      <c r="V24" s="244" t="s">
        <v>4769</v>
      </c>
      <c r="W24" s="236">
        <v>4374000</v>
      </c>
      <c r="X24" s="236" t="s">
        <v>2837</v>
      </c>
      <c r="Y24" s="236" t="s">
        <v>600</v>
      </c>
      <c r="Z24" s="236">
        <v>2</v>
      </c>
      <c r="AA24" s="236" t="s">
        <v>2117</v>
      </c>
      <c r="AB24" s="236" t="s">
        <v>2838</v>
      </c>
      <c r="AC24" s="237">
        <v>44069</v>
      </c>
      <c r="AD24" s="244" t="s">
        <v>4770</v>
      </c>
      <c r="AE24" s="241">
        <v>2763000</v>
      </c>
      <c r="AF24" s="241" t="s">
        <v>2837</v>
      </c>
      <c r="AG24" s="241" t="s">
        <v>600</v>
      </c>
      <c r="AH24" s="241">
        <v>2</v>
      </c>
      <c r="AI24" s="241" t="s">
        <v>1706</v>
      </c>
      <c r="AJ24" s="241" t="s">
        <v>2838</v>
      </c>
      <c r="AK24" s="242">
        <v>44069</v>
      </c>
      <c r="AL24" s="244" t="s">
        <v>4771</v>
      </c>
      <c r="AM24" s="236">
        <v>1133000</v>
      </c>
      <c r="AN24" s="236" t="s">
        <v>3980</v>
      </c>
      <c r="AO24" s="236" t="s">
        <v>600</v>
      </c>
      <c r="AP24" s="236">
        <v>2</v>
      </c>
      <c r="AQ24" s="236" t="s">
        <v>1706</v>
      </c>
      <c r="AR24" s="236" t="s">
        <v>3981</v>
      </c>
      <c r="AS24" s="237">
        <v>44134</v>
      </c>
      <c r="AT24" s="245" t="s">
        <v>4772</v>
      </c>
      <c r="AU24" s="241" t="s">
        <v>703</v>
      </c>
      <c r="AV24" s="241" t="s">
        <v>703</v>
      </c>
      <c r="AW24" s="241" t="s">
        <v>393</v>
      </c>
      <c r="AX24" s="241" t="s">
        <v>393</v>
      </c>
      <c r="AY24" s="241" t="s">
        <v>1515</v>
      </c>
      <c r="AZ24" s="241" t="s">
        <v>703</v>
      </c>
      <c r="BA24" s="242">
        <v>43697</v>
      </c>
      <c r="BB24" s="244" t="s">
        <v>4773</v>
      </c>
      <c r="BC24" s="236" t="s">
        <v>393</v>
      </c>
      <c r="BD24" s="236" t="s">
        <v>1413</v>
      </c>
      <c r="BE24" s="236" t="s">
        <v>393</v>
      </c>
      <c r="BF24" s="236" t="s">
        <v>393</v>
      </c>
      <c r="BG24" s="236" t="s">
        <v>1415</v>
      </c>
      <c r="BH24" s="236" t="s">
        <v>1414</v>
      </c>
      <c r="BI24" s="237">
        <v>43642</v>
      </c>
      <c r="BJ24" s="245" t="s">
        <v>4774</v>
      </c>
      <c r="BK24" s="245">
        <v>330</v>
      </c>
      <c r="BL24" s="245" t="s">
        <v>3929</v>
      </c>
      <c r="BM24" s="245" t="s">
        <v>600</v>
      </c>
      <c r="BN24" s="245">
        <v>2</v>
      </c>
      <c r="BO24" s="245" t="s">
        <v>3972</v>
      </c>
      <c r="BP24" s="241" t="s">
        <v>2205</v>
      </c>
      <c r="BQ24" s="246">
        <v>44134</v>
      </c>
      <c r="BR24" s="244" t="s">
        <v>4775</v>
      </c>
      <c r="BS24" s="247" t="s">
        <v>703</v>
      </c>
      <c r="BT24" s="247" t="s">
        <v>703</v>
      </c>
      <c r="BU24" s="247" t="s">
        <v>703</v>
      </c>
      <c r="BV24" s="247" t="s">
        <v>393</v>
      </c>
      <c r="BW24" s="247" t="s">
        <v>1517</v>
      </c>
      <c r="BX24" s="247" t="s">
        <v>703</v>
      </c>
      <c r="BY24" s="237">
        <v>43697</v>
      </c>
      <c r="BZ24" s="245" t="s">
        <v>4776</v>
      </c>
      <c r="CA24" s="245" t="s">
        <v>703</v>
      </c>
      <c r="CB24" s="245" t="s">
        <v>703</v>
      </c>
      <c r="CC24" s="245" t="s">
        <v>703</v>
      </c>
      <c r="CD24" s="245" t="s">
        <v>393</v>
      </c>
      <c r="CE24" s="245" t="s">
        <v>1517</v>
      </c>
      <c r="CF24" s="245" t="s">
        <v>703</v>
      </c>
      <c r="CG24" s="246">
        <v>43697</v>
      </c>
      <c r="CH24" s="244" t="s">
        <v>4777</v>
      </c>
      <c r="CI24" s="245" t="e">
        <v>#N/A</v>
      </c>
      <c r="CJ24" s="245" t="e">
        <v>#N/A</v>
      </c>
      <c r="CK24" s="245" t="e">
        <v>#N/A</v>
      </c>
      <c r="CL24" s="245" t="e">
        <v>#N/A</v>
      </c>
      <c r="CM24" s="245" t="e">
        <v>#N/A</v>
      </c>
      <c r="CN24" s="245" t="e">
        <v>#N/A</v>
      </c>
      <c r="CO24" s="248" t="e">
        <v>#N/A</v>
      </c>
      <c r="CP24" s="245" t="s">
        <v>4778</v>
      </c>
      <c r="CQ24" s="247" t="s">
        <v>703</v>
      </c>
      <c r="CR24" s="247" t="s">
        <v>703</v>
      </c>
      <c r="CS24" s="247" t="s">
        <v>703</v>
      </c>
      <c r="CT24" s="247" t="s">
        <v>393</v>
      </c>
      <c r="CU24" s="247" t="s">
        <v>1517</v>
      </c>
      <c r="CV24" s="247" t="s">
        <v>703</v>
      </c>
      <c r="CW24" s="237">
        <v>43697</v>
      </c>
      <c r="CX24" s="245" t="s">
        <v>4779</v>
      </c>
      <c r="CY24" s="241">
        <v>787000</v>
      </c>
      <c r="CZ24" s="241" t="s">
        <v>2837</v>
      </c>
      <c r="DA24" s="241" t="s">
        <v>600</v>
      </c>
      <c r="DB24" s="241">
        <v>2</v>
      </c>
      <c r="DC24" s="241" t="s">
        <v>2118</v>
      </c>
      <c r="DD24" s="241" t="s">
        <v>2838</v>
      </c>
      <c r="DE24" s="243">
        <v>44069</v>
      </c>
      <c r="DF24" s="244" t="s">
        <v>4780</v>
      </c>
      <c r="DG24" s="236">
        <v>1611000</v>
      </c>
      <c r="DH24" s="247" t="s">
        <v>2837</v>
      </c>
      <c r="DI24" s="247" t="s">
        <v>600</v>
      </c>
      <c r="DJ24" s="247">
        <v>2</v>
      </c>
      <c r="DK24" s="247" t="s">
        <v>2118</v>
      </c>
      <c r="DL24" s="247" t="s">
        <v>2838</v>
      </c>
      <c r="DM24" s="237">
        <v>44069</v>
      </c>
      <c r="DN24" s="245" t="s">
        <v>4781</v>
      </c>
      <c r="DO24" s="241">
        <v>1976000</v>
      </c>
      <c r="DP24" s="245" t="s">
        <v>2837</v>
      </c>
      <c r="DQ24" s="245" t="s">
        <v>600</v>
      </c>
      <c r="DR24" s="245">
        <v>2</v>
      </c>
      <c r="DS24" s="245" t="s">
        <v>2118</v>
      </c>
      <c r="DT24" s="245" t="s">
        <v>2838</v>
      </c>
      <c r="DU24" s="246">
        <v>44069</v>
      </c>
      <c r="DV24" s="244" t="s">
        <v>4782</v>
      </c>
      <c r="DW24" s="236">
        <v>690000</v>
      </c>
      <c r="DX24" s="247" t="s">
        <v>2837</v>
      </c>
      <c r="DY24" s="247" t="s">
        <v>600</v>
      </c>
      <c r="DZ24" s="247">
        <v>2</v>
      </c>
      <c r="EA24" s="247" t="s">
        <v>2118</v>
      </c>
      <c r="EB24" s="247" t="s">
        <v>2838</v>
      </c>
      <c r="EC24" s="237">
        <v>44069</v>
      </c>
      <c r="ED24" s="245" t="s">
        <v>4783</v>
      </c>
      <c r="EE24" s="241">
        <v>97000</v>
      </c>
      <c r="EF24" s="245" t="s">
        <v>2837</v>
      </c>
      <c r="EG24" s="245" t="s">
        <v>600</v>
      </c>
      <c r="EH24" s="245">
        <v>2</v>
      </c>
      <c r="EI24" s="245" t="s">
        <v>2118</v>
      </c>
      <c r="EJ24" s="245" t="s">
        <v>2838</v>
      </c>
      <c r="EK24" s="246">
        <v>44069</v>
      </c>
      <c r="EL24" s="244" t="s">
        <v>4784</v>
      </c>
      <c r="EM24" s="236">
        <v>0</v>
      </c>
      <c r="EN24" s="247" t="s">
        <v>2837</v>
      </c>
      <c r="EO24" s="247" t="s">
        <v>600</v>
      </c>
      <c r="EP24" s="247">
        <v>2</v>
      </c>
      <c r="EQ24" s="247" t="s">
        <v>2118</v>
      </c>
      <c r="ER24" s="247" t="s">
        <v>2838</v>
      </c>
      <c r="ES24" s="237">
        <v>44069</v>
      </c>
      <c r="ET24" s="245" t="s">
        <v>4785</v>
      </c>
      <c r="EU24" s="245">
        <v>519</v>
      </c>
      <c r="EV24" s="245" t="s">
        <v>3929</v>
      </c>
      <c r="EW24" s="245" t="s">
        <v>600</v>
      </c>
      <c r="EX24" s="245">
        <v>2</v>
      </c>
      <c r="EY24" s="245" t="s">
        <v>3970</v>
      </c>
      <c r="EZ24" s="245" t="s">
        <v>2205</v>
      </c>
      <c r="FA24" s="246">
        <v>44134</v>
      </c>
      <c r="FB24" s="244" t="s">
        <v>4786</v>
      </c>
      <c r="FC24" s="247">
        <v>4</v>
      </c>
      <c r="FD24" s="247" t="s">
        <v>724</v>
      </c>
      <c r="FE24" s="247" t="s">
        <v>600</v>
      </c>
      <c r="FF24" s="247">
        <v>2</v>
      </c>
      <c r="FG24" s="247" t="s">
        <v>1518</v>
      </c>
      <c r="FH24" s="247" t="s">
        <v>890</v>
      </c>
      <c r="FI24" s="237">
        <v>43697</v>
      </c>
      <c r="FJ24" s="244" t="s">
        <v>4787</v>
      </c>
      <c r="FK24" s="245" t="s">
        <v>393</v>
      </c>
      <c r="FL24" s="245">
        <v>0</v>
      </c>
      <c r="FM24" s="245" t="s">
        <v>600</v>
      </c>
      <c r="FN24" s="245">
        <v>2</v>
      </c>
      <c r="FO24" s="245">
        <v>0</v>
      </c>
      <c r="FP24" s="241">
        <v>0</v>
      </c>
      <c r="FQ24" s="242">
        <v>43509</v>
      </c>
      <c r="FR24" s="244" t="s">
        <v>4788</v>
      </c>
      <c r="FS24" s="247">
        <v>377500</v>
      </c>
      <c r="FT24" s="247" t="s">
        <v>880</v>
      </c>
      <c r="FU24" s="247" t="s">
        <v>600</v>
      </c>
      <c r="FV24" s="247">
        <v>2</v>
      </c>
      <c r="FW24" s="247" t="s">
        <v>885</v>
      </c>
      <c r="FX24" s="247" t="s">
        <v>884</v>
      </c>
      <c r="FY24" s="237">
        <v>43509</v>
      </c>
      <c r="FZ24" s="245" t="s">
        <v>4789</v>
      </c>
      <c r="GA24" s="245">
        <v>1</v>
      </c>
      <c r="GB24" s="245" t="s">
        <v>1587</v>
      </c>
      <c r="GC24" s="245" t="s">
        <v>601</v>
      </c>
      <c r="GD24" s="245">
        <v>1</v>
      </c>
      <c r="GE24" s="245" t="s">
        <v>1623</v>
      </c>
      <c r="GF24" s="245" t="s">
        <v>1624</v>
      </c>
      <c r="GG24" s="246">
        <v>43767</v>
      </c>
      <c r="GH24" s="244" t="s">
        <v>4790</v>
      </c>
      <c r="GI24" s="247">
        <v>2</v>
      </c>
      <c r="GJ24" s="247" t="s">
        <v>1587</v>
      </c>
      <c r="GK24" s="247" t="s">
        <v>601</v>
      </c>
      <c r="GL24" s="247">
        <v>1</v>
      </c>
      <c r="GM24" s="247" t="s">
        <v>1623</v>
      </c>
      <c r="GN24" s="247" t="s">
        <v>1624</v>
      </c>
      <c r="GO24" s="237">
        <v>43767</v>
      </c>
      <c r="GP24" s="245" t="s">
        <v>4791</v>
      </c>
      <c r="GQ24" s="245">
        <v>3</v>
      </c>
      <c r="GR24" s="245" t="s">
        <v>1587</v>
      </c>
      <c r="GS24" s="245" t="s">
        <v>601</v>
      </c>
      <c r="GT24" s="245">
        <v>1</v>
      </c>
      <c r="GU24" s="245" t="s">
        <v>1623</v>
      </c>
      <c r="GV24" s="245" t="s">
        <v>1624</v>
      </c>
      <c r="GW24" s="246">
        <v>43767</v>
      </c>
      <c r="GX24" s="244" t="s">
        <v>4792</v>
      </c>
      <c r="GY24" s="247">
        <v>0</v>
      </c>
      <c r="GZ24" s="247" t="s">
        <v>1587</v>
      </c>
      <c r="HA24" s="247" t="s">
        <v>601</v>
      </c>
      <c r="HB24" s="247">
        <v>1</v>
      </c>
      <c r="HC24" s="247" t="s">
        <v>1623</v>
      </c>
      <c r="HD24" s="247" t="s">
        <v>1624</v>
      </c>
      <c r="HE24" s="237">
        <v>43767</v>
      </c>
      <c r="HF24" s="245" t="s">
        <v>4793</v>
      </c>
      <c r="HG24" s="245">
        <v>1</v>
      </c>
      <c r="HH24" s="245" t="s">
        <v>1587</v>
      </c>
      <c r="HI24" s="245" t="s">
        <v>601</v>
      </c>
      <c r="HJ24" s="245">
        <v>1</v>
      </c>
      <c r="HK24" s="245" t="s">
        <v>1623</v>
      </c>
      <c r="HL24" s="245" t="s">
        <v>1624</v>
      </c>
      <c r="HM24" s="246">
        <v>43767</v>
      </c>
      <c r="HN24" s="244" t="s">
        <v>4794</v>
      </c>
      <c r="HO24" s="247">
        <v>3</v>
      </c>
      <c r="HP24" s="247" t="s">
        <v>1587</v>
      </c>
      <c r="HQ24" s="247" t="s">
        <v>601</v>
      </c>
      <c r="HR24" s="247">
        <v>1</v>
      </c>
      <c r="HS24" s="247" t="s">
        <v>1623</v>
      </c>
      <c r="HT24" s="247" t="s">
        <v>1624</v>
      </c>
      <c r="HU24" s="237">
        <v>43767</v>
      </c>
      <c r="HV24" s="245" t="s">
        <v>4795</v>
      </c>
      <c r="HW24" s="245">
        <v>0</v>
      </c>
      <c r="HX24" s="245" t="s">
        <v>1587</v>
      </c>
      <c r="HY24" s="245" t="s">
        <v>601</v>
      </c>
      <c r="HZ24" s="245">
        <v>1</v>
      </c>
      <c r="IA24" s="245" t="s">
        <v>1623</v>
      </c>
      <c r="IB24" s="245" t="s">
        <v>1624</v>
      </c>
      <c r="IC24" s="246">
        <v>43767</v>
      </c>
      <c r="ID24" s="244" t="s">
        <v>4796</v>
      </c>
      <c r="IE24" s="247">
        <v>2</v>
      </c>
      <c r="IF24" s="247" t="s">
        <v>1587</v>
      </c>
      <c r="IG24" s="247" t="s">
        <v>601</v>
      </c>
      <c r="IH24" s="247">
        <v>1</v>
      </c>
      <c r="II24" s="247" t="s">
        <v>1623</v>
      </c>
      <c r="IJ24" s="247" t="s">
        <v>1624</v>
      </c>
      <c r="IK24" s="237">
        <v>43767</v>
      </c>
      <c r="IL24" s="245" t="s">
        <v>4797</v>
      </c>
      <c r="IM24" s="245">
        <v>2</v>
      </c>
      <c r="IN24" s="245" t="s">
        <v>1587</v>
      </c>
      <c r="IO24" s="245" t="s">
        <v>601</v>
      </c>
      <c r="IP24" s="245">
        <v>1</v>
      </c>
      <c r="IQ24" s="245" t="s">
        <v>1623</v>
      </c>
      <c r="IR24" s="245" t="s">
        <v>1624</v>
      </c>
      <c r="IS24" s="246">
        <v>43767</v>
      </c>
    </row>
    <row r="25" spans="1:253" s="11" customFormat="1" ht="13.2" x14ac:dyDescent="0.25">
      <c r="A25" s="11" t="s">
        <v>777</v>
      </c>
      <c r="B25" s="11" t="s">
        <v>1280</v>
      </c>
      <c r="C25" s="11" t="s">
        <v>672</v>
      </c>
      <c r="D25" s="11" t="s">
        <v>55</v>
      </c>
      <c r="E25" s="11" t="s">
        <v>54</v>
      </c>
      <c r="F25" s="11" t="s">
        <v>4798</v>
      </c>
      <c r="G25" s="235">
        <v>25947000</v>
      </c>
      <c r="H25" s="236" t="s">
        <v>2835</v>
      </c>
      <c r="I25" s="236" t="s">
        <v>601</v>
      </c>
      <c r="J25" s="236">
        <v>1</v>
      </c>
      <c r="K25" s="236" t="s">
        <v>2115</v>
      </c>
      <c r="L25" s="236" t="s">
        <v>2836</v>
      </c>
      <c r="M25" s="237">
        <v>44069</v>
      </c>
      <c r="N25" s="244" t="s">
        <v>4799</v>
      </c>
      <c r="O25" s="239">
        <v>172703</v>
      </c>
      <c r="P25" s="239" t="s">
        <v>878</v>
      </c>
      <c r="Q25" s="239" t="s">
        <v>600</v>
      </c>
      <c r="R25" s="239">
        <v>2</v>
      </c>
      <c r="S25" s="239" t="s">
        <v>891</v>
      </c>
      <c r="T25" s="239" t="s">
        <v>881</v>
      </c>
      <c r="U25" s="240">
        <v>43509</v>
      </c>
      <c r="V25" s="244" t="s">
        <v>4800</v>
      </c>
      <c r="W25" s="236">
        <v>1565000</v>
      </c>
      <c r="X25" s="236" t="s">
        <v>3974</v>
      </c>
      <c r="Y25" s="236" t="s">
        <v>600</v>
      </c>
      <c r="Z25" s="236">
        <v>2</v>
      </c>
      <c r="AA25" s="236" t="s">
        <v>3986</v>
      </c>
      <c r="AB25" s="236" t="s">
        <v>3975</v>
      </c>
      <c r="AC25" s="237">
        <v>44134</v>
      </c>
      <c r="AD25" s="244" t="s">
        <v>4801</v>
      </c>
      <c r="AE25" s="241">
        <v>284000</v>
      </c>
      <c r="AF25" s="241" t="s">
        <v>3974</v>
      </c>
      <c r="AG25" s="241" t="s">
        <v>600</v>
      </c>
      <c r="AH25" s="241">
        <v>2</v>
      </c>
      <c r="AI25" s="241" t="s">
        <v>3987</v>
      </c>
      <c r="AJ25" s="241" t="s">
        <v>3975</v>
      </c>
      <c r="AK25" s="242">
        <v>44134</v>
      </c>
      <c r="AL25" s="244" t="s">
        <v>4802</v>
      </c>
      <c r="AM25" s="236">
        <v>284000</v>
      </c>
      <c r="AN25" s="236" t="s">
        <v>3974</v>
      </c>
      <c r="AO25" s="236" t="s">
        <v>600</v>
      </c>
      <c r="AP25" s="236">
        <v>2</v>
      </c>
      <c r="AQ25" s="236" t="s">
        <v>2399</v>
      </c>
      <c r="AR25" s="236" t="s">
        <v>3975</v>
      </c>
      <c r="AS25" s="237">
        <v>44134</v>
      </c>
      <c r="AT25" s="245" t="s">
        <v>4803</v>
      </c>
      <c r="AU25" s="241">
        <v>0</v>
      </c>
      <c r="AV25" s="241">
        <v>0</v>
      </c>
      <c r="AW25" s="241" t="s">
        <v>600</v>
      </c>
      <c r="AX25" s="241">
        <v>2</v>
      </c>
      <c r="AY25" s="241">
        <v>0</v>
      </c>
      <c r="AZ25" s="241">
        <v>0</v>
      </c>
      <c r="BA25" s="242">
        <v>43509</v>
      </c>
      <c r="BB25" s="244" t="s">
        <v>4804</v>
      </c>
      <c r="BC25" s="236" t="s">
        <v>393</v>
      </c>
      <c r="BD25" s="236" t="s">
        <v>1413</v>
      </c>
      <c r="BE25" s="236" t="s">
        <v>393</v>
      </c>
      <c r="BF25" s="236" t="s">
        <v>393</v>
      </c>
      <c r="BG25" s="236" t="s">
        <v>1415</v>
      </c>
      <c r="BH25" s="236" t="s">
        <v>1414</v>
      </c>
      <c r="BI25" s="237">
        <v>43642</v>
      </c>
      <c r="BJ25" s="245" t="s">
        <v>4805</v>
      </c>
      <c r="BK25" s="245">
        <v>0</v>
      </c>
      <c r="BL25" s="245" t="s">
        <v>879</v>
      </c>
      <c r="BM25" s="245" t="s">
        <v>600</v>
      </c>
      <c r="BN25" s="245">
        <v>2</v>
      </c>
      <c r="BO25" s="245" t="s">
        <v>1516</v>
      </c>
      <c r="BP25" s="241" t="s">
        <v>882</v>
      </c>
      <c r="BQ25" s="246">
        <v>43697</v>
      </c>
      <c r="BR25" s="244" t="s">
        <v>4806</v>
      </c>
      <c r="BS25" s="247">
        <v>0</v>
      </c>
      <c r="BT25" s="247">
        <v>0</v>
      </c>
      <c r="BU25" s="247" t="s">
        <v>600</v>
      </c>
      <c r="BV25" s="247">
        <v>2</v>
      </c>
      <c r="BW25" s="247">
        <v>0</v>
      </c>
      <c r="BX25" s="247">
        <v>0</v>
      </c>
      <c r="BY25" s="237">
        <v>43509</v>
      </c>
      <c r="BZ25" s="245" t="s">
        <v>4807</v>
      </c>
      <c r="CA25" s="245">
        <v>0</v>
      </c>
      <c r="CB25" s="245">
        <v>0</v>
      </c>
      <c r="CC25" s="245" t="s">
        <v>600</v>
      </c>
      <c r="CD25" s="245">
        <v>2</v>
      </c>
      <c r="CE25" s="245">
        <v>0</v>
      </c>
      <c r="CF25" s="245">
        <v>0</v>
      </c>
      <c r="CG25" s="246">
        <v>43509</v>
      </c>
      <c r="CH25" s="244" t="s">
        <v>4808</v>
      </c>
      <c r="CI25" s="245" t="e">
        <v>#N/A</v>
      </c>
      <c r="CJ25" s="245" t="e">
        <v>#N/A</v>
      </c>
      <c r="CK25" s="245" t="e">
        <v>#N/A</v>
      </c>
      <c r="CL25" s="245" t="e">
        <v>#N/A</v>
      </c>
      <c r="CM25" s="245" t="e">
        <v>#N/A</v>
      </c>
      <c r="CN25" s="245" t="e">
        <v>#N/A</v>
      </c>
      <c r="CO25" s="248" t="e">
        <v>#N/A</v>
      </c>
      <c r="CP25" s="245" t="s">
        <v>4809</v>
      </c>
      <c r="CQ25" s="247" t="s">
        <v>393</v>
      </c>
      <c r="CR25" s="247">
        <v>0</v>
      </c>
      <c r="CS25" s="247" t="s">
        <v>600</v>
      </c>
      <c r="CT25" s="247">
        <v>2</v>
      </c>
      <c r="CU25" s="247">
        <v>0</v>
      </c>
      <c r="CV25" s="247">
        <v>0</v>
      </c>
      <c r="CW25" s="237">
        <v>43509</v>
      </c>
      <c r="CX25" s="245" t="s">
        <v>4810</v>
      </c>
      <c r="CY25" s="241">
        <v>284000</v>
      </c>
      <c r="CZ25" s="241" t="s">
        <v>3974</v>
      </c>
      <c r="DA25" s="241" t="s">
        <v>600</v>
      </c>
      <c r="DB25" s="241">
        <v>2</v>
      </c>
      <c r="DC25" s="241" t="s">
        <v>3937</v>
      </c>
      <c r="DD25" s="241" t="s">
        <v>3975</v>
      </c>
      <c r="DE25" s="243">
        <v>44134</v>
      </c>
      <c r="DF25" s="244" t="s">
        <v>4811</v>
      </c>
      <c r="DG25" s="236">
        <v>1281000</v>
      </c>
      <c r="DH25" s="247" t="s">
        <v>3974</v>
      </c>
      <c r="DI25" s="247" t="s">
        <v>600</v>
      </c>
      <c r="DJ25" s="247">
        <v>2</v>
      </c>
      <c r="DK25" s="247" t="s">
        <v>3988</v>
      </c>
      <c r="DL25" s="247" t="s">
        <v>3975</v>
      </c>
      <c r="DM25" s="237">
        <v>44134</v>
      </c>
      <c r="DN25" s="245" t="s">
        <v>4812</v>
      </c>
      <c r="DO25" s="241">
        <v>0</v>
      </c>
      <c r="DP25" s="245" t="s">
        <v>3974</v>
      </c>
      <c r="DQ25" s="245" t="s">
        <v>600</v>
      </c>
      <c r="DR25" s="245">
        <v>2</v>
      </c>
      <c r="DS25" s="245" t="s">
        <v>3937</v>
      </c>
      <c r="DT25" s="245" t="s">
        <v>3975</v>
      </c>
      <c r="DU25" s="246">
        <v>44134</v>
      </c>
      <c r="DV25" s="244" t="s">
        <v>4813</v>
      </c>
      <c r="DW25" s="236">
        <v>284000</v>
      </c>
      <c r="DX25" s="247" t="s">
        <v>3974</v>
      </c>
      <c r="DY25" s="247" t="s">
        <v>600</v>
      </c>
      <c r="DZ25" s="247">
        <v>2</v>
      </c>
      <c r="EA25" s="247" t="s">
        <v>3937</v>
      </c>
      <c r="EB25" s="247" t="s">
        <v>3975</v>
      </c>
      <c r="EC25" s="237">
        <v>44134</v>
      </c>
      <c r="ED25" s="245" t="s">
        <v>4814</v>
      </c>
      <c r="EE25" s="241">
        <v>0</v>
      </c>
      <c r="EF25" s="245" t="s">
        <v>3974</v>
      </c>
      <c r="EG25" s="245" t="s">
        <v>600</v>
      </c>
      <c r="EH25" s="245">
        <v>2</v>
      </c>
      <c r="EI25" s="245" t="s">
        <v>3925</v>
      </c>
      <c r="EJ25" s="245" t="s">
        <v>3975</v>
      </c>
      <c r="EK25" s="246">
        <v>44134</v>
      </c>
      <c r="EL25" s="244" t="s">
        <v>4815</v>
      </c>
      <c r="EM25" s="236">
        <v>0</v>
      </c>
      <c r="EN25" s="247" t="s">
        <v>3974</v>
      </c>
      <c r="EO25" s="247" t="s">
        <v>600</v>
      </c>
      <c r="EP25" s="247">
        <v>2</v>
      </c>
      <c r="EQ25" s="247" t="s">
        <v>3937</v>
      </c>
      <c r="ER25" s="247" t="s">
        <v>3975</v>
      </c>
      <c r="ES25" s="237">
        <v>44134</v>
      </c>
      <c r="ET25" s="245" t="s">
        <v>4816</v>
      </c>
      <c r="EU25" s="245">
        <v>519</v>
      </c>
      <c r="EV25" s="245" t="s">
        <v>3929</v>
      </c>
      <c r="EW25" s="245" t="s">
        <v>600</v>
      </c>
      <c r="EX25" s="245">
        <v>2</v>
      </c>
      <c r="EY25" s="245" t="s">
        <v>3970</v>
      </c>
      <c r="EZ25" s="245" t="s">
        <v>2205</v>
      </c>
      <c r="FA25" s="246">
        <v>44134</v>
      </c>
      <c r="FB25" s="244" t="s">
        <v>4817</v>
      </c>
      <c r="FC25" s="247">
        <v>3</v>
      </c>
      <c r="FD25" s="247">
        <v>0</v>
      </c>
      <c r="FE25" s="247" t="s">
        <v>600</v>
      </c>
      <c r="FF25" s="247">
        <v>2</v>
      </c>
      <c r="FG25" s="247">
        <v>0</v>
      </c>
      <c r="FH25" s="247">
        <v>0</v>
      </c>
      <c r="FI25" s="237">
        <v>43509</v>
      </c>
      <c r="FJ25" s="244" t="s">
        <v>4818</v>
      </c>
      <c r="FK25" s="245" t="s">
        <v>393</v>
      </c>
      <c r="FL25" s="245">
        <v>0</v>
      </c>
      <c r="FM25" s="245" t="s">
        <v>600</v>
      </c>
      <c r="FN25" s="245">
        <v>2</v>
      </c>
      <c r="FO25" s="245">
        <v>0</v>
      </c>
      <c r="FP25" s="241">
        <v>0</v>
      </c>
      <c r="FQ25" s="242">
        <v>43509</v>
      </c>
      <c r="FR25" s="244" t="s">
        <v>4819</v>
      </c>
      <c r="FS25" s="247" t="s">
        <v>393</v>
      </c>
      <c r="FT25" s="247">
        <v>0</v>
      </c>
      <c r="FU25" s="247" t="s">
        <v>600</v>
      </c>
      <c r="FV25" s="247">
        <v>2</v>
      </c>
      <c r="FW25" s="247">
        <v>0</v>
      </c>
      <c r="FX25" s="247">
        <v>0</v>
      </c>
      <c r="FY25" s="237">
        <v>43509</v>
      </c>
      <c r="FZ25" s="245" t="s">
        <v>4820</v>
      </c>
      <c r="GA25" s="245">
        <v>0</v>
      </c>
      <c r="GB25" s="245" t="s">
        <v>1587</v>
      </c>
      <c r="GC25" s="245" t="s">
        <v>601</v>
      </c>
      <c r="GD25" s="245">
        <v>1</v>
      </c>
      <c r="GE25" s="245" t="s">
        <v>1623</v>
      </c>
      <c r="GF25" s="245" t="s">
        <v>1624</v>
      </c>
      <c r="GG25" s="246">
        <v>43767</v>
      </c>
      <c r="GH25" s="244" t="s">
        <v>4821</v>
      </c>
      <c r="GI25" s="247">
        <v>0</v>
      </c>
      <c r="GJ25" s="247" t="s">
        <v>1587</v>
      </c>
      <c r="GK25" s="247" t="s">
        <v>601</v>
      </c>
      <c r="GL25" s="247">
        <v>1</v>
      </c>
      <c r="GM25" s="247" t="s">
        <v>1623</v>
      </c>
      <c r="GN25" s="247" t="s">
        <v>1624</v>
      </c>
      <c r="GO25" s="237">
        <v>43767</v>
      </c>
      <c r="GP25" s="245" t="s">
        <v>4822</v>
      </c>
      <c r="GQ25" s="245">
        <v>0</v>
      </c>
      <c r="GR25" s="245" t="s">
        <v>1587</v>
      </c>
      <c r="GS25" s="245" t="s">
        <v>601</v>
      </c>
      <c r="GT25" s="245">
        <v>1</v>
      </c>
      <c r="GU25" s="245" t="s">
        <v>1623</v>
      </c>
      <c r="GV25" s="245" t="s">
        <v>1624</v>
      </c>
      <c r="GW25" s="246">
        <v>43767</v>
      </c>
      <c r="GX25" s="244" t="s">
        <v>4823</v>
      </c>
      <c r="GY25" s="247">
        <v>0</v>
      </c>
      <c r="GZ25" s="247" t="s">
        <v>1587</v>
      </c>
      <c r="HA25" s="247" t="s">
        <v>601</v>
      </c>
      <c r="HB25" s="247">
        <v>1</v>
      </c>
      <c r="HC25" s="247" t="s">
        <v>1623</v>
      </c>
      <c r="HD25" s="247" t="s">
        <v>1624</v>
      </c>
      <c r="HE25" s="237">
        <v>43767</v>
      </c>
      <c r="HF25" s="245" t="s">
        <v>4824</v>
      </c>
      <c r="HG25" s="245">
        <v>0</v>
      </c>
      <c r="HH25" s="245" t="s">
        <v>1587</v>
      </c>
      <c r="HI25" s="245" t="s">
        <v>601</v>
      </c>
      <c r="HJ25" s="245">
        <v>1</v>
      </c>
      <c r="HK25" s="245" t="s">
        <v>1623</v>
      </c>
      <c r="HL25" s="245" t="s">
        <v>1624</v>
      </c>
      <c r="HM25" s="246">
        <v>43767</v>
      </c>
      <c r="HN25" s="244" t="s">
        <v>4825</v>
      </c>
      <c r="HO25" s="247">
        <v>0</v>
      </c>
      <c r="HP25" s="247" t="s">
        <v>1587</v>
      </c>
      <c r="HQ25" s="247" t="s">
        <v>601</v>
      </c>
      <c r="HR25" s="247">
        <v>1</v>
      </c>
      <c r="HS25" s="247" t="s">
        <v>1623</v>
      </c>
      <c r="HT25" s="247" t="s">
        <v>1624</v>
      </c>
      <c r="HU25" s="237">
        <v>43767</v>
      </c>
      <c r="HV25" s="245" t="s">
        <v>4826</v>
      </c>
      <c r="HW25" s="245">
        <v>0</v>
      </c>
      <c r="HX25" s="245" t="s">
        <v>1587</v>
      </c>
      <c r="HY25" s="245" t="s">
        <v>601</v>
      </c>
      <c r="HZ25" s="245">
        <v>1</v>
      </c>
      <c r="IA25" s="245" t="s">
        <v>1623</v>
      </c>
      <c r="IB25" s="245" t="s">
        <v>1624</v>
      </c>
      <c r="IC25" s="246">
        <v>43767</v>
      </c>
      <c r="ID25" s="244" t="s">
        <v>4827</v>
      </c>
      <c r="IE25" s="247">
        <v>2</v>
      </c>
      <c r="IF25" s="247" t="s">
        <v>1587</v>
      </c>
      <c r="IG25" s="247" t="s">
        <v>601</v>
      </c>
      <c r="IH25" s="247">
        <v>1</v>
      </c>
      <c r="II25" s="247" t="s">
        <v>1623</v>
      </c>
      <c r="IJ25" s="247" t="s">
        <v>1624</v>
      </c>
      <c r="IK25" s="237">
        <v>43767</v>
      </c>
      <c r="IL25" s="245" t="s">
        <v>4828</v>
      </c>
      <c r="IM25" s="245">
        <v>0</v>
      </c>
      <c r="IN25" s="245" t="s">
        <v>1587</v>
      </c>
      <c r="IO25" s="245" t="s">
        <v>601</v>
      </c>
      <c r="IP25" s="245">
        <v>1</v>
      </c>
      <c r="IQ25" s="245" t="s">
        <v>1623</v>
      </c>
      <c r="IR25" s="245" t="s">
        <v>1624</v>
      </c>
      <c r="IS25" s="246">
        <v>43767</v>
      </c>
    </row>
    <row r="26" spans="1:253" s="11" customFormat="1" ht="13.2" x14ac:dyDescent="0.25">
      <c r="A26" s="11" t="s">
        <v>1079</v>
      </c>
      <c r="B26" s="11" t="s">
        <v>691</v>
      </c>
      <c r="C26" s="11" t="s">
        <v>2915</v>
      </c>
      <c r="D26" s="11" t="s">
        <v>573</v>
      </c>
      <c r="E26" s="11" t="s">
        <v>59</v>
      </c>
      <c r="F26" s="11" t="s">
        <v>4829</v>
      </c>
      <c r="G26" s="235">
        <v>4900000</v>
      </c>
      <c r="H26" s="236" t="s">
        <v>1613</v>
      </c>
      <c r="I26" s="236" t="s">
        <v>600</v>
      </c>
      <c r="J26" s="236">
        <v>2</v>
      </c>
      <c r="K26" s="236" t="s">
        <v>1620</v>
      </c>
      <c r="L26" s="236" t="s">
        <v>1616</v>
      </c>
      <c r="M26" s="237">
        <v>43770</v>
      </c>
      <c r="N26" s="244" t="s">
        <v>4830</v>
      </c>
      <c r="O26" s="239">
        <v>623000</v>
      </c>
      <c r="P26" s="239" t="s">
        <v>842</v>
      </c>
      <c r="Q26" s="239" t="s">
        <v>601</v>
      </c>
      <c r="R26" s="239">
        <v>1</v>
      </c>
      <c r="S26" s="239" t="s">
        <v>844</v>
      </c>
      <c r="T26" s="239" t="s">
        <v>843</v>
      </c>
      <c r="U26" s="240">
        <v>43508</v>
      </c>
      <c r="V26" s="244" t="s">
        <v>4831</v>
      </c>
      <c r="W26" s="236">
        <v>4900000</v>
      </c>
      <c r="X26" s="236" t="s">
        <v>1613</v>
      </c>
      <c r="Y26" s="236" t="s">
        <v>600</v>
      </c>
      <c r="Z26" s="236">
        <v>2</v>
      </c>
      <c r="AA26" s="236" t="s">
        <v>1620</v>
      </c>
      <c r="AB26" s="236" t="s">
        <v>1616</v>
      </c>
      <c r="AC26" s="237">
        <v>43770</v>
      </c>
      <c r="AD26" s="244" t="s">
        <v>4832</v>
      </c>
      <c r="AE26" s="241">
        <v>4900000</v>
      </c>
      <c r="AF26" s="241" t="s">
        <v>1614</v>
      </c>
      <c r="AG26" s="241" t="s">
        <v>1581</v>
      </c>
      <c r="AH26" s="241">
        <v>3</v>
      </c>
      <c r="AI26" s="241" t="s">
        <v>1621</v>
      </c>
      <c r="AJ26" s="241" t="s">
        <v>1617</v>
      </c>
      <c r="AK26" s="242">
        <v>43770</v>
      </c>
      <c r="AL26" s="244" t="s">
        <v>4833</v>
      </c>
      <c r="AM26" s="236">
        <v>1722000</v>
      </c>
      <c r="AN26" s="236" t="s">
        <v>3707</v>
      </c>
      <c r="AO26" s="236" t="s">
        <v>599</v>
      </c>
      <c r="AP26" s="236">
        <v>3</v>
      </c>
      <c r="AQ26" s="236" t="s">
        <v>3712</v>
      </c>
      <c r="AR26" s="236" t="s">
        <v>3709</v>
      </c>
      <c r="AS26" s="237">
        <v>44131</v>
      </c>
      <c r="AT26" s="245" t="s">
        <v>4834</v>
      </c>
      <c r="AU26" s="241" t="s">
        <v>703</v>
      </c>
      <c r="AV26" s="241">
        <v>0</v>
      </c>
      <c r="AW26" s="241" t="s">
        <v>393</v>
      </c>
      <c r="AX26" s="241" t="s">
        <v>393</v>
      </c>
      <c r="AY26" s="241" t="s">
        <v>841</v>
      </c>
      <c r="AZ26" s="241">
        <v>0</v>
      </c>
      <c r="BA26" s="242">
        <v>43508</v>
      </c>
      <c r="BB26" s="244" t="s">
        <v>4835</v>
      </c>
      <c r="BC26" s="236" t="s">
        <v>703</v>
      </c>
      <c r="BD26" s="236">
        <v>0</v>
      </c>
      <c r="BE26" s="236" t="s">
        <v>600</v>
      </c>
      <c r="BF26" s="236">
        <v>2</v>
      </c>
      <c r="BG26" s="236" t="s">
        <v>1072</v>
      </c>
      <c r="BH26" s="236">
        <v>0</v>
      </c>
      <c r="BI26" s="237">
        <v>43522</v>
      </c>
      <c r="BJ26" s="245" t="s">
        <v>4836</v>
      </c>
      <c r="BK26" s="245">
        <v>117</v>
      </c>
      <c r="BL26" s="245" t="s">
        <v>3708</v>
      </c>
      <c r="BM26" s="245" t="s">
        <v>599</v>
      </c>
      <c r="BN26" s="245">
        <v>3</v>
      </c>
      <c r="BO26" s="245" t="s">
        <v>3713</v>
      </c>
      <c r="BP26" s="241" t="s">
        <v>812</v>
      </c>
      <c r="BQ26" s="246">
        <v>44131</v>
      </c>
      <c r="BR26" s="244" t="s">
        <v>4837</v>
      </c>
      <c r="BS26" s="247" t="s">
        <v>703</v>
      </c>
      <c r="BT26" s="247">
        <v>0</v>
      </c>
      <c r="BU26" s="247" t="s">
        <v>393</v>
      </c>
      <c r="BV26" s="247" t="s">
        <v>393</v>
      </c>
      <c r="BW26" s="247" t="s">
        <v>841</v>
      </c>
      <c r="BX26" s="247">
        <v>0</v>
      </c>
      <c r="BY26" s="237">
        <v>43508</v>
      </c>
      <c r="BZ26" s="245" t="s">
        <v>4838</v>
      </c>
      <c r="CA26" s="245" t="s">
        <v>703</v>
      </c>
      <c r="CB26" s="245">
        <v>0</v>
      </c>
      <c r="CC26" s="245" t="s">
        <v>393</v>
      </c>
      <c r="CD26" s="245" t="s">
        <v>393</v>
      </c>
      <c r="CE26" s="245" t="s">
        <v>841</v>
      </c>
      <c r="CF26" s="245">
        <v>0</v>
      </c>
      <c r="CG26" s="246">
        <v>43508</v>
      </c>
      <c r="CH26" s="244" t="s">
        <v>4839</v>
      </c>
      <c r="CI26" s="245" t="e">
        <v>#N/A</v>
      </c>
      <c r="CJ26" s="245" t="e">
        <v>#N/A</v>
      </c>
      <c r="CK26" s="245" t="e">
        <v>#N/A</v>
      </c>
      <c r="CL26" s="245" t="e">
        <v>#N/A</v>
      </c>
      <c r="CM26" s="245" t="e">
        <v>#N/A</v>
      </c>
      <c r="CN26" s="245" t="e">
        <v>#N/A</v>
      </c>
      <c r="CO26" s="248" t="e">
        <v>#N/A</v>
      </c>
      <c r="CP26" s="245" t="s">
        <v>4840</v>
      </c>
      <c r="CQ26" s="247" t="s">
        <v>703</v>
      </c>
      <c r="CR26" s="247">
        <v>0</v>
      </c>
      <c r="CS26" s="247" t="s">
        <v>393</v>
      </c>
      <c r="CT26" s="247" t="s">
        <v>393</v>
      </c>
      <c r="CU26" s="247" t="s">
        <v>841</v>
      </c>
      <c r="CV26" s="247">
        <v>0</v>
      </c>
      <c r="CW26" s="237">
        <v>43508</v>
      </c>
      <c r="CX26" s="245" t="s">
        <v>4841</v>
      </c>
      <c r="CY26" s="241">
        <v>2800000</v>
      </c>
      <c r="CZ26" s="241" t="s">
        <v>3710</v>
      </c>
      <c r="DA26" s="241" t="s">
        <v>599</v>
      </c>
      <c r="DB26" s="241">
        <v>3</v>
      </c>
      <c r="DC26" s="241" t="s">
        <v>3714</v>
      </c>
      <c r="DD26" s="241" t="s">
        <v>3711</v>
      </c>
      <c r="DE26" s="243">
        <v>44131</v>
      </c>
      <c r="DF26" s="244" t="s">
        <v>4842</v>
      </c>
      <c r="DG26" s="236">
        <v>0</v>
      </c>
      <c r="DH26" s="247" t="s">
        <v>3710</v>
      </c>
      <c r="DI26" s="247" t="s">
        <v>599</v>
      </c>
      <c r="DJ26" s="247">
        <v>3</v>
      </c>
      <c r="DK26" s="247" t="s">
        <v>3714</v>
      </c>
      <c r="DL26" s="247" t="s">
        <v>3711</v>
      </c>
      <c r="DM26" s="237">
        <v>44131</v>
      </c>
      <c r="DN26" s="245" t="s">
        <v>4843</v>
      </c>
      <c r="DO26" s="241">
        <v>2100000</v>
      </c>
      <c r="DP26" s="245" t="s">
        <v>3710</v>
      </c>
      <c r="DQ26" s="245" t="s">
        <v>599</v>
      </c>
      <c r="DR26" s="245">
        <v>3</v>
      </c>
      <c r="DS26" s="245" t="s">
        <v>3714</v>
      </c>
      <c r="DT26" s="245" t="s">
        <v>3711</v>
      </c>
      <c r="DU26" s="246">
        <v>44131</v>
      </c>
      <c r="DV26" s="244" t="s">
        <v>4844</v>
      </c>
      <c r="DW26" s="236">
        <v>900000</v>
      </c>
      <c r="DX26" s="247" t="s">
        <v>3710</v>
      </c>
      <c r="DY26" s="247" t="s">
        <v>599</v>
      </c>
      <c r="DZ26" s="247">
        <v>3</v>
      </c>
      <c r="EA26" s="247" t="s">
        <v>3714</v>
      </c>
      <c r="EB26" s="247" t="s">
        <v>3711</v>
      </c>
      <c r="EC26" s="237">
        <v>44131</v>
      </c>
      <c r="ED26" s="245" t="s">
        <v>4845</v>
      </c>
      <c r="EE26" s="241">
        <v>1900000</v>
      </c>
      <c r="EF26" s="245" t="s">
        <v>3710</v>
      </c>
      <c r="EG26" s="245" t="s">
        <v>599</v>
      </c>
      <c r="EH26" s="245">
        <v>3</v>
      </c>
      <c r="EI26" s="245" t="s">
        <v>3714</v>
      </c>
      <c r="EJ26" s="245" t="s">
        <v>3711</v>
      </c>
      <c r="EK26" s="246">
        <v>44131</v>
      </c>
      <c r="EL26" s="244" t="s">
        <v>4846</v>
      </c>
      <c r="EM26" s="236">
        <v>0</v>
      </c>
      <c r="EN26" s="247" t="s">
        <v>3710</v>
      </c>
      <c r="EO26" s="247" t="s">
        <v>599</v>
      </c>
      <c r="EP26" s="247">
        <v>3</v>
      </c>
      <c r="EQ26" s="247" t="s">
        <v>3714</v>
      </c>
      <c r="ER26" s="247" t="s">
        <v>3711</v>
      </c>
      <c r="ES26" s="237">
        <v>44131</v>
      </c>
      <c r="ET26" s="245" t="s">
        <v>4847</v>
      </c>
      <c r="EU26" s="245">
        <v>117</v>
      </c>
      <c r="EV26" s="245" t="s">
        <v>3708</v>
      </c>
      <c r="EW26" s="245" t="s">
        <v>599</v>
      </c>
      <c r="EX26" s="245">
        <v>3</v>
      </c>
      <c r="EY26" s="245" t="s">
        <v>3713</v>
      </c>
      <c r="EZ26" s="245" t="s">
        <v>812</v>
      </c>
      <c r="FA26" s="246">
        <v>44131</v>
      </c>
      <c r="FB26" s="244" t="s">
        <v>4848</v>
      </c>
      <c r="FC26" s="247">
        <v>5</v>
      </c>
      <c r="FD26" s="247" t="s">
        <v>1613</v>
      </c>
      <c r="FE26" s="247" t="s">
        <v>600</v>
      </c>
      <c r="FF26" s="247">
        <v>2</v>
      </c>
      <c r="FG26" s="247" t="s">
        <v>2212</v>
      </c>
      <c r="FH26" s="247" t="s">
        <v>1616</v>
      </c>
      <c r="FI26" s="237">
        <v>43920</v>
      </c>
      <c r="FJ26" s="244" t="s">
        <v>4849</v>
      </c>
      <c r="FK26" s="245" t="s">
        <v>703</v>
      </c>
      <c r="FL26" s="245">
        <v>0</v>
      </c>
      <c r="FM26" s="245" t="s">
        <v>393</v>
      </c>
      <c r="FN26" s="245" t="s">
        <v>393</v>
      </c>
      <c r="FO26" s="245" t="s">
        <v>841</v>
      </c>
      <c r="FP26" s="241">
        <v>0</v>
      </c>
      <c r="FQ26" s="242">
        <v>43508</v>
      </c>
      <c r="FR26" s="244" t="s">
        <v>4850</v>
      </c>
      <c r="FS26" s="247" t="s">
        <v>703</v>
      </c>
      <c r="FT26" s="247">
        <v>0</v>
      </c>
      <c r="FU26" s="247" t="s">
        <v>393</v>
      </c>
      <c r="FV26" s="247" t="s">
        <v>393</v>
      </c>
      <c r="FW26" s="247" t="s">
        <v>841</v>
      </c>
      <c r="FX26" s="247">
        <v>0</v>
      </c>
      <c r="FY26" s="237">
        <v>43508</v>
      </c>
      <c r="FZ26" s="245" t="s">
        <v>4851</v>
      </c>
      <c r="GA26" s="245">
        <v>0</v>
      </c>
      <c r="GB26" s="245" t="s">
        <v>2096</v>
      </c>
      <c r="GC26" s="245" t="s">
        <v>600</v>
      </c>
      <c r="GD26" s="245">
        <v>2</v>
      </c>
      <c r="GE26" s="245" t="s">
        <v>3323</v>
      </c>
      <c r="GF26" s="245" t="s">
        <v>2097</v>
      </c>
      <c r="GG26" s="246">
        <v>44133</v>
      </c>
      <c r="GH26" s="244" t="s">
        <v>4852</v>
      </c>
      <c r="GI26" s="247">
        <v>3</v>
      </c>
      <c r="GJ26" s="247" t="s">
        <v>2096</v>
      </c>
      <c r="GK26" s="247" t="s">
        <v>600</v>
      </c>
      <c r="GL26" s="247">
        <v>2</v>
      </c>
      <c r="GM26" s="247" t="s">
        <v>3323</v>
      </c>
      <c r="GN26" s="247" t="s">
        <v>2097</v>
      </c>
      <c r="GO26" s="237">
        <v>44133</v>
      </c>
      <c r="GP26" s="245" t="s">
        <v>4853</v>
      </c>
      <c r="GQ26" s="245">
        <v>2</v>
      </c>
      <c r="GR26" s="245" t="s">
        <v>2096</v>
      </c>
      <c r="GS26" s="245" t="s">
        <v>600</v>
      </c>
      <c r="GT26" s="245">
        <v>2</v>
      </c>
      <c r="GU26" s="245" t="s">
        <v>3323</v>
      </c>
      <c r="GV26" s="245" t="s">
        <v>2097</v>
      </c>
      <c r="GW26" s="246">
        <v>44133</v>
      </c>
      <c r="GX26" s="244" t="s">
        <v>4854</v>
      </c>
      <c r="GY26" s="247">
        <v>3</v>
      </c>
      <c r="GZ26" s="247" t="s">
        <v>2096</v>
      </c>
      <c r="HA26" s="247" t="s">
        <v>600</v>
      </c>
      <c r="HB26" s="247">
        <v>2</v>
      </c>
      <c r="HC26" s="247" t="s">
        <v>3323</v>
      </c>
      <c r="HD26" s="247" t="s">
        <v>2097</v>
      </c>
      <c r="HE26" s="237">
        <v>44133</v>
      </c>
      <c r="HF26" s="245" t="s">
        <v>4855</v>
      </c>
      <c r="HG26" s="245">
        <v>0</v>
      </c>
      <c r="HH26" s="245" t="s">
        <v>2096</v>
      </c>
      <c r="HI26" s="245" t="s">
        <v>600</v>
      </c>
      <c r="HJ26" s="245">
        <v>2</v>
      </c>
      <c r="HK26" s="245" t="s">
        <v>3323</v>
      </c>
      <c r="HL26" s="245" t="s">
        <v>2097</v>
      </c>
      <c r="HM26" s="246">
        <v>44133</v>
      </c>
      <c r="HN26" s="244" t="s">
        <v>4856</v>
      </c>
      <c r="HO26" s="247">
        <v>2</v>
      </c>
      <c r="HP26" s="247" t="s">
        <v>2096</v>
      </c>
      <c r="HQ26" s="247" t="s">
        <v>600</v>
      </c>
      <c r="HR26" s="247">
        <v>2</v>
      </c>
      <c r="HS26" s="247" t="s">
        <v>3323</v>
      </c>
      <c r="HT26" s="247" t="s">
        <v>2097</v>
      </c>
      <c r="HU26" s="237">
        <v>44133</v>
      </c>
      <c r="HV26" s="245" t="s">
        <v>4857</v>
      </c>
      <c r="HW26" s="245">
        <v>3</v>
      </c>
      <c r="HX26" s="245" t="s">
        <v>2096</v>
      </c>
      <c r="HY26" s="245" t="s">
        <v>600</v>
      </c>
      <c r="HZ26" s="245">
        <v>2</v>
      </c>
      <c r="IA26" s="245" t="s">
        <v>3323</v>
      </c>
      <c r="IB26" s="245" t="s">
        <v>2097</v>
      </c>
      <c r="IC26" s="246">
        <v>44133</v>
      </c>
      <c r="ID26" s="244" t="s">
        <v>4858</v>
      </c>
      <c r="IE26" s="247">
        <v>0</v>
      </c>
      <c r="IF26" s="247" t="s">
        <v>2096</v>
      </c>
      <c r="IG26" s="247" t="s">
        <v>600</v>
      </c>
      <c r="IH26" s="247">
        <v>2</v>
      </c>
      <c r="II26" s="247" t="s">
        <v>3323</v>
      </c>
      <c r="IJ26" s="247" t="s">
        <v>2097</v>
      </c>
      <c r="IK26" s="237">
        <v>44133</v>
      </c>
      <c r="IL26" s="245" t="s">
        <v>4859</v>
      </c>
      <c r="IM26" s="245">
        <v>3</v>
      </c>
      <c r="IN26" s="245" t="s">
        <v>2096</v>
      </c>
      <c r="IO26" s="245" t="s">
        <v>600</v>
      </c>
      <c r="IP26" s="245">
        <v>2</v>
      </c>
      <c r="IQ26" s="245" t="s">
        <v>3323</v>
      </c>
      <c r="IR26" s="245" t="s">
        <v>2097</v>
      </c>
      <c r="IS26" s="246">
        <v>44133</v>
      </c>
    </row>
    <row r="27" spans="1:253" s="11" customFormat="1" ht="13.2" x14ac:dyDescent="0.25">
      <c r="A27" s="11" t="s">
        <v>1419</v>
      </c>
      <c r="B27" s="11" t="s">
        <v>3258</v>
      </c>
      <c r="C27" s="11" t="s">
        <v>577</v>
      </c>
      <c r="D27" s="11" t="s">
        <v>62</v>
      </c>
      <c r="E27" s="11" t="s">
        <v>61</v>
      </c>
      <c r="F27" s="11" t="s">
        <v>4860</v>
      </c>
      <c r="G27" s="235">
        <v>16787000</v>
      </c>
      <c r="H27" s="236" t="s">
        <v>3882</v>
      </c>
      <c r="I27" s="236" t="s">
        <v>600</v>
      </c>
      <c r="J27" s="236">
        <v>2</v>
      </c>
      <c r="K27" s="236" t="s">
        <v>2785</v>
      </c>
      <c r="L27" s="236" t="s">
        <v>2784</v>
      </c>
      <c r="M27" s="237">
        <v>44134</v>
      </c>
      <c r="N27" s="244" t="s">
        <v>4861</v>
      </c>
      <c r="O27" s="239">
        <v>1259200</v>
      </c>
      <c r="P27" s="239" t="s">
        <v>3295</v>
      </c>
      <c r="Q27" s="239" t="s">
        <v>601</v>
      </c>
      <c r="R27" s="239">
        <v>1</v>
      </c>
      <c r="S27" s="239" t="s">
        <v>2790</v>
      </c>
      <c r="T27" s="239" t="s">
        <v>3453</v>
      </c>
      <c r="U27" s="240">
        <v>44106</v>
      </c>
      <c r="V27" s="244" t="s">
        <v>4862</v>
      </c>
      <c r="W27" s="236">
        <v>16783000</v>
      </c>
      <c r="X27" s="236" t="s">
        <v>3292</v>
      </c>
      <c r="Y27" s="236" t="s">
        <v>600</v>
      </c>
      <c r="Z27" s="236">
        <v>2</v>
      </c>
      <c r="AA27" s="236" t="s">
        <v>2785</v>
      </c>
      <c r="AB27" s="236" t="s">
        <v>2784</v>
      </c>
      <c r="AC27" s="237">
        <v>44106</v>
      </c>
      <c r="AD27" s="244" t="s">
        <v>4863</v>
      </c>
      <c r="AE27" s="241">
        <v>16787000</v>
      </c>
      <c r="AF27" s="241" t="s">
        <v>3882</v>
      </c>
      <c r="AG27" s="241" t="s">
        <v>600</v>
      </c>
      <c r="AH27" s="241">
        <v>2</v>
      </c>
      <c r="AI27" s="241" t="s">
        <v>2785</v>
      </c>
      <c r="AJ27" s="241" t="s">
        <v>2784</v>
      </c>
      <c r="AK27" s="242">
        <v>44134</v>
      </c>
      <c r="AL27" s="244" t="s">
        <v>4864</v>
      </c>
      <c r="AM27" s="236">
        <v>884000</v>
      </c>
      <c r="AN27" s="236" t="s">
        <v>1612</v>
      </c>
      <c r="AO27" s="236" t="s">
        <v>600</v>
      </c>
      <c r="AP27" s="236">
        <v>2</v>
      </c>
      <c r="AQ27" s="236" t="s">
        <v>2787</v>
      </c>
      <c r="AR27" s="236" t="s">
        <v>1599</v>
      </c>
      <c r="AS27" s="237">
        <v>44134</v>
      </c>
      <c r="AT27" s="245" t="s">
        <v>4865</v>
      </c>
      <c r="AU27" s="241" t="s">
        <v>393</v>
      </c>
      <c r="AV27" s="241">
        <v>0</v>
      </c>
      <c r="AW27" s="241" t="s">
        <v>600</v>
      </c>
      <c r="AX27" s="241">
        <v>2</v>
      </c>
      <c r="AY27" s="241" t="s">
        <v>873</v>
      </c>
      <c r="AZ27" s="241">
        <v>0</v>
      </c>
      <c r="BA27" s="242">
        <v>43511</v>
      </c>
      <c r="BB27" s="244" t="s">
        <v>4866</v>
      </c>
      <c r="BC27" s="236" t="s">
        <v>393</v>
      </c>
      <c r="BD27" s="236">
        <v>0</v>
      </c>
      <c r="BE27" s="236" t="s">
        <v>600</v>
      </c>
      <c r="BF27" s="236">
        <v>2</v>
      </c>
      <c r="BG27" s="236" t="s">
        <v>1141</v>
      </c>
      <c r="BH27" s="236" t="s">
        <v>1142</v>
      </c>
      <c r="BI27" s="237">
        <v>43511</v>
      </c>
      <c r="BJ27" s="245" t="s">
        <v>4867</v>
      </c>
      <c r="BK27" s="245">
        <v>370</v>
      </c>
      <c r="BL27" s="245" t="s">
        <v>3708</v>
      </c>
      <c r="BM27" s="245" t="s">
        <v>599</v>
      </c>
      <c r="BN27" s="245">
        <v>3</v>
      </c>
      <c r="BO27" s="245" t="s">
        <v>3884</v>
      </c>
      <c r="BP27" s="241" t="s">
        <v>812</v>
      </c>
      <c r="BQ27" s="246">
        <v>44134</v>
      </c>
      <c r="BR27" s="244" t="s">
        <v>4868</v>
      </c>
      <c r="BS27" s="247" t="s">
        <v>393</v>
      </c>
      <c r="BT27" s="247">
        <v>0</v>
      </c>
      <c r="BU27" s="247" t="s">
        <v>600</v>
      </c>
      <c r="BV27" s="247">
        <v>2</v>
      </c>
      <c r="BW27" s="247" t="s">
        <v>873</v>
      </c>
      <c r="BX27" s="247">
        <v>0</v>
      </c>
      <c r="BY27" s="237">
        <v>43511</v>
      </c>
      <c r="BZ27" s="245" t="s">
        <v>4869</v>
      </c>
      <c r="CA27" s="245" t="s">
        <v>393</v>
      </c>
      <c r="CB27" s="245">
        <v>0</v>
      </c>
      <c r="CC27" s="245" t="s">
        <v>393</v>
      </c>
      <c r="CD27" s="245" t="s">
        <v>393</v>
      </c>
      <c r="CE27" s="245" t="s">
        <v>873</v>
      </c>
      <c r="CF27" s="245">
        <v>0</v>
      </c>
      <c r="CG27" s="246">
        <v>43511</v>
      </c>
      <c r="CH27" s="244" t="s">
        <v>4870</v>
      </c>
      <c r="CI27" s="245" t="e">
        <v>#N/A</v>
      </c>
      <c r="CJ27" s="245" t="e">
        <v>#N/A</v>
      </c>
      <c r="CK27" s="245" t="e">
        <v>#N/A</v>
      </c>
      <c r="CL27" s="245" t="e">
        <v>#N/A</v>
      </c>
      <c r="CM27" s="245" t="e">
        <v>#N/A</v>
      </c>
      <c r="CN27" s="245" t="e">
        <v>#N/A</v>
      </c>
      <c r="CO27" s="248" t="e">
        <v>#N/A</v>
      </c>
      <c r="CP27" s="245" t="s">
        <v>4871</v>
      </c>
      <c r="CQ27" s="247" t="s">
        <v>393</v>
      </c>
      <c r="CR27" s="247">
        <v>0</v>
      </c>
      <c r="CS27" s="247" t="s">
        <v>600</v>
      </c>
      <c r="CT27" s="247">
        <v>2</v>
      </c>
      <c r="CU27" s="247" t="s">
        <v>873</v>
      </c>
      <c r="CV27" s="247">
        <v>0</v>
      </c>
      <c r="CW27" s="237">
        <v>43511</v>
      </c>
      <c r="CX27" s="245" t="s">
        <v>4872</v>
      </c>
      <c r="CY27" s="241">
        <v>6400000</v>
      </c>
      <c r="CZ27" s="241" t="s">
        <v>2786</v>
      </c>
      <c r="DA27" s="241" t="s">
        <v>599</v>
      </c>
      <c r="DB27" s="241">
        <v>3</v>
      </c>
      <c r="DC27" s="241" t="s">
        <v>2789</v>
      </c>
      <c r="DD27" s="241" t="s">
        <v>2788</v>
      </c>
      <c r="DE27" s="243">
        <v>44041</v>
      </c>
      <c r="DF27" s="244" t="s">
        <v>4873</v>
      </c>
      <c r="DG27" s="236">
        <v>9169000</v>
      </c>
      <c r="DH27" s="247" t="s">
        <v>2786</v>
      </c>
      <c r="DI27" s="247" t="s">
        <v>599</v>
      </c>
      <c r="DJ27" s="247">
        <v>3</v>
      </c>
      <c r="DK27" s="247" t="s">
        <v>2789</v>
      </c>
      <c r="DL27" s="247" t="s">
        <v>2788</v>
      </c>
      <c r="DM27" s="237">
        <v>44041</v>
      </c>
      <c r="DN27" s="245" t="s">
        <v>4874</v>
      </c>
      <c r="DO27" s="241">
        <v>1207000</v>
      </c>
      <c r="DP27" s="245" t="s">
        <v>2786</v>
      </c>
      <c r="DQ27" s="245" t="s">
        <v>599</v>
      </c>
      <c r="DR27" s="245">
        <v>3</v>
      </c>
      <c r="DS27" s="245" t="s">
        <v>2789</v>
      </c>
      <c r="DT27" s="245" t="s">
        <v>2788</v>
      </c>
      <c r="DU27" s="246">
        <v>44041</v>
      </c>
      <c r="DV27" s="244" t="s">
        <v>4875</v>
      </c>
      <c r="DW27" s="236">
        <v>4736000</v>
      </c>
      <c r="DX27" s="247" t="s">
        <v>2786</v>
      </c>
      <c r="DY27" s="247" t="s">
        <v>599</v>
      </c>
      <c r="DZ27" s="247">
        <v>3</v>
      </c>
      <c r="EA27" s="247" t="s">
        <v>2789</v>
      </c>
      <c r="EB27" s="247" t="s">
        <v>2788</v>
      </c>
      <c r="EC27" s="237">
        <v>44041</v>
      </c>
      <c r="ED27" s="245" t="s">
        <v>4876</v>
      </c>
      <c r="EE27" s="241">
        <v>1472000</v>
      </c>
      <c r="EF27" s="245" t="s">
        <v>2786</v>
      </c>
      <c r="EG27" s="245" t="s">
        <v>599</v>
      </c>
      <c r="EH27" s="245">
        <v>3</v>
      </c>
      <c r="EI27" s="245" t="s">
        <v>2789</v>
      </c>
      <c r="EJ27" s="245" t="s">
        <v>2788</v>
      </c>
      <c r="EK27" s="246">
        <v>44041</v>
      </c>
      <c r="EL27" s="244" t="s">
        <v>4877</v>
      </c>
      <c r="EM27" s="236">
        <v>192000</v>
      </c>
      <c r="EN27" s="247" t="s">
        <v>2786</v>
      </c>
      <c r="EO27" s="247" t="s">
        <v>599</v>
      </c>
      <c r="EP27" s="247">
        <v>3</v>
      </c>
      <c r="EQ27" s="247" t="s">
        <v>2789</v>
      </c>
      <c r="ER27" s="247" t="s">
        <v>2788</v>
      </c>
      <c r="ES27" s="237">
        <v>44041</v>
      </c>
      <c r="ET27" s="245" t="s">
        <v>4878</v>
      </c>
      <c r="EU27" s="245">
        <v>380</v>
      </c>
      <c r="EV27" s="245" t="s">
        <v>3883</v>
      </c>
      <c r="EW27" s="245" t="s">
        <v>599</v>
      </c>
      <c r="EX27" s="245">
        <v>3</v>
      </c>
      <c r="EY27" s="245" t="s">
        <v>3885</v>
      </c>
      <c r="EZ27" s="245" t="s">
        <v>3443</v>
      </c>
      <c r="FA27" s="246">
        <v>44134</v>
      </c>
      <c r="FB27" s="244" t="s">
        <v>4879</v>
      </c>
      <c r="FC27" s="247">
        <v>5</v>
      </c>
      <c r="FD27" s="247">
        <v>0</v>
      </c>
      <c r="FE27" s="247" t="s">
        <v>600</v>
      </c>
      <c r="FF27" s="247">
        <v>2</v>
      </c>
      <c r="FG27" s="247" t="s">
        <v>996</v>
      </c>
      <c r="FH27" s="247">
        <v>0</v>
      </c>
      <c r="FI27" s="237">
        <v>43511</v>
      </c>
      <c r="FJ27" s="244" t="s">
        <v>4880</v>
      </c>
      <c r="FK27" s="245" t="s">
        <v>393</v>
      </c>
      <c r="FL27" s="245">
        <v>0</v>
      </c>
      <c r="FM27" s="245" t="s">
        <v>600</v>
      </c>
      <c r="FN27" s="245">
        <v>2</v>
      </c>
      <c r="FO27" s="245" t="s">
        <v>873</v>
      </c>
      <c r="FP27" s="241">
        <v>0</v>
      </c>
      <c r="FQ27" s="242">
        <v>43511</v>
      </c>
      <c r="FR27" s="244" t="s">
        <v>4881</v>
      </c>
      <c r="FS27" s="247" t="s">
        <v>393</v>
      </c>
      <c r="FT27" s="247">
        <v>0</v>
      </c>
      <c r="FU27" s="247" t="s">
        <v>600</v>
      </c>
      <c r="FV27" s="247">
        <v>2</v>
      </c>
      <c r="FW27" s="247" t="s">
        <v>873</v>
      </c>
      <c r="FX27" s="247">
        <v>0</v>
      </c>
      <c r="FY27" s="237">
        <v>43511</v>
      </c>
      <c r="FZ27" s="245" t="s">
        <v>4882</v>
      </c>
      <c r="GA27" s="245">
        <v>1</v>
      </c>
      <c r="GB27" s="245" t="s">
        <v>2096</v>
      </c>
      <c r="GC27" s="245" t="s">
        <v>600</v>
      </c>
      <c r="GD27" s="245">
        <v>2</v>
      </c>
      <c r="GE27" s="245" t="s">
        <v>3323</v>
      </c>
      <c r="GF27" s="245" t="s">
        <v>2097</v>
      </c>
      <c r="GG27" s="246">
        <v>44139</v>
      </c>
      <c r="GH27" s="244" t="s">
        <v>4883</v>
      </c>
      <c r="GI27" s="247">
        <v>2</v>
      </c>
      <c r="GJ27" s="247" t="s">
        <v>2096</v>
      </c>
      <c r="GK27" s="247" t="s">
        <v>600</v>
      </c>
      <c r="GL27" s="247">
        <v>2</v>
      </c>
      <c r="GM27" s="247" t="s">
        <v>3323</v>
      </c>
      <c r="GN27" s="247" t="s">
        <v>2097</v>
      </c>
      <c r="GO27" s="237">
        <v>44139</v>
      </c>
      <c r="GP27" s="245" t="s">
        <v>4884</v>
      </c>
      <c r="GQ27" s="245">
        <v>2</v>
      </c>
      <c r="GR27" s="245" t="s">
        <v>2096</v>
      </c>
      <c r="GS27" s="245" t="s">
        <v>600</v>
      </c>
      <c r="GT27" s="245">
        <v>2</v>
      </c>
      <c r="GU27" s="245" t="s">
        <v>3323</v>
      </c>
      <c r="GV27" s="245" t="s">
        <v>2097</v>
      </c>
      <c r="GW27" s="246">
        <v>44139</v>
      </c>
      <c r="GX27" s="244" t="s">
        <v>4885</v>
      </c>
      <c r="GY27" s="247">
        <v>0</v>
      </c>
      <c r="GZ27" s="247" t="s">
        <v>2096</v>
      </c>
      <c r="HA27" s="247" t="s">
        <v>600</v>
      </c>
      <c r="HB27" s="247">
        <v>2</v>
      </c>
      <c r="HC27" s="247" t="s">
        <v>3323</v>
      </c>
      <c r="HD27" s="247" t="s">
        <v>2097</v>
      </c>
      <c r="HE27" s="237">
        <v>44139</v>
      </c>
      <c r="HF27" s="245" t="s">
        <v>4886</v>
      </c>
      <c r="HG27" s="245">
        <v>0</v>
      </c>
      <c r="HH27" s="245" t="s">
        <v>2096</v>
      </c>
      <c r="HI27" s="245" t="s">
        <v>600</v>
      </c>
      <c r="HJ27" s="245">
        <v>2</v>
      </c>
      <c r="HK27" s="245" t="s">
        <v>3323</v>
      </c>
      <c r="HL27" s="245" t="s">
        <v>2097</v>
      </c>
      <c r="HM27" s="246">
        <v>44139</v>
      </c>
      <c r="HN27" s="244" t="s">
        <v>4887</v>
      </c>
      <c r="HO27" s="247">
        <v>2</v>
      </c>
      <c r="HP27" s="247" t="s">
        <v>2096</v>
      </c>
      <c r="HQ27" s="247" t="s">
        <v>600</v>
      </c>
      <c r="HR27" s="247">
        <v>2</v>
      </c>
      <c r="HS27" s="247" t="s">
        <v>3323</v>
      </c>
      <c r="HT27" s="247" t="s">
        <v>2097</v>
      </c>
      <c r="HU27" s="237">
        <v>44139</v>
      </c>
      <c r="HV27" s="245" t="s">
        <v>4888</v>
      </c>
      <c r="HW27" s="245">
        <v>3</v>
      </c>
      <c r="HX27" s="245" t="s">
        <v>2096</v>
      </c>
      <c r="HY27" s="245" t="s">
        <v>600</v>
      </c>
      <c r="HZ27" s="245">
        <v>2</v>
      </c>
      <c r="IA27" s="245" t="s">
        <v>3323</v>
      </c>
      <c r="IB27" s="245" t="s">
        <v>2097</v>
      </c>
      <c r="IC27" s="246">
        <v>44139</v>
      </c>
      <c r="ID27" s="244" t="s">
        <v>4889</v>
      </c>
      <c r="IE27" s="247">
        <v>2</v>
      </c>
      <c r="IF27" s="247" t="s">
        <v>2096</v>
      </c>
      <c r="IG27" s="247" t="s">
        <v>600</v>
      </c>
      <c r="IH27" s="247">
        <v>2</v>
      </c>
      <c r="II27" s="247" t="s">
        <v>3323</v>
      </c>
      <c r="IJ27" s="247" t="s">
        <v>2097</v>
      </c>
      <c r="IK27" s="237">
        <v>44139</v>
      </c>
      <c r="IL27" s="245" t="s">
        <v>4890</v>
      </c>
      <c r="IM27" s="245">
        <v>3</v>
      </c>
      <c r="IN27" s="245" t="s">
        <v>2096</v>
      </c>
      <c r="IO27" s="245" t="s">
        <v>600</v>
      </c>
      <c r="IP27" s="245">
        <v>2</v>
      </c>
      <c r="IQ27" s="245" t="s">
        <v>3323</v>
      </c>
      <c r="IR27" s="245" t="s">
        <v>2097</v>
      </c>
      <c r="IS27" s="246">
        <v>44139</v>
      </c>
    </row>
    <row r="28" spans="1:253" s="11" customFormat="1" ht="13.2" x14ac:dyDescent="0.25">
      <c r="A28" s="11" t="s">
        <v>784</v>
      </c>
      <c r="B28" s="11" t="s">
        <v>650</v>
      </c>
      <c r="C28" s="11" t="s">
        <v>678</v>
      </c>
      <c r="D28" s="11" t="s">
        <v>62</v>
      </c>
      <c r="E28" s="11" t="s">
        <v>61</v>
      </c>
      <c r="F28" s="11" t="s">
        <v>4891</v>
      </c>
      <c r="G28" s="235">
        <v>16787000</v>
      </c>
      <c r="H28" s="236" t="s">
        <v>3882</v>
      </c>
      <c r="I28" s="236" t="s">
        <v>600</v>
      </c>
      <c r="J28" s="236">
        <v>2</v>
      </c>
      <c r="K28" s="236" t="s">
        <v>2785</v>
      </c>
      <c r="L28" s="236" t="s">
        <v>2784</v>
      </c>
      <c r="M28" s="237">
        <v>44134</v>
      </c>
      <c r="N28" s="244" t="s">
        <v>4892</v>
      </c>
      <c r="O28" s="239">
        <v>19915</v>
      </c>
      <c r="P28" s="239" t="s">
        <v>989</v>
      </c>
      <c r="Q28" s="239" t="s">
        <v>600</v>
      </c>
      <c r="R28" s="239">
        <v>2</v>
      </c>
      <c r="S28" s="239" t="s">
        <v>991</v>
      </c>
      <c r="T28" s="239" t="s">
        <v>990</v>
      </c>
      <c r="U28" s="240">
        <v>43511</v>
      </c>
      <c r="V28" s="244" t="s">
        <v>4893</v>
      </c>
      <c r="W28" s="236">
        <v>685000</v>
      </c>
      <c r="X28" s="236" t="s">
        <v>3882</v>
      </c>
      <c r="Y28" s="236" t="s">
        <v>599</v>
      </c>
      <c r="Z28" s="236">
        <v>3</v>
      </c>
      <c r="AA28" s="236" t="s">
        <v>2791</v>
      </c>
      <c r="AB28" s="236" t="s">
        <v>2784</v>
      </c>
      <c r="AC28" s="237">
        <v>44134</v>
      </c>
      <c r="AD28" s="244" t="s">
        <v>4894</v>
      </c>
      <c r="AE28" s="241">
        <v>685000</v>
      </c>
      <c r="AF28" s="241" t="s">
        <v>3882</v>
      </c>
      <c r="AG28" s="241" t="s">
        <v>599</v>
      </c>
      <c r="AH28" s="241">
        <v>3</v>
      </c>
      <c r="AI28" s="241" t="s">
        <v>992</v>
      </c>
      <c r="AJ28" s="241" t="s">
        <v>2784</v>
      </c>
      <c r="AK28" s="242">
        <v>44134</v>
      </c>
      <c r="AL28" s="244" t="s">
        <v>4895</v>
      </c>
      <c r="AM28" s="236">
        <v>343000</v>
      </c>
      <c r="AN28" s="236" t="s">
        <v>1612</v>
      </c>
      <c r="AO28" s="236" t="s">
        <v>599</v>
      </c>
      <c r="AP28" s="236">
        <v>3</v>
      </c>
      <c r="AQ28" s="236" t="s">
        <v>2792</v>
      </c>
      <c r="AR28" s="236" t="s">
        <v>1599</v>
      </c>
      <c r="AS28" s="237">
        <v>44134</v>
      </c>
      <c r="AT28" s="245" t="s">
        <v>4896</v>
      </c>
      <c r="AU28" s="241" t="s">
        <v>393</v>
      </c>
      <c r="AV28" s="241">
        <v>0</v>
      </c>
      <c r="AW28" s="241" t="s">
        <v>600</v>
      </c>
      <c r="AX28" s="241">
        <v>2</v>
      </c>
      <c r="AY28" s="241" t="s">
        <v>704</v>
      </c>
      <c r="AZ28" s="241">
        <v>0</v>
      </c>
      <c r="BA28" s="242">
        <v>43511</v>
      </c>
      <c r="BB28" s="244" t="s">
        <v>4897</v>
      </c>
      <c r="BC28" s="236" t="s">
        <v>393</v>
      </c>
      <c r="BD28" s="236">
        <v>0</v>
      </c>
      <c r="BE28" s="236" t="s">
        <v>600</v>
      </c>
      <c r="BF28" s="236">
        <v>2</v>
      </c>
      <c r="BG28" s="236" t="s">
        <v>704</v>
      </c>
      <c r="BH28" s="236">
        <v>0</v>
      </c>
      <c r="BI28" s="237">
        <v>43511</v>
      </c>
      <c r="BJ28" s="245" t="s">
        <v>4898</v>
      </c>
      <c r="BK28" s="245">
        <v>261</v>
      </c>
      <c r="BL28" s="245" t="s">
        <v>3887</v>
      </c>
      <c r="BM28" s="245" t="s">
        <v>599</v>
      </c>
      <c r="BN28" s="245">
        <v>3</v>
      </c>
      <c r="BO28" s="245" t="s">
        <v>3888</v>
      </c>
      <c r="BP28" s="241" t="s">
        <v>812</v>
      </c>
      <c r="BQ28" s="246">
        <v>44134</v>
      </c>
      <c r="BR28" s="244" t="s">
        <v>4899</v>
      </c>
      <c r="BS28" s="247" t="s">
        <v>393</v>
      </c>
      <c r="BT28" s="247">
        <v>0</v>
      </c>
      <c r="BU28" s="247" t="s">
        <v>600</v>
      </c>
      <c r="BV28" s="247">
        <v>2</v>
      </c>
      <c r="BW28" s="247" t="s">
        <v>704</v>
      </c>
      <c r="BX28" s="247">
        <v>0</v>
      </c>
      <c r="BY28" s="237">
        <v>43511</v>
      </c>
      <c r="BZ28" s="245" t="s">
        <v>4900</v>
      </c>
      <c r="CA28" s="245" t="s">
        <v>393</v>
      </c>
      <c r="CB28" s="245">
        <v>0</v>
      </c>
      <c r="CC28" s="245" t="s">
        <v>393</v>
      </c>
      <c r="CD28" s="245" t="s">
        <v>393</v>
      </c>
      <c r="CE28" s="245" t="s">
        <v>704</v>
      </c>
      <c r="CF28" s="245">
        <v>0</v>
      </c>
      <c r="CG28" s="246">
        <v>43511</v>
      </c>
      <c r="CH28" s="244" t="s">
        <v>4901</v>
      </c>
      <c r="CI28" s="245" t="e">
        <v>#N/A</v>
      </c>
      <c r="CJ28" s="245" t="e">
        <v>#N/A</v>
      </c>
      <c r="CK28" s="245" t="e">
        <v>#N/A</v>
      </c>
      <c r="CL28" s="245" t="e">
        <v>#N/A</v>
      </c>
      <c r="CM28" s="245" t="e">
        <v>#N/A</v>
      </c>
      <c r="CN28" s="245" t="e">
        <v>#N/A</v>
      </c>
      <c r="CO28" s="248" t="e">
        <v>#N/A</v>
      </c>
      <c r="CP28" s="245" t="s">
        <v>4902</v>
      </c>
      <c r="CQ28" s="247" t="s">
        <v>393</v>
      </c>
      <c r="CR28" s="247">
        <v>0</v>
      </c>
      <c r="CS28" s="247" t="s">
        <v>600</v>
      </c>
      <c r="CT28" s="247">
        <v>2</v>
      </c>
      <c r="CU28" s="247" t="s">
        <v>704</v>
      </c>
      <c r="CV28" s="247">
        <v>0</v>
      </c>
      <c r="CW28" s="237">
        <v>43511</v>
      </c>
      <c r="CX28" s="245" t="s">
        <v>4903</v>
      </c>
      <c r="CY28" s="241">
        <v>367000</v>
      </c>
      <c r="CZ28" s="241" t="s">
        <v>1988</v>
      </c>
      <c r="DA28" s="241" t="s">
        <v>599</v>
      </c>
      <c r="DB28" s="241">
        <v>3</v>
      </c>
      <c r="DC28" s="241" t="s">
        <v>2228</v>
      </c>
      <c r="DD28" s="241" t="s">
        <v>2227</v>
      </c>
      <c r="DE28" s="243">
        <v>44119</v>
      </c>
      <c r="DF28" s="244" t="s">
        <v>4904</v>
      </c>
      <c r="DG28" s="236">
        <v>0</v>
      </c>
      <c r="DH28" s="247" t="s">
        <v>1988</v>
      </c>
      <c r="DI28" s="247" t="s">
        <v>599</v>
      </c>
      <c r="DJ28" s="247">
        <v>3</v>
      </c>
      <c r="DK28" s="247" t="s">
        <v>2228</v>
      </c>
      <c r="DL28" s="247" t="s">
        <v>2227</v>
      </c>
      <c r="DM28" s="237">
        <v>44119</v>
      </c>
      <c r="DN28" s="245" t="s">
        <v>4905</v>
      </c>
      <c r="DO28" s="241">
        <v>318000</v>
      </c>
      <c r="DP28" s="245" t="s">
        <v>1988</v>
      </c>
      <c r="DQ28" s="245" t="s">
        <v>599</v>
      </c>
      <c r="DR28" s="245">
        <v>3</v>
      </c>
      <c r="DS28" s="245" t="s">
        <v>2228</v>
      </c>
      <c r="DT28" s="245" t="s">
        <v>2227</v>
      </c>
      <c r="DU28" s="246">
        <v>44119</v>
      </c>
      <c r="DV28" s="244" t="s">
        <v>4906</v>
      </c>
      <c r="DW28" s="236">
        <v>98000</v>
      </c>
      <c r="DX28" s="247" t="s">
        <v>1988</v>
      </c>
      <c r="DY28" s="247" t="s">
        <v>599</v>
      </c>
      <c r="DZ28" s="247">
        <v>3</v>
      </c>
      <c r="EA28" s="247" t="s">
        <v>2228</v>
      </c>
      <c r="EB28" s="247" t="s">
        <v>2227</v>
      </c>
      <c r="EC28" s="237">
        <v>44119</v>
      </c>
      <c r="ED28" s="245" t="s">
        <v>4907</v>
      </c>
      <c r="EE28" s="241">
        <v>147000</v>
      </c>
      <c r="EF28" s="245" t="s">
        <v>1988</v>
      </c>
      <c r="EG28" s="245" t="s">
        <v>599</v>
      </c>
      <c r="EH28" s="245">
        <v>3</v>
      </c>
      <c r="EI28" s="245" t="s">
        <v>2228</v>
      </c>
      <c r="EJ28" s="245" t="s">
        <v>2227</v>
      </c>
      <c r="EK28" s="246">
        <v>44119</v>
      </c>
      <c r="EL28" s="244" t="s">
        <v>4908</v>
      </c>
      <c r="EM28" s="236">
        <v>122000</v>
      </c>
      <c r="EN28" s="247" t="s">
        <v>1988</v>
      </c>
      <c r="EO28" s="247" t="s">
        <v>599</v>
      </c>
      <c r="EP28" s="247">
        <v>3</v>
      </c>
      <c r="EQ28" s="247" t="s">
        <v>2228</v>
      </c>
      <c r="ER28" s="247" t="s">
        <v>2227</v>
      </c>
      <c r="ES28" s="237">
        <v>44119</v>
      </c>
      <c r="ET28" s="245" t="s">
        <v>4909</v>
      </c>
      <c r="EU28" s="245">
        <v>380</v>
      </c>
      <c r="EV28" s="245" t="s">
        <v>3883</v>
      </c>
      <c r="EW28" s="245" t="s">
        <v>599</v>
      </c>
      <c r="EX28" s="245">
        <v>3</v>
      </c>
      <c r="EY28" s="245" t="s">
        <v>3885</v>
      </c>
      <c r="EZ28" s="245" t="s">
        <v>3443</v>
      </c>
      <c r="FA28" s="246">
        <v>44134</v>
      </c>
      <c r="FB28" s="244" t="s">
        <v>4910</v>
      </c>
      <c r="FC28" s="247">
        <v>5</v>
      </c>
      <c r="FD28" s="247">
        <v>0</v>
      </c>
      <c r="FE28" s="247" t="s">
        <v>600</v>
      </c>
      <c r="FF28" s="247">
        <v>2</v>
      </c>
      <c r="FG28" s="247" t="s">
        <v>994</v>
      </c>
      <c r="FH28" s="247">
        <v>0</v>
      </c>
      <c r="FI28" s="237">
        <v>43511</v>
      </c>
      <c r="FJ28" s="244" t="s">
        <v>4911</v>
      </c>
      <c r="FK28" s="245" t="s">
        <v>393</v>
      </c>
      <c r="FL28" s="245">
        <v>0</v>
      </c>
      <c r="FM28" s="245" t="s">
        <v>600</v>
      </c>
      <c r="FN28" s="245">
        <v>2</v>
      </c>
      <c r="FO28" s="245">
        <v>0</v>
      </c>
      <c r="FP28" s="241">
        <v>0</v>
      </c>
      <c r="FQ28" s="242">
        <v>43511</v>
      </c>
      <c r="FR28" s="244" t="s">
        <v>4912</v>
      </c>
      <c r="FS28" s="247" t="s">
        <v>393</v>
      </c>
      <c r="FT28" s="247">
        <v>0</v>
      </c>
      <c r="FU28" s="247" t="s">
        <v>600</v>
      </c>
      <c r="FV28" s="247">
        <v>2</v>
      </c>
      <c r="FW28" s="247">
        <v>0</v>
      </c>
      <c r="FX28" s="247">
        <v>0</v>
      </c>
      <c r="FY28" s="237">
        <v>43511</v>
      </c>
      <c r="FZ28" s="245" t="s">
        <v>4913</v>
      </c>
      <c r="GA28" s="245">
        <v>1</v>
      </c>
      <c r="GB28" s="245" t="s">
        <v>2096</v>
      </c>
      <c r="GC28" s="245" t="s">
        <v>600</v>
      </c>
      <c r="GD28" s="245">
        <v>2</v>
      </c>
      <c r="GE28" s="245" t="s">
        <v>3323</v>
      </c>
      <c r="GF28" s="245" t="s">
        <v>2097</v>
      </c>
      <c r="GG28" s="246">
        <v>44139</v>
      </c>
      <c r="GH28" s="244" t="s">
        <v>4914</v>
      </c>
      <c r="GI28" s="247">
        <v>2</v>
      </c>
      <c r="GJ28" s="247" t="s">
        <v>2096</v>
      </c>
      <c r="GK28" s="247" t="s">
        <v>600</v>
      </c>
      <c r="GL28" s="247">
        <v>2</v>
      </c>
      <c r="GM28" s="247" t="s">
        <v>3323</v>
      </c>
      <c r="GN28" s="247" t="s">
        <v>2097</v>
      </c>
      <c r="GO28" s="237">
        <v>44139</v>
      </c>
      <c r="GP28" s="245" t="s">
        <v>4915</v>
      </c>
      <c r="GQ28" s="245">
        <v>2</v>
      </c>
      <c r="GR28" s="245" t="s">
        <v>2096</v>
      </c>
      <c r="GS28" s="245" t="s">
        <v>600</v>
      </c>
      <c r="GT28" s="245">
        <v>2</v>
      </c>
      <c r="GU28" s="245" t="s">
        <v>3323</v>
      </c>
      <c r="GV28" s="245" t="s">
        <v>2097</v>
      </c>
      <c r="GW28" s="246">
        <v>44139</v>
      </c>
      <c r="GX28" s="244" t="s">
        <v>4916</v>
      </c>
      <c r="GY28" s="247">
        <v>0</v>
      </c>
      <c r="GZ28" s="247" t="s">
        <v>2096</v>
      </c>
      <c r="HA28" s="247" t="s">
        <v>600</v>
      </c>
      <c r="HB28" s="247">
        <v>2</v>
      </c>
      <c r="HC28" s="247" t="s">
        <v>3323</v>
      </c>
      <c r="HD28" s="247" t="s">
        <v>2097</v>
      </c>
      <c r="HE28" s="237">
        <v>44139</v>
      </c>
      <c r="HF28" s="245" t="s">
        <v>4917</v>
      </c>
      <c r="HG28" s="245">
        <v>0</v>
      </c>
      <c r="HH28" s="245" t="s">
        <v>2096</v>
      </c>
      <c r="HI28" s="245" t="s">
        <v>600</v>
      </c>
      <c r="HJ28" s="245">
        <v>2</v>
      </c>
      <c r="HK28" s="245" t="s">
        <v>3323</v>
      </c>
      <c r="HL28" s="245" t="s">
        <v>2097</v>
      </c>
      <c r="HM28" s="246">
        <v>44139</v>
      </c>
      <c r="HN28" s="244" t="s">
        <v>4918</v>
      </c>
      <c r="HO28" s="247">
        <v>2</v>
      </c>
      <c r="HP28" s="247" t="s">
        <v>2096</v>
      </c>
      <c r="HQ28" s="247" t="s">
        <v>600</v>
      </c>
      <c r="HR28" s="247">
        <v>2</v>
      </c>
      <c r="HS28" s="247" t="s">
        <v>3323</v>
      </c>
      <c r="HT28" s="247" t="s">
        <v>2097</v>
      </c>
      <c r="HU28" s="237">
        <v>44139</v>
      </c>
      <c r="HV28" s="245" t="s">
        <v>4919</v>
      </c>
      <c r="HW28" s="245">
        <v>3</v>
      </c>
      <c r="HX28" s="245" t="s">
        <v>2096</v>
      </c>
      <c r="HY28" s="245" t="s">
        <v>600</v>
      </c>
      <c r="HZ28" s="245">
        <v>2</v>
      </c>
      <c r="IA28" s="245" t="s">
        <v>3323</v>
      </c>
      <c r="IB28" s="245" t="s">
        <v>2097</v>
      </c>
      <c r="IC28" s="246">
        <v>44139</v>
      </c>
      <c r="ID28" s="244" t="s">
        <v>4920</v>
      </c>
      <c r="IE28" s="247">
        <v>2</v>
      </c>
      <c r="IF28" s="247" t="s">
        <v>2096</v>
      </c>
      <c r="IG28" s="247" t="s">
        <v>600</v>
      </c>
      <c r="IH28" s="247">
        <v>2</v>
      </c>
      <c r="II28" s="247" t="s">
        <v>3323</v>
      </c>
      <c r="IJ28" s="247" t="s">
        <v>2097</v>
      </c>
      <c r="IK28" s="237">
        <v>44139</v>
      </c>
      <c r="IL28" s="245" t="s">
        <v>4921</v>
      </c>
      <c r="IM28" s="245">
        <v>3</v>
      </c>
      <c r="IN28" s="245" t="s">
        <v>2096</v>
      </c>
      <c r="IO28" s="245" t="s">
        <v>600</v>
      </c>
      <c r="IP28" s="245">
        <v>2</v>
      </c>
      <c r="IQ28" s="245" t="s">
        <v>3323</v>
      </c>
      <c r="IR28" s="245" t="s">
        <v>2097</v>
      </c>
      <c r="IS28" s="246">
        <v>44139</v>
      </c>
    </row>
    <row r="29" spans="1:253" s="11" customFormat="1" ht="13.2" x14ac:dyDescent="0.25">
      <c r="A29" s="11" t="s">
        <v>785</v>
      </c>
      <c r="B29" s="11" t="s">
        <v>1280</v>
      </c>
      <c r="C29" s="11" t="s">
        <v>679</v>
      </c>
      <c r="D29" s="11" t="s">
        <v>62</v>
      </c>
      <c r="E29" s="11" t="s">
        <v>61</v>
      </c>
      <c r="F29" s="11" t="s">
        <v>4922</v>
      </c>
      <c r="G29" s="235">
        <v>16787000</v>
      </c>
      <c r="H29" s="236" t="s">
        <v>3882</v>
      </c>
      <c r="I29" s="236" t="s">
        <v>600</v>
      </c>
      <c r="J29" s="236">
        <v>2</v>
      </c>
      <c r="K29" s="236" t="s">
        <v>2785</v>
      </c>
      <c r="L29" s="236" t="s">
        <v>2784</v>
      </c>
      <c r="M29" s="237">
        <v>44134</v>
      </c>
      <c r="N29" s="244" t="s">
        <v>4923</v>
      </c>
      <c r="O29" s="239">
        <v>154623</v>
      </c>
      <c r="P29" s="239" t="s">
        <v>2223</v>
      </c>
      <c r="Q29" s="239" t="s">
        <v>600</v>
      </c>
      <c r="R29" s="239">
        <v>2</v>
      </c>
      <c r="S29" s="239" t="s">
        <v>1044</v>
      </c>
      <c r="T29" s="239" t="s">
        <v>2233</v>
      </c>
      <c r="U29" s="240">
        <v>43914</v>
      </c>
      <c r="V29" s="244" t="s">
        <v>4924</v>
      </c>
      <c r="W29" s="236">
        <v>4456000</v>
      </c>
      <c r="X29" s="236" t="s">
        <v>2218</v>
      </c>
      <c r="Y29" s="236" t="s">
        <v>600</v>
      </c>
      <c r="Z29" s="236">
        <v>2</v>
      </c>
      <c r="AA29" s="236" t="s">
        <v>1045</v>
      </c>
      <c r="AB29" s="236" t="s">
        <v>2226</v>
      </c>
      <c r="AC29" s="237">
        <v>43914</v>
      </c>
      <c r="AD29" s="244" t="s">
        <v>4925</v>
      </c>
      <c r="AE29" s="241">
        <v>1004000</v>
      </c>
      <c r="AF29" s="241" t="s">
        <v>2222</v>
      </c>
      <c r="AG29" s="241" t="s">
        <v>600</v>
      </c>
      <c r="AH29" s="241">
        <v>2</v>
      </c>
      <c r="AI29" s="241" t="s">
        <v>1046</v>
      </c>
      <c r="AJ29" s="241" t="s">
        <v>2226</v>
      </c>
      <c r="AK29" s="242">
        <v>43914</v>
      </c>
      <c r="AL29" s="244" t="s">
        <v>4926</v>
      </c>
      <c r="AM29" s="236">
        <v>164000</v>
      </c>
      <c r="AN29" s="236" t="s">
        <v>1612</v>
      </c>
      <c r="AO29" s="236" t="s">
        <v>600</v>
      </c>
      <c r="AP29" s="236">
        <v>2</v>
      </c>
      <c r="AQ29" s="236" t="s">
        <v>1651</v>
      </c>
      <c r="AR29" s="236" t="s">
        <v>1599</v>
      </c>
      <c r="AS29" s="237">
        <v>44134</v>
      </c>
      <c r="AT29" s="245" t="s">
        <v>4927</v>
      </c>
      <c r="AU29" s="241" t="s">
        <v>703</v>
      </c>
      <c r="AV29" s="241">
        <v>0</v>
      </c>
      <c r="AW29" s="241" t="s">
        <v>600</v>
      </c>
      <c r="AX29" s="241">
        <v>2</v>
      </c>
      <c r="AY29" s="241" t="s">
        <v>873</v>
      </c>
      <c r="AZ29" s="241" t="s">
        <v>995</v>
      </c>
      <c r="BA29" s="242">
        <v>43511</v>
      </c>
      <c r="BB29" s="244" t="s">
        <v>4928</v>
      </c>
      <c r="BC29" s="236" t="s">
        <v>703</v>
      </c>
      <c r="BD29" s="236">
        <v>0</v>
      </c>
      <c r="BE29" s="236" t="s">
        <v>600</v>
      </c>
      <c r="BF29" s="236">
        <v>2</v>
      </c>
      <c r="BG29" s="236" t="s">
        <v>873</v>
      </c>
      <c r="BH29" s="236" t="s">
        <v>995</v>
      </c>
      <c r="BI29" s="237">
        <v>43511</v>
      </c>
      <c r="BJ29" s="245" t="s">
        <v>4929</v>
      </c>
      <c r="BK29" s="245" t="s">
        <v>703</v>
      </c>
      <c r="BL29" s="245">
        <v>0</v>
      </c>
      <c r="BM29" s="245" t="s">
        <v>600</v>
      </c>
      <c r="BN29" s="245">
        <v>2</v>
      </c>
      <c r="BO29" s="245" t="s">
        <v>873</v>
      </c>
      <c r="BP29" s="241">
        <v>0</v>
      </c>
      <c r="BQ29" s="246">
        <v>43511</v>
      </c>
      <c r="BR29" s="244" t="s">
        <v>4930</v>
      </c>
      <c r="BS29" s="247" t="s">
        <v>703</v>
      </c>
      <c r="BT29" s="247">
        <v>0</v>
      </c>
      <c r="BU29" s="247" t="s">
        <v>600</v>
      </c>
      <c r="BV29" s="247">
        <v>2</v>
      </c>
      <c r="BW29" s="247" t="s">
        <v>873</v>
      </c>
      <c r="BX29" s="247">
        <v>0</v>
      </c>
      <c r="BY29" s="237">
        <v>43511</v>
      </c>
      <c r="BZ29" s="245" t="s">
        <v>4931</v>
      </c>
      <c r="CA29" s="245">
        <v>0</v>
      </c>
      <c r="CB29" s="245" t="s">
        <v>393</v>
      </c>
      <c r="CC29" s="245" t="s">
        <v>600</v>
      </c>
      <c r="CD29" s="245">
        <v>2</v>
      </c>
      <c r="CE29" s="245" t="s">
        <v>1047</v>
      </c>
      <c r="CF29" s="245" t="s">
        <v>812</v>
      </c>
      <c r="CG29" s="246">
        <v>43511</v>
      </c>
      <c r="CH29" s="244" t="s">
        <v>4932</v>
      </c>
      <c r="CI29" s="245" t="e">
        <v>#N/A</v>
      </c>
      <c r="CJ29" s="245" t="e">
        <v>#N/A</v>
      </c>
      <c r="CK29" s="245" t="e">
        <v>#N/A</v>
      </c>
      <c r="CL29" s="245" t="e">
        <v>#N/A</v>
      </c>
      <c r="CM29" s="245" t="e">
        <v>#N/A</v>
      </c>
      <c r="CN29" s="245" t="e">
        <v>#N/A</v>
      </c>
      <c r="CO29" s="248" t="e">
        <v>#N/A</v>
      </c>
      <c r="CP29" s="245" t="s">
        <v>4933</v>
      </c>
      <c r="CQ29" s="247" t="s">
        <v>703</v>
      </c>
      <c r="CR29" s="247">
        <v>0</v>
      </c>
      <c r="CS29" s="247" t="s">
        <v>600</v>
      </c>
      <c r="CT29" s="247">
        <v>2</v>
      </c>
      <c r="CU29" s="247" t="s">
        <v>873</v>
      </c>
      <c r="CV29" s="247">
        <v>0</v>
      </c>
      <c r="CW29" s="237">
        <v>43511</v>
      </c>
      <c r="CX29" s="245" t="s">
        <v>4934</v>
      </c>
      <c r="CY29" s="241">
        <v>1004000</v>
      </c>
      <c r="CZ29" s="241" t="s">
        <v>2218</v>
      </c>
      <c r="DA29" s="241" t="s">
        <v>600</v>
      </c>
      <c r="DB29" s="241">
        <v>2</v>
      </c>
      <c r="DC29" s="241" t="s">
        <v>2234</v>
      </c>
      <c r="DD29" s="241" t="s">
        <v>2226</v>
      </c>
      <c r="DE29" s="243">
        <v>43914</v>
      </c>
      <c r="DF29" s="244" t="s">
        <v>4935</v>
      </c>
      <c r="DG29" s="236">
        <v>3452000</v>
      </c>
      <c r="DH29" s="247" t="s">
        <v>2218</v>
      </c>
      <c r="DI29" s="247" t="s">
        <v>600</v>
      </c>
      <c r="DJ29" s="247">
        <v>2</v>
      </c>
      <c r="DK29" s="247" t="s">
        <v>2234</v>
      </c>
      <c r="DL29" s="247" t="s">
        <v>2226</v>
      </c>
      <c r="DM29" s="237">
        <v>43914</v>
      </c>
      <c r="DN29" s="245" t="s">
        <v>4936</v>
      </c>
      <c r="DO29" s="241">
        <v>0</v>
      </c>
      <c r="DP29" s="245" t="s">
        <v>2218</v>
      </c>
      <c r="DQ29" s="245" t="s">
        <v>600</v>
      </c>
      <c r="DR29" s="245">
        <v>2</v>
      </c>
      <c r="DS29" s="245" t="s">
        <v>2234</v>
      </c>
      <c r="DT29" s="245" t="s">
        <v>2226</v>
      </c>
      <c r="DU29" s="246">
        <v>43914</v>
      </c>
      <c r="DV29" s="244" t="s">
        <v>4937</v>
      </c>
      <c r="DW29" s="236">
        <v>743000</v>
      </c>
      <c r="DX29" s="247" t="s">
        <v>2218</v>
      </c>
      <c r="DY29" s="247" t="s">
        <v>600</v>
      </c>
      <c r="DZ29" s="247">
        <v>2</v>
      </c>
      <c r="EA29" s="247" t="s">
        <v>2234</v>
      </c>
      <c r="EB29" s="247" t="s">
        <v>2226</v>
      </c>
      <c r="EC29" s="237">
        <v>43914</v>
      </c>
      <c r="ED29" s="245" t="s">
        <v>4938</v>
      </c>
      <c r="EE29" s="241">
        <v>261000</v>
      </c>
      <c r="EF29" s="245" t="s">
        <v>2218</v>
      </c>
      <c r="EG29" s="245" t="s">
        <v>600</v>
      </c>
      <c r="EH29" s="245">
        <v>2</v>
      </c>
      <c r="EI29" s="245" t="s">
        <v>2234</v>
      </c>
      <c r="EJ29" s="245" t="s">
        <v>2226</v>
      </c>
      <c r="EK29" s="246">
        <v>43914</v>
      </c>
      <c r="EL29" s="244" t="s">
        <v>4939</v>
      </c>
      <c r="EM29" s="236">
        <v>0</v>
      </c>
      <c r="EN29" s="247" t="s">
        <v>2218</v>
      </c>
      <c r="EO29" s="247" t="s">
        <v>600</v>
      </c>
      <c r="EP29" s="247">
        <v>2</v>
      </c>
      <c r="EQ29" s="247" t="s">
        <v>2234</v>
      </c>
      <c r="ER29" s="247" t="s">
        <v>2226</v>
      </c>
      <c r="ES29" s="237">
        <v>43914</v>
      </c>
      <c r="ET29" s="245" t="s">
        <v>4940</v>
      </c>
      <c r="EU29" s="245">
        <v>380</v>
      </c>
      <c r="EV29" s="245" t="s">
        <v>3883</v>
      </c>
      <c r="EW29" s="245" t="s">
        <v>599</v>
      </c>
      <c r="EX29" s="245">
        <v>3</v>
      </c>
      <c r="EY29" s="245" t="s">
        <v>3885</v>
      </c>
      <c r="EZ29" s="245" t="s">
        <v>3443</v>
      </c>
      <c r="FA29" s="246">
        <v>44134</v>
      </c>
      <c r="FB29" s="244" t="s">
        <v>4941</v>
      </c>
      <c r="FC29" s="247">
        <v>3</v>
      </c>
      <c r="FD29" s="247">
        <v>0</v>
      </c>
      <c r="FE29" s="247" t="s">
        <v>600</v>
      </c>
      <c r="FF29" s="247">
        <v>2</v>
      </c>
      <c r="FG29" s="247" t="s">
        <v>1048</v>
      </c>
      <c r="FH29" s="247" t="s">
        <v>995</v>
      </c>
      <c r="FI29" s="237">
        <v>43511</v>
      </c>
      <c r="FJ29" s="244" t="s">
        <v>4942</v>
      </c>
      <c r="FK29" s="245" t="s">
        <v>703</v>
      </c>
      <c r="FL29" s="245">
        <v>0</v>
      </c>
      <c r="FM29" s="245" t="s">
        <v>600</v>
      </c>
      <c r="FN29" s="245">
        <v>2</v>
      </c>
      <c r="FO29" s="245" t="s">
        <v>873</v>
      </c>
      <c r="FP29" s="241" t="s">
        <v>995</v>
      </c>
      <c r="FQ29" s="242">
        <v>43511</v>
      </c>
      <c r="FR29" s="244" t="s">
        <v>4943</v>
      </c>
      <c r="FS29" s="247" t="s">
        <v>703</v>
      </c>
      <c r="FT29" s="247">
        <v>0</v>
      </c>
      <c r="FU29" s="247" t="s">
        <v>600</v>
      </c>
      <c r="FV29" s="247">
        <v>2</v>
      </c>
      <c r="FW29" s="247" t="s">
        <v>873</v>
      </c>
      <c r="FX29" s="247">
        <v>0</v>
      </c>
      <c r="FY29" s="237">
        <v>43511</v>
      </c>
      <c r="FZ29" s="245" t="s">
        <v>4944</v>
      </c>
      <c r="GA29" s="245">
        <v>1</v>
      </c>
      <c r="GB29" s="245" t="s">
        <v>2096</v>
      </c>
      <c r="GC29" s="245" t="s">
        <v>600</v>
      </c>
      <c r="GD29" s="245">
        <v>2</v>
      </c>
      <c r="GE29" s="245" t="s">
        <v>3323</v>
      </c>
      <c r="GF29" s="245" t="s">
        <v>2097</v>
      </c>
      <c r="GG29" s="246">
        <v>44139</v>
      </c>
      <c r="GH29" s="244" t="s">
        <v>4945</v>
      </c>
      <c r="GI29" s="247">
        <v>2</v>
      </c>
      <c r="GJ29" s="247" t="s">
        <v>2096</v>
      </c>
      <c r="GK29" s="247" t="s">
        <v>600</v>
      </c>
      <c r="GL29" s="247">
        <v>2</v>
      </c>
      <c r="GM29" s="247" t="s">
        <v>3323</v>
      </c>
      <c r="GN29" s="247" t="s">
        <v>2097</v>
      </c>
      <c r="GO29" s="237">
        <v>44139</v>
      </c>
      <c r="GP29" s="245" t="s">
        <v>4946</v>
      </c>
      <c r="GQ29" s="245">
        <v>2</v>
      </c>
      <c r="GR29" s="245" t="s">
        <v>2096</v>
      </c>
      <c r="GS29" s="245" t="s">
        <v>600</v>
      </c>
      <c r="GT29" s="245">
        <v>2</v>
      </c>
      <c r="GU29" s="245" t="s">
        <v>3323</v>
      </c>
      <c r="GV29" s="245" t="s">
        <v>2097</v>
      </c>
      <c r="GW29" s="246">
        <v>44139</v>
      </c>
      <c r="GX29" s="244" t="s">
        <v>4947</v>
      </c>
      <c r="GY29" s="247">
        <v>0</v>
      </c>
      <c r="GZ29" s="247" t="s">
        <v>2096</v>
      </c>
      <c r="HA29" s="247" t="s">
        <v>600</v>
      </c>
      <c r="HB29" s="247">
        <v>2</v>
      </c>
      <c r="HC29" s="247" t="s">
        <v>3323</v>
      </c>
      <c r="HD29" s="247" t="s">
        <v>2097</v>
      </c>
      <c r="HE29" s="237">
        <v>44139</v>
      </c>
      <c r="HF29" s="245" t="s">
        <v>4948</v>
      </c>
      <c r="HG29" s="245">
        <v>0</v>
      </c>
      <c r="HH29" s="245" t="s">
        <v>2096</v>
      </c>
      <c r="HI29" s="245" t="s">
        <v>600</v>
      </c>
      <c r="HJ29" s="245">
        <v>2</v>
      </c>
      <c r="HK29" s="245" t="s">
        <v>3323</v>
      </c>
      <c r="HL29" s="245" t="s">
        <v>2097</v>
      </c>
      <c r="HM29" s="246">
        <v>44139</v>
      </c>
      <c r="HN29" s="244" t="s">
        <v>4949</v>
      </c>
      <c r="HO29" s="247">
        <v>2</v>
      </c>
      <c r="HP29" s="247" t="s">
        <v>2096</v>
      </c>
      <c r="HQ29" s="247" t="s">
        <v>600</v>
      </c>
      <c r="HR29" s="247">
        <v>2</v>
      </c>
      <c r="HS29" s="247" t="s">
        <v>3323</v>
      </c>
      <c r="HT29" s="247" t="s">
        <v>2097</v>
      </c>
      <c r="HU29" s="237">
        <v>44139</v>
      </c>
      <c r="HV29" s="245" t="s">
        <v>4950</v>
      </c>
      <c r="HW29" s="245">
        <v>3</v>
      </c>
      <c r="HX29" s="245" t="s">
        <v>2096</v>
      </c>
      <c r="HY29" s="245" t="s">
        <v>600</v>
      </c>
      <c r="HZ29" s="245">
        <v>2</v>
      </c>
      <c r="IA29" s="245" t="s">
        <v>3323</v>
      </c>
      <c r="IB29" s="245" t="s">
        <v>2097</v>
      </c>
      <c r="IC29" s="246">
        <v>44139</v>
      </c>
      <c r="ID29" s="244" t="s">
        <v>4951</v>
      </c>
      <c r="IE29" s="247">
        <v>2</v>
      </c>
      <c r="IF29" s="247" t="s">
        <v>2096</v>
      </c>
      <c r="IG29" s="247" t="s">
        <v>600</v>
      </c>
      <c r="IH29" s="247">
        <v>2</v>
      </c>
      <c r="II29" s="247" t="s">
        <v>3323</v>
      </c>
      <c r="IJ29" s="247" t="s">
        <v>2097</v>
      </c>
      <c r="IK29" s="237">
        <v>44139</v>
      </c>
      <c r="IL29" s="245" t="s">
        <v>4952</v>
      </c>
      <c r="IM29" s="245">
        <v>3</v>
      </c>
      <c r="IN29" s="245" t="s">
        <v>2096</v>
      </c>
      <c r="IO29" s="245" t="s">
        <v>600</v>
      </c>
      <c r="IP29" s="245">
        <v>2</v>
      </c>
      <c r="IQ29" s="245" t="s">
        <v>3323</v>
      </c>
      <c r="IR29" s="245" t="s">
        <v>2097</v>
      </c>
      <c r="IS29" s="246">
        <v>44139</v>
      </c>
    </row>
    <row r="30" spans="1:253" s="11" customFormat="1" ht="13.2" x14ac:dyDescent="0.25">
      <c r="A30" s="11" t="s">
        <v>786</v>
      </c>
      <c r="B30" s="11" t="s">
        <v>1280</v>
      </c>
      <c r="C30" s="11" t="s">
        <v>1744</v>
      </c>
      <c r="D30" s="11" t="s">
        <v>62</v>
      </c>
      <c r="E30" s="11" t="s">
        <v>61</v>
      </c>
      <c r="F30" s="11" t="s">
        <v>4953</v>
      </c>
      <c r="G30" s="235">
        <v>16787000</v>
      </c>
      <c r="H30" s="236" t="s">
        <v>3882</v>
      </c>
      <c r="I30" s="236" t="s">
        <v>600</v>
      </c>
      <c r="J30" s="236">
        <v>2</v>
      </c>
      <c r="K30" s="236" t="s">
        <v>2785</v>
      </c>
      <c r="L30" s="236" t="s">
        <v>2784</v>
      </c>
      <c r="M30" s="237">
        <v>44134</v>
      </c>
      <c r="N30" s="244" t="s">
        <v>4954</v>
      </c>
      <c r="O30" s="239">
        <v>205671</v>
      </c>
      <c r="P30" s="239" t="s">
        <v>2221</v>
      </c>
      <c r="Q30" s="239" t="s">
        <v>600</v>
      </c>
      <c r="R30" s="239">
        <v>2</v>
      </c>
      <c r="S30" s="239" t="s">
        <v>1049</v>
      </c>
      <c r="T30" s="239" t="s">
        <v>2229</v>
      </c>
      <c r="U30" s="240">
        <v>43914</v>
      </c>
      <c r="V30" s="244" t="s">
        <v>4955</v>
      </c>
      <c r="W30" s="236">
        <v>2577000</v>
      </c>
      <c r="X30" s="236" t="s">
        <v>2220</v>
      </c>
      <c r="Y30" s="236" t="s">
        <v>600</v>
      </c>
      <c r="Z30" s="236">
        <v>2</v>
      </c>
      <c r="AA30" s="236" t="s">
        <v>1050</v>
      </c>
      <c r="AB30" s="236" t="s">
        <v>2230</v>
      </c>
      <c r="AC30" s="237">
        <v>43914</v>
      </c>
      <c r="AD30" s="244" t="s">
        <v>4956</v>
      </c>
      <c r="AE30" s="241">
        <v>1123000</v>
      </c>
      <c r="AF30" s="241" t="s">
        <v>2222</v>
      </c>
      <c r="AG30" s="241" t="s">
        <v>600</v>
      </c>
      <c r="AH30" s="241">
        <v>2</v>
      </c>
      <c r="AI30" s="241" t="s">
        <v>1046</v>
      </c>
      <c r="AJ30" s="241" t="s">
        <v>2227</v>
      </c>
      <c r="AK30" s="242">
        <v>43914</v>
      </c>
      <c r="AL30" s="244" t="s">
        <v>4957</v>
      </c>
      <c r="AM30" s="236">
        <v>371000</v>
      </c>
      <c r="AN30" s="236" t="s">
        <v>1612</v>
      </c>
      <c r="AO30" s="236" t="s">
        <v>600</v>
      </c>
      <c r="AP30" s="236">
        <v>2</v>
      </c>
      <c r="AQ30" s="236" t="s">
        <v>2231</v>
      </c>
      <c r="AR30" s="236" t="s">
        <v>1599</v>
      </c>
      <c r="AS30" s="237">
        <v>44134</v>
      </c>
      <c r="AT30" s="245" t="s">
        <v>4958</v>
      </c>
      <c r="AU30" s="241" t="s">
        <v>703</v>
      </c>
      <c r="AV30" s="241">
        <v>0</v>
      </c>
      <c r="AW30" s="241" t="s">
        <v>600</v>
      </c>
      <c r="AX30" s="241">
        <v>2</v>
      </c>
      <c r="AY30" s="241" t="s">
        <v>873</v>
      </c>
      <c r="AZ30" s="241">
        <v>0</v>
      </c>
      <c r="BA30" s="242">
        <v>43511</v>
      </c>
      <c r="BB30" s="244" t="s">
        <v>4959</v>
      </c>
      <c r="BC30" s="236" t="s">
        <v>703</v>
      </c>
      <c r="BD30" s="236">
        <v>0</v>
      </c>
      <c r="BE30" s="236" t="s">
        <v>600</v>
      </c>
      <c r="BF30" s="236">
        <v>2</v>
      </c>
      <c r="BG30" s="236" t="s">
        <v>873</v>
      </c>
      <c r="BH30" s="236">
        <v>0</v>
      </c>
      <c r="BI30" s="237">
        <v>43511</v>
      </c>
      <c r="BJ30" s="245" t="s">
        <v>4960</v>
      </c>
      <c r="BK30" s="245">
        <v>5</v>
      </c>
      <c r="BL30" s="245" t="s">
        <v>3708</v>
      </c>
      <c r="BM30" s="245" t="s">
        <v>599</v>
      </c>
      <c r="BN30" s="245">
        <v>3</v>
      </c>
      <c r="BO30" s="245" t="s">
        <v>3886</v>
      </c>
      <c r="BP30" s="241" t="s">
        <v>812</v>
      </c>
      <c r="BQ30" s="246">
        <v>44134</v>
      </c>
      <c r="BR30" s="244" t="s">
        <v>4961</v>
      </c>
      <c r="BS30" s="247" t="s">
        <v>703</v>
      </c>
      <c r="BT30" s="247">
        <v>0</v>
      </c>
      <c r="BU30" s="247" t="s">
        <v>600</v>
      </c>
      <c r="BV30" s="247">
        <v>2</v>
      </c>
      <c r="BW30" s="247" t="s">
        <v>873</v>
      </c>
      <c r="BX30" s="247">
        <v>0</v>
      </c>
      <c r="BY30" s="237">
        <v>43511</v>
      </c>
      <c r="BZ30" s="245" t="s">
        <v>4962</v>
      </c>
      <c r="CA30" s="245">
        <v>0</v>
      </c>
      <c r="CB30" s="245" t="s">
        <v>393</v>
      </c>
      <c r="CC30" s="245" t="s">
        <v>600</v>
      </c>
      <c r="CD30" s="245">
        <v>2</v>
      </c>
      <c r="CE30" s="245" t="s">
        <v>1051</v>
      </c>
      <c r="CF30" s="245" t="s">
        <v>393</v>
      </c>
      <c r="CG30" s="246">
        <v>43511</v>
      </c>
      <c r="CH30" s="244" t="s">
        <v>4963</v>
      </c>
      <c r="CI30" s="245" t="e">
        <v>#N/A</v>
      </c>
      <c r="CJ30" s="245" t="e">
        <v>#N/A</v>
      </c>
      <c r="CK30" s="245" t="e">
        <v>#N/A</v>
      </c>
      <c r="CL30" s="245" t="e">
        <v>#N/A</v>
      </c>
      <c r="CM30" s="245" t="e">
        <v>#N/A</v>
      </c>
      <c r="CN30" s="245" t="e">
        <v>#N/A</v>
      </c>
      <c r="CO30" s="248" t="e">
        <v>#N/A</v>
      </c>
      <c r="CP30" s="245" t="s">
        <v>4964</v>
      </c>
      <c r="CQ30" s="247" t="s">
        <v>703</v>
      </c>
      <c r="CR30" s="247">
        <v>0</v>
      </c>
      <c r="CS30" s="247" t="s">
        <v>600</v>
      </c>
      <c r="CT30" s="247">
        <v>2</v>
      </c>
      <c r="CU30" s="247" t="s">
        <v>873</v>
      </c>
      <c r="CV30" s="247">
        <v>0</v>
      </c>
      <c r="CW30" s="237">
        <v>43511</v>
      </c>
      <c r="CX30" s="245" t="s">
        <v>4965</v>
      </c>
      <c r="CY30" s="241">
        <v>1123000</v>
      </c>
      <c r="CZ30" s="241" t="s">
        <v>2222</v>
      </c>
      <c r="DA30" s="241" t="s">
        <v>600</v>
      </c>
      <c r="DB30" s="241">
        <v>2</v>
      </c>
      <c r="DC30" s="241" t="s">
        <v>2232</v>
      </c>
      <c r="DD30" s="241" t="s">
        <v>2227</v>
      </c>
      <c r="DE30" s="243">
        <v>43914</v>
      </c>
      <c r="DF30" s="244" t="s">
        <v>4966</v>
      </c>
      <c r="DG30" s="236">
        <v>1454000</v>
      </c>
      <c r="DH30" s="247" t="s">
        <v>2222</v>
      </c>
      <c r="DI30" s="247" t="s">
        <v>600</v>
      </c>
      <c r="DJ30" s="247">
        <v>2</v>
      </c>
      <c r="DK30" s="247" t="s">
        <v>2232</v>
      </c>
      <c r="DL30" s="247" t="s">
        <v>2227</v>
      </c>
      <c r="DM30" s="237">
        <v>43914</v>
      </c>
      <c r="DN30" s="245" t="s">
        <v>4967</v>
      </c>
      <c r="DO30" s="241">
        <v>0</v>
      </c>
      <c r="DP30" s="245" t="s">
        <v>2222</v>
      </c>
      <c r="DQ30" s="245" t="s">
        <v>600</v>
      </c>
      <c r="DR30" s="245">
        <v>2</v>
      </c>
      <c r="DS30" s="245" t="s">
        <v>2232</v>
      </c>
      <c r="DT30" s="245" t="s">
        <v>2227</v>
      </c>
      <c r="DU30" s="246">
        <v>43914</v>
      </c>
      <c r="DV30" s="244" t="s">
        <v>4968</v>
      </c>
      <c r="DW30" s="236">
        <v>694000</v>
      </c>
      <c r="DX30" s="247" t="s">
        <v>2222</v>
      </c>
      <c r="DY30" s="247" t="s">
        <v>600</v>
      </c>
      <c r="DZ30" s="247">
        <v>2</v>
      </c>
      <c r="EA30" s="247" t="s">
        <v>2232</v>
      </c>
      <c r="EB30" s="247" t="s">
        <v>2227</v>
      </c>
      <c r="EC30" s="237">
        <v>43914</v>
      </c>
      <c r="ED30" s="245" t="s">
        <v>4969</v>
      </c>
      <c r="EE30" s="241">
        <v>429000</v>
      </c>
      <c r="EF30" s="245" t="s">
        <v>2222</v>
      </c>
      <c r="EG30" s="245" t="s">
        <v>600</v>
      </c>
      <c r="EH30" s="245">
        <v>2</v>
      </c>
      <c r="EI30" s="245" t="s">
        <v>2232</v>
      </c>
      <c r="EJ30" s="245" t="s">
        <v>2227</v>
      </c>
      <c r="EK30" s="246">
        <v>43914</v>
      </c>
      <c r="EL30" s="244" t="s">
        <v>4970</v>
      </c>
      <c r="EM30" s="236">
        <v>0</v>
      </c>
      <c r="EN30" s="247" t="s">
        <v>2222</v>
      </c>
      <c r="EO30" s="247" t="s">
        <v>600</v>
      </c>
      <c r="EP30" s="247">
        <v>2</v>
      </c>
      <c r="EQ30" s="247" t="s">
        <v>2232</v>
      </c>
      <c r="ER30" s="247" t="s">
        <v>2227</v>
      </c>
      <c r="ES30" s="237">
        <v>43914</v>
      </c>
      <c r="ET30" s="245" t="s">
        <v>4971</v>
      </c>
      <c r="EU30" s="245">
        <v>380</v>
      </c>
      <c r="EV30" s="245" t="s">
        <v>3883</v>
      </c>
      <c r="EW30" s="245" t="s">
        <v>599</v>
      </c>
      <c r="EX30" s="245">
        <v>3</v>
      </c>
      <c r="EY30" s="245" t="s">
        <v>3885</v>
      </c>
      <c r="EZ30" s="245" t="s">
        <v>3443</v>
      </c>
      <c r="FA30" s="246">
        <v>44134</v>
      </c>
      <c r="FB30" s="244" t="s">
        <v>4972</v>
      </c>
      <c r="FC30" s="247">
        <v>2</v>
      </c>
      <c r="FD30" s="247">
        <v>0</v>
      </c>
      <c r="FE30" s="247" t="s">
        <v>600</v>
      </c>
      <c r="FF30" s="247">
        <v>2</v>
      </c>
      <c r="FG30" s="247" t="s">
        <v>1052</v>
      </c>
      <c r="FH30" s="247">
        <v>0</v>
      </c>
      <c r="FI30" s="237">
        <v>43511</v>
      </c>
      <c r="FJ30" s="244" t="s">
        <v>4973</v>
      </c>
      <c r="FK30" s="245" t="s">
        <v>703</v>
      </c>
      <c r="FL30" s="245">
        <v>0</v>
      </c>
      <c r="FM30" s="245" t="s">
        <v>600</v>
      </c>
      <c r="FN30" s="245">
        <v>2</v>
      </c>
      <c r="FO30" s="245" t="s">
        <v>873</v>
      </c>
      <c r="FP30" s="241">
        <v>0</v>
      </c>
      <c r="FQ30" s="242">
        <v>43511</v>
      </c>
      <c r="FR30" s="244" t="s">
        <v>4974</v>
      </c>
      <c r="FS30" s="247" t="s">
        <v>703</v>
      </c>
      <c r="FT30" s="247">
        <v>0</v>
      </c>
      <c r="FU30" s="247" t="s">
        <v>600</v>
      </c>
      <c r="FV30" s="247">
        <v>2</v>
      </c>
      <c r="FW30" s="247" t="s">
        <v>873</v>
      </c>
      <c r="FX30" s="247">
        <v>0</v>
      </c>
      <c r="FY30" s="237">
        <v>43511</v>
      </c>
      <c r="FZ30" s="245" t="s">
        <v>4975</v>
      </c>
      <c r="GA30" s="245">
        <v>1</v>
      </c>
      <c r="GB30" s="245" t="s">
        <v>2096</v>
      </c>
      <c r="GC30" s="245" t="s">
        <v>600</v>
      </c>
      <c r="GD30" s="245">
        <v>2</v>
      </c>
      <c r="GE30" s="245" t="s">
        <v>3323</v>
      </c>
      <c r="GF30" s="245" t="s">
        <v>2097</v>
      </c>
      <c r="GG30" s="246">
        <v>44139</v>
      </c>
      <c r="GH30" s="244" t="s">
        <v>4976</v>
      </c>
      <c r="GI30" s="247">
        <v>2</v>
      </c>
      <c r="GJ30" s="247" t="s">
        <v>2096</v>
      </c>
      <c r="GK30" s="247" t="s">
        <v>600</v>
      </c>
      <c r="GL30" s="247">
        <v>2</v>
      </c>
      <c r="GM30" s="247" t="s">
        <v>3323</v>
      </c>
      <c r="GN30" s="247" t="s">
        <v>2097</v>
      </c>
      <c r="GO30" s="237">
        <v>44139</v>
      </c>
      <c r="GP30" s="245" t="s">
        <v>4977</v>
      </c>
      <c r="GQ30" s="245">
        <v>2</v>
      </c>
      <c r="GR30" s="245" t="s">
        <v>2096</v>
      </c>
      <c r="GS30" s="245" t="s">
        <v>600</v>
      </c>
      <c r="GT30" s="245">
        <v>2</v>
      </c>
      <c r="GU30" s="245" t="s">
        <v>3323</v>
      </c>
      <c r="GV30" s="245" t="s">
        <v>2097</v>
      </c>
      <c r="GW30" s="246">
        <v>44139</v>
      </c>
      <c r="GX30" s="244" t="s">
        <v>4978</v>
      </c>
      <c r="GY30" s="247">
        <v>0</v>
      </c>
      <c r="GZ30" s="247" t="s">
        <v>2096</v>
      </c>
      <c r="HA30" s="247" t="s">
        <v>600</v>
      </c>
      <c r="HB30" s="247">
        <v>2</v>
      </c>
      <c r="HC30" s="247" t="s">
        <v>3323</v>
      </c>
      <c r="HD30" s="247" t="s">
        <v>2097</v>
      </c>
      <c r="HE30" s="237">
        <v>44139</v>
      </c>
      <c r="HF30" s="245" t="s">
        <v>4979</v>
      </c>
      <c r="HG30" s="245">
        <v>0</v>
      </c>
      <c r="HH30" s="245" t="s">
        <v>2096</v>
      </c>
      <c r="HI30" s="245" t="s">
        <v>600</v>
      </c>
      <c r="HJ30" s="245">
        <v>2</v>
      </c>
      <c r="HK30" s="245" t="s">
        <v>3323</v>
      </c>
      <c r="HL30" s="245" t="s">
        <v>2097</v>
      </c>
      <c r="HM30" s="246">
        <v>44139</v>
      </c>
      <c r="HN30" s="244" t="s">
        <v>4980</v>
      </c>
      <c r="HO30" s="247">
        <v>2</v>
      </c>
      <c r="HP30" s="247" t="s">
        <v>2096</v>
      </c>
      <c r="HQ30" s="247" t="s">
        <v>600</v>
      </c>
      <c r="HR30" s="247">
        <v>2</v>
      </c>
      <c r="HS30" s="247" t="s">
        <v>3323</v>
      </c>
      <c r="HT30" s="247" t="s">
        <v>2097</v>
      </c>
      <c r="HU30" s="237">
        <v>44139</v>
      </c>
      <c r="HV30" s="245" t="s">
        <v>4981</v>
      </c>
      <c r="HW30" s="245">
        <v>3</v>
      </c>
      <c r="HX30" s="245" t="s">
        <v>2096</v>
      </c>
      <c r="HY30" s="245" t="s">
        <v>600</v>
      </c>
      <c r="HZ30" s="245">
        <v>2</v>
      </c>
      <c r="IA30" s="245" t="s">
        <v>3323</v>
      </c>
      <c r="IB30" s="245" t="s">
        <v>2097</v>
      </c>
      <c r="IC30" s="246">
        <v>44139</v>
      </c>
      <c r="ID30" s="244" t="s">
        <v>4982</v>
      </c>
      <c r="IE30" s="247">
        <v>2</v>
      </c>
      <c r="IF30" s="247" t="s">
        <v>2096</v>
      </c>
      <c r="IG30" s="247" t="s">
        <v>600</v>
      </c>
      <c r="IH30" s="247">
        <v>2</v>
      </c>
      <c r="II30" s="247" t="s">
        <v>3323</v>
      </c>
      <c r="IJ30" s="247" t="s">
        <v>2097</v>
      </c>
      <c r="IK30" s="237">
        <v>44139</v>
      </c>
      <c r="IL30" s="245" t="s">
        <v>4983</v>
      </c>
      <c r="IM30" s="245">
        <v>3</v>
      </c>
      <c r="IN30" s="245" t="s">
        <v>2096</v>
      </c>
      <c r="IO30" s="245" t="s">
        <v>600</v>
      </c>
      <c r="IP30" s="245">
        <v>2</v>
      </c>
      <c r="IQ30" s="245" t="s">
        <v>3323</v>
      </c>
      <c r="IR30" s="245" t="s">
        <v>2097</v>
      </c>
      <c r="IS30" s="246">
        <v>44139</v>
      </c>
    </row>
    <row r="31" spans="1:253" s="11" customFormat="1" ht="13.2" x14ac:dyDescent="0.25">
      <c r="A31" s="11" t="s">
        <v>1160</v>
      </c>
      <c r="B31" s="11" t="s">
        <v>650</v>
      </c>
      <c r="C31" s="11" t="s">
        <v>804</v>
      </c>
      <c r="D31" s="11" t="s">
        <v>62</v>
      </c>
      <c r="E31" s="11" t="s">
        <v>61</v>
      </c>
      <c r="F31" s="11" t="s">
        <v>4984</v>
      </c>
      <c r="G31" s="235">
        <v>16787000</v>
      </c>
      <c r="H31" s="236" t="s">
        <v>3882</v>
      </c>
      <c r="I31" s="236" t="s">
        <v>600</v>
      </c>
      <c r="J31" s="236">
        <v>2</v>
      </c>
      <c r="K31" s="236" t="s">
        <v>2785</v>
      </c>
      <c r="L31" s="236" t="s">
        <v>2784</v>
      </c>
      <c r="M31" s="237">
        <v>44134</v>
      </c>
      <c r="N31" s="244" t="s">
        <v>4985</v>
      </c>
      <c r="O31" s="239">
        <v>220000</v>
      </c>
      <c r="P31" s="239">
        <v>0</v>
      </c>
      <c r="Q31" s="239" t="s">
        <v>600</v>
      </c>
      <c r="R31" s="239">
        <v>2</v>
      </c>
      <c r="S31" s="239" t="s">
        <v>997</v>
      </c>
      <c r="T31" s="239">
        <v>0</v>
      </c>
      <c r="U31" s="240">
        <v>43511</v>
      </c>
      <c r="V31" s="244" t="s">
        <v>4986</v>
      </c>
      <c r="W31" s="236">
        <v>38000</v>
      </c>
      <c r="X31" s="236" t="s">
        <v>2219</v>
      </c>
      <c r="Y31" s="236" t="s">
        <v>599</v>
      </c>
      <c r="Z31" s="236">
        <v>3</v>
      </c>
      <c r="AA31" s="236" t="s">
        <v>998</v>
      </c>
      <c r="AB31" s="236" t="s">
        <v>2227</v>
      </c>
      <c r="AC31" s="237">
        <v>43914</v>
      </c>
      <c r="AD31" s="244" t="s">
        <v>4987</v>
      </c>
      <c r="AE31" s="241">
        <v>38000</v>
      </c>
      <c r="AF31" s="241" t="s">
        <v>2219</v>
      </c>
      <c r="AG31" s="241" t="s">
        <v>599</v>
      </c>
      <c r="AH31" s="241">
        <v>3</v>
      </c>
      <c r="AI31" s="241" t="s">
        <v>998</v>
      </c>
      <c r="AJ31" s="241" t="s">
        <v>2227</v>
      </c>
      <c r="AK31" s="242">
        <v>43914</v>
      </c>
      <c r="AL31" s="244" t="s">
        <v>4988</v>
      </c>
      <c r="AM31" s="236" t="s">
        <v>393</v>
      </c>
      <c r="AN31" s="236">
        <v>0</v>
      </c>
      <c r="AO31" s="236" t="s">
        <v>600</v>
      </c>
      <c r="AP31" s="236">
        <v>2</v>
      </c>
      <c r="AQ31" s="236" t="s">
        <v>873</v>
      </c>
      <c r="AR31" s="236">
        <v>0</v>
      </c>
      <c r="AS31" s="237">
        <v>43511</v>
      </c>
      <c r="AT31" s="245" t="s">
        <v>4989</v>
      </c>
      <c r="AU31" s="241" t="s">
        <v>393</v>
      </c>
      <c r="AV31" s="241">
        <v>0</v>
      </c>
      <c r="AW31" s="241" t="s">
        <v>600</v>
      </c>
      <c r="AX31" s="241">
        <v>2</v>
      </c>
      <c r="AY31" s="241" t="s">
        <v>873</v>
      </c>
      <c r="AZ31" s="241">
        <v>0</v>
      </c>
      <c r="BA31" s="242">
        <v>43511</v>
      </c>
      <c r="BB31" s="244" t="s">
        <v>4990</v>
      </c>
      <c r="BC31" s="236" t="s">
        <v>393</v>
      </c>
      <c r="BD31" s="236">
        <v>0</v>
      </c>
      <c r="BE31" s="236" t="s">
        <v>600</v>
      </c>
      <c r="BF31" s="236">
        <v>2</v>
      </c>
      <c r="BG31" s="236" t="s">
        <v>873</v>
      </c>
      <c r="BH31" s="236">
        <v>0</v>
      </c>
      <c r="BI31" s="237">
        <v>43511</v>
      </c>
      <c r="BJ31" s="245" t="s">
        <v>4991</v>
      </c>
      <c r="BK31" s="245">
        <v>37</v>
      </c>
      <c r="BL31" s="245" t="s">
        <v>3889</v>
      </c>
      <c r="BM31" s="245" t="s">
        <v>599</v>
      </c>
      <c r="BN31" s="245">
        <v>3</v>
      </c>
      <c r="BO31" s="245" t="s">
        <v>3890</v>
      </c>
      <c r="BP31" s="241" t="s">
        <v>812</v>
      </c>
      <c r="BQ31" s="246">
        <v>44134</v>
      </c>
      <c r="BR31" s="244" t="s">
        <v>4992</v>
      </c>
      <c r="BS31" s="247" t="s">
        <v>393</v>
      </c>
      <c r="BT31" s="247">
        <v>0</v>
      </c>
      <c r="BU31" s="247" t="s">
        <v>600</v>
      </c>
      <c r="BV31" s="247">
        <v>2</v>
      </c>
      <c r="BW31" s="247" t="s">
        <v>873</v>
      </c>
      <c r="BX31" s="247">
        <v>0</v>
      </c>
      <c r="BY31" s="237">
        <v>43511</v>
      </c>
      <c r="BZ31" s="245" t="s">
        <v>4993</v>
      </c>
      <c r="CA31" s="245" t="s">
        <v>393</v>
      </c>
      <c r="CB31" s="245">
        <v>0</v>
      </c>
      <c r="CC31" s="245" t="s">
        <v>393</v>
      </c>
      <c r="CD31" s="245" t="s">
        <v>393</v>
      </c>
      <c r="CE31" s="245" t="s">
        <v>873</v>
      </c>
      <c r="CF31" s="245">
        <v>0</v>
      </c>
      <c r="CG31" s="246">
        <v>43511</v>
      </c>
      <c r="CH31" s="244" t="s">
        <v>4994</v>
      </c>
      <c r="CI31" s="245" t="e">
        <v>#N/A</v>
      </c>
      <c r="CJ31" s="245" t="e">
        <v>#N/A</v>
      </c>
      <c r="CK31" s="245" t="e">
        <v>#N/A</v>
      </c>
      <c r="CL31" s="245" t="e">
        <v>#N/A</v>
      </c>
      <c r="CM31" s="245" t="e">
        <v>#N/A</v>
      </c>
      <c r="CN31" s="245" t="e">
        <v>#N/A</v>
      </c>
      <c r="CO31" s="248" t="e">
        <v>#N/A</v>
      </c>
      <c r="CP31" s="245" t="s">
        <v>4995</v>
      </c>
      <c r="CQ31" s="247" t="s">
        <v>393</v>
      </c>
      <c r="CR31" s="247">
        <v>0</v>
      </c>
      <c r="CS31" s="247" t="s">
        <v>600</v>
      </c>
      <c r="CT31" s="247">
        <v>2</v>
      </c>
      <c r="CU31" s="247" t="s">
        <v>873</v>
      </c>
      <c r="CV31" s="247">
        <v>0</v>
      </c>
      <c r="CW31" s="237">
        <v>43511</v>
      </c>
      <c r="CX31" s="245" t="s">
        <v>4996</v>
      </c>
      <c r="CY31" s="241">
        <v>18000</v>
      </c>
      <c r="CZ31" s="241" t="s">
        <v>1988</v>
      </c>
      <c r="DA31" s="241" t="s">
        <v>599</v>
      </c>
      <c r="DB31" s="241">
        <v>3</v>
      </c>
      <c r="DC31" s="241" t="s">
        <v>2794</v>
      </c>
      <c r="DD31" s="241" t="s">
        <v>2793</v>
      </c>
      <c r="DE31" s="243">
        <v>44041</v>
      </c>
      <c r="DF31" s="244" t="s">
        <v>4997</v>
      </c>
      <c r="DG31" s="236">
        <v>0</v>
      </c>
      <c r="DH31" s="247" t="s">
        <v>1988</v>
      </c>
      <c r="DI31" s="247" t="s">
        <v>599</v>
      </c>
      <c r="DJ31" s="247">
        <v>3</v>
      </c>
      <c r="DK31" s="247" t="s">
        <v>2794</v>
      </c>
      <c r="DL31" s="247" t="s">
        <v>2793</v>
      </c>
      <c r="DM31" s="237">
        <v>44041</v>
      </c>
      <c r="DN31" s="245" t="s">
        <v>4998</v>
      </c>
      <c r="DO31" s="241">
        <v>20000</v>
      </c>
      <c r="DP31" s="245" t="s">
        <v>1988</v>
      </c>
      <c r="DQ31" s="245" t="s">
        <v>599</v>
      </c>
      <c r="DR31" s="245">
        <v>3</v>
      </c>
      <c r="DS31" s="245" t="s">
        <v>2794</v>
      </c>
      <c r="DT31" s="245" t="s">
        <v>2793</v>
      </c>
      <c r="DU31" s="246">
        <v>44041</v>
      </c>
      <c r="DV31" s="244" t="s">
        <v>4999</v>
      </c>
      <c r="DW31" s="236">
        <v>11000</v>
      </c>
      <c r="DX31" s="247" t="s">
        <v>1988</v>
      </c>
      <c r="DY31" s="247" t="s">
        <v>599</v>
      </c>
      <c r="DZ31" s="247">
        <v>3</v>
      </c>
      <c r="EA31" s="247" t="s">
        <v>2794</v>
      </c>
      <c r="EB31" s="247" t="s">
        <v>2793</v>
      </c>
      <c r="EC31" s="237">
        <v>44041</v>
      </c>
      <c r="ED31" s="245" t="s">
        <v>5000</v>
      </c>
      <c r="EE31" s="241">
        <v>6000</v>
      </c>
      <c r="EF31" s="245" t="s">
        <v>1988</v>
      </c>
      <c r="EG31" s="245" t="s">
        <v>599</v>
      </c>
      <c r="EH31" s="245">
        <v>3</v>
      </c>
      <c r="EI31" s="245" t="s">
        <v>2794</v>
      </c>
      <c r="EJ31" s="245" t="s">
        <v>2793</v>
      </c>
      <c r="EK31" s="246">
        <v>44041</v>
      </c>
      <c r="EL31" s="244" t="s">
        <v>5001</v>
      </c>
      <c r="EM31" s="236">
        <v>1000</v>
      </c>
      <c r="EN31" s="247" t="s">
        <v>1988</v>
      </c>
      <c r="EO31" s="247" t="s">
        <v>599</v>
      </c>
      <c r="EP31" s="247">
        <v>3</v>
      </c>
      <c r="EQ31" s="247" t="s">
        <v>2794</v>
      </c>
      <c r="ER31" s="247" t="s">
        <v>2793</v>
      </c>
      <c r="ES31" s="237">
        <v>44041</v>
      </c>
      <c r="ET31" s="245" t="s">
        <v>5002</v>
      </c>
      <c r="EU31" s="245">
        <v>380</v>
      </c>
      <c r="EV31" s="245" t="s">
        <v>3883</v>
      </c>
      <c r="EW31" s="245" t="s">
        <v>599</v>
      </c>
      <c r="EX31" s="245">
        <v>3</v>
      </c>
      <c r="EY31" s="245" t="s">
        <v>3885</v>
      </c>
      <c r="EZ31" s="245" t="s">
        <v>3443</v>
      </c>
      <c r="FA31" s="246">
        <v>44134</v>
      </c>
      <c r="FB31" s="244" t="s">
        <v>5003</v>
      </c>
      <c r="FC31" s="247">
        <v>3</v>
      </c>
      <c r="FD31" s="247" t="s">
        <v>393</v>
      </c>
      <c r="FE31" s="247" t="s">
        <v>601</v>
      </c>
      <c r="FF31" s="247">
        <v>1</v>
      </c>
      <c r="FG31" s="247" t="s">
        <v>1601</v>
      </c>
      <c r="FH31" s="247" t="s">
        <v>393</v>
      </c>
      <c r="FI31" s="237">
        <v>43769</v>
      </c>
      <c r="FJ31" s="244" t="s">
        <v>5004</v>
      </c>
      <c r="FK31" s="245" t="s">
        <v>393</v>
      </c>
      <c r="FL31" s="245">
        <v>0</v>
      </c>
      <c r="FM31" s="245" t="s">
        <v>600</v>
      </c>
      <c r="FN31" s="245">
        <v>2</v>
      </c>
      <c r="FO31" s="245" t="s">
        <v>873</v>
      </c>
      <c r="FP31" s="241">
        <v>0</v>
      </c>
      <c r="FQ31" s="242">
        <v>43511</v>
      </c>
      <c r="FR31" s="244" t="s">
        <v>5005</v>
      </c>
      <c r="FS31" s="247" t="s">
        <v>393</v>
      </c>
      <c r="FT31" s="247">
        <v>0</v>
      </c>
      <c r="FU31" s="247" t="s">
        <v>600</v>
      </c>
      <c r="FV31" s="247">
        <v>2</v>
      </c>
      <c r="FW31" s="247" t="s">
        <v>873</v>
      </c>
      <c r="FX31" s="247">
        <v>0</v>
      </c>
      <c r="FY31" s="237">
        <v>43511</v>
      </c>
      <c r="FZ31" s="245" t="s">
        <v>5006</v>
      </c>
      <c r="GA31" s="245">
        <v>1</v>
      </c>
      <c r="GB31" s="245" t="s">
        <v>2096</v>
      </c>
      <c r="GC31" s="245" t="s">
        <v>600</v>
      </c>
      <c r="GD31" s="245">
        <v>2</v>
      </c>
      <c r="GE31" s="245" t="s">
        <v>3323</v>
      </c>
      <c r="GF31" s="245" t="s">
        <v>2097</v>
      </c>
      <c r="GG31" s="246">
        <v>44139</v>
      </c>
      <c r="GH31" s="244" t="s">
        <v>5007</v>
      </c>
      <c r="GI31" s="247">
        <v>2</v>
      </c>
      <c r="GJ31" s="247" t="s">
        <v>2096</v>
      </c>
      <c r="GK31" s="247" t="s">
        <v>600</v>
      </c>
      <c r="GL31" s="247">
        <v>2</v>
      </c>
      <c r="GM31" s="247" t="s">
        <v>3323</v>
      </c>
      <c r="GN31" s="247" t="s">
        <v>2097</v>
      </c>
      <c r="GO31" s="237">
        <v>44139</v>
      </c>
      <c r="GP31" s="245" t="s">
        <v>5008</v>
      </c>
      <c r="GQ31" s="245">
        <v>0</v>
      </c>
      <c r="GR31" s="245" t="s">
        <v>2096</v>
      </c>
      <c r="GS31" s="245" t="s">
        <v>600</v>
      </c>
      <c r="GT31" s="245">
        <v>2</v>
      </c>
      <c r="GU31" s="245" t="s">
        <v>3323</v>
      </c>
      <c r="GV31" s="245" t="s">
        <v>2097</v>
      </c>
      <c r="GW31" s="246">
        <v>44139</v>
      </c>
      <c r="GX31" s="244" t="s">
        <v>5009</v>
      </c>
      <c r="GY31" s="247">
        <v>0</v>
      </c>
      <c r="GZ31" s="247" t="s">
        <v>2096</v>
      </c>
      <c r="HA31" s="247" t="s">
        <v>600</v>
      </c>
      <c r="HB31" s="247">
        <v>2</v>
      </c>
      <c r="HC31" s="247" t="s">
        <v>3323</v>
      </c>
      <c r="HD31" s="247" t="s">
        <v>2097</v>
      </c>
      <c r="HE31" s="237">
        <v>44139</v>
      </c>
      <c r="HF31" s="245" t="s">
        <v>5010</v>
      </c>
      <c r="HG31" s="245">
        <v>0</v>
      </c>
      <c r="HH31" s="245" t="s">
        <v>2096</v>
      </c>
      <c r="HI31" s="245" t="s">
        <v>600</v>
      </c>
      <c r="HJ31" s="245">
        <v>2</v>
      </c>
      <c r="HK31" s="245" t="s">
        <v>3323</v>
      </c>
      <c r="HL31" s="245" t="s">
        <v>2097</v>
      </c>
      <c r="HM31" s="246">
        <v>44139</v>
      </c>
      <c r="HN31" s="244" t="s">
        <v>5011</v>
      </c>
      <c r="HO31" s="247">
        <v>0</v>
      </c>
      <c r="HP31" s="247" t="s">
        <v>2096</v>
      </c>
      <c r="HQ31" s="247" t="s">
        <v>600</v>
      </c>
      <c r="HR31" s="247">
        <v>2</v>
      </c>
      <c r="HS31" s="247" t="s">
        <v>3323</v>
      </c>
      <c r="HT31" s="247" t="s">
        <v>2097</v>
      </c>
      <c r="HU31" s="237">
        <v>44139</v>
      </c>
      <c r="HV31" s="245" t="s">
        <v>5012</v>
      </c>
      <c r="HW31" s="245">
        <v>0</v>
      </c>
      <c r="HX31" s="245" t="s">
        <v>2096</v>
      </c>
      <c r="HY31" s="245" t="s">
        <v>600</v>
      </c>
      <c r="HZ31" s="245">
        <v>2</v>
      </c>
      <c r="IA31" s="245" t="s">
        <v>3323</v>
      </c>
      <c r="IB31" s="245" t="s">
        <v>2097</v>
      </c>
      <c r="IC31" s="246">
        <v>44139</v>
      </c>
      <c r="ID31" s="244" t="s">
        <v>5013</v>
      </c>
      <c r="IE31" s="247">
        <v>2</v>
      </c>
      <c r="IF31" s="247" t="s">
        <v>2096</v>
      </c>
      <c r="IG31" s="247" t="s">
        <v>600</v>
      </c>
      <c r="IH31" s="247">
        <v>2</v>
      </c>
      <c r="II31" s="247" t="s">
        <v>3323</v>
      </c>
      <c r="IJ31" s="247" t="s">
        <v>2097</v>
      </c>
      <c r="IK31" s="237">
        <v>44139</v>
      </c>
      <c r="IL31" s="245" t="s">
        <v>5014</v>
      </c>
      <c r="IM31" s="245">
        <v>3</v>
      </c>
      <c r="IN31" s="245" t="s">
        <v>2096</v>
      </c>
      <c r="IO31" s="245" t="s">
        <v>600</v>
      </c>
      <c r="IP31" s="245">
        <v>2</v>
      </c>
      <c r="IQ31" s="245" t="s">
        <v>3323</v>
      </c>
      <c r="IR31" s="245" t="s">
        <v>2097</v>
      </c>
      <c r="IS31" s="246">
        <v>44139</v>
      </c>
    </row>
    <row r="32" spans="1:253" s="11" customFormat="1" ht="13.2" x14ac:dyDescent="0.25">
      <c r="A32" s="11" t="s">
        <v>1697</v>
      </c>
      <c r="B32" s="11" t="s">
        <v>1279</v>
      </c>
      <c r="C32" s="11" t="s">
        <v>3264</v>
      </c>
      <c r="D32" s="11" t="s">
        <v>62</v>
      </c>
      <c r="E32" s="11" t="s">
        <v>61</v>
      </c>
      <c r="F32" s="11" t="s">
        <v>5015</v>
      </c>
      <c r="G32" s="235">
        <v>16787000</v>
      </c>
      <c r="H32" s="236" t="s">
        <v>3882</v>
      </c>
      <c r="I32" s="236" t="s">
        <v>600</v>
      </c>
      <c r="J32" s="236">
        <v>2</v>
      </c>
      <c r="K32" s="236" t="s">
        <v>2785</v>
      </c>
      <c r="L32" s="236" t="s">
        <v>2784</v>
      </c>
      <c r="M32" s="237">
        <v>44134</v>
      </c>
      <c r="N32" s="244" t="s">
        <v>5016</v>
      </c>
      <c r="O32" s="239">
        <v>682200</v>
      </c>
      <c r="P32" s="239" t="s">
        <v>3891</v>
      </c>
      <c r="Q32" s="239" t="s">
        <v>599</v>
      </c>
      <c r="R32" s="239">
        <v>3</v>
      </c>
      <c r="S32" s="239" t="s">
        <v>3893</v>
      </c>
      <c r="T32" s="239" t="s">
        <v>3892</v>
      </c>
      <c r="U32" s="240">
        <v>44134</v>
      </c>
      <c r="V32" s="244" t="s">
        <v>5017</v>
      </c>
      <c r="W32" s="236">
        <v>16364000</v>
      </c>
      <c r="X32" s="236" t="s">
        <v>3894</v>
      </c>
      <c r="Y32" s="236" t="s">
        <v>599</v>
      </c>
      <c r="Z32" s="236">
        <v>3</v>
      </c>
      <c r="AA32" s="236" t="s">
        <v>3893</v>
      </c>
      <c r="AB32" s="236" t="s">
        <v>3895</v>
      </c>
      <c r="AC32" s="237">
        <v>44134</v>
      </c>
      <c r="AD32" s="244" t="s">
        <v>5018</v>
      </c>
      <c r="AE32" s="241">
        <v>388000</v>
      </c>
      <c r="AF32" s="241" t="s">
        <v>3896</v>
      </c>
      <c r="AG32" s="241" t="s">
        <v>600</v>
      </c>
      <c r="AH32" s="241">
        <v>2</v>
      </c>
      <c r="AI32" s="241" t="s">
        <v>3898</v>
      </c>
      <c r="AJ32" s="241" t="s">
        <v>3897</v>
      </c>
      <c r="AK32" s="242">
        <v>44134</v>
      </c>
      <c r="AL32" s="244" t="s">
        <v>5019</v>
      </c>
      <c r="AM32" s="236">
        <v>120000</v>
      </c>
      <c r="AN32" s="236" t="s">
        <v>3293</v>
      </c>
      <c r="AO32" s="236" t="s">
        <v>599</v>
      </c>
      <c r="AP32" s="236">
        <v>3</v>
      </c>
      <c r="AQ32" s="236" t="s">
        <v>3445</v>
      </c>
      <c r="AR32" s="236" t="s">
        <v>3444</v>
      </c>
      <c r="AS32" s="237">
        <v>44106</v>
      </c>
      <c r="AT32" s="245" t="s">
        <v>5020</v>
      </c>
      <c r="AU32" s="241" t="s">
        <v>393</v>
      </c>
      <c r="AV32" s="241" t="s">
        <v>393</v>
      </c>
      <c r="AW32" s="241" t="s">
        <v>393</v>
      </c>
      <c r="AX32" s="241" t="s">
        <v>393</v>
      </c>
      <c r="AY32" s="241" t="s">
        <v>393</v>
      </c>
      <c r="AZ32" s="241" t="s">
        <v>393</v>
      </c>
      <c r="BA32" s="242">
        <v>44106</v>
      </c>
      <c r="BB32" s="244" t="s">
        <v>5021</v>
      </c>
      <c r="BC32" s="236" t="s">
        <v>393</v>
      </c>
      <c r="BD32" s="236" t="s">
        <v>393</v>
      </c>
      <c r="BE32" s="236" t="s">
        <v>393</v>
      </c>
      <c r="BF32" s="236" t="s">
        <v>393</v>
      </c>
      <c r="BG32" s="236" t="s">
        <v>393</v>
      </c>
      <c r="BH32" s="236" t="s">
        <v>393</v>
      </c>
      <c r="BI32" s="237">
        <v>44106</v>
      </c>
      <c r="BJ32" s="245" t="s">
        <v>5022</v>
      </c>
      <c r="BK32" s="245">
        <v>10</v>
      </c>
      <c r="BL32" s="245" t="s">
        <v>3293</v>
      </c>
      <c r="BM32" s="245" t="s">
        <v>599</v>
      </c>
      <c r="BN32" s="245">
        <v>3</v>
      </c>
      <c r="BO32" s="245" t="s">
        <v>3446</v>
      </c>
      <c r="BP32" s="241" t="s">
        <v>3444</v>
      </c>
      <c r="BQ32" s="246">
        <v>44106</v>
      </c>
      <c r="BR32" s="244" t="s">
        <v>5023</v>
      </c>
      <c r="BS32" s="247" t="s">
        <v>393</v>
      </c>
      <c r="BT32" s="247" t="s">
        <v>393</v>
      </c>
      <c r="BU32" s="247" t="s">
        <v>393</v>
      </c>
      <c r="BV32" s="247" t="s">
        <v>393</v>
      </c>
      <c r="BW32" s="247" t="s">
        <v>393</v>
      </c>
      <c r="BX32" s="247" t="s">
        <v>393</v>
      </c>
      <c r="BY32" s="237">
        <v>44106</v>
      </c>
      <c r="BZ32" s="245" t="s">
        <v>5024</v>
      </c>
      <c r="CA32" s="245" t="s">
        <v>393</v>
      </c>
      <c r="CB32" s="245" t="s">
        <v>393</v>
      </c>
      <c r="CC32" s="245" t="s">
        <v>393</v>
      </c>
      <c r="CD32" s="245" t="s">
        <v>393</v>
      </c>
      <c r="CE32" s="245" t="s">
        <v>393</v>
      </c>
      <c r="CF32" s="245" t="s">
        <v>393</v>
      </c>
      <c r="CG32" s="246">
        <v>44106</v>
      </c>
      <c r="CH32" s="244" t="s">
        <v>5025</v>
      </c>
      <c r="CI32" s="245" t="e">
        <v>#N/A</v>
      </c>
      <c r="CJ32" s="245" t="e">
        <v>#N/A</v>
      </c>
      <c r="CK32" s="245" t="e">
        <v>#N/A</v>
      </c>
      <c r="CL32" s="245" t="e">
        <v>#N/A</v>
      </c>
      <c r="CM32" s="245" t="e">
        <v>#N/A</v>
      </c>
      <c r="CN32" s="245" t="e">
        <v>#N/A</v>
      </c>
      <c r="CO32" s="248" t="e">
        <v>#N/A</v>
      </c>
      <c r="CP32" s="245" t="s">
        <v>5026</v>
      </c>
      <c r="CQ32" s="247" t="s">
        <v>393</v>
      </c>
      <c r="CR32" s="247" t="s">
        <v>393</v>
      </c>
      <c r="CS32" s="247" t="s">
        <v>393</v>
      </c>
      <c r="CT32" s="247" t="s">
        <v>393</v>
      </c>
      <c r="CU32" s="247" t="s">
        <v>393</v>
      </c>
      <c r="CV32" s="247" t="s">
        <v>393</v>
      </c>
      <c r="CW32" s="237">
        <v>44106</v>
      </c>
      <c r="CX32" s="245" t="s">
        <v>5027</v>
      </c>
      <c r="CY32" s="241">
        <v>275000</v>
      </c>
      <c r="CZ32" s="241" t="s">
        <v>3896</v>
      </c>
      <c r="DA32" s="241" t="s">
        <v>599</v>
      </c>
      <c r="DB32" s="241">
        <v>3</v>
      </c>
      <c r="DC32" s="241" t="s">
        <v>3900</v>
      </c>
      <c r="DD32" s="241" t="s">
        <v>3899</v>
      </c>
      <c r="DE32" s="243">
        <v>44134</v>
      </c>
      <c r="DF32" s="244" t="s">
        <v>5028</v>
      </c>
      <c r="DG32" s="236">
        <v>15976000</v>
      </c>
      <c r="DH32" s="247" t="s">
        <v>3896</v>
      </c>
      <c r="DI32" s="247" t="s">
        <v>599</v>
      </c>
      <c r="DJ32" s="247">
        <v>3</v>
      </c>
      <c r="DK32" s="247" t="s">
        <v>3900</v>
      </c>
      <c r="DL32" s="247" t="s">
        <v>3899</v>
      </c>
      <c r="DM32" s="237">
        <v>44134</v>
      </c>
      <c r="DN32" s="245" t="s">
        <v>5029</v>
      </c>
      <c r="DO32" s="241">
        <v>113000</v>
      </c>
      <c r="DP32" s="245" t="s">
        <v>3896</v>
      </c>
      <c r="DQ32" s="245" t="s">
        <v>599</v>
      </c>
      <c r="DR32" s="245">
        <v>3</v>
      </c>
      <c r="DS32" s="245" t="s">
        <v>3900</v>
      </c>
      <c r="DT32" s="245" t="s">
        <v>3899</v>
      </c>
      <c r="DU32" s="246">
        <v>44134</v>
      </c>
      <c r="DV32" s="244" t="s">
        <v>5030</v>
      </c>
      <c r="DW32" s="236">
        <v>275000</v>
      </c>
      <c r="DX32" s="247" t="s">
        <v>3896</v>
      </c>
      <c r="DY32" s="247" t="s">
        <v>599</v>
      </c>
      <c r="DZ32" s="247">
        <v>3</v>
      </c>
      <c r="EA32" s="247" t="s">
        <v>3900</v>
      </c>
      <c r="EB32" s="247" t="s">
        <v>3899</v>
      </c>
      <c r="EC32" s="237">
        <v>44134</v>
      </c>
      <c r="ED32" s="245" t="s">
        <v>5031</v>
      </c>
      <c r="EE32" s="241">
        <v>0</v>
      </c>
      <c r="EF32" s="245" t="s">
        <v>3896</v>
      </c>
      <c r="EG32" s="245" t="s">
        <v>599</v>
      </c>
      <c r="EH32" s="245">
        <v>3</v>
      </c>
      <c r="EI32" s="245" t="s">
        <v>3900</v>
      </c>
      <c r="EJ32" s="245" t="s">
        <v>3899</v>
      </c>
      <c r="EK32" s="246">
        <v>44134</v>
      </c>
      <c r="EL32" s="244" t="s">
        <v>5032</v>
      </c>
      <c r="EM32" s="236">
        <v>0</v>
      </c>
      <c r="EN32" s="247" t="s">
        <v>3896</v>
      </c>
      <c r="EO32" s="247" t="s">
        <v>599</v>
      </c>
      <c r="EP32" s="247">
        <v>3</v>
      </c>
      <c r="EQ32" s="247" t="s">
        <v>3900</v>
      </c>
      <c r="ER32" s="247" t="s">
        <v>3899</v>
      </c>
      <c r="ES32" s="237">
        <v>44134</v>
      </c>
      <c r="ET32" s="245" t="s">
        <v>5033</v>
      </c>
      <c r="EU32" s="245">
        <v>380</v>
      </c>
      <c r="EV32" s="245" t="s">
        <v>3883</v>
      </c>
      <c r="EW32" s="245" t="s">
        <v>599</v>
      </c>
      <c r="EX32" s="245">
        <v>3</v>
      </c>
      <c r="EY32" s="245" t="s">
        <v>3885</v>
      </c>
      <c r="EZ32" s="245" t="s">
        <v>3443</v>
      </c>
      <c r="FA32" s="246">
        <v>44134</v>
      </c>
      <c r="FB32" s="244" t="s">
        <v>5034</v>
      </c>
      <c r="FC32" s="247">
        <v>5</v>
      </c>
      <c r="FD32" s="247" t="s">
        <v>393</v>
      </c>
      <c r="FE32" s="247" t="s">
        <v>601</v>
      </c>
      <c r="FF32" s="247">
        <v>1</v>
      </c>
      <c r="FG32" s="247" t="s">
        <v>3447</v>
      </c>
      <c r="FH32" s="247" t="s">
        <v>393</v>
      </c>
      <c r="FI32" s="237">
        <v>44106</v>
      </c>
      <c r="FJ32" s="244" t="s">
        <v>5035</v>
      </c>
      <c r="FK32" s="245" t="s">
        <v>393</v>
      </c>
      <c r="FL32" s="245" t="s">
        <v>393</v>
      </c>
      <c r="FM32" s="245" t="s">
        <v>393</v>
      </c>
      <c r="FN32" s="245" t="s">
        <v>393</v>
      </c>
      <c r="FO32" s="245" t="s">
        <v>393</v>
      </c>
      <c r="FP32" s="241" t="s">
        <v>393</v>
      </c>
      <c r="FQ32" s="242">
        <v>44106</v>
      </c>
      <c r="FR32" s="244" t="s">
        <v>5036</v>
      </c>
      <c r="FS32" s="247" t="s">
        <v>393</v>
      </c>
      <c r="FT32" s="247" t="s">
        <v>393</v>
      </c>
      <c r="FU32" s="247" t="s">
        <v>393</v>
      </c>
      <c r="FV32" s="247" t="s">
        <v>393</v>
      </c>
      <c r="FW32" s="247" t="s">
        <v>393</v>
      </c>
      <c r="FX32" s="247" t="s">
        <v>393</v>
      </c>
      <c r="FY32" s="237">
        <v>44106</v>
      </c>
      <c r="FZ32" s="245" t="s">
        <v>5037</v>
      </c>
      <c r="GA32" s="245">
        <v>1</v>
      </c>
      <c r="GB32" s="245" t="s">
        <v>2096</v>
      </c>
      <c r="GC32" s="245" t="s">
        <v>600</v>
      </c>
      <c r="GD32" s="245">
        <v>2</v>
      </c>
      <c r="GE32" s="245" t="s">
        <v>3323</v>
      </c>
      <c r="GF32" s="245" t="s">
        <v>2097</v>
      </c>
      <c r="GG32" s="246">
        <v>44139</v>
      </c>
      <c r="GH32" s="244" t="s">
        <v>5038</v>
      </c>
      <c r="GI32" s="247">
        <v>2</v>
      </c>
      <c r="GJ32" s="247" t="s">
        <v>2096</v>
      </c>
      <c r="GK32" s="247" t="s">
        <v>600</v>
      </c>
      <c r="GL32" s="247">
        <v>2</v>
      </c>
      <c r="GM32" s="247" t="s">
        <v>3323</v>
      </c>
      <c r="GN32" s="247" t="s">
        <v>2097</v>
      </c>
      <c r="GO32" s="237">
        <v>44139</v>
      </c>
      <c r="GP32" s="245" t="s">
        <v>5039</v>
      </c>
      <c r="GQ32" s="245">
        <v>2</v>
      </c>
      <c r="GR32" s="245" t="s">
        <v>2096</v>
      </c>
      <c r="GS32" s="245" t="s">
        <v>600</v>
      </c>
      <c r="GT32" s="245">
        <v>2</v>
      </c>
      <c r="GU32" s="245" t="s">
        <v>3323</v>
      </c>
      <c r="GV32" s="245" t="s">
        <v>2097</v>
      </c>
      <c r="GW32" s="246">
        <v>44139</v>
      </c>
      <c r="GX32" s="244" t="s">
        <v>5040</v>
      </c>
      <c r="GY32" s="247">
        <v>0</v>
      </c>
      <c r="GZ32" s="247" t="s">
        <v>2096</v>
      </c>
      <c r="HA32" s="247" t="s">
        <v>600</v>
      </c>
      <c r="HB32" s="247">
        <v>2</v>
      </c>
      <c r="HC32" s="247" t="s">
        <v>3323</v>
      </c>
      <c r="HD32" s="247" t="s">
        <v>2097</v>
      </c>
      <c r="HE32" s="237">
        <v>44139</v>
      </c>
      <c r="HF32" s="245" t="s">
        <v>5041</v>
      </c>
      <c r="HG32" s="245">
        <v>0</v>
      </c>
      <c r="HH32" s="245" t="s">
        <v>2096</v>
      </c>
      <c r="HI32" s="245" t="s">
        <v>600</v>
      </c>
      <c r="HJ32" s="245">
        <v>2</v>
      </c>
      <c r="HK32" s="245" t="s">
        <v>3323</v>
      </c>
      <c r="HL32" s="245" t="s">
        <v>2097</v>
      </c>
      <c r="HM32" s="246">
        <v>44139</v>
      </c>
      <c r="HN32" s="244" t="s">
        <v>5042</v>
      </c>
      <c r="HO32" s="247">
        <v>2</v>
      </c>
      <c r="HP32" s="247" t="s">
        <v>2096</v>
      </c>
      <c r="HQ32" s="247" t="s">
        <v>600</v>
      </c>
      <c r="HR32" s="247">
        <v>2</v>
      </c>
      <c r="HS32" s="247" t="s">
        <v>3323</v>
      </c>
      <c r="HT32" s="247" t="s">
        <v>2097</v>
      </c>
      <c r="HU32" s="237">
        <v>44139</v>
      </c>
      <c r="HV32" s="245" t="s">
        <v>5043</v>
      </c>
      <c r="HW32" s="245">
        <v>3</v>
      </c>
      <c r="HX32" s="245" t="s">
        <v>2096</v>
      </c>
      <c r="HY32" s="245" t="s">
        <v>600</v>
      </c>
      <c r="HZ32" s="245">
        <v>2</v>
      </c>
      <c r="IA32" s="245" t="s">
        <v>3323</v>
      </c>
      <c r="IB32" s="245" t="s">
        <v>2097</v>
      </c>
      <c r="IC32" s="246">
        <v>44139</v>
      </c>
      <c r="ID32" s="244" t="s">
        <v>5044</v>
      </c>
      <c r="IE32" s="247">
        <v>2</v>
      </c>
      <c r="IF32" s="247" t="s">
        <v>2096</v>
      </c>
      <c r="IG32" s="247" t="s">
        <v>600</v>
      </c>
      <c r="IH32" s="247">
        <v>2</v>
      </c>
      <c r="II32" s="247" t="s">
        <v>3323</v>
      </c>
      <c r="IJ32" s="247" t="s">
        <v>2097</v>
      </c>
      <c r="IK32" s="237">
        <v>44139</v>
      </c>
      <c r="IL32" s="245" t="s">
        <v>5045</v>
      </c>
      <c r="IM32" s="245">
        <v>3</v>
      </c>
      <c r="IN32" s="245" t="s">
        <v>2096</v>
      </c>
      <c r="IO32" s="245" t="s">
        <v>600</v>
      </c>
      <c r="IP32" s="245">
        <v>2</v>
      </c>
      <c r="IQ32" s="245" t="s">
        <v>3323</v>
      </c>
      <c r="IR32" s="245" t="s">
        <v>2097</v>
      </c>
      <c r="IS32" s="246">
        <v>44139</v>
      </c>
    </row>
    <row r="33" spans="1:253" s="11" customFormat="1" ht="13.2" x14ac:dyDescent="0.25">
      <c r="A33" s="11" t="s">
        <v>1080</v>
      </c>
      <c r="B33" s="11" t="s">
        <v>691</v>
      </c>
      <c r="C33" s="11" t="s">
        <v>578</v>
      </c>
      <c r="D33" s="11" t="s">
        <v>67</v>
      </c>
      <c r="E33" s="11" t="s">
        <v>66</v>
      </c>
      <c r="F33" s="11" t="s">
        <v>5046</v>
      </c>
      <c r="G33" s="235">
        <v>48300000</v>
      </c>
      <c r="H33" s="236" t="s">
        <v>2374</v>
      </c>
      <c r="I33" s="236" t="s">
        <v>601</v>
      </c>
      <c r="J33" s="236">
        <v>1</v>
      </c>
      <c r="K33" s="236" t="s">
        <v>2385</v>
      </c>
      <c r="L33" s="236" t="s">
        <v>2384</v>
      </c>
      <c r="M33" s="237">
        <v>43950</v>
      </c>
      <c r="N33" s="244" t="s">
        <v>5047</v>
      </c>
      <c r="O33" s="239">
        <v>1109500</v>
      </c>
      <c r="P33" s="239" t="s">
        <v>442</v>
      </c>
      <c r="Q33" s="239" t="s">
        <v>601</v>
      </c>
      <c r="R33" s="239">
        <v>1</v>
      </c>
      <c r="S33" s="239" t="s">
        <v>2377</v>
      </c>
      <c r="T33" s="239" t="s">
        <v>921</v>
      </c>
      <c r="U33" s="240">
        <v>44111</v>
      </c>
      <c r="V33" s="244" t="s">
        <v>5048</v>
      </c>
      <c r="W33" s="236">
        <v>48300000</v>
      </c>
      <c r="X33" s="236" t="s">
        <v>2374</v>
      </c>
      <c r="Y33" s="236" t="s">
        <v>601</v>
      </c>
      <c r="Z33" s="236">
        <v>1</v>
      </c>
      <c r="AA33" s="236" t="s">
        <v>2385</v>
      </c>
      <c r="AB33" s="236" t="s">
        <v>2384</v>
      </c>
      <c r="AC33" s="237">
        <v>43950</v>
      </c>
      <c r="AD33" s="244" t="s">
        <v>5049</v>
      </c>
      <c r="AE33" s="241">
        <v>13400000</v>
      </c>
      <c r="AF33" s="241" t="s">
        <v>2374</v>
      </c>
      <c r="AG33" s="241" t="s">
        <v>600</v>
      </c>
      <c r="AH33" s="241">
        <v>2</v>
      </c>
      <c r="AI33" s="241" t="s">
        <v>2386</v>
      </c>
      <c r="AJ33" s="241" t="s">
        <v>2384</v>
      </c>
      <c r="AK33" s="242">
        <v>43950</v>
      </c>
      <c r="AL33" s="244" t="s">
        <v>5050</v>
      </c>
      <c r="AM33" s="236">
        <v>3126000</v>
      </c>
      <c r="AN33" s="236" t="s">
        <v>3339</v>
      </c>
      <c r="AO33" s="236" t="s">
        <v>600</v>
      </c>
      <c r="AP33" s="236">
        <v>2</v>
      </c>
      <c r="AQ33" s="236" t="s">
        <v>3559</v>
      </c>
      <c r="AR33" s="236" t="s">
        <v>2422</v>
      </c>
      <c r="AS33" s="237">
        <v>44110</v>
      </c>
      <c r="AT33" s="245" t="s">
        <v>5051</v>
      </c>
      <c r="AU33" s="241" t="s">
        <v>393</v>
      </c>
      <c r="AV33" s="241" t="s">
        <v>393</v>
      </c>
      <c r="AW33" s="241" t="s">
        <v>393</v>
      </c>
      <c r="AX33" s="241" t="s">
        <v>393</v>
      </c>
      <c r="AY33" s="241" t="s">
        <v>1570</v>
      </c>
      <c r="AZ33" s="241" t="s">
        <v>393</v>
      </c>
      <c r="BA33" s="242">
        <v>43740</v>
      </c>
      <c r="BB33" s="244" t="s">
        <v>5052</v>
      </c>
      <c r="BC33" s="236" t="s">
        <v>393</v>
      </c>
      <c r="BD33" s="236">
        <v>0</v>
      </c>
      <c r="BE33" s="236" t="s">
        <v>600</v>
      </c>
      <c r="BF33" s="236">
        <v>2</v>
      </c>
      <c r="BG33" s="236" t="s">
        <v>930</v>
      </c>
      <c r="BH33" s="236">
        <v>0</v>
      </c>
      <c r="BI33" s="237">
        <v>43510</v>
      </c>
      <c r="BJ33" s="245" t="s">
        <v>5053</v>
      </c>
      <c r="BK33" s="245" t="s">
        <v>393</v>
      </c>
      <c r="BL33" s="245" t="s">
        <v>393</v>
      </c>
      <c r="BM33" s="245" t="s">
        <v>393</v>
      </c>
      <c r="BN33" s="245" t="s">
        <v>393</v>
      </c>
      <c r="BO33" s="245" t="s">
        <v>1571</v>
      </c>
      <c r="BP33" s="241" t="s">
        <v>393</v>
      </c>
      <c r="BQ33" s="246">
        <v>43740</v>
      </c>
      <c r="BR33" s="244" t="s">
        <v>5054</v>
      </c>
      <c r="BS33" s="247" t="s">
        <v>393</v>
      </c>
      <c r="BT33" s="247">
        <v>0</v>
      </c>
      <c r="BU33" s="247" t="s">
        <v>600</v>
      </c>
      <c r="BV33" s="247">
        <v>2</v>
      </c>
      <c r="BW33" s="247">
        <v>0</v>
      </c>
      <c r="BX33" s="247">
        <v>0</v>
      </c>
      <c r="BY33" s="237">
        <v>43510</v>
      </c>
      <c r="BZ33" s="245" t="s">
        <v>5055</v>
      </c>
      <c r="CA33" s="245" t="s">
        <v>393</v>
      </c>
      <c r="CB33" s="245">
        <v>0</v>
      </c>
      <c r="CC33" s="245" t="s">
        <v>393</v>
      </c>
      <c r="CD33" s="245" t="s">
        <v>393</v>
      </c>
      <c r="CE33" s="245">
        <v>0</v>
      </c>
      <c r="CF33" s="245">
        <v>0</v>
      </c>
      <c r="CG33" s="246">
        <v>43510</v>
      </c>
      <c r="CH33" s="244" t="s">
        <v>5056</v>
      </c>
      <c r="CI33" s="245" t="e">
        <v>#N/A</v>
      </c>
      <c r="CJ33" s="245" t="e">
        <v>#N/A</v>
      </c>
      <c r="CK33" s="245" t="e">
        <v>#N/A</v>
      </c>
      <c r="CL33" s="245" t="e">
        <v>#N/A</v>
      </c>
      <c r="CM33" s="245" t="e">
        <v>#N/A</v>
      </c>
      <c r="CN33" s="245" t="e">
        <v>#N/A</v>
      </c>
      <c r="CO33" s="248" t="e">
        <v>#N/A</v>
      </c>
      <c r="CP33" s="245" t="s">
        <v>5057</v>
      </c>
      <c r="CQ33" s="247" t="s">
        <v>393</v>
      </c>
      <c r="CR33" s="247">
        <v>0</v>
      </c>
      <c r="CS33" s="247" t="s">
        <v>600</v>
      </c>
      <c r="CT33" s="247">
        <v>2</v>
      </c>
      <c r="CU33" s="247">
        <v>0</v>
      </c>
      <c r="CV33" s="247">
        <v>0</v>
      </c>
      <c r="CW33" s="237">
        <v>43510</v>
      </c>
      <c r="CX33" s="245" t="s">
        <v>5058</v>
      </c>
      <c r="CY33" s="241">
        <v>8500000</v>
      </c>
      <c r="CZ33" s="241" t="s">
        <v>3665</v>
      </c>
      <c r="DA33" s="241" t="s">
        <v>600</v>
      </c>
      <c r="DB33" s="241">
        <v>2</v>
      </c>
      <c r="DC33" s="241" t="s">
        <v>2387</v>
      </c>
      <c r="DD33" s="241" t="s">
        <v>2384</v>
      </c>
      <c r="DE33" s="243">
        <v>44119</v>
      </c>
      <c r="DF33" s="244" t="s">
        <v>5059</v>
      </c>
      <c r="DG33" s="236">
        <v>34900000</v>
      </c>
      <c r="DH33" s="247" t="s">
        <v>3665</v>
      </c>
      <c r="DI33" s="247" t="s">
        <v>600</v>
      </c>
      <c r="DJ33" s="247">
        <v>2</v>
      </c>
      <c r="DK33" s="247" t="s">
        <v>2387</v>
      </c>
      <c r="DL33" s="247" t="s">
        <v>2384</v>
      </c>
      <c r="DM33" s="237">
        <v>44119</v>
      </c>
      <c r="DN33" s="245" t="s">
        <v>5060</v>
      </c>
      <c r="DO33" s="241">
        <v>4900000</v>
      </c>
      <c r="DP33" s="245" t="s">
        <v>3665</v>
      </c>
      <c r="DQ33" s="245" t="s">
        <v>600</v>
      </c>
      <c r="DR33" s="245">
        <v>2</v>
      </c>
      <c r="DS33" s="245" t="s">
        <v>2387</v>
      </c>
      <c r="DT33" s="245" t="s">
        <v>2384</v>
      </c>
      <c r="DU33" s="246">
        <v>44119</v>
      </c>
      <c r="DV33" s="244" t="s">
        <v>5061</v>
      </c>
      <c r="DW33" s="236">
        <v>5998000</v>
      </c>
      <c r="DX33" s="247" t="s">
        <v>3665</v>
      </c>
      <c r="DY33" s="247" t="s">
        <v>600</v>
      </c>
      <c r="DZ33" s="247">
        <v>2</v>
      </c>
      <c r="EA33" s="247" t="s">
        <v>2387</v>
      </c>
      <c r="EB33" s="247" t="s">
        <v>2384</v>
      </c>
      <c r="EC33" s="237">
        <v>44119</v>
      </c>
      <c r="ED33" s="245" t="s">
        <v>5062</v>
      </c>
      <c r="EE33" s="241">
        <v>2502000</v>
      </c>
      <c r="EF33" s="245" t="s">
        <v>3665</v>
      </c>
      <c r="EG33" s="245" t="s">
        <v>600</v>
      </c>
      <c r="EH33" s="245">
        <v>2</v>
      </c>
      <c r="EI33" s="245" t="s">
        <v>2387</v>
      </c>
      <c r="EJ33" s="245" t="s">
        <v>2384</v>
      </c>
      <c r="EK33" s="246">
        <v>44119</v>
      </c>
      <c r="EL33" s="244" t="s">
        <v>5063</v>
      </c>
      <c r="EM33" s="236">
        <v>0</v>
      </c>
      <c r="EN33" s="247" t="s">
        <v>3665</v>
      </c>
      <c r="EO33" s="247" t="s">
        <v>600</v>
      </c>
      <c r="EP33" s="247">
        <v>2</v>
      </c>
      <c r="EQ33" s="247" t="s">
        <v>2387</v>
      </c>
      <c r="ER33" s="247" t="s">
        <v>2384</v>
      </c>
      <c r="ES33" s="237">
        <v>44119</v>
      </c>
      <c r="ET33" s="245" t="s">
        <v>5064</v>
      </c>
      <c r="EU33" s="245" t="s">
        <v>393</v>
      </c>
      <c r="EV33" s="245" t="s">
        <v>393</v>
      </c>
      <c r="EW33" s="245" t="s">
        <v>393</v>
      </c>
      <c r="EX33" s="245" t="s">
        <v>393</v>
      </c>
      <c r="EY33" s="245" t="s">
        <v>1571</v>
      </c>
      <c r="EZ33" s="245" t="s">
        <v>393</v>
      </c>
      <c r="FA33" s="246">
        <v>43740</v>
      </c>
      <c r="FB33" s="244" t="s">
        <v>5065</v>
      </c>
      <c r="FC33" s="247">
        <v>5</v>
      </c>
      <c r="FD33" s="247">
        <v>0</v>
      </c>
      <c r="FE33" s="247" t="s">
        <v>600</v>
      </c>
      <c r="FF33" s="247">
        <v>2</v>
      </c>
      <c r="FG33" s="247">
        <v>0</v>
      </c>
      <c r="FH33" s="247">
        <v>0</v>
      </c>
      <c r="FI33" s="237">
        <v>43510</v>
      </c>
      <c r="FJ33" s="244" t="s">
        <v>5066</v>
      </c>
      <c r="FK33" s="245">
        <v>1800000</v>
      </c>
      <c r="FL33" s="245" t="s">
        <v>915</v>
      </c>
      <c r="FM33" s="245" t="s">
        <v>600</v>
      </c>
      <c r="FN33" s="245">
        <v>2</v>
      </c>
      <c r="FO33" s="245">
        <v>0</v>
      </c>
      <c r="FP33" s="241" t="s">
        <v>922</v>
      </c>
      <c r="FQ33" s="242">
        <v>43510</v>
      </c>
      <c r="FR33" s="244" t="s">
        <v>5067</v>
      </c>
      <c r="FS33" s="247">
        <v>11500</v>
      </c>
      <c r="FT33" s="247" t="s">
        <v>915</v>
      </c>
      <c r="FU33" s="247" t="s">
        <v>600</v>
      </c>
      <c r="FV33" s="247">
        <v>2</v>
      </c>
      <c r="FW33" s="247">
        <v>0</v>
      </c>
      <c r="FX33" s="247" t="s">
        <v>922</v>
      </c>
      <c r="FY33" s="237">
        <v>43510</v>
      </c>
      <c r="FZ33" s="245" t="s">
        <v>5068</v>
      </c>
      <c r="GA33" s="245">
        <v>0</v>
      </c>
      <c r="GB33" s="245" t="s">
        <v>1587</v>
      </c>
      <c r="GC33" s="245" t="s">
        <v>600</v>
      </c>
      <c r="GD33" s="245">
        <v>2</v>
      </c>
      <c r="GE33" s="245" t="s">
        <v>1623</v>
      </c>
      <c r="GF33" s="245" t="s">
        <v>1624</v>
      </c>
      <c r="GG33" s="246">
        <v>43770</v>
      </c>
      <c r="GH33" s="244" t="s">
        <v>5069</v>
      </c>
      <c r="GI33" s="247">
        <v>2</v>
      </c>
      <c r="GJ33" s="247" t="s">
        <v>1587</v>
      </c>
      <c r="GK33" s="247" t="s">
        <v>600</v>
      </c>
      <c r="GL33" s="247">
        <v>2</v>
      </c>
      <c r="GM33" s="247" t="s">
        <v>1623</v>
      </c>
      <c r="GN33" s="247" t="s">
        <v>1624</v>
      </c>
      <c r="GO33" s="237">
        <v>43770</v>
      </c>
      <c r="GP33" s="245" t="s">
        <v>5070</v>
      </c>
      <c r="GQ33" s="245">
        <v>0</v>
      </c>
      <c r="GR33" s="245" t="s">
        <v>1587</v>
      </c>
      <c r="GS33" s="245" t="s">
        <v>600</v>
      </c>
      <c r="GT33" s="245">
        <v>2</v>
      </c>
      <c r="GU33" s="245" t="s">
        <v>1623</v>
      </c>
      <c r="GV33" s="245" t="s">
        <v>1624</v>
      </c>
      <c r="GW33" s="246">
        <v>43770</v>
      </c>
      <c r="GX33" s="244" t="s">
        <v>5071</v>
      </c>
      <c r="GY33" s="247">
        <v>0</v>
      </c>
      <c r="GZ33" s="247" t="s">
        <v>1587</v>
      </c>
      <c r="HA33" s="247" t="s">
        <v>600</v>
      </c>
      <c r="HB33" s="247">
        <v>2</v>
      </c>
      <c r="HC33" s="247" t="s">
        <v>1623</v>
      </c>
      <c r="HD33" s="247" t="s">
        <v>1624</v>
      </c>
      <c r="HE33" s="237">
        <v>43770</v>
      </c>
      <c r="HF33" s="245" t="s">
        <v>5072</v>
      </c>
      <c r="HG33" s="245">
        <v>0</v>
      </c>
      <c r="HH33" s="245" t="s">
        <v>1587</v>
      </c>
      <c r="HI33" s="245" t="s">
        <v>600</v>
      </c>
      <c r="HJ33" s="245">
        <v>2</v>
      </c>
      <c r="HK33" s="245" t="s">
        <v>1623</v>
      </c>
      <c r="HL33" s="245" t="s">
        <v>1624</v>
      </c>
      <c r="HM33" s="246">
        <v>43770</v>
      </c>
      <c r="HN33" s="244" t="s">
        <v>5073</v>
      </c>
      <c r="HO33" s="247">
        <v>2</v>
      </c>
      <c r="HP33" s="247" t="s">
        <v>1587</v>
      </c>
      <c r="HQ33" s="247" t="s">
        <v>600</v>
      </c>
      <c r="HR33" s="247">
        <v>2</v>
      </c>
      <c r="HS33" s="247" t="s">
        <v>1623</v>
      </c>
      <c r="HT33" s="247" t="s">
        <v>1624</v>
      </c>
      <c r="HU33" s="237">
        <v>43770</v>
      </c>
      <c r="HV33" s="245" t="s">
        <v>5074</v>
      </c>
      <c r="HW33" s="245">
        <v>1</v>
      </c>
      <c r="HX33" s="245" t="s">
        <v>1587</v>
      </c>
      <c r="HY33" s="245" t="s">
        <v>600</v>
      </c>
      <c r="HZ33" s="245">
        <v>2</v>
      </c>
      <c r="IA33" s="245" t="s">
        <v>1623</v>
      </c>
      <c r="IB33" s="245" t="s">
        <v>1624</v>
      </c>
      <c r="IC33" s="246">
        <v>43770</v>
      </c>
      <c r="ID33" s="244" t="s">
        <v>5075</v>
      </c>
      <c r="IE33" s="247">
        <v>3</v>
      </c>
      <c r="IF33" s="247" t="s">
        <v>1587</v>
      </c>
      <c r="IG33" s="247" t="s">
        <v>600</v>
      </c>
      <c r="IH33" s="247">
        <v>2</v>
      </c>
      <c r="II33" s="247" t="s">
        <v>1623</v>
      </c>
      <c r="IJ33" s="247" t="s">
        <v>1624</v>
      </c>
      <c r="IK33" s="237">
        <v>43770</v>
      </c>
      <c r="IL33" s="245" t="s">
        <v>5076</v>
      </c>
      <c r="IM33" s="245">
        <v>1</v>
      </c>
      <c r="IN33" s="245" t="s">
        <v>1587</v>
      </c>
      <c r="IO33" s="245" t="s">
        <v>600</v>
      </c>
      <c r="IP33" s="245">
        <v>2</v>
      </c>
      <c r="IQ33" s="245" t="s">
        <v>1623</v>
      </c>
      <c r="IR33" s="245" t="s">
        <v>1624</v>
      </c>
      <c r="IS33" s="246">
        <v>43770</v>
      </c>
    </row>
    <row r="34" spans="1:253" s="11" customFormat="1" ht="13.2" x14ac:dyDescent="0.25">
      <c r="A34" s="11" t="s">
        <v>770</v>
      </c>
      <c r="B34" s="11" t="s">
        <v>1280</v>
      </c>
      <c r="C34" s="11" t="s">
        <v>667</v>
      </c>
      <c r="D34" s="11" t="s">
        <v>67</v>
      </c>
      <c r="E34" s="11" t="s">
        <v>66</v>
      </c>
      <c r="F34" s="11" t="s">
        <v>5077</v>
      </c>
      <c r="G34" s="235">
        <v>48300000</v>
      </c>
      <c r="H34" s="236" t="s">
        <v>2374</v>
      </c>
      <c r="I34" s="236" t="s">
        <v>601</v>
      </c>
      <c r="J34" s="236">
        <v>1</v>
      </c>
      <c r="K34" s="236" t="s">
        <v>2385</v>
      </c>
      <c r="L34" s="236" t="s">
        <v>2384</v>
      </c>
      <c r="M34" s="237">
        <v>43950</v>
      </c>
      <c r="N34" s="244" t="s">
        <v>5078</v>
      </c>
      <c r="O34" s="239">
        <v>135000</v>
      </c>
      <c r="P34" s="239" t="s">
        <v>442</v>
      </c>
      <c r="Q34" s="239" t="s">
        <v>600</v>
      </c>
      <c r="R34" s="239">
        <v>2</v>
      </c>
      <c r="S34" s="239" t="s">
        <v>1298</v>
      </c>
      <c r="T34" s="239" t="s">
        <v>921</v>
      </c>
      <c r="U34" s="240">
        <v>43585</v>
      </c>
      <c r="V34" s="244" t="s">
        <v>5079</v>
      </c>
      <c r="W34" s="236">
        <v>26910000</v>
      </c>
      <c r="X34" s="236" t="s">
        <v>913</v>
      </c>
      <c r="Y34" s="236" t="s">
        <v>601</v>
      </c>
      <c r="Z34" s="236">
        <v>1</v>
      </c>
      <c r="AA34" s="236" t="s">
        <v>1299</v>
      </c>
      <c r="AB34" s="236" t="s">
        <v>1300</v>
      </c>
      <c r="AC34" s="237">
        <v>43585</v>
      </c>
      <c r="AD34" s="244" t="s">
        <v>5080</v>
      </c>
      <c r="AE34" s="241">
        <v>2825000</v>
      </c>
      <c r="AF34" s="241" t="s">
        <v>2375</v>
      </c>
      <c r="AG34" s="241" t="s">
        <v>600</v>
      </c>
      <c r="AH34" s="241">
        <v>2</v>
      </c>
      <c r="AI34" s="241" t="s">
        <v>3560</v>
      </c>
      <c r="AJ34" s="241" t="s">
        <v>1994</v>
      </c>
      <c r="AK34" s="242">
        <v>44110</v>
      </c>
      <c r="AL34" s="244" t="s">
        <v>5081</v>
      </c>
      <c r="AM34" s="236">
        <v>2765000</v>
      </c>
      <c r="AN34" s="236" t="s">
        <v>3340</v>
      </c>
      <c r="AO34" s="236" t="s">
        <v>600</v>
      </c>
      <c r="AP34" s="236">
        <v>2</v>
      </c>
      <c r="AQ34" s="236" t="s">
        <v>3561</v>
      </c>
      <c r="AR34" s="236" t="s">
        <v>1994</v>
      </c>
      <c r="AS34" s="237">
        <v>44110</v>
      </c>
      <c r="AT34" s="245" t="s">
        <v>5082</v>
      </c>
      <c r="AU34" s="241" t="s">
        <v>393</v>
      </c>
      <c r="AV34" s="241" t="s">
        <v>393</v>
      </c>
      <c r="AW34" s="241" t="s">
        <v>393</v>
      </c>
      <c r="AX34" s="241" t="s">
        <v>393</v>
      </c>
      <c r="AY34" s="241" t="s">
        <v>1740</v>
      </c>
      <c r="AZ34" s="241" t="s">
        <v>393</v>
      </c>
      <c r="BA34" s="242">
        <v>43798</v>
      </c>
      <c r="BB34" s="244" t="s">
        <v>5083</v>
      </c>
      <c r="BC34" s="236" t="s">
        <v>393</v>
      </c>
      <c r="BD34" s="236" t="s">
        <v>393</v>
      </c>
      <c r="BE34" s="236" t="s">
        <v>393</v>
      </c>
      <c r="BF34" s="236" t="s">
        <v>393</v>
      </c>
      <c r="BG34" s="236" t="s">
        <v>2235</v>
      </c>
      <c r="BH34" s="236" t="s">
        <v>393</v>
      </c>
      <c r="BI34" s="237">
        <v>43920</v>
      </c>
      <c r="BJ34" s="245" t="s">
        <v>5084</v>
      </c>
      <c r="BK34" s="245" t="s">
        <v>393</v>
      </c>
      <c r="BL34" s="245" t="s">
        <v>1982</v>
      </c>
      <c r="BM34" s="245" t="s">
        <v>393</v>
      </c>
      <c r="BN34" s="245" t="s">
        <v>393</v>
      </c>
      <c r="BO34" s="245" t="s">
        <v>1996</v>
      </c>
      <c r="BP34" s="241" t="s">
        <v>1995</v>
      </c>
      <c r="BQ34" s="246">
        <v>43867</v>
      </c>
      <c r="BR34" s="244" t="s">
        <v>5085</v>
      </c>
      <c r="BS34" s="247" t="s">
        <v>393</v>
      </c>
      <c r="BT34" s="247">
        <v>0</v>
      </c>
      <c r="BU34" s="247" t="s">
        <v>600</v>
      </c>
      <c r="BV34" s="247">
        <v>2</v>
      </c>
      <c r="BW34" s="247">
        <v>0</v>
      </c>
      <c r="BX34" s="247">
        <v>0</v>
      </c>
      <c r="BY34" s="237">
        <v>43510</v>
      </c>
      <c r="BZ34" s="245" t="s">
        <v>5086</v>
      </c>
      <c r="CA34" s="245" t="s">
        <v>393</v>
      </c>
      <c r="CB34" s="245">
        <v>0</v>
      </c>
      <c r="CC34" s="245" t="s">
        <v>393</v>
      </c>
      <c r="CD34" s="245" t="s">
        <v>393</v>
      </c>
      <c r="CE34" s="245">
        <v>0</v>
      </c>
      <c r="CF34" s="245">
        <v>0</v>
      </c>
      <c r="CG34" s="246">
        <v>43510</v>
      </c>
      <c r="CH34" s="244" t="s">
        <v>5087</v>
      </c>
      <c r="CI34" s="245" t="e">
        <v>#N/A</v>
      </c>
      <c r="CJ34" s="245" t="e">
        <v>#N/A</v>
      </c>
      <c r="CK34" s="245" t="e">
        <v>#N/A</v>
      </c>
      <c r="CL34" s="245" t="e">
        <v>#N/A</v>
      </c>
      <c r="CM34" s="245" t="e">
        <v>#N/A</v>
      </c>
      <c r="CN34" s="245" t="e">
        <v>#N/A</v>
      </c>
      <c r="CO34" s="248" t="e">
        <v>#N/A</v>
      </c>
      <c r="CP34" s="245" t="s">
        <v>5088</v>
      </c>
      <c r="CQ34" s="247" t="s">
        <v>393</v>
      </c>
      <c r="CR34" s="247">
        <v>0</v>
      </c>
      <c r="CS34" s="247" t="s">
        <v>600</v>
      </c>
      <c r="CT34" s="247">
        <v>2</v>
      </c>
      <c r="CU34" s="247">
        <v>0</v>
      </c>
      <c r="CV34" s="247">
        <v>0</v>
      </c>
      <c r="CW34" s="237">
        <v>43510</v>
      </c>
      <c r="CX34" s="245" t="s">
        <v>5089</v>
      </c>
      <c r="CY34" s="241">
        <v>3365000</v>
      </c>
      <c r="CZ34" s="241" t="s">
        <v>3341</v>
      </c>
      <c r="DA34" s="241" t="s">
        <v>600</v>
      </c>
      <c r="DB34" s="241">
        <v>2</v>
      </c>
      <c r="DC34" s="241" t="s">
        <v>3563</v>
      </c>
      <c r="DD34" s="241" t="s">
        <v>3562</v>
      </c>
      <c r="DE34" s="243">
        <v>44110</v>
      </c>
      <c r="DF34" s="244" t="s">
        <v>5090</v>
      </c>
      <c r="DG34" s="236">
        <v>23545000</v>
      </c>
      <c r="DH34" s="247" t="s">
        <v>3341</v>
      </c>
      <c r="DI34" s="247" t="s">
        <v>600</v>
      </c>
      <c r="DJ34" s="247">
        <v>2</v>
      </c>
      <c r="DK34" s="247" t="s">
        <v>3563</v>
      </c>
      <c r="DL34" s="247" t="s">
        <v>3562</v>
      </c>
      <c r="DM34" s="237">
        <v>44110</v>
      </c>
      <c r="DN34" s="245" t="s">
        <v>5091</v>
      </c>
      <c r="DO34" s="241">
        <v>0</v>
      </c>
      <c r="DP34" s="245" t="s">
        <v>3341</v>
      </c>
      <c r="DQ34" s="245" t="s">
        <v>600</v>
      </c>
      <c r="DR34" s="245">
        <v>2</v>
      </c>
      <c r="DS34" s="245" t="s">
        <v>3563</v>
      </c>
      <c r="DT34" s="245" t="s">
        <v>3562</v>
      </c>
      <c r="DU34" s="246">
        <v>44110</v>
      </c>
      <c r="DV34" s="244" t="s">
        <v>5092</v>
      </c>
      <c r="DW34" s="236">
        <v>2865000</v>
      </c>
      <c r="DX34" s="247" t="s">
        <v>3341</v>
      </c>
      <c r="DY34" s="247" t="s">
        <v>600</v>
      </c>
      <c r="DZ34" s="247">
        <v>2</v>
      </c>
      <c r="EA34" s="247" t="s">
        <v>3563</v>
      </c>
      <c r="EB34" s="247" t="s">
        <v>3562</v>
      </c>
      <c r="EC34" s="237">
        <v>44110</v>
      </c>
      <c r="ED34" s="245" t="s">
        <v>5093</v>
      </c>
      <c r="EE34" s="241">
        <v>500000</v>
      </c>
      <c r="EF34" s="245" t="s">
        <v>3341</v>
      </c>
      <c r="EG34" s="245" t="s">
        <v>600</v>
      </c>
      <c r="EH34" s="245">
        <v>2</v>
      </c>
      <c r="EI34" s="245" t="s">
        <v>3563</v>
      </c>
      <c r="EJ34" s="245" t="s">
        <v>3562</v>
      </c>
      <c r="EK34" s="246">
        <v>44110</v>
      </c>
      <c r="EL34" s="244" t="s">
        <v>5094</v>
      </c>
      <c r="EM34" s="236">
        <v>0</v>
      </c>
      <c r="EN34" s="247" t="s">
        <v>3341</v>
      </c>
      <c r="EO34" s="247" t="s">
        <v>600</v>
      </c>
      <c r="EP34" s="247">
        <v>2</v>
      </c>
      <c r="EQ34" s="247" t="s">
        <v>3563</v>
      </c>
      <c r="ER34" s="247" t="s">
        <v>3562</v>
      </c>
      <c r="ES34" s="237">
        <v>44110</v>
      </c>
      <c r="ET34" s="245" t="s">
        <v>5095</v>
      </c>
      <c r="EU34" s="245" t="s">
        <v>393</v>
      </c>
      <c r="EV34" s="245" t="s">
        <v>393</v>
      </c>
      <c r="EW34" s="245" t="s">
        <v>393</v>
      </c>
      <c r="EX34" s="245" t="s">
        <v>393</v>
      </c>
      <c r="EY34" s="245" t="s">
        <v>1740</v>
      </c>
      <c r="EZ34" s="245" t="s">
        <v>393</v>
      </c>
      <c r="FA34" s="246">
        <v>43798</v>
      </c>
      <c r="FB34" s="244" t="s">
        <v>5096</v>
      </c>
      <c r="FC34" s="247">
        <v>3</v>
      </c>
      <c r="FD34" s="247">
        <v>0</v>
      </c>
      <c r="FE34" s="247" t="s">
        <v>600</v>
      </c>
      <c r="FF34" s="247">
        <v>2</v>
      </c>
      <c r="FG34" s="247" t="s">
        <v>929</v>
      </c>
      <c r="FH34" s="247">
        <v>0</v>
      </c>
      <c r="FI34" s="237">
        <v>43510</v>
      </c>
      <c r="FJ34" s="244" t="s">
        <v>5097</v>
      </c>
      <c r="FK34" s="245" t="s">
        <v>393</v>
      </c>
      <c r="FL34" s="245">
        <v>0</v>
      </c>
      <c r="FM34" s="245" t="s">
        <v>600</v>
      </c>
      <c r="FN34" s="245">
        <v>2</v>
      </c>
      <c r="FO34" s="245">
        <v>0</v>
      </c>
      <c r="FP34" s="241">
        <v>0</v>
      </c>
      <c r="FQ34" s="242">
        <v>43510</v>
      </c>
      <c r="FR34" s="244" t="s">
        <v>5098</v>
      </c>
      <c r="FS34" s="247" t="s">
        <v>393</v>
      </c>
      <c r="FT34" s="247">
        <v>0</v>
      </c>
      <c r="FU34" s="247" t="s">
        <v>600</v>
      </c>
      <c r="FV34" s="247">
        <v>2</v>
      </c>
      <c r="FW34" s="247">
        <v>0</v>
      </c>
      <c r="FX34" s="247">
        <v>0</v>
      </c>
      <c r="FY34" s="237">
        <v>43510</v>
      </c>
      <c r="FZ34" s="245" t="s">
        <v>5099</v>
      </c>
      <c r="GA34" s="245">
        <v>0</v>
      </c>
      <c r="GB34" s="245" t="s">
        <v>1587</v>
      </c>
      <c r="GC34" s="245" t="s">
        <v>600</v>
      </c>
      <c r="GD34" s="245">
        <v>2</v>
      </c>
      <c r="GE34" s="245" t="s">
        <v>1623</v>
      </c>
      <c r="GF34" s="245" t="s">
        <v>1624</v>
      </c>
      <c r="GG34" s="246">
        <v>43770</v>
      </c>
      <c r="GH34" s="244" t="s">
        <v>5100</v>
      </c>
      <c r="GI34" s="247">
        <v>2</v>
      </c>
      <c r="GJ34" s="247" t="s">
        <v>1587</v>
      </c>
      <c r="GK34" s="247" t="s">
        <v>600</v>
      </c>
      <c r="GL34" s="247">
        <v>2</v>
      </c>
      <c r="GM34" s="247" t="s">
        <v>1623</v>
      </c>
      <c r="GN34" s="247" t="s">
        <v>1624</v>
      </c>
      <c r="GO34" s="237">
        <v>43770</v>
      </c>
      <c r="GP34" s="245" t="s">
        <v>5101</v>
      </c>
      <c r="GQ34" s="245">
        <v>0</v>
      </c>
      <c r="GR34" s="245" t="s">
        <v>1587</v>
      </c>
      <c r="GS34" s="245" t="s">
        <v>600</v>
      </c>
      <c r="GT34" s="245">
        <v>2</v>
      </c>
      <c r="GU34" s="245" t="s">
        <v>1623</v>
      </c>
      <c r="GV34" s="245" t="s">
        <v>1624</v>
      </c>
      <c r="GW34" s="246">
        <v>43770</v>
      </c>
      <c r="GX34" s="244" t="s">
        <v>5102</v>
      </c>
      <c r="GY34" s="247">
        <v>0</v>
      </c>
      <c r="GZ34" s="247" t="s">
        <v>1587</v>
      </c>
      <c r="HA34" s="247" t="s">
        <v>600</v>
      </c>
      <c r="HB34" s="247">
        <v>2</v>
      </c>
      <c r="HC34" s="247" t="s">
        <v>1623</v>
      </c>
      <c r="HD34" s="247" t="s">
        <v>1624</v>
      </c>
      <c r="HE34" s="237">
        <v>43770</v>
      </c>
      <c r="HF34" s="245" t="s">
        <v>5103</v>
      </c>
      <c r="HG34" s="245">
        <v>0</v>
      </c>
      <c r="HH34" s="245" t="s">
        <v>1587</v>
      </c>
      <c r="HI34" s="245" t="s">
        <v>600</v>
      </c>
      <c r="HJ34" s="245">
        <v>2</v>
      </c>
      <c r="HK34" s="245" t="s">
        <v>1623</v>
      </c>
      <c r="HL34" s="245" t="s">
        <v>1624</v>
      </c>
      <c r="HM34" s="246">
        <v>43770</v>
      </c>
      <c r="HN34" s="244" t="s">
        <v>5104</v>
      </c>
      <c r="HO34" s="247">
        <v>2</v>
      </c>
      <c r="HP34" s="247" t="s">
        <v>1587</v>
      </c>
      <c r="HQ34" s="247" t="s">
        <v>600</v>
      </c>
      <c r="HR34" s="247">
        <v>2</v>
      </c>
      <c r="HS34" s="247" t="s">
        <v>1623</v>
      </c>
      <c r="HT34" s="247" t="s">
        <v>1624</v>
      </c>
      <c r="HU34" s="237">
        <v>43770</v>
      </c>
      <c r="HV34" s="245" t="s">
        <v>5105</v>
      </c>
      <c r="HW34" s="245">
        <v>1</v>
      </c>
      <c r="HX34" s="245" t="s">
        <v>1587</v>
      </c>
      <c r="HY34" s="245" t="s">
        <v>600</v>
      </c>
      <c r="HZ34" s="245">
        <v>2</v>
      </c>
      <c r="IA34" s="245" t="s">
        <v>1623</v>
      </c>
      <c r="IB34" s="245" t="s">
        <v>1624</v>
      </c>
      <c r="IC34" s="246">
        <v>43770</v>
      </c>
      <c r="ID34" s="244" t="s">
        <v>5106</v>
      </c>
      <c r="IE34" s="247">
        <v>3</v>
      </c>
      <c r="IF34" s="247" t="s">
        <v>1587</v>
      </c>
      <c r="IG34" s="247" t="s">
        <v>600</v>
      </c>
      <c r="IH34" s="247">
        <v>2</v>
      </c>
      <c r="II34" s="247" t="s">
        <v>1623</v>
      </c>
      <c r="IJ34" s="247" t="s">
        <v>1624</v>
      </c>
      <c r="IK34" s="237">
        <v>43770</v>
      </c>
      <c r="IL34" s="245" t="s">
        <v>5107</v>
      </c>
      <c r="IM34" s="245">
        <v>1</v>
      </c>
      <c r="IN34" s="245" t="s">
        <v>1587</v>
      </c>
      <c r="IO34" s="245" t="s">
        <v>600</v>
      </c>
      <c r="IP34" s="245">
        <v>2</v>
      </c>
      <c r="IQ34" s="245" t="s">
        <v>1623</v>
      </c>
      <c r="IR34" s="245" t="s">
        <v>1624</v>
      </c>
      <c r="IS34" s="246">
        <v>43770</v>
      </c>
    </row>
    <row r="35" spans="1:253" s="11" customFormat="1" ht="13.2" x14ac:dyDescent="0.25">
      <c r="A35" s="11" t="s">
        <v>1815</v>
      </c>
      <c r="B35" s="11" t="s">
        <v>1279</v>
      </c>
      <c r="C35" s="11" t="s">
        <v>3822</v>
      </c>
      <c r="D35" s="11" t="s">
        <v>361</v>
      </c>
      <c r="E35" s="11" t="s">
        <v>71</v>
      </c>
      <c r="F35" s="11" t="s">
        <v>5108</v>
      </c>
      <c r="G35" s="235">
        <v>5423000</v>
      </c>
      <c r="H35" s="236" t="s">
        <v>4039</v>
      </c>
      <c r="I35" s="236" t="s">
        <v>600</v>
      </c>
      <c r="J35" s="236">
        <v>2</v>
      </c>
      <c r="K35" s="236" t="s">
        <v>4040</v>
      </c>
      <c r="L35" s="236" t="s">
        <v>2694</v>
      </c>
      <c r="M35" s="237">
        <v>44139</v>
      </c>
      <c r="N35" s="244" t="s">
        <v>5109</v>
      </c>
      <c r="O35" s="239">
        <v>66044</v>
      </c>
      <c r="P35" s="239" t="s">
        <v>918</v>
      </c>
      <c r="Q35" s="239" t="s">
        <v>601</v>
      </c>
      <c r="R35" s="239">
        <v>1</v>
      </c>
      <c r="S35" s="239" t="s">
        <v>4041</v>
      </c>
      <c r="T35" s="239" t="s">
        <v>1874</v>
      </c>
      <c r="U35" s="240">
        <v>44139</v>
      </c>
      <c r="V35" s="244" t="s">
        <v>5110</v>
      </c>
      <c r="W35" s="236">
        <v>154000</v>
      </c>
      <c r="X35" s="236" t="s">
        <v>918</v>
      </c>
      <c r="Y35" s="236" t="s">
        <v>599</v>
      </c>
      <c r="Z35" s="236">
        <v>3</v>
      </c>
      <c r="AA35" s="236" t="s">
        <v>4042</v>
      </c>
      <c r="AB35" s="236" t="s">
        <v>1874</v>
      </c>
      <c r="AC35" s="237">
        <v>44140</v>
      </c>
      <c r="AD35" s="244" t="s">
        <v>5111</v>
      </c>
      <c r="AE35" s="241">
        <v>66000</v>
      </c>
      <c r="AF35" s="241" t="s">
        <v>4043</v>
      </c>
      <c r="AG35" s="241" t="s">
        <v>599</v>
      </c>
      <c r="AH35" s="241">
        <v>3</v>
      </c>
      <c r="AI35" s="241" t="s">
        <v>4045</v>
      </c>
      <c r="AJ35" s="241" t="s">
        <v>4044</v>
      </c>
      <c r="AK35" s="242">
        <v>44139</v>
      </c>
      <c r="AL35" s="244" t="s">
        <v>5112</v>
      </c>
      <c r="AM35" s="236" t="s">
        <v>393</v>
      </c>
      <c r="AN35" s="236" t="s">
        <v>393</v>
      </c>
      <c r="AO35" s="236" t="s">
        <v>393</v>
      </c>
      <c r="AP35" s="236" t="s">
        <v>393</v>
      </c>
      <c r="AQ35" s="236" t="s">
        <v>4046</v>
      </c>
      <c r="AR35" s="236" t="s">
        <v>393</v>
      </c>
      <c r="AS35" s="237">
        <v>44139</v>
      </c>
      <c r="AT35" s="245" t="s">
        <v>5113</v>
      </c>
      <c r="AU35" s="241" t="s">
        <v>393</v>
      </c>
      <c r="AV35" s="241" t="s">
        <v>393</v>
      </c>
      <c r="AW35" s="241" t="s">
        <v>393</v>
      </c>
      <c r="AX35" s="241" t="s">
        <v>393</v>
      </c>
      <c r="AY35" s="241" t="s">
        <v>393</v>
      </c>
      <c r="AZ35" s="241" t="s">
        <v>393</v>
      </c>
      <c r="BA35" s="242">
        <v>44139</v>
      </c>
      <c r="BB35" s="244" t="s">
        <v>5114</v>
      </c>
      <c r="BC35" s="236" t="s">
        <v>393</v>
      </c>
      <c r="BD35" s="236" t="s">
        <v>393</v>
      </c>
      <c r="BE35" s="236" t="s">
        <v>393</v>
      </c>
      <c r="BF35" s="236" t="s">
        <v>393</v>
      </c>
      <c r="BG35" s="236" t="s">
        <v>393</v>
      </c>
      <c r="BH35" s="236" t="s">
        <v>393</v>
      </c>
      <c r="BI35" s="237">
        <v>44139</v>
      </c>
      <c r="BJ35" s="245" t="s">
        <v>5115</v>
      </c>
      <c r="BK35" s="245" t="s">
        <v>393</v>
      </c>
      <c r="BL35" s="245" t="s">
        <v>393</v>
      </c>
      <c r="BM35" s="245" t="s">
        <v>393</v>
      </c>
      <c r="BN35" s="245" t="s">
        <v>393</v>
      </c>
      <c r="BO35" s="245" t="s">
        <v>4047</v>
      </c>
      <c r="BP35" s="241" t="s">
        <v>393</v>
      </c>
      <c r="BQ35" s="246">
        <v>44139</v>
      </c>
      <c r="BR35" s="244" t="s">
        <v>5116</v>
      </c>
      <c r="BS35" s="247" t="s">
        <v>393</v>
      </c>
      <c r="BT35" s="247" t="s">
        <v>393</v>
      </c>
      <c r="BU35" s="247" t="s">
        <v>393</v>
      </c>
      <c r="BV35" s="247" t="s">
        <v>393</v>
      </c>
      <c r="BW35" s="247" t="s">
        <v>393</v>
      </c>
      <c r="BX35" s="247" t="s">
        <v>393</v>
      </c>
      <c r="BY35" s="237">
        <v>44139</v>
      </c>
      <c r="BZ35" s="245" t="s">
        <v>5117</v>
      </c>
      <c r="CA35" s="245" t="s">
        <v>393</v>
      </c>
      <c r="CB35" s="245" t="s">
        <v>393</v>
      </c>
      <c r="CC35" s="245" t="s">
        <v>393</v>
      </c>
      <c r="CD35" s="245" t="s">
        <v>393</v>
      </c>
      <c r="CE35" s="245" t="s">
        <v>393</v>
      </c>
      <c r="CF35" s="245" t="s">
        <v>393</v>
      </c>
      <c r="CG35" s="246">
        <v>44139</v>
      </c>
      <c r="CH35" s="244" t="s">
        <v>5118</v>
      </c>
      <c r="CI35" s="245" t="e">
        <v>#N/A</v>
      </c>
      <c r="CJ35" s="245" t="e">
        <v>#N/A</v>
      </c>
      <c r="CK35" s="245" t="e">
        <v>#N/A</v>
      </c>
      <c r="CL35" s="245" t="e">
        <v>#N/A</v>
      </c>
      <c r="CM35" s="245" t="e">
        <v>#N/A</v>
      </c>
      <c r="CN35" s="245" t="e">
        <v>#N/A</v>
      </c>
      <c r="CO35" s="248" t="e">
        <v>#N/A</v>
      </c>
      <c r="CP35" s="245" t="s">
        <v>5119</v>
      </c>
      <c r="CQ35" s="247" t="s">
        <v>393</v>
      </c>
      <c r="CR35" s="247" t="s">
        <v>393</v>
      </c>
      <c r="CS35" s="247" t="s">
        <v>393</v>
      </c>
      <c r="CT35" s="247" t="s">
        <v>393</v>
      </c>
      <c r="CU35" s="247" t="s">
        <v>393</v>
      </c>
      <c r="CV35" s="247" t="s">
        <v>393</v>
      </c>
      <c r="CW35" s="237">
        <v>44139</v>
      </c>
      <c r="CX35" s="245" t="s">
        <v>5120</v>
      </c>
      <c r="CY35" s="241">
        <v>66000</v>
      </c>
      <c r="CZ35" s="241" t="s">
        <v>4048</v>
      </c>
      <c r="DA35" s="241" t="s">
        <v>599</v>
      </c>
      <c r="DB35" s="241">
        <v>3</v>
      </c>
      <c r="DC35" s="241" t="s">
        <v>4050</v>
      </c>
      <c r="DD35" s="241" t="s">
        <v>4049</v>
      </c>
      <c r="DE35" s="243">
        <v>44139</v>
      </c>
      <c r="DF35" s="244" t="s">
        <v>5121</v>
      </c>
      <c r="DG35" s="236">
        <v>88000</v>
      </c>
      <c r="DH35" s="247" t="s">
        <v>4048</v>
      </c>
      <c r="DI35" s="247" t="s">
        <v>599</v>
      </c>
      <c r="DJ35" s="247">
        <v>3</v>
      </c>
      <c r="DK35" s="247" t="s">
        <v>4050</v>
      </c>
      <c r="DL35" s="247" t="s">
        <v>4049</v>
      </c>
      <c r="DM35" s="237">
        <v>44139</v>
      </c>
      <c r="DN35" s="245" t="s">
        <v>5122</v>
      </c>
      <c r="DO35" s="241">
        <v>0</v>
      </c>
      <c r="DP35" s="245" t="s">
        <v>4048</v>
      </c>
      <c r="DQ35" s="245" t="s">
        <v>599</v>
      </c>
      <c r="DR35" s="245">
        <v>3</v>
      </c>
      <c r="DS35" s="245" t="s">
        <v>4050</v>
      </c>
      <c r="DT35" s="245" t="s">
        <v>4049</v>
      </c>
      <c r="DU35" s="246">
        <v>44139</v>
      </c>
      <c r="DV35" s="244" t="s">
        <v>5123</v>
      </c>
      <c r="DW35" s="236">
        <v>66000</v>
      </c>
      <c r="DX35" s="247" t="s">
        <v>4048</v>
      </c>
      <c r="DY35" s="247" t="s">
        <v>599</v>
      </c>
      <c r="DZ35" s="247">
        <v>3</v>
      </c>
      <c r="EA35" s="247" t="s">
        <v>4050</v>
      </c>
      <c r="EB35" s="247" t="s">
        <v>4049</v>
      </c>
      <c r="EC35" s="237">
        <v>44139</v>
      </c>
      <c r="ED35" s="245" t="s">
        <v>5124</v>
      </c>
      <c r="EE35" s="241">
        <v>0</v>
      </c>
      <c r="EF35" s="245" t="s">
        <v>4048</v>
      </c>
      <c r="EG35" s="245" t="s">
        <v>599</v>
      </c>
      <c r="EH35" s="245">
        <v>3</v>
      </c>
      <c r="EI35" s="245" t="s">
        <v>4050</v>
      </c>
      <c r="EJ35" s="245" t="s">
        <v>4049</v>
      </c>
      <c r="EK35" s="246">
        <v>44139</v>
      </c>
      <c r="EL35" s="244" t="s">
        <v>5125</v>
      </c>
      <c r="EM35" s="236">
        <v>0</v>
      </c>
      <c r="EN35" s="247" t="s">
        <v>4048</v>
      </c>
      <c r="EO35" s="247" t="s">
        <v>599</v>
      </c>
      <c r="EP35" s="247">
        <v>3</v>
      </c>
      <c r="EQ35" s="247" t="s">
        <v>4050</v>
      </c>
      <c r="ER35" s="247" t="s">
        <v>4049</v>
      </c>
      <c r="ES35" s="237">
        <v>44139</v>
      </c>
      <c r="ET35" s="245" t="s">
        <v>5126</v>
      </c>
      <c r="EU35" s="245" t="s">
        <v>393</v>
      </c>
      <c r="EV35" s="245" t="s">
        <v>393</v>
      </c>
      <c r="EW35" s="245" t="s">
        <v>393</v>
      </c>
      <c r="EX35" s="245" t="s">
        <v>393</v>
      </c>
      <c r="EY35" s="245" t="s">
        <v>4047</v>
      </c>
      <c r="EZ35" s="245" t="s">
        <v>393</v>
      </c>
      <c r="FA35" s="246">
        <v>44139</v>
      </c>
      <c r="FB35" s="244" t="s">
        <v>5127</v>
      </c>
      <c r="FC35" s="247">
        <v>4</v>
      </c>
      <c r="FD35" s="247" t="s">
        <v>393</v>
      </c>
      <c r="FE35" s="247" t="s">
        <v>600</v>
      </c>
      <c r="FF35" s="247">
        <v>2</v>
      </c>
      <c r="FG35" s="247" t="s">
        <v>4051</v>
      </c>
      <c r="FH35" s="247" t="s">
        <v>393</v>
      </c>
      <c r="FI35" s="237">
        <v>44139</v>
      </c>
      <c r="FJ35" s="244" t="s">
        <v>5128</v>
      </c>
      <c r="FK35" s="245" t="s">
        <v>393</v>
      </c>
      <c r="FL35" s="245" t="s">
        <v>393</v>
      </c>
      <c r="FM35" s="245" t="s">
        <v>393</v>
      </c>
      <c r="FN35" s="245" t="s">
        <v>393</v>
      </c>
      <c r="FO35" s="245" t="s">
        <v>393</v>
      </c>
      <c r="FP35" s="241" t="s">
        <v>393</v>
      </c>
      <c r="FQ35" s="242">
        <v>44139</v>
      </c>
      <c r="FR35" s="244" t="s">
        <v>5129</v>
      </c>
      <c r="FS35" s="247" t="s">
        <v>393</v>
      </c>
      <c r="FT35" s="247" t="s">
        <v>393</v>
      </c>
      <c r="FU35" s="247" t="s">
        <v>393</v>
      </c>
      <c r="FV35" s="247" t="s">
        <v>393</v>
      </c>
      <c r="FW35" s="247" t="s">
        <v>393</v>
      </c>
      <c r="FX35" s="247" t="s">
        <v>393</v>
      </c>
      <c r="FY35" s="237">
        <v>44139</v>
      </c>
      <c r="FZ35" s="245" t="s">
        <v>5130</v>
      </c>
      <c r="GA35" s="245">
        <v>0</v>
      </c>
      <c r="GB35" s="245" t="s">
        <v>2096</v>
      </c>
      <c r="GC35" s="245" t="s">
        <v>600</v>
      </c>
      <c r="GD35" s="245">
        <v>2</v>
      </c>
      <c r="GE35" s="245" t="s">
        <v>3323</v>
      </c>
      <c r="GF35" s="245" t="s">
        <v>2097</v>
      </c>
      <c r="GG35" s="246">
        <v>44139</v>
      </c>
      <c r="GH35" s="244" t="s">
        <v>5131</v>
      </c>
      <c r="GI35" s="247">
        <v>0</v>
      </c>
      <c r="GJ35" s="247" t="s">
        <v>2096</v>
      </c>
      <c r="GK35" s="247" t="s">
        <v>600</v>
      </c>
      <c r="GL35" s="247">
        <v>2</v>
      </c>
      <c r="GM35" s="247" t="s">
        <v>3323</v>
      </c>
      <c r="GN35" s="247" t="s">
        <v>2097</v>
      </c>
      <c r="GO35" s="237">
        <v>44139</v>
      </c>
      <c r="GP35" s="245" t="s">
        <v>5132</v>
      </c>
      <c r="GQ35" s="245">
        <v>0</v>
      </c>
      <c r="GR35" s="245" t="s">
        <v>2096</v>
      </c>
      <c r="GS35" s="245" t="s">
        <v>600</v>
      </c>
      <c r="GT35" s="245">
        <v>2</v>
      </c>
      <c r="GU35" s="245" t="s">
        <v>3323</v>
      </c>
      <c r="GV35" s="245" t="s">
        <v>2097</v>
      </c>
      <c r="GW35" s="246">
        <v>44139</v>
      </c>
      <c r="GX35" s="244" t="s">
        <v>5133</v>
      </c>
      <c r="GY35" s="247">
        <v>0</v>
      </c>
      <c r="GZ35" s="247" t="s">
        <v>2096</v>
      </c>
      <c r="HA35" s="247" t="s">
        <v>600</v>
      </c>
      <c r="HB35" s="247">
        <v>2</v>
      </c>
      <c r="HC35" s="247" t="s">
        <v>3323</v>
      </c>
      <c r="HD35" s="247" t="s">
        <v>2097</v>
      </c>
      <c r="HE35" s="237">
        <v>44139</v>
      </c>
      <c r="HF35" s="245" t="s">
        <v>5134</v>
      </c>
      <c r="HG35" s="245">
        <v>0</v>
      </c>
      <c r="HH35" s="245" t="s">
        <v>2096</v>
      </c>
      <c r="HI35" s="245" t="s">
        <v>600</v>
      </c>
      <c r="HJ35" s="245">
        <v>2</v>
      </c>
      <c r="HK35" s="245" t="s">
        <v>3323</v>
      </c>
      <c r="HL35" s="245" t="s">
        <v>2097</v>
      </c>
      <c r="HM35" s="246">
        <v>44139</v>
      </c>
      <c r="HN35" s="244" t="s">
        <v>5135</v>
      </c>
      <c r="HO35" s="247">
        <v>0</v>
      </c>
      <c r="HP35" s="247" t="s">
        <v>2096</v>
      </c>
      <c r="HQ35" s="247" t="s">
        <v>600</v>
      </c>
      <c r="HR35" s="247">
        <v>2</v>
      </c>
      <c r="HS35" s="247" t="s">
        <v>3323</v>
      </c>
      <c r="HT35" s="247" t="s">
        <v>2097</v>
      </c>
      <c r="HU35" s="237">
        <v>44139</v>
      </c>
      <c r="HV35" s="245" t="s">
        <v>5136</v>
      </c>
      <c r="HW35" s="245">
        <v>0</v>
      </c>
      <c r="HX35" s="245" t="s">
        <v>2096</v>
      </c>
      <c r="HY35" s="245" t="s">
        <v>600</v>
      </c>
      <c r="HZ35" s="245">
        <v>2</v>
      </c>
      <c r="IA35" s="245" t="s">
        <v>3323</v>
      </c>
      <c r="IB35" s="245" t="s">
        <v>2097</v>
      </c>
      <c r="IC35" s="246">
        <v>44139</v>
      </c>
      <c r="ID35" s="244" t="s">
        <v>5137</v>
      </c>
      <c r="IE35" s="247">
        <v>0</v>
      </c>
      <c r="IF35" s="247" t="s">
        <v>2096</v>
      </c>
      <c r="IG35" s="247" t="s">
        <v>600</v>
      </c>
      <c r="IH35" s="247">
        <v>2</v>
      </c>
      <c r="II35" s="247" t="s">
        <v>3323</v>
      </c>
      <c r="IJ35" s="247" t="s">
        <v>2097</v>
      </c>
      <c r="IK35" s="237">
        <v>44139</v>
      </c>
      <c r="IL35" s="245" t="s">
        <v>5138</v>
      </c>
      <c r="IM35" s="245">
        <v>1</v>
      </c>
      <c r="IN35" s="245" t="s">
        <v>2096</v>
      </c>
      <c r="IO35" s="245" t="s">
        <v>600</v>
      </c>
      <c r="IP35" s="245">
        <v>2</v>
      </c>
      <c r="IQ35" s="245" t="s">
        <v>3323</v>
      </c>
      <c r="IR35" s="245" t="s">
        <v>2097</v>
      </c>
      <c r="IS35" s="246">
        <v>44139</v>
      </c>
    </row>
    <row r="36" spans="1:253" s="11" customFormat="1" ht="13.2" x14ac:dyDescent="0.25">
      <c r="A36" s="11" t="s">
        <v>1188</v>
      </c>
      <c r="B36" s="11" t="s">
        <v>1280</v>
      </c>
      <c r="C36" s="11" t="s">
        <v>1189</v>
      </c>
      <c r="D36" s="11" t="s">
        <v>73</v>
      </c>
      <c r="E36" s="11" t="s">
        <v>72</v>
      </c>
      <c r="F36" s="11" t="s">
        <v>5139</v>
      </c>
      <c r="G36" s="235">
        <v>5135000</v>
      </c>
      <c r="H36" s="236" t="s">
        <v>3356</v>
      </c>
      <c r="I36" s="236" t="s">
        <v>601</v>
      </c>
      <c r="J36" s="236">
        <v>1</v>
      </c>
      <c r="K36" s="236" t="s">
        <v>3580</v>
      </c>
      <c r="L36" s="236" t="s">
        <v>1968</v>
      </c>
      <c r="M36" s="237">
        <v>44110</v>
      </c>
      <c r="N36" s="244" t="s">
        <v>5140</v>
      </c>
      <c r="O36" s="239">
        <v>4966</v>
      </c>
      <c r="P36" s="239" t="s">
        <v>2094</v>
      </c>
      <c r="Q36" s="239" t="s">
        <v>599</v>
      </c>
      <c r="R36" s="239">
        <v>3</v>
      </c>
      <c r="S36" s="239" t="s">
        <v>1977</v>
      </c>
      <c r="T36" s="239" t="s">
        <v>1969</v>
      </c>
      <c r="U36" s="240">
        <v>43867</v>
      </c>
      <c r="V36" s="244" t="s">
        <v>5141</v>
      </c>
      <c r="W36" s="236">
        <v>1730000</v>
      </c>
      <c r="X36" s="236" t="s">
        <v>3357</v>
      </c>
      <c r="Y36" s="236" t="s">
        <v>599</v>
      </c>
      <c r="Z36" s="236">
        <v>3</v>
      </c>
      <c r="AA36" s="236" t="s">
        <v>3582</v>
      </c>
      <c r="AB36" s="236" t="s">
        <v>3581</v>
      </c>
      <c r="AC36" s="237">
        <v>44110</v>
      </c>
      <c r="AD36" s="244" t="s">
        <v>5142</v>
      </c>
      <c r="AE36" s="241">
        <v>81000</v>
      </c>
      <c r="AF36" s="241" t="s">
        <v>3358</v>
      </c>
      <c r="AG36" s="241" t="s">
        <v>600</v>
      </c>
      <c r="AH36" s="241">
        <v>2</v>
      </c>
      <c r="AI36" s="241" t="s">
        <v>3584</v>
      </c>
      <c r="AJ36" s="241" t="s">
        <v>3583</v>
      </c>
      <c r="AK36" s="242">
        <v>44110</v>
      </c>
      <c r="AL36" s="244" t="s">
        <v>5143</v>
      </c>
      <c r="AM36" s="236">
        <v>81000</v>
      </c>
      <c r="AN36" s="236" t="s">
        <v>3358</v>
      </c>
      <c r="AO36" s="236" t="s">
        <v>600</v>
      </c>
      <c r="AP36" s="236">
        <v>2</v>
      </c>
      <c r="AQ36" s="236" t="s">
        <v>3585</v>
      </c>
      <c r="AR36" s="236" t="s">
        <v>3583</v>
      </c>
      <c r="AS36" s="237">
        <v>44110</v>
      </c>
      <c r="AT36" s="245" t="s">
        <v>5144</v>
      </c>
      <c r="AU36" s="241">
        <v>0</v>
      </c>
      <c r="AV36" s="241">
        <v>0</v>
      </c>
      <c r="AW36" s="241" t="s">
        <v>600</v>
      </c>
      <c r="AX36" s="241">
        <v>2</v>
      </c>
      <c r="AY36" s="241">
        <v>0</v>
      </c>
      <c r="AZ36" s="241">
        <v>0</v>
      </c>
      <c r="BA36" s="242">
        <v>43566</v>
      </c>
      <c r="BB36" s="244" t="s">
        <v>5145</v>
      </c>
      <c r="BC36" s="236">
        <v>0</v>
      </c>
      <c r="BD36" s="236">
        <v>0</v>
      </c>
      <c r="BE36" s="236" t="s">
        <v>600</v>
      </c>
      <c r="BF36" s="236">
        <v>2</v>
      </c>
      <c r="BG36" s="236">
        <v>0</v>
      </c>
      <c r="BH36" s="236">
        <v>0</v>
      </c>
      <c r="BI36" s="237">
        <v>43566</v>
      </c>
      <c r="BJ36" s="245" t="s">
        <v>5146</v>
      </c>
      <c r="BK36" s="245">
        <v>0</v>
      </c>
      <c r="BL36" s="245" t="s">
        <v>2641</v>
      </c>
      <c r="BM36" s="245" t="s">
        <v>599</v>
      </c>
      <c r="BN36" s="245">
        <v>3</v>
      </c>
      <c r="BO36" s="245" t="s">
        <v>2210</v>
      </c>
      <c r="BP36" s="241" t="s">
        <v>2207</v>
      </c>
      <c r="BQ36" s="246">
        <v>44012</v>
      </c>
      <c r="BR36" s="244" t="s">
        <v>5147</v>
      </c>
      <c r="BS36" s="247">
        <v>0</v>
      </c>
      <c r="BT36" s="247">
        <v>0</v>
      </c>
      <c r="BU36" s="247" t="s">
        <v>600</v>
      </c>
      <c r="BV36" s="247">
        <v>2</v>
      </c>
      <c r="BW36" s="247">
        <v>0</v>
      </c>
      <c r="BX36" s="247">
        <v>0</v>
      </c>
      <c r="BY36" s="237">
        <v>43566</v>
      </c>
      <c r="BZ36" s="245" t="s">
        <v>5148</v>
      </c>
      <c r="CA36" s="245">
        <v>0</v>
      </c>
      <c r="CB36" s="245">
        <v>0</v>
      </c>
      <c r="CC36" s="245" t="s">
        <v>600</v>
      </c>
      <c r="CD36" s="245">
        <v>2</v>
      </c>
      <c r="CE36" s="245">
        <v>0</v>
      </c>
      <c r="CF36" s="245">
        <v>0</v>
      </c>
      <c r="CG36" s="246">
        <v>43566</v>
      </c>
      <c r="CH36" s="244" t="s">
        <v>5149</v>
      </c>
      <c r="CI36" s="245" t="e">
        <v>#N/A</v>
      </c>
      <c r="CJ36" s="245" t="e">
        <v>#N/A</v>
      </c>
      <c r="CK36" s="245" t="e">
        <v>#N/A</v>
      </c>
      <c r="CL36" s="245" t="e">
        <v>#N/A</v>
      </c>
      <c r="CM36" s="245" t="e">
        <v>#N/A</v>
      </c>
      <c r="CN36" s="245" t="e">
        <v>#N/A</v>
      </c>
      <c r="CO36" s="248" t="e">
        <v>#N/A</v>
      </c>
      <c r="CP36" s="245" t="s">
        <v>5150</v>
      </c>
      <c r="CQ36" s="247">
        <v>0</v>
      </c>
      <c r="CR36" s="247">
        <v>0</v>
      </c>
      <c r="CS36" s="247" t="s">
        <v>600</v>
      </c>
      <c r="CT36" s="247">
        <v>2</v>
      </c>
      <c r="CU36" s="247">
        <v>0</v>
      </c>
      <c r="CV36" s="247">
        <v>0</v>
      </c>
      <c r="CW36" s="237">
        <v>43566</v>
      </c>
      <c r="CX36" s="245" t="s">
        <v>5151</v>
      </c>
      <c r="CY36" s="241">
        <v>41000</v>
      </c>
      <c r="CZ36" s="241" t="s">
        <v>3357</v>
      </c>
      <c r="DA36" s="241" t="s">
        <v>600</v>
      </c>
      <c r="DB36" s="241">
        <v>2</v>
      </c>
      <c r="DC36" s="241" t="s">
        <v>3587</v>
      </c>
      <c r="DD36" s="241" t="s">
        <v>3586</v>
      </c>
      <c r="DE36" s="243">
        <v>44110</v>
      </c>
      <c r="DF36" s="244" t="s">
        <v>5152</v>
      </c>
      <c r="DG36" s="236">
        <v>1651000</v>
      </c>
      <c r="DH36" s="247" t="s">
        <v>3357</v>
      </c>
      <c r="DI36" s="247" t="s">
        <v>600</v>
      </c>
      <c r="DJ36" s="247">
        <v>2</v>
      </c>
      <c r="DK36" s="247" t="s">
        <v>3587</v>
      </c>
      <c r="DL36" s="247" t="s">
        <v>3586</v>
      </c>
      <c r="DM36" s="237">
        <v>44110</v>
      </c>
      <c r="DN36" s="245" t="s">
        <v>5153</v>
      </c>
      <c r="DO36" s="241">
        <v>39000</v>
      </c>
      <c r="DP36" s="245" t="s">
        <v>3357</v>
      </c>
      <c r="DQ36" s="245" t="s">
        <v>600</v>
      </c>
      <c r="DR36" s="245">
        <v>2</v>
      </c>
      <c r="DS36" s="245" t="s">
        <v>3587</v>
      </c>
      <c r="DT36" s="245" t="s">
        <v>3586</v>
      </c>
      <c r="DU36" s="246">
        <v>44110</v>
      </c>
      <c r="DV36" s="244" t="s">
        <v>5154</v>
      </c>
      <c r="DW36" s="236">
        <v>41000</v>
      </c>
      <c r="DX36" s="247" t="s">
        <v>3357</v>
      </c>
      <c r="DY36" s="247" t="s">
        <v>600</v>
      </c>
      <c r="DZ36" s="247">
        <v>2</v>
      </c>
      <c r="EA36" s="247" t="s">
        <v>3587</v>
      </c>
      <c r="EB36" s="247" t="s">
        <v>3586</v>
      </c>
      <c r="EC36" s="237">
        <v>44110</v>
      </c>
      <c r="ED36" s="245" t="s">
        <v>5155</v>
      </c>
      <c r="EE36" s="241">
        <v>0</v>
      </c>
      <c r="EF36" s="245" t="s">
        <v>3357</v>
      </c>
      <c r="EG36" s="245" t="s">
        <v>600</v>
      </c>
      <c r="EH36" s="245">
        <v>2</v>
      </c>
      <c r="EI36" s="245" t="s">
        <v>3587</v>
      </c>
      <c r="EJ36" s="245" t="s">
        <v>3586</v>
      </c>
      <c r="EK36" s="246">
        <v>44110</v>
      </c>
      <c r="EL36" s="244" t="s">
        <v>5156</v>
      </c>
      <c r="EM36" s="236">
        <v>0</v>
      </c>
      <c r="EN36" s="247" t="s">
        <v>3357</v>
      </c>
      <c r="EO36" s="247" t="s">
        <v>600</v>
      </c>
      <c r="EP36" s="247">
        <v>2</v>
      </c>
      <c r="EQ36" s="247" t="s">
        <v>3587</v>
      </c>
      <c r="ER36" s="247" t="s">
        <v>3586</v>
      </c>
      <c r="ES36" s="237">
        <v>44110</v>
      </c>
      <c r="ET36" s="245" t="s">
        <v>5157</v>
      </c>
      <c r="EU36" s="245">
        <v>0</v>
      </c>
      <c r="EV36" s="245" t="s">
        <v>2641</v>
      </c>
      <c r="EW36" s="245" t="s">
        <v>599</v>
      </c>
      <c r="EX36" s="245">
        <v>3</v>
      </c>
      <c r="EY36" s="245" t="s">
        <v>2210</v>
      </c>
      <c r="EZ36" s="245" t="s">
        <v>2207</v>
      </c>
      <c r="FA36" s="246">
        <v>44012</v>
      </c>
      <c r="FB36" s="244" t="s">
        <v>5158</v>
      </c>
      <c r="FC36" s="247">
        <v>2</v>
      </c>
      <c r="FD36" s="247">
        <v>0</v>
      </c>
      <c r="FE36" s="247" t="s">
        <v>600</v>
      </c>
      <c r="FF36" s="247">
        <v>2</v>
      </c>
      <c r="FG36" s="247" t="s">
        <v>1211</v>
      </c>
      <c r="FH36" s="247">
        <v>0</v>
      </c>
      <c r="FI36" s="237">
        <v>43566</v>
      </c>
      <c r="FJ36" s="244" t="s">
        <v>5159</v>
      </c>
      <c r="FK36" s="245">
        <v>0</v>
      </c>
      <c r="FL36" s="245" t="s">
        <v>1212</v>
      </c>
      <c r="FM36" s="245" t="s">
        <v>600</v>
      </c>
      <c r="FN36" s="245">
        <v>2</v>
      </c>
      <c r="FO36" s="245">
        <v>0</v>
      </c>
      <c r="FP36" s="241">
        <v>0</v>
      </c>
      <c r="FQ36" s="242">
        <v>43566</v>
      </c>
      <c r="FR36" s="244" t="s">
        <v>5160</v>
      </c>
      <c r="FS36" s="247" t="e">
        <v>#N/A</v>
      </c>
      <c r="FT36" s="247" t="e">
        <v>#N/A</v>
      </c>
      <c r="FU36" s="247" t="e">
        <v>#N/A</v>
      </c>
      <c r="FV36" s="247" t="e">
        <v>#N/A</v>
      </c>
      <c r="FW36" s="247" t="e">
        <v>#N/A</v>
      </c>
      <c r="FX36" s="247" t="e">
        <v>#N/A</v>
      </c>
      <c r="FY36" s="237" t="e">
        <v>#N/A</v>
      </c>
      <c r="FZ36" s="245" t="s">
        <v>5161</v>
      </c>
      <c r="GA36" s="245">
        <v>0</v>
      </c>
      <c r="GB36" s="245" t="s">
        <v>1587</v>
      </c>
      <c r="GC36" s="245" t="s">
        <v>601</v>
      </c>
      <c r="GD36" s="245">
        <v>1</v>
      </c>
      <c r="GE36" s="245" t="s">
        <v>1623</v>
      </c>
      <c r="GF36" s="245" t="s">
        <v>1624</v>
      </c>
      <c r="GG36" s="246">
        <v>43769</v>
      </c>
      <c r="GH36" s="244" t="s">
        <v>5162</v>
      </c>
      <c r="GI36" s="247">
        <v>0</v>
      </c>
      <c r="GJ36" s="247" t="s">
        <v>1587</v>
      </c>
      <c r="GK36" s="247" t="s">
        <v>601</v>
      </c>
      <c r="GL36" s="247">
        <v>1</v>
      </c>
      <c r="GM36" s="247" t="s">
        <v>1623</v>
      </c>
      <c r="GN36" s="247" t="s">
        <v>1624</v>
      </c>
      <c r="GO36" s="237">
        <v>43769</v>
      </c>
      <c r="GP36" s="245" t="s">
        <v>5163</v>
      </c>
      <c r="GQ36" s="245">
        <v>0</v>
      </c>
      <c r="GR36" s="245" t="s">
        <v>1587</v>
      </c>
      <c r="GS36" s="245" t="s">
        <v>601</v>
      </c>
      <c r="GT36" s="245">
        <v>1</v>
      </c>
      <c r="GU36" s="245" t="s">
        <v>1623</v>
      </c>
      <c r="GV36" s="245" t="s">
        <v>1624</v>
      </c>
      <c r="GW36" s="246">
        <v>43769</v>
      </c>
      <c r="GX36" s="244" t="s">
        <v>5164</v>
      </c>
      <c r="GY36" s="247">
        <v>0</v>
      </c>
      <c r="GZ36" s="247" t="s">
        <v>1587</v>
      </c>
      <c r="HA36" s="247" t="s">
        <v>601</v>
      </c>
      <c r="HB36" s="247">
        <v>1</v>
      </c>
      <c r="HC36" s="247" t="s">
        <v>1623</v>
      </c>
      <c r="HD36" s="247" t="s">
        <v>1624</v>
      </c>
      <c r="HE36" s="237">
        <v>43769</v>
      </c>
      <c r="HF36" s="245" t="s">
        <v>5165</v>
      </c>
      <c r="HG36" s="245">
        <v>0</v>
      </c>
      <c r="HH36" s="245" t="s">
        <v>1587</v>
      </c>
      <c r="HI36" s="245" t="s">
        <v>601</v>
      </c>
      <c r="HJ36" s="245">
        <v>1</v>
      </c>
      <c r="HK36" s="245" t="s">
        <v>1623</v>
      </c>
      <c r="HL36" s="245" t="s">
        <v>1624</v>
      </c>
      <c r="HM36" s="246">
        <v>43769</v>
      </c>
      <c r="HN36" s="244" t="s">
        <v>5166</v>
      </c>
      <c r="HO36" s="247">
        <v>0</v>
      </c>
      <c r="HP36" s="247" t="s">
        <v>1587</v>
      </c>
      <c r="HQ36" s="247" t="s">
        <v>601</v>
      </c>
      <c r="HR36" s="247">
        <v>1</v>
      </c>
      <c r="HS36" s="247" t="s">
        <v>1623</v>
      </c>
      <c r="HT36" s="247" t="s">
        <v>1624</v>
      </c>
      <c r="HU36" s="237">
        <v>43769</v>
      </c>
      <c r="HV36" s="245" t="s">
        <v>5167</v>
      </c>
      <c r="HW36" s="245">
        <v>0</v>
      </c>
      <c r="HX36" s="245" t="s">
        <v>1587</v>
      </c>
      <c r="HY36" s="245" t="s">
        <v>601</v>
      </c>
      <c r="HZ36" s="245">
        <v>1</v>
      </c>
      <c r="IA36" s="245" t="s">
        <v>1623</v>
      </c>
      <c r="IB36" s="245" t="s">
        <v>1624</v>
      </c>
      <c r="IC36" s="246">
        <v>43769</v>
      </c>
      <c r="ID36" s="244" t="s">
        <v>5168</v>
      </c>
      <c r="IE36" s="247">
        <v>0</v>
      </c>
      <c r="IF36" s="247" t="s">
        <v>1587</v>
      </c>
      <c r="IG36" s="247" t="s">
        <v>601</v>
      </c>
      <c r="IH36" s="247">
        <v>1</v>
      </c>
      <c r="II36" s="247" t="s">
        <v>1623</v>
      </c>
      <c r="IJ36" s="247" t="s">
        <v>1624</v>
      </c>
      <c r="IK36" s="237">
        <v>43769</v>
      </c>
      <c r="IL36" s="245" t="s">
        <v>5169</v>
      </c>
      <c r="IM36" s="245">
        <v>0</v>
      </c>
      <c r="IN36" s="245" t="s">
        <v>1587</v>
      </c>
      <c r="IO36" s="245" t="s">
        <v>601</v>
      </c>
      <c r="IP36" s="245">
        <v>1</v>
      </c>
      <c r="IQ36" s="245" t="s">
        <v>1623</v>
      </c>
      <c r="IR36" s="245" t="s">
        <v>1624</v>
      </c>
      <c r="IS36" s="246">
        <v>43769</v>
      </c>
    </row>
    <row r="37" spans="1:253" s="11" customFormat="1" ht="13.2" x14ac:dyDescent="0.25">
      <c r="A37" s="11" t="s">
        <v>1161</v>
      </c>
      <c r="B37" s="11" t="s">
        <v>3258</v>
      </c>
      <c r="C37" s="11" t="s">
        <v>1816</v>
      </c>
      <c r="D37" s="11" t="s">
        <v>86</v>
      </c>
      <c r="E37" s="11" t="s">
        <v>85</v>
      </c>
      <c r="F37" s="11" t="s">
        <v>5170</v>
      </c>
      <c r="G37" s="235">
        <v>1011000</v>
      </c>
      <c r="H37" s="236" t="s">
        <v>1724</v>
      </c>
      <c r="I37" s="236" t="s">
        <v>600</v>
      </c>
      <c r="J37" s="236">
        <v>2</v>
      </c>
      <c r="K37" s="236" t="s">
        <v>1732</v>
      </c>
      <c r="L37" s="236" t="s">
        <v>1727</v>
      </c>
      <c r="M37" s="237">
        <v>43816</v>
      </c>
      <c r="N37" s="244" t="s">
        <v>5171</v>
      </c>
      <c r="O37" s="239">
        <v>23180</v>
      </c>
      <c r="P37" s="239" t="s">
        <v>3295</v>
      </c>
      <c r="Q37" s="239" t="s">
        <v>600</v>
      </c>
      <c r="R37" s="239">
        <v>2</v>
      </c>
      <c r="S37" s="239" t="s">
        <v>3641</v>
      </c>
      <c r="T37" s="239" t="s">
        <v>3640</v>
      </c>
      <c r="U37" s="240">
        <v>44111</v>
      </c>
      <c r="V37" s="244" t="s">
        <v>5172</v>
      </c>
      <c r="W37" s="236">
        <v>1011000</v>
      </c>
      <c r="X37" s="236" t="s">
        <v>1724</v>
      </c>
      <c r="Y37" s="236" t="s">
        <v>600</v>
      </c>
      <c r="Z37" s="236">
        <v>2</v>
      </c>
      <c r="AA37" s="236" t="s">
        <v>1902</v>
      </c>
      <c r="AB37" s="236" t="s">
        <v>1727</v>
      </c>
      <c r="AC37" s="237">
        <v>43816</v>
      </c>
      <c r="AD37" s="244" t="s">
        <v>5173</v>
      </c>
      <c r="AE37" s="241">
        <v>640000</v>
      </c>
      <c r="AF37" s="241" t="s">
        <v>2829</v>
      </c>
      <c r="AG37" s="241" t="s">
        <v>599</v>
      </c>
      <c r="AH37" s="241">
        <v>3</v>
      </c>
      <c r="AI37" s="241" t="s">
        <v>2831</v>
      </c>
      <c r="AJ37" s="241" t="s">
        <v>2830</v>
      </c>
      <c r="AK37" s="242">
        <v>44064</v>
      </c>
      <c r="AL37" s="244" t="s">
        <v>5174</v>
      </c>
      <c r="AM37" s="236" t="s">
        <v>393</v>
      </c>
      <c r="AN37" s="236" t="s">
        <v>1582</v>
      </c>
      <c r="AO37" s="236" t="s">
        <v>393</v>
      </c>
      <c r="AP37" s="236" t="s">
        <v>393</v>
      </c>
      <c r="AQ37" s="236" t="s">
        <v>1903</v>
      </c>
      <c r="AR37" s="236" t="s">
        <v>1728</v>
      </c>
      <c r="AS37" s="237">
        <v>43816</v>
      </c>
      <c r="AT37" s="245" t="s">
        <v>5175</v>
      </c>
      <c r="AU37" s="241" t="s">
        <v>393</v>
      </c>
      <c r="AV37" s="241" t="s">
        <v>393</v>
      </c>
      <c r="AW37" s="241" t="s">
        <v>393</v>
      </c>
      <c r="AX37" s="241" t="s">
        <v>393</v>
      </c>
      <c r="AY37" s="241" t="s">
        <v>1904</v>
      </c>
      <c r="AZ37" s="241" t="s">
        <v>393</v>
      </c>
      <c r="BA37" s="242">
        <v>43816</v>
      </c>
      <c r="BB37" s="244" t="s">
        <v>5176</v>
      </c>
      <c r="BC37" s="236" t="s">
        <v>393</v>
      </c>
      <c r="BD37" s="236" t="s">
        <v>1900</v>
      </c>
      <c r="BE37" s="236" t="s">
        <v>393</v>
      </c>
      <c r="BF37" s="236" t="s">
        <v>393</v>
      </c>
      <c r="BG37" s="236" t="s">
        <v>1356</v>
      </c>
      <c r="BH37" s="236" t="s">
        <v>923</v>
      </c>
      <c r="BI37" s="237">
        <v>43816</v>
      </c>
      <c r="BJ37" s="245" t="s">
        <v>5177</v>
      </c>
      <c r="BK37" s="245">
        <v>0</v>
      </c>
      <c r="BL37" s="245" t="s">
        <v>4095</v>
      </c>
      <c r="BM37" s="245" t="s">
        <v>600</v>
      </c>
      <c r="BN37" s="245">
        <v>2</v>
      </c>
      <c r="BO37" s="245" t="s">
        <v>4096</v>
      </c>
      <c r="BP37" s="241" t="s">
        <v>4094</v>
      </c>
      <c r="BQ37" s="246">
        <v>44140</v>
      </c>
      <c r="BR37" s="244" t="s">
        <v>5178</v>
      </c>
      <c r="BS37" s="247" t="s">
        <v>393</v>
      </c>
      <c r="BT37" s="247" t="s">
        <v>393</v>
      </c>
      <c r="BU37" s="247" t="s">
        <v>393</v>
      </c>
      <c r="BV37" s="247" t="s">
        <v>393</v>
      </c>
      <c r="BW37" s="247" t="s">
        <v>1904</v>
      </c>
      <c r="BX37" s="247" t="s">
        <v>393</v>
      </c>
      <c r="BY37" s="237">
        <v>43816</v>
      </c>
      <c r="BZ37" s="245" t="s">
        <v>5179</v>
      </c>
      <c r="CA37" s="245" t="s">
        <v>393</v>
      </c>
      <c r="CB37" s="245" t="s">
        <v>393</v>
      </c>
      <c r="CC37" s="245" t="s">
        <v>393</v>
      </c>
      <c r="CD37" s="245" t="s">
        <v>393</v>
      </c>
      <c r="CE37" s="245" t="s">
        <v>1904</v>
      </c>
      <c r="CF37" s="245" t="s">
        <v>393</v>
      </c>
      <c r="CG37" s="246">
        <v>43816</v>
      </c>
      <c r="CH37" s="244" t="s">
        <v>5180</v>
      </c>
      <c r="CI37" s="245" t="e">
        <v>#N/A</v>
      </c>
      <c r="CJ37" s="245" t="e">
        <v>#N/A</v>
      </c>
      <c r="CK37" s="245" t="e">
        <v>#N/A</v>
      </c>
      <c r="CL37" s="245" t="e">
        <v>#N/A</v>
      </c>
      <c r="CM37" s="245" t="e">
        <v>#N/A</v>
      </c>
      <c r="CN37" s="245" t="e">
        <v>#N/A</v>
      </c>
      <c r="CO37" s="248" t="e">
        <v>#N/A</v>
      </c>
      <c r="CP37" s="245" t="s">
        <v>5181</v>
      </c>
      <c r="CQ37" s="247" t="s">
        <v>393</v>
      </c>
      <c r="CR37" s="247" t="s">
        <v>393</v>
      </c>
      <c r="CS37" s="247" t="s">
        <v>393</v>
      </c>
      <c r="CT37" s="247" t="s">
        <v>393</v>
      </c>
      <c r="CU37" s="247" t="s">
        <v>1904</v>
      </c>
      <c r="CV37" s="247" t="s">
        <v>393</v>
      </c>
      <c r="CW37" s="237">
        <v>43816</v>
      </c>
      <c r="CX37" s="245" t="s">
        <v>5182</v>
      </c>
      <c r="CY37" s="241">
        <v>310000</v>
      </c>
      <c r="CZ37" s="241" t="s">
        <v>3395</v>
      </c>
      <c r="DA37" s="241" t="s">
        <v>600</v>
      </c>
      <c r="DB37" s="241">
        <v>2</v>
      </c>
      <c r="DC37" s="241" t="s">
        <v>3639</v>
      </c>
      <c r="DD37" s="241" t="s">
        <v>2830</v>
      </c>
      <c r="DE37" s="243">
        <v>44111</v>
      </c>
      <c r="DF37" s="244" t="s">
        <v>5183</v>
      </c>
      <c r="DG37" s="236">
        <v>372000</v>
      </c>
      <c r="DH37" s="247" t="s">
        <v>3393</v>
      </c>
      <c r="DI37" s="247" t="s">
        <v>599</v>
      </c>
      <c r="DJ37" s="247">
        <v>3</v>
      </c>
      <c r="DK37" s="247" t="s">
        <v>3677</v>
      </c>
      <c r="DL37" s="247" t="s">
        <v>3676</v>
      </c>
      <c r="DM37" s="237">
        <v>44120</v>
      </c>
      <c r="DN37" s="245" t="s">
        <v>5184</v>
      </c>
      <c r="DO37" s="241">
        <v>329000</v>
      </c>
      <c r="DP37" s="245" t="s">
        <v>3394</v>
      </c>
      <c r="DQ37" s="245" t="s">
        <v>600</v>
      </c>
      <c r="DR37" s="245">
        <v>2</v>
      </c>
      <c r="DS37" s="245" t="s">
        <v>3638</v>
      </c>
      <c r="DT37" s="245" t="s">
        <v>2830</v>
      </c>
      <c r="DU37" s="246">
        <v>44111</v>
      </c>
      <c r="DV37" s="244" t="s">
        <v>5185</v>
      </c>
      <c r="DW37" s="236">
        <v>203000</v>
      </c>
      <c r="DX37" s="247" t="s">
        <v>3395</v>
      </c>
      <c r="DY37" s="247" t="s">
        <v>600</v>
      </c>
      <c r="DZ37" s="247">
        <v>2</v>
      </c>
      <c r="EA37" s="247" t="s">
        <v>3639</v>
      </c>
      <c r="EB37" s="247" t="s">
        <v>2830</v>
      </c>
      <c r="EC37" s="237">
        <v>44111</v>
      </c>
      <c r="ED37" s="245" t="s">
        <v>5186</v>
      </c>
      <c r="EE37" s="241">
        <v>107000</v>
      </c>
      <c r="EF37" s="245" t="s">
        <v>3396</v>
      </c>
      <c r="EG37" s="245" t="s">
        <v>600</v>
      </c>
      <c r="EH37" s="245">
        <v>2</v>
      </c>
      <c r="EI37" s="245" t="s">
        <v>3639</v>
      </c>
      <c r="EJ37" s="245" t="s">
        <v>2830</v>
      </c>
      <c r="EK37" s="246">
        <v>44111</v>
      </c>
      <c r="EL37" s="244" t="s">
        <v>5187</v>
      </c>
      <c r="EM37" s="236">
        <v>0</v>
      </c>
      <c r="EN37" s="247" t="s">
        <v>3397</v>
      </c>
      <c r="EO37" s="247" t="s">
        <v>600</v>
      </c>
      <c r="EP37" s="247">
        <v>2</v>
      </c>
      <c r="EQ37" s="247" t="s">
        <v>3639</v>
      </c>
      <c r="ER37" s="247" t="s">
        <v>2830</v>
      </c>
      <c r="ES37" s="237">
        <v>44111</v>
      </c>
      <c r="ET37" s="245" t="s">
        <v>5188</v>
      </c>
      <c r="EU37" s="245">
        <v>10</v>
      </c>
      <c r="EV37" s="245" t="s">
        <v>1901</v>
      </c>
      <c r="EW37" s="245" t="s">
        <v>600</v>
      </c>
      <c r="EX37" s="245">
        <v>2</v>
      </c>
      <c r="EY37" s="245" t="s">
        <v>1905</v>
      </c>
      <c r="EZ37" s="245" t="s">
        <v>1891</v>
      </c>
      <c r="FA37" s="246">
        <v>43816</v>
      </c>
      <c r="FB37" s="244" t="s">
        <v>5189</v>
      </c>
      <c r="FC37" s="247">
        <v>5</v>
      </c>
      <c r="FD37" s="247" t="s">
        <v>393</v>
      </c>
      <c r="FE37" s="247" t="s">
        <v>600</v>
      </c>
      <c r="FF37" s="247">
        <v>2</v>
      </c>
      <c r="FG37" s="247" t="s">
        <v>1906</v>
      </c>
      <c r="FH37" s="247" t="s">
        <v>393</v>
      </c>
      <c r="FI37" s="237">
        <v>43816</v>
      </c>
      <c r="FJ37" s="244" t="s">
        <v>5190</v>
      </c>
      <c r="FK37" s="245" t="s">
        <v>393</v>
      </c>
      <c r="FL37" s="245" t="s">
        <v>393</v>
      </c>
      <c r="FM37" s="245" t="s">
        <v>393</v>
      </c>
      <c r="FN37" s="245" t="s">
        <v>393</v>
      </c>
      <c r="FO37" s="245" t="s">
        <v>1904</v>
      </c>
      <c r="FP37" s="241" t="s">
        <v>393</v>
      </c>
      <c r="FQ37" s="242">
        <v>43816</v>
      </c>
      <c r="FR37" s="244" t="s">
        <v>5191</v>
      </c>
      <c r="FS37" s="247" t="s">
        <v>393</v>
      </c>
      <c r="FT37" s="247" t="s">
        <v>393</v>
      </c>
      <c r="FU37" s="247" t="s">
        <v>393</v>
      </c>
      <c r="FV37" s="247" t="s">
        <v>393</v>
      </c>
      <c r="FW37" s="247" t="s">
        <v>1904</v>
      </c>
      <c r="FX37" s="247" t="s">
        <v>393</v>
      </c>
      <c r="FY37" s="237">
        <v>43816</v>
      </c>
      <c r="FZ37" s="245" t="s">
        <v>5192</v>
      </c>
      <c r="GA37" s="245">
        <v>1</v>
      </c>
      <c r="GB37" s="245" t="s">
        <v>1587</v>
      </c>
      <c r="GC37" s="245" t="s">
        <v>600</v>
      </c>
      <c r="GD37" s="245">
        <v>2</v>
      </c>
      <c r="GE37" s="245" t="s">
        <v>393</v>
      </c>
      <c r="GF37" s="245" t="s">
        <v>1723</v>
      </c>
      <c r="GG37" s="246">
        <v>43816</v>
      </c>
      <c r="GH37" s="244" t="s">
        <v>5193</v>
      </c>
      <c r="GI37" s="247">
        <v>0</v>
      </c>
      <c r="GJ37" s="247" t="s">
        <v>1587</v>
      </c>
      <c r="GK37" s="247" t="s">
        <v>600</v>
      </c>
      <c r="GL37" s="247">
        <v>2</v>
      </c>
      <c r="GM37" s="247" t="s">
        <v>393</v>
      </c>
      <c r="GN37" s="247" t="s">
        <v>1723</v>
      </c>
      <c r="GO37" s="237">
        <v>43816</v>
      </c>
      <c r="GP37" s="245" t="s">
        <v>5194</v>
      </c>
      <c r="GQ37" s="245">
        <v>0</v>
      </c>
      <c r="GR37" s="245" t="s">
        <v>1587</v>
      </c>
      <c r="GS37" s="245" t="s">
        <v>600</v>
      </c>
      <c r="GT37" s="245">
        <v>2</v>
      </c>
      <c r="GU37" s="245" t="s">
        <v>393</v>
      </c>
      <c r="GV37" s="245" t="s">
        <v>1723</v>
      </c>
      <c r="GW37" s="246">
        <v>43816</v>
      </c>
      <c r="GX37" s="244" t="s">
        <v>5195</v>
      </c>
      <c r="GY37" s="247">
        <v>0</v>
      </c>
      <c r="GZ37" s="247" t="s">
        <v>1587</v>
      </c>
      <c r="HA37" s="247" t="s">
        <v>600</v>
      </c>
      <c r="HB37" s="247">
        <v>2</v>
      </c>
      <c r="HC37" s="247" t="s">
        <v>393</v>
      </c>
      <c r="HD37" s="247" t="s">
        <v>1723</v>
      </c>
      <c r="HE37" s="237">
        <v>43816</v>
      </c>
      <c r="HF37" s="245" t="s">
        <v>5196</v>
      </c>
      <c r="HG37" s="245">
        <v>0</v>
      </c>
      <c r="HH37" s="245" t="s">
        <v>1587</v>
      </c>
      <c r="HI37" s="245" t="s">
        <v>600</v>
      </c>
      <c r="HJ37" s="245">
        <v>2</v>
      </c>
      <c r="HK37" s="245" t="s">
        <v>393</v>
      </c>
      <c r="HL37" s="245" t="s">
        <v>1723</v>
      </c>
      <c r="HM37" s="246">
        <v>43816</v>
      </c>
      <c r="HN37" s="244" t="s">
        <v>5197</v>
      </c>
      <c r="HO37" s="247">
        <v>0</v>
      </c>
      <c r="HP37" s="247" t="s">
        <v>1587</v>
      </c>
      <c r="HQ37" s="247" t="s">
        <v>600</v>
      </c>
      <c r="HR37" s="247">
        <v>2</v>
      </c>
      <c r="HS37" s="247" t="s">
        <v>393</v>
      </c>
      <c r="HT37" s="247" t="s">
        <v>1723</v>
      </c>
      <c r="HU37" s="237">
        <v>43816</v>
      </c>
      <c r="HV37" s="245" t="s">
        <v>5198</v>
      </c>
      <c r="HW37" s="245">
        <v>0</v>
      </c>
      <c r="HX37" s="245" t="s">
        <v>1587</v>
      </c>
      <c r="HY37" s="245" t="s">
        <v>600</v>
      </c>
      <c r="HZ37" s="245">
        <v>2</v>
      </c>
      <c r="IA37" s="245" t="s">
        <v>393</v>
      </c>
      <c r="IB37" s="245" t="s">
        <v>1723</v>
      </c>
      <c r="IC37" s="246">
        <v>43816</v>
      </c>
      <c r="ID37" s="244" t="s">
        <v>5199</v>
      </c>
      <c r="IE37" s="247">
        <v>0</v>
      </c>
      <c r="IF37" s="247" t="s">
        <v>1587</v>
      </c>
      <c r="IG37" s="247" t="s">
        <v>600</v>
      </c>
      <c r="IH37" s="247">
        <v>2</v>
      </c>
      <c r="II37" s="247" t="s">
        <v>393</v>
      </c>
      <c r="IJ37" s="247" t="s">
        <v>1723</v>
      </c>
      <c r="IK37" s="237">
        <v>43816</v>
      </c>
      <c r="IL37" s="245" t="s">
        <v>5200</v>
      </c>
      <c r="IM37" s="245">
        <v>3</v>
      </c>
      <c r="IN37" s="245" t="s">
        <v>1587</v>
      </c>
      <c r="IO37" s="245" t="s">
        <v>600</v>
      </c>
      <c r="IP37" s="245">
        <v>2</v>
      </c>
      <c r="IQ37" s="245" t="s">
        <v>393</v>
      </c>
      <c r="IR37" s="245" t="s">
        <v>1723</v>
      </c>
      <c r="IS37" s="246">
        <v>43816</v>
      </c>
    </row>
    <row r="38" spans="1:253" s="11" customFormat="1" ht="13.2" x14ac:dyDescent="0.25">
      <c r="A38" s="11" t="s">
        <v>1162</v>
      </c>
      <c r="B38" s="11" t="s">
        <v>1280</v>
      </c>
      <c r="C38" s="11" t="s">
        <v>806</v>
      </c>
      <c r="D38" s="11" t="s">
        <v>86</v>
      </c>
      <c r="E38" s="11" t="s">
        <v>85</v>
      </c>
      <c r="F38" s="11" t="s">
        <v>5201</v>
      </c>
      <c r="G38" s="235">
        <v>1011000</v>
      </c>
      <c r="H38" s="236" t="s">
        <v>1724</v>
      </c>
      <c r="I38" s="236" t="s">
        <v>600</v>
      </c>
      <c r="J38" s="236">
        <v>2</v>
      </c>
      <c r="K38" s="236" t="s">
        <v>1732</v>
      </c>
      <c r="L38" s="236" t="s">
        <v>1727</v>
      </c>
      <c r="M38" s="237">
        <v>43798</v>
      </c>
      <c r="N38" s="244" t="s">
        <v>5202</v>
      </c>
      <c r="O38" s="239">
        <v>23180</v>
      </c>
      <c r="P38" s="239" t="s">
        <v>3295</v>
      </c>
      <c r="Q38" s="239" t="s">
        <v>600</v>
      </c>
      <c r="R38" s="239">
        <v>2</v>
      </c>
      <c r="S38" s="239" t="s">
        <v>3641</v>
      </c>
      <c r="T38" s="239" t="s">
        <v>3640</v>
      </c>
      <c r="U38" s="240">
        <v>44111</v>
      </c>
      <c r="V38" s="244" t="s">
        <v>5203</v>
      </c>
      <c r="W38" s="236">
        <v>1011000</v>
      </c>
      <c r="X38" s="236" t="s">
        <v>1724</v>
      </c>
      <c r="Y38" s="236" t="s">
        <v>600</v>
      </c>
      <c r="Z38" s="236">
        <v>2</v>
      </c>
      <c r="AA38" s="236" t="s">
        <v>1732</v>
      </c>
      <c r="AB38" s="236" t="s">
        <v>1727</v>
      </c>
      <c r="AC38" s="237">
        <v>43798</v>
      </c>
      <c r="AD38" s="244" t="s">
        <v>5204</v>
      </c>
      <c r="AE38" s="241">
        <v>30000</v>
      </c>
      <c r="AF38" s="241" t="s">
        <v>1582</v>
      </c>
      <c r="AG38" s="241" t="s">
        <v>600</v>
      </c>
      <c r="AH38" s="241">
        <v>2</v>
      </c>
      <c r="AI38" s="241" t="s">
        <v>1734</v>
      </c>
      <c r="AJ38" s="241" t="s">
        <v>1728</v>
      </c>
      <c r="AK38" s="242">
        <v>43798</v>
      </c>
      <c r="AL38" s="244" t="s">
        <v>5205</v>
      </c>
      <c r="AM38" s="236">
        <v>30000</v>
      </c>
      <c r="AN38" s="236" t="s">
        <v>1582</v>
      </c>
      <c r="AO38" s="236" t="s">
        <v>600</v>
      </c>
      <c r="AP38" s="236">
        <v>2</v>
      </c>
      <c r="AQ38" s="236" t="s">
        <v>1734</v>
      </c>
      <c r="AR38" s="236" t="s">
        <v>1728</v>
      </c>
      <c r="AS38" s="237">
        <v>43798</v>
      </c>
      <c r="AT38" s="245" t="s">
        <v>5206</v>
      </c>
      <c r="AU38" s="241" t="s">
        <v>393</v>
      </c>
      <c r="AV38" s="241" t="s">
        <v>914</v>
      </c>
      <c r="AW38" s="241" t="s">
        <v>600</v>
      </c>
      <c r="AX38" s="241">
        <v>2</v>
      </c>
      <c r="AY38" s="241">
        <v>0</v>
      </c>
      <c r="AZ38" s="241">
        <v>0</v>
      </c>
      <c r="BA38" s="242">
        <v>43510</v>
      </c>
      <c r="BB38" s="244" t="s">
        <v>5207</v>
      </c>
      <c r="BC38" s="236" t="s">
        <v>393</v>
      </c>
      <c r="BD38" s="236" t="s">
        <v>393</v>
      </c>
      <c r="BE38" s="236" t="s">
        <v>393</v>
      </c>
      <c r="BF38" s="236" t="s">
        <v>393</v>
      </c>
      <c r="BG38" s="236" t="s">
        <v>393</v>
      </c>
      <c r="BH38" s="236" t="s">
        <v>393</v>
      </c>
      <c r="BI38" s="237">
        <v>43675</v>
      </c>
      <c r="BJ38" s="245" t="s">
        <v>5208</v>
      </c>
      <c r="BK38" s="245">
        <v>0</v>
      </c>
      <c r="BL38" s="245" t="s">
        <v>1484</v>
      </c>
      <c r="BM38" s="245" t="s">
        <v>600</v>
      </c>
      <c r="BN38" s="245">
        <v>2</v>
      </c>
      <c r="BO38" s="245" t="s">
        <v>1733</v>
      </c>
      <c r="BP38" s="241" t="s">
        <v>924</v>
      </c>
      <c r="BQ38" s="246">
        <v>43816</v>
      </c>
      <c r="BR38" s="244" t="s">
        <v>5209</v>
      </c>
      <c r="BS38" s="247">
        <v>0</v>
      </c>
      <c r="BT38" s="247">
        <v>0</v>
      </c>
      <c r="BU38" s="247" t="s">
        <v>600</v>
      </c>
      <c r="BV38" s="247">
        <v>2</v>
      </c>
      <c r="BW38" s="247">
        <v>0</v>
      </c>
      <c r="BX38" s="247">
        <v>0</v>
      </c>
      <c r="BY38" s="237">
        <v>43510</v>
      </c>
      <c r="BZ38" s="245" t="s">
        <v>5210</v>
      </c>
      <c r="CA38" s="245">
        <v>0</v>
      </c>
      <c r="CB38" s="245">
        <v>0</v>
      </c>
      <c r="CC38" s="245" t="s">
        <v>600</v>
      </c>
      <c r="CD38" s="245">
        <v>2</v>
      </c>
      <c r="CE38" s="245">
        <v>0</v>
      </c>
      <c r="CF38" s="245">
        <v>0</v>
      </c>
      <c r="CG38" s="246">
        <v>43510</v>
      </c>
      <c r="CH38" s="244" t="s">
        <v>5211</v>
      </c>
      <c r="CI38" s="245" t="e">
        <v>#N/A</v>
      </c>
      <c r="CJ38" s="245" t="e">
        <v>#N/A</v>
      </c>
      <c r="CK38" s="245" t="e">
        <v>#N/A</v>
      </c>
      <c r="CL38" s="245" t="e">
        <v>#N/A</v>
      </c>
      <c r="CM38" s="245" t="e">
        <v>#N/A</v>
      </c>
      <c r="CN38" s="245" t="e">
        <v>#N/A</v>
      </c>
      <c r="CO38" s="248" t="e">
        <v>#N/A</v>
      </c>
      <c r="CP38" s="245" t="s">
        <v>5212</v>
      </c>
      <c r="CQ38" s="247">
        <v>0</v>
      </c>
      <c r="CR38" s="247">
        <v>0</v>
      </c>
      <c r="CS38" s="247" t="s">
        <v>600</v>
      </c>
      <c r="CT38" s="247">
        <v>2</v>
      </c>
      <c r="CU38" s="247">
        <v>0</v>
      </c>
      <c r="CV38" s="247">
        <v>0</v>
      </c>
      <c r="CW38" s="237">
        <v>43510</v>
      </c>
      <c r="CX38" s="245" t="s">
        <v>5213</v>
      </c>
      <c r="CY38" s="241">
        <v>30000</v>
      </c>
      <c r="CZ38" s="241" t="s">
        <v>1582</v>
      </c>
      <c r="DA38" s="241" t="s">
        <v>600</v>
      </c>
      <c r="DB38" s="241">
        <v>2</v>
      </c>
      <c r="DC38" s="241" t="s">
        <v>1735</v>
      </c>
      <c r="DD38" s="241" t="s">
        <v>1728</v>
      </c>
      <c r="DE38" s="243">
        <v>43798</v>
      </c>
      <c r="DF38" s="244" t="s">
        <v>5214</v>
      </c>
      <c r="DG38" s="236">
        <v>981000</v>
      </c>
      <c r="DH38" s="247" t="s">
        <v>1478</v>
      </c>
      <c r="DI38" s="247" t="s">
        <v>599</v>
      </c>
      <c r="DJ38" s="247">
        <v>3</v>
      </c>
      <c r="DK38" s="247" t="s">
        <v>1477</v>
      </c>
      <c r="DL38" s="247" t="s">
        <v>1192</v>
      </c>
      <c r="DM38" s="237">
        <v>43675</v>
      </c>
      <c r="DN38" s="245" t="s">
        <v>5215</v>
      </c>
      <c r="DO38" s="241">
        <v>0</v>
      </c>
      <c r="DP38" s="245">
        <v>0</v>
      </c>
      <c r="DQ38" s="245" t="s">
        <v>600</v>
      </c>
      <c r="DR38" s="245">
        <v>2</v>
      </c>
      <c r="DS38" s="245">
        <v>0</v>
      </c>
      <c r="DT38" s="245">
        <v>0</v>
      </c>
      <c r="DU38" s="246">
        <v>43585</v>
      </c>
      <c r="DV38" s="244" t="s">
        <v>5216</v>
      </c>
      <c r="DW38" s="236">
        <v>30000</v>
      </c>
      <c r="DX38" s="247" t="s">
        <v>1582</v>
      </c>
      <c r="DY38" s="247" t="s">
        <v>600</v>
      </c>
      <c r="DZ38" s="247">
        <v>2</v>
      </c>
      <c r="EA38" s="247" t="s">
        <v>1735</v>
      </c>
      <c r="EB38" s="247" t="s">
        <v>1728</v>
      </c>
      <c r="EC38" s="237">
        <v>43798</v>
      </c>
      <c r="ED38" s="245" t="s">
        <v>5217</v>
      </c>
      <c r="EE38" s="241">
        <v>0</v>
      </c>
      <c r="EF38" s="245" t="s">
        <v>393</v>
      </c>
      <c r="EG38" s="245" t="s">
        <v>393</v>
      </c>
      <c r="EH38" s="245" t="s">
        <v>393</v>
      </c>
      <c r="EI38" s="245" t="s">
        <v>1476</v>
      </c>
      <c r="EJ38" s="245" t="s">
        <v>393</v>
      </c>
      <c r="EK38" s="246">
        <v>43675</v>
      </c>
      <c r="EL38" s="244" t="s">
        <v>5218</v>
      </c>
      <c r="EM38" s="236">
        <v>0</v>
      </c>
      <c r="EN38" s="247">
        <v>0</v>
      </c>
      <c r="EO38" s="247" t="s">
        <v>600</v>
      </c>
      <c r="EP38" s="247">
        <v>2</v>
      </c>
      <c r="EQ38" s="247">
        <v>0</v>
      </c>
      <c r="ER38" s="247">
        <v>0</v>
      </c>
      <c r="ES38" s="237">
        <v>43510</v>
      </c>
      <c r="ET38" s="245" t="s">
        <v>5219</v>
      </c>
      <c r="EU38" s="245">
        <v>10</v>
      </c>
      <c r="EV38" s="245" t="s">
        <v>1889</v>
      </c>
      <c r="EW38" s="245" t="s">
        <v>600</v>
      </c>
      <c r="EX38" s="245">
        <v>2</v>
      </c>
      <c r="EY38" s="245" t="s">
        <v>1895</v>
      </c>
      <c r="EZ38" s="245" t="s">
        <v>1891</v>
      </c>
      <c r="FA38" s="246">
        <v>43816</v>
      </c>
      <c r="FB38" s="244" t="s">
        <v>5220</v>
      </c>
      <c r="FC38" s="247">
        <v>2</v>
      </c>
      <c r="FD38" s="247">
        <v>0</v>
      </c>
      <c r="FE38" s="247" t="s">
        <v>600</v>
      </c>
      <c r="FF38" s="247">
        <v>2</v>
      </c>
      <c r="FG38" s="247" t="s">
        <v>932</v>
      </c>
      <c r="FH38" s="247">
        <v>0</v>
      </c>
      <c r="FI38" s="237">
        <v>43510</v>
      </c>
      <c r="FJ38" s="244" t="s">
        <v>5221</v>
      </c>
      <c r="FK38" s="245">
        <v>0</v>
      </c>
      <c r="FL38" s="245">
        <v>0</v>
      </c>
      <c r="FM38" s="245" t="s">
        <v>600</v>
      </c>
      <c r="FN38" s="245">
        <v>2</v>
      </c>
      <c r="FO38" s="245">
        <v>0</v>
      </c>
      <c r="FP38" s="241">
        <v>0</v>
      </c>
      <c r="FQ38" s="242">
        <v>43510</v>
      </c>
      <c r="FR38" s="244" t="s">
        <v>5222</v>
      </c>
      <c r="FS38" s="247">
        <v>0</v>
      </c>
      <c r="FT38" s="247">
        <v>0</v>
      </c>
      <c r="FU38" s="247" t="s">
        <v>600</v>
      </c>
      <c r="FV38" s="247">
        <v>2</v>
      </c>
      <c r="FW38" s="247">
        <v>0</v>
      </c>
      <c r="FX38" s="247">
        <v>0</v>
      </c>
      <c r="FY38" s="237">
        <v>43510</v>
      </c>
      <c r="FZ38" s="245" t="s">
        <v>5223</v>
      </c>
      <c r="GA38" s="245">
        <v>1</v>
      </c>
      <c r="GB38" s="245" t="s">
        <v>1587</v>
      </c>
      <c r="GC38" s="245" t="s">
        <v>600</v>
      </c>
      <c r="GD38" s="245">
        <v>2</v>
      </c>
      <c r="GE38" s="245" t="s">
        <v>1623</v>
      </c>
      <c r="GF38" s="245" t="s">
        <v>1624</v>
      </c>
      <c r="GG38" s="246">
        <v>43770</v>
      </c>
      <c r="GH38" s="244" t="s">
        <v>5224</v>
      </c>
      <c r="GI38" s="247">
        <v>0</v>
      </c>
      <c r="GJ38" s="247" t="s">
        <v>1587</v>
      </c>
      <c r="GK38" s="247" t="s">
        <v>600</v>
      </c>
      <c r="GL38" s="247">
        <v>2</v>
      </c>
      <c r="GM38" s="247" t="s">
        <v>1623</v>
      </c>
      <c r="GN38" s="247" t="s">
        <v>1624</v>
      </c>
      <c r="GO38" s="237">
        <v>43770</v>
      </c>
      <c r="GP38" s="245" t="s">
        <v>5225</v>
      </c>
      <c r="GQ38" s="245">
        <v>0</v>
      </c>
      <c r="GR38" s="245" t="s">
        <v>1587</v>
      </c>
      <c r="GS38" s="245" t="s">
        <v>600</v>
      </c>
      <c r="GT38" s="245">
        <v>2</v>
      </c>
      <c r="GU38" s="245" t="s">
        <v>1623</v>
      </c>
      <c r="GV38" s="245" t="s">
        <v>1624</v>
      </c>
      <c r="GW38" s="246">
        <v>43770</v>
      </c>
      <c r="GX38" s="244" t="s">
        <v>5226</v>
      </c>
      <c r="GY38" s="247">
        <v>0</v>
      </c>
      <c r="GZ38" s="247" t="s">
        <v>1587</v>
      </c>
      <c r="HA38" s="247" t="s">
        <v>600</v>
      </c>
      <c r="HB38" s="247">
        <v>2</v>
      </c>
      <c r="HC38" s="247" t="s">
        <v>1623</v>
      </c>
      <c r="HD38" s="247" t="s">
        <v>1624</v>
      </c>
      <c r="HE38" s="237">
        <v>43770</v>
      </c>
      <c r="HF38" s="245" t="s">
        <v>5227</v>
      </c>
      <c r="HG38" s="245">
        <v>0</v>
      </c>
      <c r="HH38" s="245" t="s">
        <v>1587</v>
      </c>
      <c r="HI38" s="245" t="s">
        <v>600</v>
      </c>
      <c r="HJ38" s="245">
        <v>2</v>
      </c>
      <c r="HK38" s="245" t="s">
        <v>1623</v>
      </c>
      <c r="HL38" s="245" t="s">
        <v>1624</v>
      </c>
      <c r="HM38" s="246">
        <v>43770</v>
      </c>
      <c r="HN38" s="244" t="s">
        <v>5228</v>
      </c>
      <c r="HO38" s="247">
        <v>0</v>
      </c>
      <c r="HP38" s="247" t="s">
        <v>1587</v>
      </c>
      <c r="HQ38" s="247" t="s">
        <v>600</v>
      </c>
      <c r="HR38" s="247">
        <v>2</v>
      </c>
      <c r="HS38" s="247" t="s">
        <v>1623</v>
      </c>
      <c r="HT38" s="247" t="s">
        <v>1624</v>
      </c>
      <c r="HU38" s="237">
        <v>43770</v>
      </c>
      <c r="HV38" s="245" t="s">
        <v>5229</v>
      </c>
      <c r="HW38" s="245">
        <v>0</v>
      </c>
      <c r="HX38" s="245" t="s">
        <v>1587</v>
      </c>
      <c r="HY38" s="245" t="s">
        <v>600</v>
      </c>
      <c r="HZ38" s="245">
        <v>2</v>
      </c>
      <c r="IA38" s="245" t="s">
        <v>1623</v>
      </c>
      <c r="IB38" s="245" t="s">
        <v>1624</v>
      </c>
      <c r="IC38" s="246">
        <v>43770</v>
      </c>
      <c r="ID38" s="244" t="s">
        <v>5230</v>
      </c>
      <c r="IE38" s="247">
        <v>0</v>
      </c>
      <c r="IF38" s="247" t="s">
        <v>1587</v>
      </c>
      <c r="IG38" s="247" t="s">
        <v>600</v>
      </c>
      <c r="IH38" s="247">
        <v>2</v>
      </c>
      <c r="II38" s="247" t="s">
        <v>1623</v>
      </c>
      <c r="IJ38" s="247" t="s">
        <v>1624</v>
      </c>
      <c r="IK38" s="237">
        <v>43770</v>
      </c>
      <c r="IL38" s="245" t="s">
        <v>5231</v>
      </c>
      <c r="IM38" s="245">
        <v>1</v>
      </c>
      <c r="IN38" s="245" t="s">
        <v>1587</v>
      </c>
      <c r="IO38" s="245" t="s">
        <v>600</v>
      </c>
      <c r="IP38" s="245">
        <v>2</v>
      </c>
      <c r="IQ38" s="245" t="s">
        <v>1623</v>
      </c>
      <c r="IR38" s="245" t="s">
        <v>1624</v>
      </c>
      <c r="IS38" s="246">
        <v>43770</v>
      </c>
    </row>
    <row r="39" spans="1:253" s="11" customFormat="1" ht="13.2" x14ac:dyDescent="0.25">
      <c r="A39" s="11" t="s">
        <v>802</v>
      </c>
      <c r="B39" s="11" t="s">
        <v>651</v>
      </c>
      <c r="C39" s="11" t="s">
        <v>2922</v>
      </c>
      <c r="D39" s="11" t="s">
        <v>86</v>
      </c>
      <c r="E39" s="11" t="s">
        <v>85</v>
      </c>
      <c r="F39" s="11" t="s">
        <v>5232</v>
      </c>
      <c r="G39" s="235">
        <v>1011000</v>
      </c>
      <c r="H39" s="236" t="s">
        <v>1724</v>
      </c>
      <c r="I39" s="236" t="s">
        <v>600</v>
      </c>
      <c r="J39" s="236">
        <v>2</v>
      </c>
      <c r="K39" s="236" t="s">
        <v>1732</v>
      </c>
      <c r="L39" s="236" t="s">
        <v>1727</v>
      </c>
      <c r="M39" s="237">
        <v>43798</v>
      </c>
      <c r="N39" s="244" t="s">
        <v>5233</v>
      </c>
      <c r="O39" s="239">
        <v>23180</v>
      </c>
      <c r="P39" s="239" t="s">
        <v>3295</v>
      </c>
      <c r="Q39" s="239" t="s">
        <v>600</v>
      </c>
      <c r="R39" s="239">
        <v>2</v>
      </c>
      <c r="S39" s="239" t="s">
        <v>3641</v>
      </c>
      <c r="T39" s="239" t="s">
        <v>3640</v>
      </c>
      <c r="U39" s="240">
        <v>44111</v>
      </c>
      <c r="V39" s="244" t="s">
        <v>5234</v>
      </c>
      <c r="W39" s="236">
        <v>1011000</v>
      </c>
      <c r="X39" s="236" t="s">
        <v>3387</v>
      </c>
      <c r="Y39" s="236" t="s">
        <v>599</v>
      </c>
      <c r="Z39" s="236">
        <v>3</v>
      </c>
      <c r="AA39" s="236" t="s">
        <v>3636</v>
      </c>
      <c r="AB39" s="236" t="s">
        <v>3635</v>
      </c>
      <c r="AC39" s="237">
        <v>44111</v>
      </c>
      <c r="AD39" s="244" t="s">
        <v>5235</v>
      </c>
      <c r="AE39" s="241">
        <v>639000</v>
      </c>
      <c r="AF39" s="241" t="s">
        <v>1724</v>
      </c>
      <c r="AG39" s="241" t="s">
        <v>600</v>
      </c>
      <c r="AH39" s="241">
        <v>2</v>
      </c>
      <c r="AI39" s="241" t="s">
        <v>1479</v>
      </c>
      <c r="AJ39" s="241" t="s">
        <v>1727</v>
      </c>
      <c r="AK39" s="242">
        <v>43798</v>
      </c>
      <c r="AL39" s="244" t="s">
        <v>5236</v>
      </c>
      <c r="AM39" s="236" t="s">
        <v>393</v>
      </c>
      <c r="AN39" s="236" t="s">
        <v>1149</v>
      </c>
      <c r="AO39" s="236" t="s">
        <v>600</v>
      </c>
      <c r="AP39" s="236">
        <v>2</v>
      </c>
      <c r="AQ39" s="236" t="s">
        <v>1193</v>
      </c>
      <c r="AR39" s="236">
        <v>0</v>
      </c>
      <c r="AS39" s="237">
        <v>43551</v>
      </c>
      <c r="AT39" s="245" t="s">
        <v>5237</v>
      </c>
      <c r="AU39" s="241">
        <v>0</v>
      </c>
      <c r="AV39" s="241">
        <v>0</v>
      </c>
      <c r="AW39" s="241" t="s">
        <v>600</v>
      </c>
      <c r="AX39" s="241">
        <v>2</v>
      </c>
      <c r="AY39" s="241">
        <v>0</v>
      </c>
      <c r="AZ39" s="241">
        <v>0</v>
      </c>
      <c r="BA39" s="242">
        <v>43510</v>
      </c>
      <c r="BB39" s="244" t="s">
        <v>5238</v>
      </c>
      <c r="BC39" s="236" t="s">
        <v>393</v>
      </c>
      <c r="BD39" s="236" t="s">
        <v>916</v>
      </c>
      <c r="BE39" s="236" t="s">
        <v>600</v>
      </c>
      <c r="BF39" s="236">
        <v>2</v>
      </c>
      <c r="BG39" s="236" t="s">
        <v>1356</v>
      </c>
      <c r="BH39" s="236" t="s">
        <v>923</v>
      </c>
      <c r="BI39" s="237">
        <v>43612</v>
      </c>
      <c r="BJ39" s="245" t="s">
        <v>5239</v>
      </c>
      <c r="BK39" s="245">
        <v>0</v>
      </c>
      <c r="BL39" s="245" t="s">
        <v>1484</v>
      </c>
      <c r="BM39" s="245" t="s">
        <v>599</v>
      </c>
      <c r="BN39" s="245">
        <v>3</v>
      </c>
      <c r="BO39" s="245" t="s">
        <v>1733</v>
      </c>
      <c r="BP39" s="241" t="s">
        <v>924</v>
      </c>
      <c r="BQ39" s="246">
        <v>43816</v>
      </c>
      <c r="BR39" s="244" t="s">
        <v>5240</v>
      </c>
      <c r="BS39" s="247">
        <v>0</v>
      </c>
      <c r="BT39" s="247">
        <v>0</v>
      </c>
      <c r="BU39" s="247" t="s">
        <v>600</v>
      </c>
      <c r="BV39" s="247">
        <v>2</v>
      </c>
      <c r="BW39" s="247">
        <v>0</v>
      </c>
      <c r="BX39" s="247">
        <v>0</v>
      </c>
      <c r="BY39" s="237">
        <v>43510</v>
      </c>
      <c r="BZ39" s="245" t="s">
        <v>5241</v>
      </c>
      <c r="CA39" s="245">
        <v>0</v>
      </c>
      <c r="CB39" s="245">
        <v>0</v>
      </c>
      <c r="CC39" s="245" t="s">
        <v>600</v>
      </c>
      <c r="CD39" s="245">
        <v>2</v>
      </c>
      <c r="CE39" s="245">
        <v>0</v>
      </c>
      <c r="CF39" s="245">
        <v>0</v>
      </c>
      <c r="CG39" s="246">
        <v>43510</v>
      </c>
      <c r="CH39" s="244" t="s">
        <v>5242</v>
      </c>
      <c r="CI39" s="245" t="e">
        <v>#N/A</v>
      </c>
      <c r="CJ39" s="245" t="e">
        <v>#N/A</v>
      </c>
      <c r="CK39" s="245" t="e">
        <v>#N/A</v>
      </c>
      <c r="CL39" s="245" t="e">
        <v>#N/A</v>
      </c>
      <c r="CM39" s="245" t="e">
        <v>#N/A</v>
      </c>
      <c r="CN39" s="245" t="e">
        <v>#N/A</v>
      </c>
      <c r="CO39" s="248" t="e">
        <v>#N/A</v>
      </c>
      <c r="CP39" s="245" t="s">
        <v>5243</v>
      </c>
      <c r="CQ39" s="247" t="s">
        <v>393</v>
      </c>
      <c r="CR39" s="247">
        <v>0</v>
      </c>
      <c r="CS39" s="247" t="s">
        <v>600</v>
      </c>
      <c r="CT39" s="247">
        <v>2</v>
      </c>
      <c r="CU39" s="247">
        <v>0</v>
      </c>
      <c r="CV39" s="247">
        <v>0</v>
      </c>
      <c r="CW39" s="237">
        <v>43510</v>
      </c>
      <c r="CX39" s="245" t="s">
        <v>5244</v>
      </c>
      <c r="CY39" s="241">
        <v>310000</v>
      </c>
      <c r="CZ39" s="241" t="s">
        <v>3390</v>
      </c>
      <c r="DA39" s="241" t="s">
        <v>599</v>
      </c>
      <c r="DB39" s="241">
        <v>3</v>
      </c>
      <c r="DC39" s="241" t="s">
        <v>3637</v>
      </c>
      <c r="DD39" s="241" t="s">
        <v>3635</v>
      </c>
      <c r="DE39" s="243">
        <v>44111</v>
      </c>
      <c r="DF39" s="244" t="s">
        <v>5245</v>
      </c>
      <c r="DG39" s="236">
        <v>372000</v>
      </c>
      <c r="DH39" s="247" t="s">
        <v>3388</v>
      </c>
      <c r="DI39" s="247" t="s">
        <v>599</v>
      </c>
      <c r="DJ39" s="247">
        <v>3</v>
      </c>
      <c r="DK39" s="247" t="s">
        <v>3637</v>
      </c>
      <c r="DL39" s="247" t="s">
        <v>3635</v>
      </c>
      <c r="DM39" s="237">
        <v>44111</v>
      </c>
      <c r="DN39" s="245" t="s">
        <v>5246</v>
      </c>
      <c r="DO39" s="241">
        <v>329000</v>
      </c>
      <c r="DP39" s="245" t="s">
        <v>3389</v>
      </c>
      <c r="DQ39" s="245" t="s">
        <v>599</v>
      </c>
      <c r="DR39" s="245">
        <v>3</v>
      </c>
      <c r="DS39" s="245" t="s">
        <v>3637</v>
      </c>
      <c r="DT39" s="245" t="s">
        <v>3635</v>
      </c>
      <c r="DU39" s="246">
        <v>44111</v>
      </c>
      <c r="DV39" s="244" t="s">
        <v>5247</v>
      </c>
      <c r="DW39" s="236">
        <v>203000</v>
      </c>
      <c r="DX39" s="247" t="s">
        <v>3390</v>
      </c>
      <c r="DY39" s="247" t="s">
        <v>599</v>
      </c>
      <c r="DZ39" s="247">
        <v>3</v>
      </c>
      <c r="EA39" s="247" t="s">
        <v>3637</v>
      </c>
      <c r="EB39" s="247" t="s">
        <v>3635</v>
      </c>
      <c r="EC39" s="237">
        <v>44111</v>
      </c>
      <c r="ED39" s="245" t="s">
        <v>5248</v>
      </c>
      <c r="EE39" s="241">
        <v>107000</v>
      </c>
      <c r="EF39" s="245" t="s">
        <v>3391</v>
      </c>
      <c r="EG39" s="245" t="s">
        <v>599</v>
      </c>
      <c r="EH39" s="245">
        <v>3</v>
      </c>
      <c r="EI39" s="245" t="s">
        <v>3637</v>
      </c>
      <c r="EJ39" s="245" t="s">
        <v>3635</v>
      </c>
      <c r="EK39" s="246">
        <v>44111</v>
      </c>
      <c r="EL39" s="244" t="s">
        <v>5249</v>
      </c>
      <c r="EM39" s="236">
        <v>0</v>
      </c>
      <c r="EN39" s="247" t="s">
        <v>3392</v>
      </c>
      <c r="EO39" s="247" t="s">
        <v>599</v>
      </c>
      <c r="EP39" s="247">
        <v>3</v>
      </c>
      <c r="EQ39" s="247" t="s">
        <v>3637</v>
      </c>
      <c r="ER39" s="247" t="s">
        <v>3635</v>
      </c>
      <c r="ES39" s="237">
        <v>44111</v>
      </c>
      <c r="ET39" s="245" t="s">
        <v>5250</v>
      </c>
      <c r="EU39" s="245">
        <v>10</v>
      </c>
      <c r="EV39" s="245" t="s">
        <v>1888</v>
      </c>
      <c r="EW39" s="245" t="s">
        <v>600</v>
      </c>
      <c r="EX39" s="245">
        <v>2</v>
      </c>
      <c r="EY39" s="245" t="s">
        <v>1895</v>
      </c>
      <c r="EZ39" s="245" t="s">
        <v>1891</v>
      </c>
      <c r="FA39" s="246">
        <v>43816</v>
      </c>
      <c r="FB39" s="244" t="s">
        <v>5251</v>
      </c>
      <c r="FC39" s="247">
        <v>5</v>
      </c>
      <c r="FD39" s="247">
        <v>0</v>
      </c>
      <c r="FE39" s="247" t="s">
        <v>600</v>
      </c>
      <c r="FF39" s="247">
        <v>2</v>
      </c>
      <c r="FG39" s="247" t="s">
        <v>1357</v>
      </c>
      <c r="FH39" s="247">
        <v>0</v>
      </c>
      <c r="FI39" s="237">
        <v>43612</v>
      </c>
      <c r="FJ39" s="244" t="s">
        <v>5252</v>
      </c>
      <c r="FK39" s="245">
        <v>0</v>
      </c>
      <c r="FL39" s="245">
        <v>0</v>
      </c>
      <c r="FM39" s="245" t="s">
        <v>600</v>
      </c>
      <c r="FN39" s="245">
        <v>2</v>
      </c>
      <c r="FO39" s="245">
        <v>0</v>
      </c>
      <c r="FP39" s="241">
        <v>0</v>
      </c>
      <c r="FQ39" s="242">
        <v>43510</v>
      </c>
      <c r="FR39" s="244" t="s">
        <v>5253</v>
      </c>
      <c r="FS39" s="247">
        <v>0</v>
      </c>
      <c r="FT39" s="247">
        <v>0</v>
      </c>
      <c r="FU39" s="247" t="s">
        <v>600</v>
      </c>
      <c r="FV39" s="247">
        <v>2</v>
      </c>
      <c r="FW39" s="247">
        <v>0</v>
      </c>
      <c r="FX39" s="247">
        <v>0</v>
      </c>
      <c r="FY39" s="237">
        <v>43510</v>
      </c>
      <c r="FZ39" s="245" t="s">
        <v>5254</v>
      </c>
      <c r="GA39" s="245">
        <v>1</v>
      </c>
      <c r="GB39" s="245" t="s">
        <v>1587</v>
      </c>
      <c r="GC39" s="245" t="s">
        <v>600</v>
      </c>
      <c r="GD39" s="245">
        <v>2</v>
      </c>
      <c r="GE39" s="245" t="s">
        <v>1623</v>
      </c>
      <c r="GF39" s="245" t="s">
        <v>1624</v>
      </c>
      <c r="GG39" s="246">
        <v>43770</v>
      </c>
      <c r="GH39" s="244" t="s">
        <v>5255</v>
      </c>
      <c r="GI39" s="247">
        <v>0</v>
      </c>
      <c r="GJ39" s="247" t="s">
        <v>1587</v>
      </c>
      <c r="GK39" s="247" t="s">
        <v>600</v>
      </c>
      <c r="GL39" s="247">
        <v>2</v>
      </c>
      <c r="GM39" s="247" t="s">
        <v>1623</v>
      </c>
      <c r="GN39" s="247" t="s">
        <v>1624</v>
      </c>
      <c r="GO39" s="237">
        <v>43770</v>
      </c>
      <c r="GP39" s="245" t="s">
        <v>5256</v>
      </c>
      <c r="GQ39" s="245">
        <v>0</v>
      </c>
      <c r="GR39" s="245" t="s">
        <v>1587</v>
      </c>
      <c r="GS39" s="245" t="s">
        <v>600</v>
      </c>
      <c r="GT39" s="245">
        <v>2</v>
      </c>
      <c r="GU39" s="245" t="s">
        <v>1623</v>
      </c>
      <c r="GV39" s="245" t="s">
        <v>1624</v>
      </c>
      <c r="GW39" s="246">
        <v>43770</v>
      </c>
      <c r="GX39" s="244" t="s">
        <v>5257</v>
      </c>
      <c r="GY39" s="247">
        <v>0</v>
      </c>
      <c r="GZ39" s="247" t="s">
        <v>1587</v>
      </c>
      <c r="HA39" s="247" t="s">
        <v>600</v>
      </c>
      <c r="HB39" s="247">
        <v>2</v>
      </c>
      <c r="HC39" s="247" t="s">
        <v>1623</v>
      </c>
      <c r="HD39" s="247" t="s">
        <v>1624</v>
      </c>
      <c r="HE39" s="237">
        <v>43770</v>
      </c>
      <c r="HF39" s="245" t="s">
        <v>5258</v>
      </c>
      <c r="HG39" s="245">
        <v>0</v>
      </c>
      <c r="HH39" s="245" t="s">
        <v>1587</v>
      </c>
      <c r="HI39" s="245" t="s">
        <v>600</v>
      </c>
      <c r="HJ39" s="245">
        <v>2</v>
      </c>
      <c r="HK39" s="245" t="s">
        <v>1623</v>
      </c>
      <c r="HL39" s="245" t="s">
        <v>1624</v>
      </c>
      <c r="HM39" s="246">
        <v>43770</v>
      </c>
      <c r="HN39" s="244" t="s">
        <v>5259</v>
      </c>
      <c r="HO39" s="247">
        <v>0</v>
      </c>
      <c r="HP39" s="247" t="s">
        <v>1587</v>
      </c>
      <c r="HQ39" s="247" t="s">
        <v>600</v>
      </c>
      <c r="HR39" s="247">
        <v>2</v>
      </c>
      <c r="HS39" s="247" t="s">
        <v>1623</v>
      </c>
      <c r="HT39" s="247" t="s">
        <v>1624</v>
      </c>
      <c r="HU39" s="237">
        <v>43770</v>
      </c>
      <c r="HV39" s="245" t="s">
        <v>5260</v>
      </c>
      <c r="HW39" s="245">
        <v>0</v>
      </c>
      <c r="HX39" s="245" t="s">
        <v>1587</v>
      </c>
      <c r="HY39" s="245" t="s">
        <v>600</v>
      </c>
      <c r="HZ39" s="245">
        <v>2</v>
      </c>
      <c r="IA39" s="245" t="s">
        <v>1623</v>
      </c>
      <c r="IB39" s="245" t="s">
        <v>1624</v>
      </c>
      <c r="IC39" s="246">
        <v>43770</v>
      </c>
      <c r="ID39" s="244" t="s">
        <v>5261</v>
      </c>
      <c r="IE39" s="247">
        <v>0</v>
      </c>
      <c r="IF39" s="247" t="s">
        <v>1587</v>
      </c>
      <c r="IG39" s="247" t="s">
        <v>600</v>
      </c>
      <c r="IH39" s="247">
        <v>2</v>
      </c>
      <c r="II39" s="247" t="s">
        <v>1623</v>
      </c>
      <c r="IJ39" s="247" t="s">
        <v>1624</v>
      </c>
      <c r="IK39" s="237">
        <v>43770</v>
      </c>
      <c r="IL39" s="245" t="s">
        <v>5262</v>
      </c>
      <c r="IM39" s="245">
        <v>1</v>
      </c>
      <c r="IN39" s="245" t="s">
        <v>1587</v>
      </c>
      <c r="IO39" s="245" t="s">
        <v>600</v>
      </c>
      <c r="IP39" s="245">
        <v>2</v>
      </c>
      <c r="IQ39" s="245" t="s">
        <v>1623</v>
      </c>
      <c r="IR39" s="245" t="s">
        <v>1624</v>
      </c>
      <c r="IS39" s="246">
        <v>43770</v>
      </c>
    </row>
    <row r="40" spans="1:253" s="11" customFormat="1" ht="13.2" x14ac:dyDescent="0.25">
      <c r="A40" s="11" t="s">
        <v>1081</v>
      </c>
      <c r="B40" s="11" t="s">
        <v>691</v>
      </c>
      <c r="C40" s="11" t="s">
        <v>580</v>
      </c>
      <c r="D40" s="11" t="s">
        <v>574</v>
      </c>
      <c r="E40" s="11" t="s">
        <v>166</v>
      </c>
      <c r="F40" s="11" t="s">
        <v>5263</v>
      </c>
      <c r="G40" s="235">
        <v>25550000</v>
      </c>
      <c r="H40" s="236" t="s">
        <v>1688</v>
      </c>
      <c r="I40" s="236" t="s">
        <v>600</v>
      </c>
      <c r="J40" s="236">
        <v>2</v>
      </c>
      <c r="K40" s="236" t="s">
        <v>1689</v>
      </c>
      <c r="L40" s="236" t="s">
        <v>714</v>
      </c>
      <c r="M40" s="237">
        <v>43789</v>
      </c>
      <c r="N40" s="244" t="s">
        <v>5264</v>
      </c>
      <c r="O40" s="239">
        <v>120410</v>
      </c>
      <c r="P40" s="239" t="s">
        <v>701</v>
      </c>
      <c r="Q40" s="239" t="s">
        <v>601</v>
      </c>
      <c r="R40" s="239">
        <v>1</v>
      </c>
      <c r="S40" s="239" t="s">
        <v>716</v>
      </c>
      <c r="T40" s="239" t="s">
        <v>715</v>
      </c>
      <c r="U40" s="240">
        <v>43493</v>
      </c>
      <c r="V40" s="244" t="s">
        <v>5265</v>
      </c>
      <c r="W40" s="236">
        <v>25550000</v>
      </c>
      <c r="X40" s="236" t="s">
        <v>1688</v>
      </c>
      <c r="Y40" s="236" t="s">
        <v>1581</v>
      </c>
      <c r="Z40" s="236">
        <v>3</v>
      </c>
      <c r="AA40" s="236" t="s">
        <v>1690</v>
      </c>
      <c r="AB40" s="236" t="s">
        <v>714</v>
      </c>
      <c r="AC40" s="237">
        <v>43789</v>
      </c>
      <c r="AD40" s="244" t="s">
        <v>5266</v>
      </c>
      <c r="AE40" s="241">
        <v>25550000</v>
      </c>
      <c r="AF40" s="241" t="s">
        <v>1688</v>
      </c>
      <c r="AG40" s="241" t="s">
        <v>1581</v>
      </c>
      <c r="AH40" s="241">
        <v>3</v>
      </c>
      <c r="AI40" s="241" t="s">
        <v>1690</v>
      </c>
      <c r="AJ40" s="241" t="s">
        <v>714</v>
      </c>
      <c r="AK40" s="242">
        <v>43789</v>
      </c>
      <c r="AL40" s="244" t="s">
        <v>5267</v>
      </c>
      <c r="AM40" s="236" t="s">
        <v>393</v>
      </c>
      <c r="AN40" s="236" t="s">
        <v>393</v>
      </c>
      <c r="AO40" s="236" t="s">
        <v>393</v>
      </c>
      <c r="AP40" s="236" t="s">
        <v>393</v>
      </c>
      <c r="AQ40" s="236" t="s">
        <v>1619</v>
      </c>
      <c r="AR40" s="236" t="s">
        <v>393</v>
      </c>
      <c r="AS40" s="237">
        <v>43770</v>
      </c>
      <c r="AT40" s="245" t="s">
        <v>5268</v>
      </c>
      <c r="AU40" s="241" t="s">
        <v>393</v>
      </c>
      <c r="AV40" s="241">
        <v>0</v>
      </c>
      <c r="AW40" s="241" t="s">
        <v>393</v>
      </c>
      <c r="AX40" s="241" t="s">
        <v>393</v>
      </c>
      <c r="AY40" s="241">
        <v>0</v>
      </c>
      <c r="AZ40" s="241">
        <v>0</v>
      </c>
      <c r="BA40" s="242">
        <v>43493</v>
      </c>
      <c r="BB40" s="244" t="s">
        <v>5269</v>
      </c>
      <c r="BC40" s="236" t="s">
        <v>393</v>
      </c>
      <c r="BD40" s="236">
        <v>0</v>
      </c>
      <c r="BE40" s="236" t="s">
        <v>393</v>
      </c>
      <c r="BF40" s="236" t="s">
        <v>393</v>
      </c>
      <c r="BG40" s="236">
        <v>0</v>
      </c>
      <c r="BH40" s="236">
        <v>0</v>
      </c>
      <c r="BI40" s="237">
        <v>43493</v>
      </c>
      <c r="BJ40" s="245" t="s">
        <v>5270</v>
      </c>
      <c r="BK40" s="245" t="s">
        <v>393</v>
      </c>
      <c r="BL40" s="245">
        <v>0</v>
      </c>
      <c r="BM40" s="245" t="s">
        <v>393</v>
      </c>
      <c r="BN40" s="245" t="s">
        <v>393</v>
      </c>
      <c r="BO40" s="245">
        <v>0</v>
      </c>
      <c r="BP40" s="241">
        <v>0</v>
      </c>
      <c r="BQ40" s="246">
        <v>43493</v>
      </c>
      <c r="BR40" s="244" t="s">
        <v>5271</v>
      </c>
      <c r="BS40" s="247" t="s">
        <v>393</v>
      </c>
      <c r="BT40" s="247">
        <v>0</v>
      </c>
      <c r="BU40" s="247" t="s">
        <v>393</v>
      </c>
      <c r="BV40" s="247" t="s">
        <v>393</v>
      </c>
      <c r="BW40" s="247">
        <v>0</v>
      </c>
      <c r="BX40" s="247">
        <v>0</v>
      </c>
      <c r="BY40" s="237">
        <v>43493</v>
      </c>
      <c r="BZ40" s="245" t="s">
        <v>5272</v>
      </c>
      <c r="CA40" s="245" t="s">
        <v>393</v>
      </c>
      <c r="CB40" s="245">
        <v>0</v>
      </c>
      <c r="CC40" s="245" t="s">
        <v>393</v>
      </c>
      <c r="CD40" s="245" t="s">
        <v>393</v>
      </c>
      <c r="CE40" s="245">
        <v>0</v>
      </c>
      <c r="CF40" s="245">
        <v>0</v>
      </c>
      <c r="CG40" s="246">
        <v>43493</v>
      </c>
      <c r="CH40" s="244" t="s">
        <v>5273</v>
      </c>
      <c r="CI40" s="245" t="e">
        <v>#N/A</v>
      </c>
      <c r="CJ40" s="245" t="e">
        <v>#N/A</v>
      </c>
      <c r="CK40" s="245" t="e">
        <v>#N/A</v>
      </c>
      <c r="CL40" s="245" t="e">
        <v>#N/A</v>
      </c>
      <c r="CM40" s="245" t="e">
        <v>#N/A</v>
      </c>
      <c r="CN40" s="245" t="e">
        <v>#N/A</v>
      </c>
      <c r="CO40" s="248" t="e">
        <v>#N/A</v>
      </c>
      <c r="CP40" s="245" t="s">
        <v>5274</v>
      </c>
      <c r="CQ40" s="247" t="s">
        <v>393</v>
      </c>
      <c r="CR40" s="247">
        <v>0</v>
      </c>
      <c r="CS40" s="247" t="s">
        <v>393</v>
      </c>
      <c r="CT40" s="247" t="s">
        <v>393</v>
      </c>
      <c r="CU40" s="247">
        <v>0</v>
      </c>
      <c r="CV40" s="247">
        <v>0</v>
      </c>
      <c r="CW40" s="237">
        <v>43493</v>
      </c>
      <c r="CX40" s="245" t="s">
        <v>5275</v>
      </c>
      <c r="CY40" s="241">
        <v>10429000</v>
      </c>
      <c r="CZ40" s="241" t="s">
        <v>2141</v>
      </c>
      <c r="DA40" s="241" t="s">
        <v>600</v>
      </c>
      <c r="DB40" s="241">
        <v>2</v>
      </c>
      <c r="DC40" s="241" t="s">
        <v>2145</v>
      </c>
      <c r="DD40" s="241" t="s">
        <v>2144</v>
      </c>
      <c r="DE40" s="243">
        <v>43920</v>
      </c>
      <c r="DF40" s="244" t="s">
        <v>5276</v>
      </c>
      <c r="DG40" s="236">
        <v>0</v>
      </c>
      <c r="DH40" s="247" t="s">
        <v>2141</v>
      </c>
      <c r="DI40" s="247" t="s">
        <v>600</v>
      </c>
      <c r="DJ40" s="247">
        <v>2</v>
      </c>
      <c r="DK40" s="247" t="s">
        <v>2145</v>
      </c>
      <c r="DL40" s="247" t="s">
        <v>2144</v>
      </c>
      <c r="DM40" s="237">
        <v>43920</v>
      </c>
      <c r="DN40" s="245" t="s">
        <v>5277</v>
      </c>
      <c r="DO40" s="241">
        <v>15120000</v>
      </c>
      <c r="DP40" s="245" t="s">
        <v>2141</v>
      </c>
      <c r="DQ40" s="245" t="s">
        <v>600</v>
      </c>
      <c r="DR40" s="245">
        <v>2</v>
      </c>
      <c r="DS40" s="245" t="s">
        <v>2145</v>
      </c>
      <c r="DT40" s="245" t="s">
        <v>2144</v>
      </c>
      <c r="DU40" s="246">
        <v>43920</v>
      </c>
      <c r="DV40" s="244" t="s">
        <v>5278</v>
      </c>
      <c r="DW40" s="236">
        <v>4970000</v>
      </c>
      <c r="DX40" s="247" t="s">
        <v>2141</v>
      </c>
      <c r="DY40" s="247" t="s">
        <v>600</v>
      </c>
      <c r="DZ40" s="247">
        <v>2</v>
      </c>
      <c r="EA40" s="247" t="s">
        <v>2145</v>
      </c>
      <c r="EB40" s="247" t="s">
        <v>2144</v>
      </c>
      <c r="EC40" s="237">
        <v>43920</v>
      </c>
      <c r="ED40" s="245" t="s">
        <v>5279</v>
      </c>
      <c r="EE40" s="241">
        <v>5459000</v>
      </c>
      <c r="EF40" s="245" t="s">
        <v>2141</v>
      </c>
      <c r="EG40" s="245" t="s">
        <v>600</v>
      </c>
      <c r="EH40" s="245">
        <v>2</v>
      </c>
      <c r="EI40" s="245" t="s">
        <v>2145</v>
      </c>
      <c r="EJ40" s="245" t="s">
        <v>2144</v>
      </c>
      <c r="EK40" s="246">
        <v>43920</v>
      </c>
      <c r="EL40" s="244" t="s">
        <v>5280</v>
      </c>
      <c r="EM40" s="236">
        <v>0</v>
      </c>
      <c r="EN40" s="247" t="s">
        <v>2141</v>
      </c>
      <c r="EO40" s="247" t="s">
        <v>600</v>
      </c>
      <c r="EP40" s="247">
        <v>2</v>
      </c>
      <c r="EQ40" s="247" t="s">
        <v>2145</v>
      </c>
      <c r="ER40" s="247" t="s">
        <v>2144</v>
      </c>
      <c r="ES40" s="237">
        <v>43920</v>
      </c>
      <c r="ET40" s="245" t="s">
        <v>5281</v>
      </c>
      <c r="EU40" s="245" t="s">
        <v>393</v>
      </c>
      <c r="EV40" s="245">
        <v>0</v>
      </c>
      <c r="EW40" s="245" t="s">
        <v>393</v>
      </c>
      <c r="EX40" s="245" t="s">
        <v>393</v>
      </c>
      <c r="EY40" s="245">
        <v>0</v>
      </c>
      <c r="EZ40" s="245">
        <v>0</v>
      </c>
      <c r="FA40" s="246">
        <v>43493</v>
      </c>
      <c r="FB40" s="244" t="s">
        <v>5282</v>
      </c>
      <c r="FC40" s="247">
        <v>1</v>
      </c>
      <c r="FD40" s="247">
        <v>0</v>
      </c>
      <c r="FE40" s="247" t="s">
        <v>600</v>
      </c>
      <c r="FF40" s="247">
        <v>2</v>
      </c>
      <c r="FG40" s="247" t="s">
        <v>717</v>
      </c>
      <c r="FH40" s="247">
        <v>0</v>
      </c>
      <c r="FI40" s="237">
        <v>43493</v>
      </c>
      <c r="FJ40" s="244" t="s">
        <v>5283</v>
      </c>
      <c r="FK40" s="245" t="s">
        <v>393</v>
      </c>
      <c r="FL40" s="245">
        <v>0</v>
      </c>
      <c r="FM40" s="245" t="s">
        <v>393</v>
      </c>
      <c r="FN40" s="245" t="s">
        <v>393</v>
      </c>
      <c r="FO40" s="245">
        <v>0</v>
      </c>
      <c r="FP40" s="241">
        <v>0</v>
      </c>
      <c r="FQ40" s="242">
        <v>43493</v>
      </c>
      <c r="FR40" s="244" t="s">
        <v>5284</v>
      </c>
      <c r="FS40" s="247" t="s">
        <v>393</v>
      </c>
      <c r="FT40" s="247">
        <v>0</v>
      </c>
      <c r="FU40" s="247" t="s">
        <v>393</v>
      </c>
      <c r="FV40" s="247" t="s">
        <v>393</v>
      </c>
      <c r="FW40" s="247">
        <v>0</v>
      </c>
      <c r="FX40" s="247">
        <v>0</v>
      </c>
      <c r="FY40" s="237">
        <v>43493</v>
      </c>
      <c r="FZ40" s="245" t="s">
        <v>5285</v>
      </c>
      <c r="GA40" s="245">
        <v>2</v>
      </c>
      <c r="GB40" s="245" t="s">
        <v>1587</v>
      </c>
      <c r="GC40" s="245" t="s">
        <v>601</v>
      </c>
      <c r="GD40" s="245">
        <v>1</v>
      </c>
      <c r="GE40" s="245" t="s">
        <v>1623</v>
      </c>
      <c r="GF40" s="245" t="s">
        <v>1624</v>
      </c>
      <c r="GG40" s="246">
        <v>43770</v>
      </c>
      <c r="GH40" s="244" t="s">
        <v>5286</v>
      </c>
      <c r="GI40" s="247">
        <v>2</v>
      </c>
      <c r="GJ40" s="247" t="s">
        <v>1587</v>
      </c>
      <c r="GK40" s="247" t="s">
        <v>601</v>
      </c>
      <c r="GL40" s="247">
        <v>1</v>
      </c>
      <c r="GM40" s="247" t="s">
        <v>1623</v>
      </c>
      <c r="GN40" s="247" t="s">
        <v>1624</v>
      </c>
      <c r="GO40" s="237">
        <v>43770</v>
      </c>
      <c r="GP40" s="245" t="s">
        <v>5287</v>
      </c>
      <c r="GQ40" s="245">
        <v>2</v>
      </c>
      <c r="GR40" s="245" t="s">
        <v>1587</v>
      </c>
      <c r="GS40" s="245" t="s">
        <v>601</v>
      </c>
      <c r="GT40" s="245">
        <v>1</v>
      </c>
      <c r="GU40" s="245" t="s">
        <v>1623</v>
      </c>
      <c r="GV40" s="245" t="s">
        <v>1624</v>
      </c>
      <c r="GW40" s="246">
        <v>43770</v>
      </c>
      <c r="GX40" s="244" t="s">
        <v>5288</v>
      </c>
      <c r="GY40" s="247">
        <v>0</v>
      </c>
      <c r="GZ40" s="247" t="s">
        <v>1587</v>
      </c>
      <c r="HA40" s="247" t="s">
        <v>601</v>
      </c>
      <c r="HB40" s="247">
        <v>1</v>
      </c>
      <c r="HC40" s="247" t="s">
        <v>1623</v>
      </c>
      <c r="HD40" s="247" t="s">
        <v>1624</v>
      </c>
      <c r="HE40" s="237">
        <v>43770</v>
      </c>
      <c r="HF40" s="245" t="s">
        <v>5289</v>
      </c>
      <c r="HG40" s="245">
        <v>3</v>
      </c>
      <c r="HH40" s="245" t="s">
        <v>1587</v>
      </c>
      <c r="HI40" s="245" t="s">
        <v>601</v>
      </c>
      <c r="HJ40" s="245">
        <v>1</v>
      </c>
      <c r="HK40" s="245" t="s">
        <v>1623</v>
      </c>
      <c r="HL40" s="245" t="s">
        <v>1624</v>
      </c>
      <c r="HM40" s="246">
        <v>43770</v>
      </c>
      <c r="HN40" s="244" t="s">
        <v>5290</v>
      </c>
      <c r="HO40" s="247">
        <v>2</v>
      </c>
      <c r="HP40" s="247" t="s">
        <v>1587</v>
      </c>
      <c r="HQ40" s="247" t="s">
        <v>601</v>
      </c>
      <c r="HR40" s="247">
        <v>1</v>
      </c>
      <c r="HS40" s="247" t="s">
        <v>1623</v>
      </c>
      <c r="HT40" s="247" t="s">
        <v>1624</v>
      </c>
      <c r="HU40" s="237">
        <v>43770</v>
      </c>
      <c r="HV40" s="245" t="s">
        <v>5291</v>
      </c>
      <c r="HW40" s="245">
        <v>0</v>
      </c>
      <c r="HX40" s="245" t="s">
        <v>1587</v>
      </c>
      <c r="HY40" s="245" t="s">
        <v>601</v>
      </c>
      <c r="HZ40" s="245">
        <v>1</v>
      </c>
      <c r="IA40" s="245" t="s">
        <v>1623</v>
      </c>
      <c r="IB40" s="245" t="s">
        <v>1624</v>
      </c>
      <c r="IC40" s="246">
        <v>43770</v>
      </c>
      <c r="ID40" s="244" t="s">
        <v>5292</v>
      </c>
      <c r="IE40" s="247">
        <v>1</v>
      </c>
      <c r="IF40" s="247" t="s">
        <v>1587</v>
      </c>
      <c r="IG40" s="247" t="s">
        <v>601</v>
      </c>
      <c r="IH40" s="247">
        <v>1</v>
      </c>
      <c r="II40" s="247" t="s">
        <v>1623</v>
      </c>
      <c r="IJ40" s="247" t="s">
        <v>1624</v>
      </c>
      <c r="IK40" s="237">
        <v>43770</v>
      </c>
      <c r="IL40" s="245" t="s">
        <v>5293</v>
      </c>
      <c r="IM40" s="245">
        <v>2</v>
      </c>
      <c r="IN40" s="245" t="s">
        <v>1587</v>
      </c>
      <c r="IO40" s="245" t="s">
        <v>601</v>
      </c>
      <c r="IP40" s="245">
        <v>1</v>
      </c>
      <c r="IQ40" s="245" t="s">
        <v>1623</v>
      </c>
      <c r="IR40" s="245" t="s">
        <v>1624</v>
      </c>
      <c r="IS40" s="246">
        <v>43770</v>
      </c>
    </row>
    <row r="41" spans="1:253" s="11" customFormat="1" ht="13.2" x14ac:dyDescent="0.25">
      <c r="A41" s="11" t="s">
        <v>1082</v>
      </c>
      <c r="B41" s="11" t="s">
        <v>691</v>
      </c>
      <c r="C41" s="11" t="s">
        <v>579</v>
      </c>
      <c r="D41" s="11" t="s">
        <v>575</v>
      </c>
      <c r="E41" s="11" t="s">
        <v>70</v>
      </c>
      <c r="F41" s="11" t="s">
        <v>5294</v>
      </c>
      <c r="G41" s="235">
        <v>99510000</v>
      </c>
      <c r="H41" s="236" t="s">
        <v>2795</v>
      </c>
      <c r="I41" s="236" t="s">
        <v>600</v>
      </c>
      <c r="J41" s="236">
        <v>2</v>
      </c>
      <c r="K41" s="236" t="s">
        <v>2797</v>
      </c>
      <c r="L41" s="236" t="s">
        <v>2796</v>
      </c>
      <c r="M41" s="237">
        <v>44042</v>
      </c>
      <c r="N41" s="244" t="s">
        <v>5295</v>
      </c>
      <c r="O41" s="239">
        <v>2267048</v>
      </c>
      <c r="P41" s="239" t="s">
        <v>3295</v>
      </c>
      <c r="Q41" s="239" t="s">
        <v>601</v>
      </c>
      <c r="R41" s="239">
        <v>1</v>
      </c>
      <c r="S41" s="239" t="s">
        <v>731</v>
      </c>
      <c r="T41" s="239" t="s">
        <v>3496</v>
      </c>
      <c r="U41" s="240">
        <v>44109</v>
      </c>
      <c r="V41" s="244" t="s">
        <v>5296</v>
      </c>
      <c r="W41" s="236">
        <v>99510000</v>
      </c>
      <c r="X41" s="236" t="s">
        <v>2795</v>
      </c>
      <c r="Y41" s="236" t="s">
        <v>600</v>
      </c>
      <c r="Z41" s="236">
        <v>2</v>
      </c>
      <c r="AA41" s="236" t="s">
        <v>2797</v>
      </c>
      <c r="AB41" s="236" t="s">
        <v>2796</v>
      </c>
      <c r="AC41" s="237">
        <v>44042</v>
      </c>
      <c r="AD41" s="244" t="s">
        <v>5297</v>
      </c>
      <c r="AE41" s="241">
        <v>43245000</v>
      </c>
      <c r="AF41" s="241" t="s">
        <v>1615</v>
      </c>
      <c r="AG41" s="241" t="s">
        <v>600</v>
      </c>
      <c r="AH41" s="241">
        <v>2</v>
      </c>
      <c r="AI41" s="241" t="s">
        <v>1622</v>
      </c>
      <c r="AJ41" s="241" t="s">
        <v>1618</v>
      </c>
      <c r="AK41" s="242">
        <v>43770</v>
      </c>
      <c r="AL41" s="244" t="s">
        <v>5298</v>
      </c>
      <c r="AM41" s="236">
        <v>8466000</v>
      </c>
      <c r="AN41" s="236" t="s">
        <v>4052</v>
      </c>
      <c r="AO41" s="236" t="s">
        <v>599</v>
      </c>
      <c r="AP41" s="236">
        <v>3</v>
      </c>
      <c r="AQ41" s="236" t="s">
        <v>2798</v>
      </c>
      <c r="AR41" s="236" t="s">
        <v>3456</v>
      </c>
      <c r="AS41" s="237">
        <v>44139</v>
      </c>
      <c r="AT41" s="245" t="s">
        <v>5299</v>
      </c>
      <c r="AU41" s="241" t="s">
        <v>393</v>
      </c>
      <c r="AV41" s="241" t="s">
        <v>393</v>
      </c>
      <c r="AW41" s="241" t="s">
        <v>393</v>
      </c>
      <c r="AX41" s="241" t="s">
        <v>393</v>
      </c>
      <c r="AY41" s="241" t="s">
        <v>393</v>
      </c>
      <c r="AZ41" s="241" t="s">
        <v>393</v>
      </c>
      <c r="BA41" s="242">
        <v>43770</v>
      </c>
      <c r="BB41" s="244" t="s">
        <v>5300</v>
      </c>
      <c r="BC41" s="236" t="s">
        <v>393</v>
      </c>
      <c r="BD41" s="236" t="s">
        <v>393</v>
      </c>
      <c r="BE41" s="236" t="s">
        <v>393</v>
      </c>
      <c r="BF41" s="236" t="s">
        <v>393</v>
      </c>
      <c r="BG41" s="236" t="s">
        <v>1886</v>
      </c>
      <c r="BH41" s="236" t="s">
        <v>393</v>
      </c>
      <c r="BI41" s="237">
        <v>43819</v>
      </c>
      <c r="BJ41" s="245" t="s">
        <v>5301</v>
      </c>
      <c r="BK41" s="245">
        <v>3614</v>
      </c>
      <c r="BL41" s="245" t="s">
        <v>3872</v>
      </c>
      <c r="BM41" s="245" t="s">
        <v>599</v>
      </c>
      <c r="BN41" s="245">
        <v>3</v>
      </c>
      <c r="BO41" s="245" t="s">
        <v>2799</v>
      </c>
      <c r="BP41" s="241" t="s">
        <v>812</v>
      </c>
      <c r="BQ41" s="246">
        <v>44139</v>
      </c>
      <c r="BR41" s="244" t="s">
        <v>5302</v>
      </c>
      <c r="BS41" s="247" t="s">
        <v>393</v>
      </c>
      <c r="BT41" s="247">
        <v>0</v>
      </c>
      <c r="BU41" s="247" t="s">
        <v>600</v>
      </c>
      <c r="BV41" s="247">
        <v>2</v>
      </c>
      <c r="BW41" s="247">
        <v>0</v>
      </c>
      <c r="BX41" s="247">
        <v>0</v>
      </c>
      <c r="BY41" s="237">
        <v>43509</v>
      </c>
      <c r="BZ41" s="245" t="s">
        <v>5303</v>
      </c>
      <c r="CA41" s="245" t="s">
        <v>393</v>
      </c>
      <c r="CB41" s="245">
        <v>0</v>
      </c>
      <c r="CC41" s="245" t="s">
        <v>393</v>
      </c>
      <c r="CD41" s="245" t="s">
        <v>393</v>
      </c>
      <c r="CE41" s="245">
        <v>0</v>
      </c>
      <c r="CF41" s="245">
        <v>0</v>
      </c>
      <c r="CG41" s="246">
        <v>43509</v>
      </c>
      <c r="CH41" s="244" t="s">
        <v>5304</v>
      </c>
      <c r="CI41" s="245" t="e">
        <v>#N/A</v>
      </c>
      <c r="CJ41" s="245" t="e">
        <v>#N/A</v>
      </c>
      <c r="CK41" s="245" t="e">
        <v>#N/A</v>
      </c>
      <c r="CL41" s="245" t="e">
        <v>#N/A</v>
      </c>
      <c r="CM41" s="245" t="e">
        <v>#N/A</v>
      </c>
      <c r="CN41" s="245" t="e">
        <v>#N/A</v>
      </c>
      <c r="CO41" s="248" t="e">
        <v>#N/A</v>
      </c>
      <c r="CP41" s="245" t="s">
        <v>5305</v>
      </c>
      <c r="CQ41" s="247">
        <v>1700</v>
      </c>
      <c r="CR41" s="247" t="s">
        <v>859</v>
      </c>
      <c r="CS41" s="247" t="s">
        <v>600</v>
      </c>
      <c r="CT41" s="247">
        <v>2</v>
      </c>
      <c r="CU41" s="247" t="s">
        <v>861</v>
      </c>
      <c r="CV41" s="247" t="s">
        <v>860</v>
      </c>
      <c r="CW41" s="237">
        <v>43509</v>
      </c>
      <c r="CX41" s="245" t="s">
        <v>5306</v>
      </c>
      <c r="CY41" s="241">
        <v>23435000</v>
      </c>
      <c r="CZ41" s="241" t="s">
        <v>3659</v>
      </c>
      <c r="DA41" s="241" t="s">
        <v>600</v>
      </c>
      <c r="DB41" s="241">
        <v>2</v>
      </c>
      <c r="DC41" s="241" t="s">
        <v>3672</v>
      </c>
      <c r="DD41" s="241" t="s">
        <v>3671</v>
      </c>
      <c r="DE41" s="243">
        <v>44119</v>
      </c>
      <c r="DF41" s="244" t="s">
        <v>5307</v>
      </c>
      <c r="DG41" s="236">
        <v>46241000</v>
      </c>
      <c r="DH41" s="247" t="s">
        <v>3659</v>
      </c>
      <c r="DI41" s="247" t="s">
        <v>600</v>
      </c>
      <c r="DJ41" s="247">
        <v>2</v>
      </c>
      <c r="DK41" s="247" t="s">
        <v>3672</v>
      </c>
      <c r="DL41" s="247" t="s">
        <v>3671</v>
      </c>
      <c r="DM41" s="237">
        <v>44119</v>
      </c>
      <c r="DN41" s="245" t="s">
        <v>5308</v>
      </c>
      <c r="DO41" s="241">
        <v>29826000</v>
      </c>
      <c r="DP41" s="245" t="s">
        <v>3659</v>
      </c>
      <c r="DQ41" s="245" t="s">
        <v>600</v>
      </c>
      <c r="DR41" s="245">
        <v>2</v>
      </c>
      <c r="DS41" s="245" t="s">
        <v>3672</v>
      </c>
      <c r="DT41" s="245" t="s">
        <v>3671</v>
      </c>
      <c r="DU41" s="246">
        <v>44119</v>
      </c>
      <c r="DV41" s="244" t="s">
        <v>5309</v>
      </c>
      <c r="DW41" s="236">
        <v>16511000</v>
      </c>
      <c r="DX41" s="247" t="s">
        <v>3659</v>
      </c>
      <c r="DY41" s="247" t="s">
        <v>600</v>
      </c>
      <c r="DZ41" s="247">
        <v>2</v>
      </c>
      <c r="EA41" s="247" t="s">
        <v>3672</v>
      </c>
      <c r="EB41" s="247" t="s">
        <v>3671</v>
      </c>
      <c r="EC41" s="237">
        <v>44119</v>
      </c>
      <c r="ED41" s="245" t="s">
        <v>5310</v>
      </c>
      <c r="EE41" s="241">
        <v>6391000</v>
      </c>
      <c r="EF41" s="245" t="s">
        <v>3659</v>
      </c>
      <c r="EG41" s="245" t="s">
        <v>600</v>
      </c>
      <c r="EH41" s="245">
        <v>2</v>
      </c>
      <c r="EI41" s="245" t="s">
        <v>3672</v>
      </c>
      <c r="EJ41" s="245" t="s">
        <v>3671</v>
      </c>
      <c r="EK41" s="246">
        <v>44119</v>
      </c>
      <c r="EL41" s="244" t="s">
        <v>5311</v>
      </c>
      <c r="EM41" s="236">
        <v>533000</v>
      </c>
      <c r="EN41" s="247" t="s">
        <v>3659</v>
      </c>
      <c r="EO41" s="247" t="s">
        <v>600</v>
      </c>
      <c r="EP41" s="247">
        <v>2</v>
      </c>
      <c r="EQ41" s="247" t="s">
        <v>3672</v>
      </c>
      <c r="ER41" s="247" t="s">
        <v>3671</v>
      </c>
      <c r="ES41" s="237">
        <v>44119</v>
      </c>
      <c r="ET41" s="245" t="s">
        <v>5312</v>
      </c>
      <c r="EU41" s="245">
        <v>3614</v>
      </c>
      <c r="EV41" s="245" t="s">
        <v>3872</v>
      </c>
      <c r="EW41" s="245" t="s">
        <v>599</v>
      </c>
      <c r="EX41" s="245">
        <v>3</v>
      </c>
      <c r="EY41" s="245" t="s">
        <v>2799</v>
      </c>
      <c r="EZ41" s="245" t="s">
        <v>812</v>
      </c>
      <c r="FA41" s="246">
        <v>44139</v>
      </c>
      <c r="FB41" s="244" t="s">
        <v>5313</v>
      </c>
      <c r="FC41" s="247">
        <v>5</v>
      </c>
      <c r="FD41" s="247">
        <v>0</v>
      </c>
      <c r="FE41" s="247" t="s">
        <v>600</v>
      </c>
      <c r="FF41" s="247">
        <v>2</v>
      </c>
      <c r="FG41" s="247">
        <v>0</v>
      </c>
      <c r="FH41" s="247">
        <v>0</v>
      </c>
      <c r="FI41" s="237">
        <v>43509</v>
      </c>
      <c r="FJ41" s="244" t="s">
        <v>5314</v>
      </c>
      <c r="FK41" s="245" t="s">
        <v>393</v>
      </c>
      <c r="FL41" s="245" t="s">
        <v>393</v>
      </c>
      <c r="FM41" s="245" t="s">
        <v>393</v>
      </c>
      <c r="FN41" s="245" t="s">
        <v>393</v>
      </c>
      <c r="FO41" s="245" t="s">
        <v>1521</v>
      </c>
      <c r="FP41" s="241" t="s">
        <v>393</v>
      </c>
      <c r="FQ41" s="242">
        <v>43698</v>
      </c>
      <c r="FR41" s="244" t="s">
        <v>5315</v>
      </c>
      <c r="FS41" s="247" t="s">
        <v>393</v>
      </c>
      <c r="FT41" s="247" t="s">
        <v>393</v>
      </c>
      <c r="FU41" s="247" t="s">
        <v>393</v>
      </c>
      <c r="FV41" s="247" t="s">
        <v>393</v>
      </c>
      <c r="FW41" s="247" t="s">
        <v>1521</v>
      </c>
      <c r="FX41" s="247" t="s">
        <v>393</v>
      </c>
      <c r="FY41" s="237">
        <v>43698</v>
      </c>
      <c r="FZ41" s="245" t="s">
        <v>5316</v>
      </c>
      <c r="GA41" s="245">
        <v>1</v>
      </c>
      <c r="GB41" s="245" t="s">
        <v>2096</v>
      </c>
      <c r="GC41" s="245" t="s">
        <v>600</v>
      </c>
      <c r="GD41" s="245">
        <v>2</v>
      </c>
      <c r="GE41" s="245" t="s">
        <v>3323</v>
      </c>
      <c r="GF41" s="245" t="s">
        <v>2097</v>
      </c>
      <c r="GG41" s="246">
        <v>44139</v>
      </c>
      <c r="GH41" s="244" t="s">
        <v>5317</v>
      </c>
      <c r="GI41" s="247">
        <v>3</v>
      </c>
      <c r="GJ41" s="247" t="s">
        <v>2096</v>
      </c>
      <c r="GK41" s="247" t="s">
        <v>600</v>
      </c>
      <c r="GL41" s="247">
        <v>2</v>
      </c>
      <c r="GM41" s="247" t="s">
        <v>3323</v>
      </c>
      <c r="GN41" s="247" t="s">
        <v>2097</v>
      </c>
      <c r="GO41" s="237">
        <v>44139</v>
      </c>
      <c r="GP41" s="245" t="s">
        <v>5318</v>
      </c>
      <c r="GQ41" s="245">
        <v>2</v>
      </c>
      <c r="GR41" s="245" t="s">
        <v>2096</v>
      </c>
      <c r="GS41" s="245" t="s">
        <v>600</v>
      </c>
      <c r="GT41" s="245">
        <v>2</v>
      </c>
      <c r="GU41" s="245" t="s">
        <v>3323</v>
      </c>
      <c r="GV41" s="245" t="s">
        <v>2097</v>
      </c>
      <c r="GW41" s="246">
        <v>44139</v>
      </c>
      <c r="GX41" s="244" t="s">
        <v>5319</v>
      </c>
      <c r="GY41" s="247">
        <v>3</v>
      </c>
      <c r="GZ41" s="247" t="s">
        <v>2096</v>
      </c>
      <c r="HA41" s="247" t="s">
        <v>600</v>
      </c>
      <c r="HB41" s="247">
        <v>2</v>
      </c>
      <c r="HC41" s="247" t="s">
        <v>3323</v>
      </c>
      <c r="HD41" s="247" t="s">
        <v>2097</v>
      </c>
      <c r="HE41" s="237">
        <v>44139</v>
      </c>
      <c r="HF41" s="245" t="s">
        <v>5320</v>
      </c>
      <c r="HG41" s="245">
        <v>1</v>
      </c>
      <c r="HH41" s="245" t="s">
        <v>2096</v>
      </c>
      <c r="HI41" s="245" t="s">
        <v>600</v>
      </c>
      <c r="HJ41" s="245">
        <v>2</v>
      </c>
      <c r="HK41" s="245" t="s">
        <v>3323</v>
      </c>
      <c r="HL41" s="245" t="s">
        <v>2097</v>
      </c>
      <c r="HM41" s="246">
        <v>44139</v>
      </c>
      <c r="HN41" s="244" t="s">
        <v>5321</v>
      </c>
      <c r="HO41" s="247">
        <v>2</v>
      </c>
      <c r="HP41" s="247" t="s">
        <v>2096</v>
      </c>
      <c r="HQ41" s="247" t="s">
        <v>600</v>
      </c>
      <c r="HR41" s="247">
        <v>2</v>
      </c>
      <c r="HS41" s="247" t="s">
        <v>3323</v>
      </c>
      <c r="HT41" s="247" t="s">
        <v>2097</v>
      </c>
      <c r="HU41" s="237">
        <v>44139</v>
      </c>
      <c r="HV41" s="245" t="s">
        <v>5322</v>
      </c>
      <c r="HW41" s="245">
        <v>3</v>
      </c>
      <c r="HX41" s="245" t="s">
        <v>2096</v>
      </c>
      <c r="HY41" s="245" t="s">
        <v>600</v>
      </c>
      <c r="HZ41" s="245">
        <v>2</v>
      </c>
      <c r="IA41" s="245" t="s">
        <v>3323</v>
      </c>
      <c r="IB41" s="245" t="s">
        <v>2097</v>
      </c>
      <c r="IC41" s="246">
        <v>44139</v>
      </c>
      <c r="ID41" s="244" t="s">
        <v>5323</v>
      </c>
      <c r="IE41" s="247">
        <v>1</v>
      </c>
      <c r="IF41" s="247" t="s">
        <v>2096</v>
      </c>
      <c r="IG41" s="247" t="s">
        <v>600</v>
      </c>
      <c r="IH41" s="247">
        <v>2</v>
      </c>
      <c r="II41" s="247" t="s">
        <v>3323</v>
      </c>
      <c r="IJ41" s="247" t="s">
        <v>2097</v>
      </c>
      <c r="IK41" s="237">
        <v>44139</v>
      </c>
      <c r="IL41" s="245" t="s">
        <v>5324</v>
      </c>
      <c r="IM41" s="245">
        <v>3</v>
      </c>
      <c r="IN41" s="245" t="s">
        <v>2096</v>
      </c>
      <c r="IO41" s="245" t="s">
        <v>600</v>
      </c>
      <c r="IP41" s="245">
        <v>2</v>
      </c>
      <c r="IQ41" s="245" t="s">
        <v>3323</v>
      </c>
      <c r="IR41" s="245" t="s">
        <v>2097</v>
      </c>
      <c r="IS41" s="246">
        <v>44139</v>
      </c>
    </row>
    <row r="42" spans="1:253" s="11" customFormat="1" ht="13.2" x14ac:dyDescent="0.25">
      <c r="A42" s="11" t="s">
        <v>2585</v>
      </c>
      <c r="B42" s="11" t="s">
        <v>1279</v>
      </c>
      <c r="C42" s="11" t="s">
        <v>2587</v>
      </c>
      <c r="D42" s="11" t="s">
        <v>575</v>
      </c>
      <c r="E42" s="11" t="s">
        <v>70</v>
      </c>
      <c r="F42" s="11" t="s">
        <v>5325</v>
      </c>
      <c r="G42" s="235">
        <v>99510000</v>
      </c>
      <c r="H42" s="236" t="s">
        <v>2795</v>
      </c>
      <c r="I42" s="236" t="s">
        <v>600</v>
      </c>
      <c r="J42" s="236">
        <v>2</v>
      </c>
      <c r="K42" s="236" t="s">
        <v>2797</v>
      </c>
      <c r="L42" s="236" t="s">
        <v>2796</v>
      </c>
      <c r="M42" s="237">
        <v>44042</v>
      </c>
      <c r="N42" s="244" t="s">
        <v>5326</v>
      </c>
      <c r="O42" s="239">
        <v>575949</v>
      </c>
      <c r="P42" s="239" t="s">
        <v>2619</v>
      </c>
      <c r="Q42" s="239" t="s">
        <v>600</v>
      </c>
      <c r="R42" s="239">
        <v>2</v>
      </c>
      <c r="S42" s="239" t="s">
        <v>2621</v>
      </c>
      <c r="T42" s="239" t="s">
        <v>2620</v>
      </c>
      <c r="U42" s="240">
        <v>44011</v>
      </c>
      <c r="V42" s="244" t="s">
        <v>5327</v>
      </c>
      <c r="W42" s="236">
        <v>23077000</v>
      </c>
      <c r="X42" s="236" t="s">
        <v>2622</v>
      </c>
      <c r="Y42" s="236" t="s">
        <v>600</v>
      </c>
      <c r="Z42" s="236">
        <v>2</v>
      </c>
      <c r="AA42" s="236" t="s">
        <v>2623</v>
      </c>
      <c r="AB42" s="236" t="s">
        <v>2624</v>
      </c>
      <c r="AC42" s="237">
        <v>44011</v>
      </c>
      <c r="AD42" s="244" t="s">
        <v>5328</v>
      </c>
      <c r="AE42" s="241">
        <v>587000</v>
      </c>
      <c r="AF42" s="241" t="s">
        <v>2625</v>
      </c>
      <c r="AG42" s="241" t="s">
        <v>599</v>
      </c>
      <c r="AH42" s="241">
        <v>3</v>
      </c>
      <c r="AI42" s="241" t="s">
        <v>2627</v>
      </c>
      <c r="AJ42" s="241" t="s">
        <v>2626</v>
      </c>
      <c r="AK42" s="242">
        <v>44011</v>
      </c>
      <c r="AL42" s="244" t="s">
        <v>5329</v>
      </c>
      <c r="AM42" s="236" t="s">
        <v>393</v>
      </c>
      <c r="AN42" s="236" t="s">
        <v>2628</v>
      </c>
      <c r="AO42" s="236" t="s">
        <v>393</v>
      </c>
      <c r="AP42" s="236" t="s">
        <v>393</v>
      </c>
      <c r="AQ42" s="236" t="s">
        <v>2630</v>
      </c>
      <c r="AR42" s="236" t="s">
        <v>2629</v>
      </c>
      <c r="AS42" s="237">
        <v>44011</v>
      </c>
      <c r="AT42" s="245" t="s">
        <v>5330</v>
      </c>
      <c r="AU42" s="241" t="s">
        <v>393</v>
      </c>
      <c r="AV42" s="241" t="s">
        <v>393</v>
      </c>
      <c r="AW42" s="241" t="s">
        <v>393</v>
      </c>
      <c r="AX42" s="241" t="s">
        <v>393</v>
      </c>
      <c r="AY42" s="241" t="s">
        <v>2631</v>
      </c>
      <c r="AZ42" s="241" t="s">
        <v>393</v>
      </c>
      <c r="BA42" s="242">
        <v>44011</v>
      </c>
      <c r="BB42" s="244" t="s">
        <v>5331</v>
      </c>
      <c r="BC42" s="236" t="s">
        <v>393</v>
      </c>
      <c r="BD42" s="236" t="s">
        <v>393</v>
      </c>
      <c r="BE42" s="236" t="s">
        <v>393</v>
      </c>
      <c r="BF42" s="236" t="s">
        <v>393</v>
      </c>
      <c r="BG42" s="236" t="s">
        <v>2634</v>
      </c>
      <c r="BH42" s="236" t="s">
        <v>393</v>
      </c>
      <c r="BI42" s="237">
        <v>44011</v>
      </c>
      <c r="BJ42" s="245" t="s">
        <v>5332</v>
      </c>
      <c r="BK42" s="245" t="s">
        <v>393</v>
      </c>
      <c r="BL42" s="245" t="s">
        <v>393</v>
      </c>
      <c r="BM42" s="245" t="s">
        <v>393</v>
      </c>
      <c r="BN42" s="245" t="s">
        <v>393</v>
      </c>
      <c r="BO42" s="245" t="s">
        <v>2632</v>
      </c>
      <c r="BP42" s="241" t="s">
        <v>2633</v>
      </c>
      <c r="BQ42" s="246">
        <v>44011</v>
      </c>
      <c r="BR42" s="244" t="s">
        <v>5333</v>
      </c>
      <c r="BS42" s="247" t="s">
        <v>393</v>
      </c>
      <c r="BT42" s="247" t="s">
        <v>393</v>
      </c>
      <c r="BU42" s="247" t="s">
        <v>393</v>
      </c>
      <c r="BV42" s="247" t="s">
        <v>393</v>
      </c>
      <c r="BW42" s="247" t="s">
        <v>2634</v>
      </c>
      <c r="BX42" s="247" t="s">
        <v>393</v>
      </c>
      <c r="BY42" s="237">
        <v>44011</v>
      </c>
      <c r="BZ42" s="245" t="s">
        <v>5334</v>
      </c>
      <c r="CA42" s="245" t="s">
        <v>393</v>
      </c>
      <c r="CB42" s="245" t="s">
        <v>393</v>
      </c>
      <c r="CC42" s="245" t="s">
        <v>393</v>
      </c>
      <c r="CD42" s="245" t="s">
        <v>393</v>
      </c>
      <c r="CE42" s="245" t="s">
        <v>2634</v>
      </c>
      <c r="CF42" s="245" t="s">
        <v>393</v>
      </c>
      <c r="CG42" s="246">
        <v>44011</v>
      </c>
      <c r="CH42" s="244" t="s">
        <v>5335</v>
      </c>
      <c r="CI42" s="245" t="e">
        <v>#N/A</v>
      </c>
      <c r="CJ42" s="245" t="e">
        <v>#N/A</v>
      </c>
      <c r="CK42" s="245" t="e">
        <v>#N/A</v>
      </c>
      <c r="CL42" s="245" t="e">
        <v>#N/A</v>
      </c>
      <c r="CM42" s="245" t="e">
        <v>#N/A</v>
      </c>
      <c r="CN42" s="245" t="e">
        <v>#N/A</v>
      </c>
      <c r="CO42" s="248" t="e">
        <v>#N/A</v>
      </c>
      <c r="CP42" s="245" t="s">
        <v>5336</v>
      </c>
      <c r="CQ42" s="247" t="s">
        <v>393</v>
      </c>
      <c r="CR42" s="247" t="s">
        <v>393</v>
      </c>
      <c r="CS42" s="247" t="s">
        <v>393</v>
      </c>
      <c r="CT42" s="247" t="s">
        <v>393</v>
      </c>
      <c r="CU42" s="247" t="s">
        <v>2634</v>
      </c>
      <c r="CV42" s="247" t="s">
        <v>393</v>
      </c>
      <c r="CW42" s="237">
        <v>44011</v>
      </c>
      <c r="CX42" s="245" t="s">
        <v>5337</v>
      </c>
      <c r="CY42" s="241">
        <v>587000</v>
      </c>
      <c r="CZ42" s="241" t="s">
        <v>2635</v>
      </c>
      <c r="DA42" s="241" t="s">
        <v>599</v>
      </c>
      <c r="DB42" s="241">
        <v>3</v>
      </c>
      <c r="DC42" s="241" t="s">
        <v>2637</v>
      </c>
      <c r="DD42" s="241" t="s">
        <v>2636</v>
      </c>
      <c r="DE42" s="243">
        <v>44011</v>
      </c>
      <c r="DF42" s="244" t="s">
        <v>5338</v>
      </c>
      <c r="DG42" s="236">
        <v>22490000</v>
      </c>
      <c r="DH42" s="247" t="s">
        <v>2635</v>
      </c>
      <c r="DI42" s="247" t="s">
        <v>599</v>
      </c>
      <c r="DJ42" s="247">
        <v>3</v>
      </c>
      <c r="DK42" s="247" t="s">
        <v>2637</v>
      </c>
      <c r="DL42" s="247" t="s">
        <v>2636</v>
      </c>
      <c r="DM42" s="237">
        <v>44011</v>
      </c>
      <c r="DN42" s="245" t="s">
        <v>5339</v>
      </c>
      <c r="DO42" s="241">
        <v>0</v>
      </c>
      <c r="DP42" s="245" t="s">
        <v>2635</v>
      </c>
      <c r="DQ42" s="245" t="s">
        <v>599</v>
      </c>
      <c r="DR42" s="245">
        <v>3</v>
      </c>
      <c r="DS42" s="245" t="s">
        <v>2637</v>
      </c>
      <c r="DT42" s="245" t="s">
        <v>2636</v>
      </c>
      <c r="DU42" s="246">
        <v>44011</v>
      </c>
      <c r="DV42" s="244" t="s">
        <v>5340</v>
      </c>
      <c r="DW42" s="236">
        <v>523000</v>
      </c>
      <c r="DX42" s="247" t="s">
        <v>2635</v>
      </c>
      <c r="DY42" s="247" t="s">
        <v>599</v>
      </c>
      <c r="DZ42" s="247">
        <v>3</v>
      </c>
      <c r="EA42" s="247" t="s">
        <v>2637</v>
      </c>
      <c r="EB42" s="247" t="s">
        <v>2636</v>
      </c>
      <c r="EC42" s="237">
        <v>44011</v>
      </c>
      <c r="ED42" s="245" t="s">
        <v>5341</v>
      </c>
      <c r="EE42" s="241">
        <v>64000</v>
      </c>
      <c r="EF42" s="245" t="s">
        <v>2635</v>
      </c>
      <c r="EG42" s="245" t="s">
        <v>599</v>
      </c>
      <c r="EH42" s="245">
        <v>3</v>
      </c>
      <c r="EI42" s="245" t="s">
        <v>2637</v>
      </c>
      <c r="EJ42" s="245" t="s">
        <v>2636</v>
      </c>
      <c r="EK42" s="246">
        <v>44011</v>
      </c>
      <c r="EL42" s="244" t="s">
        <v>5342</v>
      </c>
      <c r="EM42" s="236">
        <v>0</v>
      </c>
      <c r="EN42" s="247" t="s">
        <v>2635</v>
      </c>
      <c r="EO42" s="247" t="s">
        <v>599</v>
      </c>
      <c r="EP42" s="247">
        <v>3</v>
      </c>
      <c r="EQ42" s="247" t="s">
        <v>2637</v>
      </c>
      <c r="ER42" s="247" t="s">
        <v>2636</v>
      </c>
      <c r="ES42" s="237">
        <v>44011</v>
      </c>
      <c r="ET42" s="245" t="s">
        <v>5343</v>
      </c>
      <c r="EU42" s="245">
        <v>3191</v>
      </c>
      <c r="EV42" s="245" t="s">
        <v>3278</v>
      </c>
      <c r="EW42" s="245" t="s">
        <v>599</v>
      </c>
      <c r="EX42" s="245">
        <v>3</v>
      </c>
      <c r="EY42" s="245" t="s">
        <v>2799</v>
      </c>
      <c r="EZ42" s="245" t="s">
        <v>812</v>
      </c>
      <c r="FA42" s="246">
        <v>44106</v>
      </c>
      <c r="FB42" s="244" t="s">
        <v>5344</v>
      </c>
      <c r="FC42" s="247">
        <v>5</v>
      </c>
      <c r="FD42" s="247" t="s">
        <v>393</v>
      </c>
      <c r="FE42" s="247" t="s">
        <v>600</v>
      </c>
      <c r="FF42" s="247">
        <v>2</v>
      </c>
      <c r="FG42" s="247" t="s">
        <v>2638</v>
      </c>
      <c r="FH42" s="247" t="s">
        <v>393</v>
      </c>
      <c r="FI42" s="237">
        <v>44011</v>
      </c>
      <c r="FJ42" s="244" t="s">
        <v>5345</v>
      </c>
      <c r="FK42" s="245" t="s">
        <v>393</v>
      </c>
      <c r="FL42" s="245" t="s">
        <v>393</v>
      </c>
      <c r="FM42" s="245" t="s">
        <v>393</v>
      </c>
      <c r="FN42" s="245" t="s">
        <v>393</v>
      </c>
      <c r="FO42" s="245" t="s">
        <v>2655</v>
      </c>
      <c r="FP42" s="241" t="s">
        <v>393</v>
      </c>
      <c r="FQ42" s="242">
        <v>44014</v>
      </c>
      <c r="FR42" s="244" t="s">
        <v>5346</v>
      </c>
      <c r="FS42" s="247" t="s">
        <v>393</v>
      </c>
      <c r="FT42" s="247" t="s">
        <v>393</v>
      </c>
      <c r="FU42" s="247" t="s">
        <v>393</v>
      </c>
      <c r="FV42" s="247" t="s">
        <v>393</v>
      </c>
      <c r="FW42" s="247" t="s">
        <v>2655</v>
      </c>
      <c r="FX42" s="247" t="s">
        <v>393</v>
      </c>
      <c r="FY42" s="237">
        <v>44014</v>
      </c>
      <c r="FZ42" s="245" t="s">
        <v>5347</v>
      </c>
      <c r="GA42" s="245">
        <v>1</v>
      </c>
      <c r="GB42" s="245" t="s">
        <v>2096</v>
      </c>
      <c r="GC42" s="245" t="s">
        <v>600</v>
      </c>
      <c r="GD42" s="245">
        <v>2</v>
      </c>
      <c r="GE42" s="245" t="s">
        <v>3323</v>
      </c>
      <c r="GF42" s="245" t="s">
        <v>2097</v>
      </c>
      <c r="GG42" s="246">
        <v>44139</v>
      </c>
      <c r="GH42" s="244" t="s">
        <v>5348</v>
      </c>
      <c r="GI42" s="247">
        <v>2</v>
      </c>
      <c r="GJ42" s="247" t="s">
        <v>2096</v>
      </c>
      <c r="GK42" s="247" t="s">
        <v>600</v>
      </c>
      <c r="GL42" s="247">
        <v>2</v>
      </c>
      <c r="GM42" s="247" t="s">
        <v>3323</v>
      </c>
      <c r="GN42" s="247" t="s">
        <v>2097</v>
      </c>
      <c r="GO42" s="237">
        <v>44139</v>
      </c>
      <c r="GP42" s="245" t="s">
        <v>5349</v>
      </c>
      <c r="GQ42" s="245">
        <v>1</v>
      </c>
      <c r="GR42" s="245" t="s">
        <v>2096</v>
      </c>
      <c r="GS42" s="245" t="s">
        <v>600</v>
      </c>
      <c r="GT42" s="245">
        <v>2</v>
      </c>
      <c r="GU42" s="245" t="s">
        <v>3323</v>
      </c>
      <c r="GV42" s="245" t="s">
        <v>2097</v>
      </c>
      <c r="GW42" s="246">
        <v>44139</v>
      </c>
      <c r="GX42" s="244" t="s">
        <v>5350</v>
      </c>
      <c r="GY42" s="247">
        <v>3</v>
      </c>
      <c r="GZ42" s="247" t="s">
        <v>2096</v>
      </c>
      <c r="HA42" s="247" t="s">
        <v>600</v>
      </c>
      <c r="HB42" s="247">
        <v>2</v>
      </c>
      <c r="HC42" s="247" t="s">
        <v>3323</v>
      </c>
      <c r="HD42" s="247" t="s">
        <v>2097</v>
      </c>
      <c r="HE42" s="237">
        <v>44139</v>
      </c>
      <c r="HF42" s="245" t="s">
        <v>5351</v>
      </c>
      <c r="HG42" s="245">
        <v>0</v>
      </c>
      <c r="HH42" s="245" t="s">
        <v>2096</v>
      </c>
      <c r="HI42" s="245" t="s">
        <v>600</v>
      </c>
      <c r="HJ42" s="245">
        <v>2</v>
      </c>
      <c r="HK42" s="245" t="s">
        <v>3323</v>
      </c>
      <c r="HL42" s="245" t="s">
        <v>2097</v>
      </c>
      <c r="HM42" s="246">
        <v>44139</v>
      </c>
      <c r="HN42" s="244" t="s">
        <v>5352</v>
      </c>
      <c r="HO42" s="247">
        <v>2</v>
      </c>
      <c r="HP42" s="247" t="s">
        <v>2096</v>
      </c>
      <c r="HQ42" s="247" t="s">
        <v>600</v>
      </c>
      <c r="HR42" s="247">
        <v>2</v>
      </c>
      <c r="HS42" s="247" t="s">
        <v>3323</v>
      </c>
      <c r="HT42" s="247" t="s">
        <v>2097</v>
      </c>
      <c r="HU42" s="237">
        <v>44139</v>
      </c>
      <c r="HV42" s="245" t="s">
        <v>5353</v>
      </c>
      <c r="HW42" s="245">
        <v>2</v>
      </c>
      <c r="HX42" s="245" t="s">
        <v>2096</v>
      </c>
      <c r="HY42" s="245" t="s">
        <v>600</v>
      </c>
      <c r="HZ42" s="245">
        <v>2</v>
      </c>
      <c r="IA42" s="245" t="s">
        <v>3323</v>
      </c>
      <c r="IB42" s="245" t="s">
        <v>2097</v>
      </c>
      <c r="IC42" s="246">
        <v>44139</v>
      </c>
      <c r="ID42" s="244" t="s">
        <v>5354</v>
      </c>
      <c r="IE42" s="247">
        <v>1</v>
      </c>
      <c r="IF42" s="247" t="s">
        <v>2096</v>
      </c>
      <c r="IG42" s="247" t="s">
        <v>600</v>
      </c>
      <c r="IH42" s="247">
        <v>2</v>
      </c>
      <c r="II42" s="247" t="s">
        <v>3323</v>
      </c>
      <c r="IJ42" s="247" t="s">
        <v>2097</v>
      </c>
      <c r="IK42" s="237">
        <v>44139</v>
      </c>
      <c r="IL42" s="245" t="s">
        <v>5355</v>
      </c>
      <c r="IM42" s="245">
        <v>3</v>
      </c>
      <c r="IN42" s="245" t="s">
        <v>2096</v>
      </c>
      <c r="IO42" s="245" t="s">
        <v>600</v>
      </c>
      <c r="IP42" s="245">
        <v>2</v>
      </c>
      <c r="IQ42" s="245" t="s">
        <v>3323</v>
      </c>
      <c r="IR42" s="245" t="s">
        <v>2097</v>
      </c>
      <c r="IS42" s="246">
        <v>44139</v>
      </c>
    </row>
    <row r="43" spans="1:253" s="11" customFormat="1" ht="13.2" x14ac:dyDescent="0.25">
      <c r="A43" s="11" t="s">
        <v>769</v>
      </c>
      <c r="B43" s="11" t="s">
        <v>1280</v>
      </c>
      <c r="C43" s="11" t="s">
        <v>666</v>
      </c>
      <c r="D43" s="11" t="s">
        <v>93</v>
      </c>
      <c r="E43" s="11" t="s">
        <v>92</v>
      </c>
      <c r="F43" s="11" t="s">
        <v>5356</v>
      </c>
      <c r="G43" s="235">
        <v>14846000</v>
      </c>
      <c r="H43" s="236" t="s">
        <v>3346</v>
      </c>
      <c r="I43" s="236" t="s">
        <v>600</v>
      </c>
      <c r="J43" s="236">
        <v>2</v>
      </c>
      <c r="K43" s="236" t="s">
        <v>3569</v>
      </c>
      <c r="L43" s="236" t="s">
        <v>2236</v>
      </c>
      <c r="M43" s="237">
        <v>44110</v>
      </c>
      <c r="N43" s="244" t="s">
        <v>5357</v>
      </c>
      <c r="O43" s="239">
        <v>3449</v>
      </c>
      <c r="P43" s="239" t="s">
        <v>1990</v>
      </c>
      <c r="Q43" s="239" t="s">
        <v>600</v>
      </c>
      <c r="R43" s="239">
        <v>2</v>
      </c>
      <c r="S43" s="239" t="s">
        <v>2018</v>
      </c>
      <c r="T43" s="239" t="s">
        <v>2017</v>
      </c>
      <c r="U43" s="240">
        <v>43867</v>
      </c>
      <c r="V43" s="244" t="s">
        <v>5358</v>
      </c>
      <c r="W43" s="236">
        <v>4817000</v>
      </c>
      <c r="X43" s="236" t="s">
        <v>1991</v>
      </c>
      <c r="Y43" s="236" t="s">
        <v>600</v>
      </c>
      <c r="Z43" s="236">
        <v>2</v>
      </c>
      <c r="AA43" s="236" t="s">
        <v>2020</v>
      </c>
      <c r="AB43" s="236" t="s">
        <v>2019</v>
      </c>
      <c r="AC43" s="237">
        <v>43867</v>
      </c>
      <c r="AD43" s="244" t="s">
        <v>5359</v>
      </c>
      <c r="AE43" s="241">
        <v>572000</v>
      </c>
      <c r="AF43" s="241" t="s">
        <v>3347</v>
      </c>
      <c r="AG43" s="241" t="s">
        <v>600</v>
      </c>
      <c r="AH43" s="241">
        <v>2</v>
      </c>
      <c r="AI43" s="241" t="s">
        <v>3570</v>
      </c>
      <c r="AJ43" s="241" t="s">
        <v>1525</v>
      </c>
      <c r="AK43" s="242">
        <v>44110</v>
      </c>
      <c r="AL43" s="244" t="s">
        <v>5360</v>
      </c>
      <c r="AM43" s="236">
        <v>363000</v>
      </c>
      <c r="AN43" s="236" t="s">
        <v>3347</v>
      </c>
      <c r="AO43" s="236" t="s">
        <v>600</v>
      </c>
      <c r="AP43" s="236">
        <v>2</v>
      </c>
      <c r="AQ43" s="236" t="s">
        <v>3571</v>
      </c>
      <c r="AR43" s="236" t="s">
        <v>2237</v>
      </c>
      <c r="AS43" s="237">
        <v>44110</v>
      </c>
      <c r="AT43" s="245" t="s">
        <v>5361</v>
      </c>
      <c r="AU43" s="241" t="s">
        <v>393</v>
      </c>
      <c r="AV43" s="241" t="s">
        <v>393</v>
      </c>
      <c r="AW43" s="241" t="s">
        <v>393</v>
      </c>
      <c r="AX43" s="241" t="s">
        <v>393</v>
      </c>
      <c r="AY43" s="241" t="s">
        <v>1648</v>
      </c>
      <c r="AZ43" s="241" t="s">
        <v>393</v>
      </c>
      <c r="BA43" s="242">
        <v>43816</v>
      </c>
      <c r="BB43" s="244" t="s">
        <v>5362</v>
      </c>
      <c r="BC43" s="236" t="s">
        <v>393</v>
      </c>
      <c r="BD43" s="236" t="s">
        <v>393</v>
      </c>
      <c r="BE43" s="236" t="s">
        <v>393</v>
      </c>
      <c r="BF43" s="236" t="s">
        <v>393</v>
      </c>
      <c r="BG43" s="236" t="s">
        <v>393</v>
      </c>
      <c r="BH43" s="236" t="s">
        <v>393</v>
      </c>
      <c r="BI43" s="237">
        <v>43676</v>
      </c>
      <c r="BJ43" s="245" t="s">
        <v>5363</v>
      </c>
      <c r="BK43" s="245">
        <v>1</v>
      </c>
      <c r="BL43" s="245" t="s">
        <v>2640</v>
      </c>
      <c r="BM43" s="245" t="s">
        <v>600</v>
      </c>
      <c r="BN43" s="245">
        <v>2</v>
      </c>
      <c r="BO43" s="245" t="s">
        <v>1896</v>
      </c>
      <c r="BP43" s="241" t="s">
        <v>1033</v>
      </c>
      <c r="BQ43" s="246">
        <v>44012</v>
      </c>
      <c r="BR43" s="244" t="s">
        <v>5364</v>
      </c>
      <c r="BS43" s="247" t="s">
        <v>393</v>
      </c>
      <c r="BT43" s="247">
        <v>0</v>
      </c>
      <c r="BU43" s="247" t="s">
        <v>600</v>
      </c>
      <c r="BV43" s="247">
        <v>2</v>
      </c>
      <c r="BW43" s="247">
        <v>0</v>
      </c>
      <c r="BX43" s="247">
        <v>0</v>
      </c>
      <c r="BY43" s="237">
        <v>43510</v>
      </c>
      <c r="BZ43" s="245" t="s">
        <v>5365</v>
      </c>
      <c r="CA43" s="245" t="s">
        <v>393</v>
      </c>
      <c r="CB43" s="245">
        <v>0</v>
      </c>
      <c r="CC43" s="245" t="s">
        <v>393</v>
      </c>
      <c r="CD43" s="245" t="s">
        <v>393</v>
      </c>
      <c r="CE43" s="245">
        <v>0</v>
      </c>
      <c r="CF43" s="245">
        <v>0</v>
      </c>
      <c r="CG43" s="246">
        <v>43510</v>
      </c>
      <c r="CH43" s="244" t="s">
        <v>5366</v>
      </c>
      <c r="CI43" s="245" t="e">
        <v>#N/A</v>
      </c>
      <c r="CJ43" s="245" t="e">
        <v>#N/A</v>
      </c>
      <c r="CK43" s="245" t="e">
        <v>#N/A</v>
      </c>
      <c r="CL43" s="245" t="e">
        <v>#N/A</v>
      </c>
      <c r="CM43" s="245" t="e">
        <v>#N/A</v>
      </c>
      <c r="CN43" s="245" t="e">
        <v>#N/A</v>
      </c>
      <c r="CO43" s="248" t="e">
        <v>#N/A</v>
      </c>
      <c r="CP43" s="245" t="s">
        <v>5367</v>
      </c>
      <c r="CQ43" s="247" t="s">
        <v>393</v>
      </c>
      <c r="CR43" s="247" t="s">
        <v>393</v>
      </c>
      <c r="CS43" s="247" t="s">
        <v>393</v>
      </c>
      <c r="CT43" s="247" t="s">
        <v>393</v>
      </c>
      <c r="CU43" s="247" t="s">
        <v>393</v>
      </c>
      <c r="CV43" s="247" t="s">
        <v>393</v>
      </c>
      <c r="CW43" s="237">
        <v>43644</v>
      </c>
      <c r="CX43" s="245" t="s">
        <v>5368</v>
      </c>
      <c r="CY43" s="241">
        <v>572000</v>
      </c>
      <c r="CZ43" s="241" t="s">
        <v>3348</v>
      </c>
      <c r="DA43" s="241" t="s">
        <v>600</v>
      </c>
      <c r="DB43" s="241">
        <v>2</v>
      </c>
      <c r="DC43" s="241" t="s">
        <v>3572</v>
      </c>
      <c r="DD43" s="241" t="s">
        <v>1525</v>
      </c>
      <c r="DE43" s="243">
        <v>44110</v>
      </c>
      <c r="DF43" s="244" t="s">
        <v>5369</v>
      </c>
      <c r="DG43" s="236">
        <v>4245000</v>
      </c>
      <c r="DH43" s="247" t="s">
        <v>3348</v>
      </c>
      <c r="DI43" s="247" t="s">
        <v>600</v>
      </c>
      <c r="DJ43" s="247">
        <v>2</v>
      </c>
      <c r="DK43" s="247" t="s">
        <v>3572</v>
      </c>
      <c r="DL43" s="247" t="s">
        <v>1525</v>
      </c>
      <c r="DM43" s="237">
        <v>44110</v>
      </c>
      <c r="DN43" s="245" t="s">
        <v>5370</v>
      </c>
      <c r="DO43" s="241">
        <v>0</v>
      </c>
      <c r="DP43" s="245" t="s">
        <v>3348</v>
      </c>
      <c r="DQ43" s="245" t="s">
        <v>600</v>
      </c>
      <c r="DR43" s="245">
        <v>2</v>
      </c>
      <c r="DS43" s="245" t="s">
        <v>3572</v>
      </c>
      <c r="DT43" s="245" t="s">
        <v>1525</v>
      </c>
      <c r="DU43" s="246">
        <v>44110</v>
      </c>
      <c r="DV43" s="244" t="s">
        <v>5371</v>
      </c>
      <c r="DW43" s="236">
        <v>572000</v>
      </c>
      <c r="DX43" s="247" t="s">
        <v>3348</v>
      </c>
      <c r="DY43" s="247" t="s">
        <v>600</v>
      </c>
      <c r="DZ43" s="247">
        <v>2</v>
      </c>
      <c r="EA43" s="247" t="s">
        <v>3572</v>
      </c>
      <c r="EB43" s="247" t="s">
        <v>1525</v>
      </c>
      <c r="EC43" s="237">
        <v>44110</v>
      </c>
      <c r="ED43" s="245" t="s">
        <v>5372</v>
      </c>
      <c r="EE43" s="241">
        <v>0</v>
      </c>
      <c r="EF43" s="245" t="s">
        <v>3348</v>
      </c>
      <c r="EG43" s="245" t="s">
        <v>600</v>
      </c>
      <c r="EH43" s="245">
        <v>2</v>
      </c>
      <c r="EI43" s="245" t="s">
        <v>3572</v>
      </c>
      <c r="EJ43" s="245" t="s">
        <v>1525</v>
      </c>
      <c r="EK43" s="246">
        <v>44110</v>
      </c>
      <c r="EL43" s="244" t="s">
        <v>5373</v>
      </c>
      <c r="EM43" s="236">
        <v>0</v>
      </c>
      <c r="EN43" s="247" t="s">
        <v>3348</v>
      </c>
      <c r="EO43" s="247" t="s">
        <v>600</v>
      </c>
      <c r="EP43" s="247">
        <v>2</v>
      </c>
      <c r="EQ43" s="247" t="s">
        <v>3572</v>
      </c>
      <c r="ER43" s="247" t="s">
        <v>1525</v>
      </c>
      <c r="ES43" s="237">
        <v>44110</v>
      </c>
      <c r="ET43" s="245" t="s">
        <v>5374</v>
      </c>
      <c r="EU43" s="245">
        <v>1</v>
      </c>
      <c r="EV43" s="245" t="s">
        <v>2640</v>
      </c>
      <c r="EW43" s="245" t="s">
        <v>600</v>
      </c>
      <c r="EX43" s="245">
        <v>2</v>
      </c>
      <c r="EY43" s="245" t="s">
        <v>1896</v>
      </c>
      <c r="EZ43" s="245" t="s">
        <v>1033</v>
      </c>
      <c r="FA43" s="246">
        <v>44012</v>
      </c>
      <c r="FB43" s="244" t="s">
        <v>5375</v>
      </c>
      <c r="FC43" s="247">
        <v>2</v>
      </c>
      <c r="FD43" s="247">
        <v>0</v>
      </c>
      <c r="FE43" s="247" t="s">
        <v>600</v>
      </c>
      <c r="FF43" s="247">
        <v>2</v>
      </c>
      <c r="FG43" s="247" t="s">
        <v>911</v>
      </c>
      <c r="FH43" s="247">
        <v>0</v>
      </c>
      <c r="FI43" s="237">
        <v>43510</v>
      </c>
      <c r="FJ43" s="244" t="s">
        <v>5376</v>
      </c>
      <c r="FK43" s="245" t="s">
        <v>393</v>
      </c>
      <c r="FL43" s="245">
        <v>0</v>
      </c>
      <c r="FM43" s="245" t="s">
        <v>600</v>
      </c>
      <c r="FN43" s="245">
        <v>2</v>
      </c>
      <c r="FO43" s="245">
        <v>0</v>
      </c>
      <c r="FP43" s="241">
        <v>0</v>
      </c>
      <c r="FQ43" s="242">
        <v>43510</v>
      </c>
      <c r="FR43" s="244" t="s">
        <v>5377</v>
      </c>
      <c r="FS43" s="247">
        <v>0</v>
      </c>
      <c r="FT43" s="247" t="s">
        <v>1149</v>
      </c>
      <c r="FU43" s="247" t="s">
        <v>600</v>
      </c>
      <c r="FV43" s="247">
        <v>2</v>
      </c>
      <c r="FW43" s="247" t="s">
        <v>1149</v>
      </c>
      <c r="FX43" s="247" t="s">
        <v>1149</v>
      </c>
      <c r="FY43" s="237">
        <v>43644</v>
      </c>
      <c r="FZ43" s="245" t="s">
        <v>5378</v>
      </c>
      <c r="GA43" s="245">
        <v>0</v>
      </c>
      <c r="GB43" s="245" t="s">
        <v>1587</v>
      </c>
      <c r="GC43" s="245" t="s">
        <v>600</v>
      </c>
      <c r="GD43" s="245">
        <v>2</v>
      </c>
      <c r="GE43" s="245" t="s">
        <v>1623</v>
      </c>
      <c r="GF43" s="245" t="s">
        <v>1624</v>
      </c>
      <c r="GG43" s="246">
        <v>43770</v>
      </c>
      <c r="GH43" s="244" t="s">
        <v>5379</v>
      </c>
      <c r="GI43" s="247">
        <v>0</v>
      </c>
      <c r="GJ43" s="247" t="s">
        <v>1587</v>
      </c>
      <c r="GK43" s="247" t="s">
        <v>600</v>
      </c>
      <c r="GL43" s="247">
        <v>2</v>
      </c>
      <c r="GM43" s="247" t="s">
        <v>1623</v>
      </c>
      <c r="GN43" s="247" t="s">
        <v>1624</v>
      </c>
      <c r="GO43" s="237">
        <v>43770</v>
      </c>
      <c r="GP43" s="245" t="s">
        <v>5380</v>
      </c>
      <c r="GQ43" s="245">
        <v>0</v>
      </c>
      <c r="GR43" s="245" t="s">
        <v>1587</v>
      </c>
      <c r="GS43" s="245" t="s">
        <v>600</v>
      </c>
      <c r="GT43" s="245">
        <v>2</v>
      </c>
      <c r="GU43" s="245" t="s">
        <v>1623</v>
      </c>
      <c r="GV43" s="245" t="s">
        <v>1624</v>
      </c>
      <c r="GW43" s="246">
        <v>43770</v>
      </c>
      <c r="GX43" s="244" t="s">
        <v>5381</v>
      </c>
      <c r="GY43" s="247">
        <v>0</v>
      </c>
      <c r="GZ43" s="247" t="s">
        <v>1587</v>
      </c>
      <c r="HA43" s="247" t="s">
        <v>600</v>
      </c>
      <c r="HB43" s="247">
        <v>2</v>
      </c>
      <c r="HC43" s="247" t="s">
        <v>1623</v>
      </c>
      <c r="HD43" s="247" t="s">
        <v>1624</v>
      </c>
      <c r="HE43" s="237">
        <v>43770</v>
      </c>
      <c r="HF43" s="245" t="s">
        <v>5382</v>
      </c>
      <c r="HG43" s="245">
        <v>0</v>
      </c>
      <c r="HH43" s="245" t="s">
        <v>1587</v>
      </c>
      <c r="HI43" s="245" t="s">
        <v>600</v>
      </c>
      <c r="HJ43" s="245">
        <v>2</v>
      </c>
      <c r="HK43" s="245" t="s">
        <v>1623</v>
      </c>
      <c r="HL43" s="245" t="s">
        <v>1624</v>
      </c>
      <c r="HM43" s="246">
        <v>43770</v>
      </c>
      <c r="HN43" s="244" t="s">
        <v>5383</v>
      </c>
      <c r="HO43" s="247">
        <v>1</v>
      </c>
      <c r="HP43" s="247" t="s">
        <v>1587</v>
      </c>
      <c r="HQ43" s="247" t="s">
        <v>600</v>
      </c>
      <c r="HR43" s="247">
        <v>2</v>
      </c>
      <c r="HS43" s="247" t="s">
        <v>1623</v>
      </c>
      <c r="HT43" s="247" t="s">
        <v>1624</v>
      </c>
      <c r="HU43" s="237">
        <v>43770</v>
      </c>
      <c r="HV43" s="245" t="s">
        <v>5384</v>
      </c>
      <c r="HW43" s="245">
        <v>0</v>
      </c>
      <c r="HX43" s="245" t="s">
        <v>1587</v>
      </c>
      <c r="HY43" s="245" t="s">
        <v>600</v>
      </c>
      <c r="HZ43" s="245">
        <v>2</v>
      </c>
      <c r="IA43" s="245" t="s">
        <v>1623</v>
      </c>
      <c r="IB43" s="245" t="s">
        <v>1624</v>
      </c>
      <c r="IC43" s="246">
        <v>43770</v>
      </c>
      <c r="ID43" s="244" t="s">
        <v>5385</v>
      </c>
      <c r="IE43" s="247">
        <v>0</v>
      </c>
      <c r="IF43" s="247" t="s">
        <v>1587</v>
      </c>
      <c r="IG43" s="247" t="s">
        <v>600</v>
      </c>
      <c r="IH43" s="247">
        <v>2</v>
      </c>
      <c r="II43" s="247" t="s">
        <v>1623</v>
      </c>
      <c r="IJ43" s="247" t="s">
        <v>1624</v>
      </c>
      <c r="IK43" s="237">
        <v>43770</v>
      </c>
      <c r="IL43" s="245" t="s">
        <v>5386</v>
      </c>
      <c r="IM43" s="245">
        <v>1</v>
      </c>
      <c r="IN43" s="245" t="s">
        <v>1587</v>
      </c>
      <c r="IO43" s="245" t="s">
        <v>600</v>
      </c>
      <c r="IP43" s="245">
        <v>2</v>
      </c>
      <c r="IQ43" s="245" t="s">
        <v>1623</v>
      </c>
      <c r="IR43" s="245" t="s">
        <v>1624</v>
      </c>
      <c r="IS43" s="246">
        <v>43770</v>
      </c>
    </row>
    <row r="44" spans="1:253" s="11" customFormat="1" ht="13.2" x14ac:dyDescent="0.25">
      <c r="A44" s="11" t="s">
        <v>799</v>
      </c>
      <c r="B44" s="11" t="s">
        <v>1280</v>
      </c>
      <c r="C44" s="11" t="s">
        <v>689</v>
      </c>
      <c r="D44" s="11" t="s">
        <v>95</v>
      </c>
      <c r="E44" s="11" t="s">
        <v>94</v>
      </c>
      <c r="F44" s="11" t="s">
        <v>5387</v>
      </c>
      <c r="G44" s="235">
        <v>100388000</v>
      </c>
      <c r="H44" s="236" t="s">
        <v>2323</v>
      </c>
      <c r="I44" s="236" t="s">
        <v>600</v>
      </c>
      <c r="J44" s="236">
        <v>2</v>
      </c>
      <c r="K44" s="236" t="s">
        <v>2347</v>
      </c>
      <c r="L44" s="236" t="s">
        <v>2334</v>
      </c>
      <c r="M44" s="237">
        <v>43950</v>
      </c>
      <c r="N44" s="244" t="s">
        <v>5388</v>
      </c>
      <c r="O44" s="239">
        <v>91071.77</v>
      </c>
      <c r="P44" s="239" t="s">
        <v>2324</v>
      </c>
      <c r="Q44" s="239" t="s">
        <v>600</v>
      </c>
      <c r="R44" s="239">
        <v>2</v>
      </c>
      <c r="S44" s="239" t="s">
        <v>2348</v>
      </c>
      <c r="T44" s="239" t="s">
        <v>2335</v>
      </c>
      <c r="U44" s="240">
        <v>43950</v>
      </c>
      <c r="V44" s="244" t="s">
        <v>5389</v>
      </c>
      <c r="W44" s="236">
        <v>21884000</v>
      </c>
      <c r="X44" s="236" t="s">
        <v>2540</v>
      </c>
      <c r="Y44" s="236" t="s">
        <v>599</v>
      </c>
      <c r="Z44" s="236">
        <v>3</v>
      </c>
      <c r="AA44" s="236" t="s">
        <v>2548</v>
      </c>
      <c r="AB44" s="236" t="s">
        <v>2544</v>
      </c>
      <c r="AC44" s="237">
        <v>43992</v>
      </c>
      <c r="AD44" s="244" t="s">
        <v>5390</v>
      </c>
      <c r="AE44" s="241">
        <v>3157000</v>
      </c>
      <c r="AF44" s="241" t="s">
        <v>2541</v>
      </c>
      <c r="AG44" s="241" t="s">
        <v>600</v>
      </c>
      <c r="AH44" s="241">
        <v>2</v>
      </c>
      <c r="AI44" s="241" t="s">
        <v>2549</v>
      </c>
      <c r="AJ44" s="241" t="s">
        <v>2545</v>
      </c>
      <c r="AK44" s="242">
        <v>43992</v>
      </c>
      <c r="AL44" s="244" t="s">
        <v>5391</v>
      </c>
      <c r="AM44" s="236">
        <v>503000</v>
      </c>
      <c r="AN44" s="236" t="s">
        <v>2542</v>
      </c>
      <c r="AO44" s="236" t="s">
        <v>600</v>
      </c>
      <c r="AP44" s="236">
        <v>2</v>
      </c>
      <c r="AQ44" s="236" t="s">
        <v>2550</v>
      </c>
      <c r="AR44" s="236" t="s">
        <v>2546</v>
      </c>
      <c r="AS44" s="237">
        <v>43992</v>
      </c>
      <c r="AT44" s="245" t="s">
        <v>5392</v>
      </c>
      <c r="AU44" s="241" t="s">
        <v>393</v>
      </c>
      <c r="AV44" s="241" t="s">
        <v>393</v>
      </c>
      <c r="AW44" s="241" t="s">
        <v>393</v>
      </c>
      <c r="AX44" s="241" t="s">
        <v>393</v>
      </c>
      <c r="AY44" s="241" t="s">
        <v>813</v>
      </c>
      <c r="AZ44" s="241" t="s">
        <v>393</v>
      </c>
      <c r="BA44" s="242">
        <v>43950</v>
      </c>
      <c r="BB44" s="244" t="s">
        <v>5393</v>
      </c>
      <c r="BC44" s="236" t="s">
        <v>393</v>
      </c>
      <c r="BD44" s="236" t="s">
        <v>393</v>
      </c>
      <c r="BE44" s="236" t="s">
        <v>393</v>
      </c>
      <c r="BF44" s="236" t="s">
        <v>393</v>
      </c>
      <c r="BG44" s="236" t="s">
        <v>813</v>
      </c>
      <c r="BH44" s="236" t="s">
        <v>393</v>
      </c>
      <c r="BI44" s="237">
        <v>43950</v>
      </c>
      <c r="BJ44" s="245" t="s">
        <v>5394</v>
      </c>
      <c r="BK44" s="245">
        <v>0</v>
      </c>
      <c r="BL44" s="245" t="s">
        <v>2867</v>
      </c>
      <c r="BM44" s="245" t="s">
        <v>600</v>
      </c>
      <c r="BN44" s="245">
        <v>2</v>
      </c>
      <c r="BO44" s="245" t="s">
        <v>2873</v>
      </c>
      <c r="BP44" s="241" t="s">
        <v>812</v>
      </c>
      <c r="BQ44" s="246">
        <v>44064</v>
      </c>
      <c r="BR44" s="244" t="s">
        <v>5395</v>
      </c>
      <c r="BS44" s="247" t="s">
        <v>393</v>
      </c>
      <c r="BT44" s="247" t="s">
        <v>393</v>
      </c>
      <c r="BU44" s="247" t="s">
        <v>393</v>
      </c>
      <c r="BV44" s="247" t="s">
        <v>393</v>
      </c>
      <c r="BW44" s="247" t="s">
        <v>813</v>
      </c>
      <c r="BX44" s="247" t="s">
        <v>393</v>
      </c>
      <c r="BY44" s="237">
        <v>43950</v>
      </c>
      <c r="BZ44" s="245" t="s">
        <v>5396</v>
      </c>
      <c r="CA44" s="245" t="s">
        <v>393</v>
      </c>
      <c r="CB44" s="245" t="s">
        <v>393</v>
      </c>
      <c r="CC44" s="245" t="s">
        <v>393</v>
      </c>
      <c r="CD44" s="245" t="s">
        <v>393</v>
      </c>
      <c r="CE44" s="245" t="s">
        <v>813</v>
      </c>
      <c r="CF44" s="245" t="s">
        <v>393</v>
      </c>
      <c r="CG44" s="246">
        <v>43950</v>
      </c>
      <c r="CH44" s="244" t="s">
        <v>5397</v>
      </c>
      <c r="CI44" s="245" t="e">
        <v>#N/A</v>
      </c>
      <c r="CJ44" s="245" t="e">
        <v>#N/A</v>
      </c>
      <c r="CK44" s="245" t="e">
        <v>#N/A</v>
      </c>
      <c r="CL44" s="245" t="e">
        <v>#N/A</v>
      </c>
      <c r="CM44" s="245" t="e">
        <v>#N/A</v>
      </c>
      <c r="CN44" s="245" t="e">
        <v>#N/A</v>
      </c>
      <c r="CO44" s="248" t="e">
        <v>#N/A</v>
      </c>
      <c r="CP44" s="245" t="s">
        <v>5398</v>
      </c>
      <c r="CQ44" s="247" t="s">
        <v>393</v>
      </c>
      <c r="CR44" s="247" t="s">
        <v>393</v>
      </c>
      <c r="CS44" s="247" t="s">
        <v>393</v>
      </c>
      <c r="CT44" s="247" t="s">
        <v>393</v>
      </c>
      <c r="CU44" s="247" t="s">
        <v>813</v>
      </c>
      <c r="CV44" s="247" t="s">
        <v>393</v>
      </c>
      <c r="CW44" s="237">
        <v>43950</v>
      </c>
      <c r="CX44" s="245" t="s">
        <v>5399</v>
      </c>
      <c r="CY44" s="241">
        <v>124000</v>
      </c>
      <c r="CZ44" s="241" t="s">
        <v>2543</v>
      </c>
      <c r="DA44" s="241" t="s">
        <v>600</v>
      </c>
      <c r="DB44" s="241">
        <v>2</v>
      </c>
      <c r="DC44" s="241" t="s">
        <v>2551</v>
      </c>
      <c r="DD44" s="241" t="s">
        <v>2547</v>
      </c>
      <c r="DE44" s="243">
        <v>43992</v>
      </c>
      <c r="DF44" s="244" t="s">
        <v>5400</v>
      </c>
      <c r="DG44" s="236">
        <v>18731000</v>
      </c>
      <c r="DH44" s="247" t="s">
        <v>2543</v>
      </c>
      <c r="DI44" s="247" t="s">
        <v>600</v>
      </c>
      <c r="DJ44" s="247">
        <v>2</v>
      </c>
      <c r="DK44" s="247" t="s">
        <v>2551</v>
      </c>
      <c r="DL44" s="247" t="s">
        <v>2547</v>
      </c>
      <c r="DM44" s="237">
        <v>43992</v>
      </c>
      <c r="DN44" s="245" t="s">
        <v>5401</v>
      </c>
      <c r="DO44" s="241">
        <v>3030000</v>
      </c>
      <c r="DP44" s="245" t="s">
        <v>2543</v>
      </c>
      <c r="DQ44" s="245" t="s">
        <v>600</v>
      </c>
      <c r="DR44" s="245">
        <v>2</v>
      </c>
      <c r="DS44" s="245" t="s">
        <v>2551</v>
      </c>
      <c r="DT44" s="245" t="s">
        <v>2547</v>
      </c>
      <c r="DU44" s="246">
        <v>43992</v>
      </c>
      <c r="DV44" s="244" t="s">
        <v>5402</v>
      </c>
      <c r="DW44" s="236">
        <v>37000</v>
      </c>
      <c r="DX44" s="247" t="s">
        <v>2543</v>
      </c>
      <c r="DY44" s="247" t="s">
        <v>600</v>
      </c>
      <c r="DZ44" s="247">
        <v>2</v>
      </c>
      <c r="EA44" s="247" t="s">
        <v>2551</v>
      </c>
      <c r="EB44" s="247" t="s">
        <v>2547</v>
      </c>
      <c r="EC44" s="237">
        <v>43992</v>
      </c>
      <c r="ED44" s="245" t="s">
        <v>5403</v>
      </c>
      <c r="EE44" s="241">
        <v>87000</v>
      </c>
      <c r="EF44" s="245" t="s">
        <v>2543</v>
      </c>
      <c r="EG44" s="245" t="s">
        <v>600</v>
      </c>
      <c r="EH44" s="245">
        <v>2</v>
      </c>
      <c r="EI44" s="245" t="s">
        <v>2551</v>
      </c>
      <c r="EJ44" s="245" t="s">
        <v>2547</v>
      </c>
      <c r="EK44" s="246">
        <v>43992</v>
      </c>
      <c r="EL44" s="244" t="s">
        <v>5404</v>
      </c>
      <c r="EM44" s="236">
        <v>0</v>
      </c>
      <c r="EN44" s="247" t="s">
        <v>2325</v>
      </c>
      <c r="EO44" s="247" t="s">
        <v>601</v>
      </c>
      <c r="EP44" s="247">
        <v>1</v>
      </c>
      <c r="EQ44" s="247" t="s">
        <v>2349</v>
      </c>
      <c r="ER44" s="247" t="s">
        <v>2336</v>
      </c>
      <c r="ES44" s="237">
        <v>43950</v>
      </c>
      <c r="ET44" s="245" t="s">
        <v>5405</v>
      </c>
      <c r="EU44" s="245">
        <v>0</v>
      </c>
      <c r="EV44" s="245" t="s">
        <v>2867</v>
      </c>
      <c r="EW44" s="245" t="s">
        <v>600</v>
      </c>
      <c r="EX44" s="245">
        <v>2</v>
      </c>
      <c r="EY44" s="245" t="s">
        <v>2873</v>
      </c>
      <c r="EZ44" s="245" t="s">
        <v>812</v>
      </c>
      <c r="FA44" s="246">
        <v>44064</v>
      </c>
      <c r="FB44" s="244" t="s">
        <v>5406</v>
      </c>
      <c r="FC44" s="247">
        <v>2</v>
      </c>
      <c r="FD44" s="247">
        <v>0</v>
      </c>
      <c r="FE44" s="247" t="s">
        <v>600</v>
      </c>
      <c r="FF44" s="247">
        <v>2</v>
      </c>
      <c r="FG44" s="247" t="s">
        <v>814</v>
      </c>
      <c r="FH44" s="247">
        <v>0</v>
      </c>
      <c r="FI44" s="237">
        <v>43507</v>
      </c>
      <c r="FJ44" s="244" t="s">
        <v>5407</v>
      </c>
      <c r="FK44" s="245" t="s">
        <v>393</v>
      </c>
      <c r="FL44" s="245">
        <v>0</v>
      </c>
      <c r="FM44" s="245" t="s">
        <v>393</v>
      </c>
      <c r="FN44" s="245" t="s">
        <v>393</v>
      </c>
      <c r="FO44" s="245">
        <v>0</v>
      </c>
      <c r="FP44" s="241">
        <v>0</v>
      </c>
      <c r="FQ44" s="242">
        <v>43507</v>
      </c>
      <c r="FR44" s="244" t="s">
        <v>5408</v>
      </c>
      <c r="FS44" s="247" t="s">
        <v>393</v>
      </c>
      <c r="FT44" s="247">
        <v>0</v>
      </c>
      <c r="FU44" s="247" t="s">
        <v>393</v>
      </c>
      <c r="FV44" s="247" t="s">
        <v>393</v>
      </c>
      <c r="FW44" s="247">
        <v>0</v>
      </c>
      <c r="FX44" s="247">
        <v>0</v>
      </c>
      <c r="FY44" s="237">
        <v>43507</v>
      </c>
      <c r="FZ44" s="245" t="s">
        <v>5409</v>
      </c>
      <c r="GA44" s="245">
        <v>1</v>
      </c>
      <c r="GB44" s="245" t="s">
        <v>1587</v>
      </c>
      <c r="GC44" s="245" t="s">
        <v>600</v>
      </c>
      <c r="GD44" s="245">
        <v>2</v>
      </c>
      <c r="GE44" s="245" t="s">
        <v>1623</v>
      </c>
      <c r="GF44" s="245" t="s">
        <v>1624</v>
      </c>
      <c r="GG44" s="246">
        <v>43770</v>
      </c>
      <c r="GH44" s="244" t="s">
        <v>5410</v>
      </c>
      <c r="GI44" s="247">
        <v>1</v>
      </c>
      <c r="GJ44" s="247" t="s">
        <v>1587</v>
      </c>
      <c r="GK44" s="247" t="s">
        <v>600</v>
      </c>
      <c r="GL44" s="247">
        <v>2</v>
      </c>
      <c r="GM44" s="247" t="s">
        <v>1623</v>
      </c>
      <c r="GN44" s="247" t="s">
        <v>1624</v>
      </c>
      <c r="GO44" s="237">
        <v>43770</v>
      </c>
      <c r="GP44" s="245" t="s">
        <v>5411</v>
      </c>
      <c r="GQ44" s="245">
        <v>1</v>
      </c>
      <c r="GR44" s="245" t="s">
        <v>1587</v>
      </c>
      <c r="GS44" s="245" t="s">
        <v>600</v>
      </c>
      <c r="GT44" s="245">
        <v>2</v>
      </c>
      <c r="GU44" s="245" t="s">
        <v>1623</v>
      </c>
      <c r="GV44" s="245" t="s">
        <v>1624</v>
      </c>
      <c r="GW44" s="246">
        <v>43770</v>
      </c>
      <c r="GX44" s="244" t="s">
        <v>5412</v>
      </c>
      <c r="GY44" s="247">
        <v>0</v>
      </c>
      <c r="GZ44" s="247" t="s">
        <v>1587</v>
      </c>
      <c r="HA44" s="247" t="s">
        <v>600</v>
      </c>
      <c r="HB44" s="247">
        <v>2</v>
      </c>
      <c r="HC44" s="247" t="s">
        <v>1623</v>
      </c>
      <c r="HD44" s="247" t="s">
        <v>1624</v>
      </c>
      <c r="HE44" s="237">
        <v>43770</v>
      </c>
      <c r="HF44" s="245" t="s">
        <v>5413</v>
      </c>
      <c r="HG44" s="245">
        <v>2</v>
      </c>
      <c r="HH44" s="245" t="s">
        <v>1587</v>
      </c>
      <c r="HI44" s="245" t="s">
        <v>600</v>
      </c>
      <c r="HJ44" s="245">
        <v>2</v>
      </c>
      <c r="HK44" s="245" t="s">
        <v>1623</v>
      </c>
      <c r="HL44" s="245" t="s">
        <v>1624</v>
      </c>
      <c r="HM44" s="246">
        <v>43770</v>
      </c>
      <c r="HN44" s="244" t="s">
        <v>5414</v>
      </c>
      <c r="HO44" s="247">
        <v>0</v>
      </c>
      <c r="HP44" s="247" t="s">
        <v>1587</v>
      </c>
      <c r="HQ44" s="247" t="s">
        <v>600</v>
      </c>
      <c r="HR44" s="247">
        <v>2</v>
      </c>
      <c r="HS44" s="247" t="s">
        <v>1623</v>
      </c>
      <c r="HT44" s="247" t="s">
        <v>1624</v>
      </c>
      <c r="HU44" s="237">
        <v>43770</v>
      </c>
      <c r="HV44" s="245" t="s">
        <v>5415</v>
      </c>
      <c r="HW44" s="245">
        <v>0</v>
      </c>
      <c r="HX44" s="245" t="s">
        <v>1587</v>
      </c>
      <c r="HY44" s="245" t="s">
        <v>600</v>
      </c>
      <c r="HZ44" s="245">
        <v>2</v>
      </c>
      <c r="IA44" s="245" t="s">
        <v>1623</v>
      </c>
      <c r="IB44" s="245" t="s">
        <v>1624</v>
      </c>
      <c r="IC44" s="246">
        <v>43770</v>
      </c>
      <c r="ID44" s="244" t="s">
        <v>5416</v>
      </c>
      <c r="IE44" s="247">
        <v>2</v>
      </c>
      <c r="IF44" s="247" t="s">
        <v>1587</v>
      </c>
      <c r="IG44" s="247" t="s">
        <v>600</v>
      </c>
      <c r="IH44" s="247">
        <v>2</v>
      </c>
      <c r="II44" s="247" t="s">
        <v>1623</v>
      </c>
      <c r="IJ44" s="247" t="s">
        <v>1624</v>
      </c>
      <c r="IK44" s="237">
        <v>43770</v>
      </c>
      <c r="IL44" s="245" t="s">
        <v>5417</v>
      </c>
      <c r="IM44" s="245">
        <v>0</v>
      </c>
      <c r="IN44" s="245" t="s">
        <v>1587</v>
      </c>
      <c r="IO44" s="245" t="s">
        <v>600</v>
      </c>
      <c r="IP44" s="245">
        <v>2</v>
      </c>
      <c r="IQ44" s="245" t="s">
        <v>1623</v>
      </c>
      <c r="IR44" s="245" t="s">
        <v>1624</v>
      </c>
      <c r="IS44" s="246">
        <v>43770</v>
      </c>
    </row>
    <row r="45" spans="1:253" s="11" customFormat="1" ht="13.2" x14ac:dyDescent="0.25">
      <c r="A45" s="11" t="s">
        <v>1083</v>
      </c>
      <c r="B45" s="11" t="s">
        <v>691</v>
      </c>
      <c r="C45" s="11" t="s">
        <v>581</v>
      </c>
      <c r="D45" s="11" t="s">
        <v>97</v>
      </c>
      <c r="E45" s="11" t="s">
        <v>96</v>
      </c>
      <c r="F45" s="11" t="s">
        <v>5418</v>
      </c>
      <c r="G45" s="235">
        <v>6700000</v>
      </c>
      <c r="H45" s="236" t="s">
        <v>3330</v>
      </c>
      <c r="I45" s="236" t="s">
        <v>601</v>
      </c>
      <c r="J45" s="236">
        <v>1</v>
      </c>
      <c r="K45" s="236" t="s">
        <v>3536</v>
      </c>
      <c r="L45" s="236" t="s">
        <v>3535</v>
      </c>
      <c r="M45" s="237">
        <v>44110</v>
      </c>
      <c r="N45" s="244" t="s">
        <v>5419</v>
      </c>
      <c r="O45" s="239">
        <v>20720</v>
      </c>
      <c r="P45" s="239" t="s">
        <v>3398</v>
      </c>
      <c r="Q45" s="239" t="s">
        <v>601</v>
      </c>
      <c r="R45" s="239">
        <v>1</v>
      </c>
      <c r="S45" s="239" t="s">
        <v>2377</v>
      </c>
      <c r="T45" s="239" t="s">
        <v>893</v>
      </c>
      <c r="U45" s="240">
        <v>44111</v>
      </c>
      <c r="V45" s="244" t="s">
        <v>5420</v>
      </c>
      <c r="W45" s="236">
        <v>6700000</v>
      </c>
      <c r="X45" s="236" t="s">
        <v>3330</v>
      </c>
      <c r="Y45" s="236" t="s">
        <v>601</v>
      </c>
      <c r="Z45" s="236">
        <v>1</v>
      </c>
      <c r="AA45" s="236" t="s">
        <v>2378</v>
      </c>
      <c r="AB45" s="236" t="s">
        <v>3535</v>
      </c>
      <c r="AC45" s="237">
        <v>44110</v>
      </c>
      <c r="AD45" s="244" t="s">
        <v>5421</v>
      </c>
      <c r="AE45" s="241">
        <v>1400000</v>
      </c>
      <c r="AF45" s="241" t="s">
        <v>3330</v>
      </c>
      <c r="AG45" s="241" t="s">
        <v>600</v>
      </c>
      <c r="AH45" s="241">
        <v>2</v>
      </c>
      <c r="AI45" s="241" t="s">
        <v>3537</v>
      </c>
      <c r="AJ45" s="241" t="s">
        <v>3535</v>
      </c>
      <c r="AK45" s="242">
        <v>44110</v>
      </c>
      <c r="AL45" s="244" t="s">
        <v>5422</v>
      </c>
      <c r="AM45" s="236">
        <v>454000</v>
      </c>
      <c r="AN45" s="236" t="s">
        <v>1359</v>
      </c>
      <c r="AO45" s="236" t="s">
        <v>600</v>
      </c>
      <c r="AP45" s="236">
        <v>2</v>
      </c>
      <c r="AQ45" s="236" t="s">
        <v>3539</v>
      </c>
      <c r="AR45" s="236" t="s">
        <v>3538</v>
      </c>
      <c r="AS45" s="237">
        <v>44110</v>
      </c>
      <c r="AT45" s="245" t="s">
        <v>5423</v>
      </c>
      <c r="AU45" s="241" t="s">
        <v>393</v>
      </c>
      <c r="AV45" s="241">
        <v>0</v>
      </c>
      <c r="AW45" s="241" t="s">
        <v>600</v>
      </c>
      <c r="AX45" s="241">
        <v>2</v>
      </c>
      <c r="AY45" s="241">
        <v>0</v>
      </c>
      <c r="AZ45" s="241">
        <v>0</v>
      </c>
      <c r="BA45" s="242">
        <v>43509</v>
      </c>
      <c r="BB45" s="244" t="s">
        <v>5424</v>
      </c>
      <c r="BC45" s="236">
        <v>2304</v>
      </c>
      <c r="BD45" s="236" t="s">
        <v>3331</v>
      </c>
      <c r="BE45" s="236" t="s">
        <v>600</v>
      </c>
      <c r="BF45" s="236">
        <v>2</v>
      </c>
      <c r="BG45" s="236" t="s">
        <v>3540</v>
      </c>
      <c r="BH45" s="236" t="s">
        <v>1598</v>
      </c>
      <c r="BI45" s="237">
        <v>44110</v>
      </c>
      <c r="BJ45" s="245" t="s">
        <v>5425</v>
      </c>
      <c r="BK45" s="245">
        <v>399</v>
      </c>
      <c r="BL45" s="245" t="s">
        <v>3332</v>
      </c>
      <c r="BM45" s="245" t="s">
        <v>599</v>
      </c>
      <c r="BN45" s="245">
        <v>3</v>
      </c>
      <c r="BO45" s="245" t="s">
        <v>3542</v>
      </c>
      <c r="BP45" s="241" t="s">
        <v>3541</v>
      </c>
      <c r="BQ45" s="246">
        <v>44110</v>
      </c>
      <c r="BR45" s="244" t="s">
        <v>5426</v>
      </c>
      <c r="BS45" s="247" t="s">
        <v>393</v>
      </c>
      <c r="BT45" s="247">
        <v>0</v>
      </c>
      <c r="BU45" s="247" t="s">
        <v>600</v>
      </c>
      <c r="BV45" s="247">
        <v>2</v>
      </c>
      <c r="BW45" s="247">
        <v>0</v>
      </c>
      <c r="BX45" s="247">
        <v>0</v>
      </c>
      <c r="BY45" s="237">
        <v>43509</v>
      </c>
      <c r="BZ45" s="245" t="s">
        <v>5427</v>
      </c>
      <c r="CA45" s="245" t="s">
        <v>393</v>
      </c>
      <c r="CB45" s="245">
        <v>0</v>
      </c>
      <c r="CC45" s="245" t="s">
        <v>393</v>
      </c>
      <c r="CD45" s="245" t="s">
        <v>393</v>
      </c>
      <c r="CE45" s="245">
        <v>0</v>
      </c>
      <c r="CF45" s="245">
        <v>0</v>
      </c>
      <c r="CG45" s="246">
        <v>43509</v>
      </c>
      <c r="CH45" s="244" t="s">
        <v>5428</v>
      </c>
      <c r="CI45" s="245" t="e">
        <v>#N/A</v>
      </c>
      <c r="CJ45" s="245" t="e">
        <v>#N/A</v>
      </c>
      <c r="CK45" s="245" t="e">
        <v>#N/A</v>
      </c>
      <c r="CL45" s="245" t="e">
        <v>#N/A</v>
      </c>
      <c r="CM45" s="245" t="e">
        <v>#N/A</v>
      </c>
      <c r="CN45" s="245" t="e">
        <v>#N/A</v>
      </c>
      <c r="CO45" s="248" t="e">
        <v>#N/A</v>
      </c>
      <c r="CP45" s="245" t="s">
        <v>5429</v>
      </c>
      <c r="CQ45" s="247" t="s">
        <v>393</v>
      </c>
      <c r="CR45" s="247" t="s">
        <v>393</v>
      </c>
      <c r="CS45" s="247" t="s">
        <v>393</v>
      </c>
      <c r="CT45" s="247" t="s">
        <v>393</v>
      </c>
      <c r="CU45" s="247" t="s">
        <v>1555</v>
      </c>
      <c r="CV45" s="247" t="s">
        <v>1556</v>
      </c>
      <c r="CW45" s="237">
        <v>43731</v>
      </c>
      <c r="CX45" s="245" t="s">
        <v>5430</v>
      </c>
      <c r="CY45" s="241">
        <v>643000</v>
      </c>
      <c r="CZ45" s="241" t="s">
        <v>3333</v>
      </c>
      <c r="DA45" s="241" t="s">
        <v>600</v>
      </c>
      <c r="DB45" s="241">
        <v>2</v>
      </c>
      <c r="DC45" s="241" t="s">
        <v>3544</v>
      </c>
      <c r="DD45" s="241" t="s">
        <v>3543</v>
      </c>
      <c r="DE45" s="243">
        <v>44110</v>
      </c>
      <c r="DF45" s="244" t="s">
        <v>5431</v>
      </c>
      <c r="DG45" s="236">
        <v>5300000</v>
      </c>
      <c r="DH45" s="247" t="s">
        <v>3333</v>
      </c>
      <c r="DI45" s="247" t="s">
        <v>600</v>
      </c>
      <c r="DJ45" s="247">
        <v>2</v>
      </c>
      <c r="DK45" s="247" t="s">
        <v>3544</v>
      </c>
      <c r="DL45" s="247" t="s">
        <v>3543</v>
      </c>
      <c r="DM45" s="237">
        <v>44110</v>
      </c>
      <c r="DN45" s="245" t="s">
        <v>5432</v>
      </c>
      <c r="DO45" s="241">
        <v>757000</v>
      </c>
      <c r="DP45" s="245" t="s">
        <v>3333</v>
      </c>
      <c r="DQ45" s="245" t="s">
        <v>600</v>
      </c>
      <c r="DR45" s="245">
        <v>2</v>
      </c>
      <c r="DS45" s="245" t="s">
        <v>3544</v>
      </c>
      <c r="DT45" s="245" t="s">
        <v>3543</v>
      </c>
      <c r="DU45" s="246">
        <v>44110</v>
      </c>
      <c r="DV45" s="244" t="s">
        <v>5433</v>
      </c>
      <c r="DW45" s="236">
        <v>580000</v>
      </c>
      <c r="DX45" s="247" t="s">
        <v>3333</v>
      </c>
      <c r="DY45" s="247" t="s">
        <v>600</v>
      </c>
      <c r="DZ45" s="247">
        <v>2</v>
      </c>
      <c r="EA45" s="247" t="s">
        <v>3544</v>
      </c>
      <c r="EB45" s="247" t="s">
        <v>3543</v>
      </c>
      <c r="EC45" s="237">
        <v>44110</v>
      </c>
      <c r="ED45" s="245" t="s">
        <v>5434</v>
      </c>
      <c r="EE45" s="241">
        <v>63000</v>
      </c>
      <c r="EF45" s="245" t="s">
        <v>3333</v>
      </c>
      <c r="EG45" s="245" t="s">
        <v>600</v>
      </c>
      <c r="EH45" s="245">
        <v>2</v>
      </c>
      <c r="EI45" s="245" t="s">
        <v>3544</v>
      </c>
      <c r="EJ45" s="245" t="s">
        <v>3543</v>
      </c>
      <c r="EK45" s="246">
        <v>44110</v>
      </c>
      <c r="EL45" s="244" t="s">
        <v>5435</v>
      </c>
      <c r="EM45" s="236">
        <v>0</v>
      </c>
      <c r="EN45" s="247" t="s">
        <v>3333</v>
      </c>
      <c r="EO45" s="247" t="s">
        <v>600</v>
      </c>
      <c r="EP45" s="247">
        <v>2</v>
      </c>
      <c r="EQ45" s="247" t="s">
        <v>3544</v>
      </c>
      <c r="ER45" s="247" t="s">
        <v>3543</v>
      </c>
      <c r="ES45" s="237">
        <v>44110</v>
      </c>
      <c r="ET45" s="245" t="s">
        <v>5436</v>
      </c>
      <c r="EU45" s="245">
        <v>399</v>
      </c>
      <c r="EV45" s="245" t="s">
        <v>3332</v>
      </c>
      <c r="EW45" s="245" t="s">
        <v>599</v>
      </c>
      <c r="EX45" s="245">
        <v>3</v>
      </c>
      <c r="EY45" s="245" t="s">
        <v>3542</v>
      </c>
      <c r="EZ45" s="245" t="s">
        <v>3541</v>
      </c>
      <c r="FA45" s="246">
        <v>44110</v>
      </c>
      <c r="FB45" s="244" t="s">
        <v>5437</v>
      </c>
      <c r="FC45" s="247">
        <v>3</v>
      </c>
      <c r="FD45" s="247">
        <v>0</v>
      </c>
      <c r="FE45" s="247" t="s">
        <v>600</v>
      </c>
      <c r="FF45" s="247">
        <v>2</v>
      </c>
      <c r="FG45" s="247" t="s">
        <v>896</v>
      </c>
      <c r="FH45" s="247">
        <v>0</v>
      </c>
      <c r="FI45" s="237">
        <v>43509</v>
      </c>
      <c r="FJ45" s="244" t="s">
        <v>5438</v>
      </c>
      <c r="FK45" s="245" t="s">
        <v>393</v>
      </c>
      <c r="FL45" s="245">
        <v>0</v>
      </c>
      <c r="FM45" s="245" t="s">
        <v>600</v>
      </c>
      <c r="FN45" s="245">
        <v>2</v>
      </c>
      <c r="FO45" s="245">
        <v>0</v>
      </c>
      <c r="FP45" s="241">
        <v>0</v>
      </c>
      <c r="FQ45" s="242">
        <v>43509</v>
      </c>
      <c r="FR45" s="244" t="s">
        <v>5439</v>
      </c>
      <c r="FS45" s="247" t="s">
        <v>393</v>
      </c>
      <c r="FT45" s="247">
        <v>0</v>
      </c>
      <c r="FU45" s="247" t="s">
        <v>600</v>
      </c>
      <c r="FV45" s="247">
        <v>2</v>
      </c>
      <c r="FW45" s="247">
        <v>0</v>
      </c>
      <c r="FX45" s="247">
        <v>0</v>
      </c>
      <c r="FY45" s="237">
        <v>43509</v>
      </c>
      <c r="FZ45" s="245" t="s">
        <v>5440</v>
      </c>
      <c r="GA45" s="245">
        <v>0</v>
      </c>
      <c r="GB45" s="245" t="s">
        <v>1587</v>
      </c>
      <c r="GC45" s="245" t="s">
        <v>601</v>
      </c>
      <c r="GD45" s="245">
        <v>1</v>
      </c>
      <c r="GE45" s="245" t="s">
        <v>1623</v>
      </c>
      <c r="GF45" s="245" t="s">
        <v>1624</v>
      </c>
      <c r="GG45" s="246">
        <v>43769</v>
      </c>
      <c r="GH45" s="244" t="s">
        <v>5441</v>
      </c>
      <c r="GI45" s="247">
        <v>2</v>
      </c>
      <c r="GJ45" s="247" t="s">
        <v>1587</v>
      </c>
      <c r="GK45" s="247" t="s">
        <v>601</v>
      </c>
      <c r="GL45" s="247">
        <v>1</v>
      </c>
      <c r="GM45" s="247" t="s">
        <v>1623</v>
      </c>
      <c r="GN45" s="247" t="s">
        <v>1624</v>
      </c>
      <c r="GO45" s="237">
        <v>43769</v>
      </c>
      <c r="GP45" s="245" t="s">
        <v>5442</v>
      </c>
      <c r="GQ45" s="245">
        <v>1</v>
      </c>
      <c r="GR45" s="245" t="s">
        <v>1587</v>
      </c>
      <c r="GS45" s="245" t="s">
        <v>601</v>
      </c>
      <c r="GT45" s="245">
        <v>1</v>
      </c>
      <c r="GU45" s="245" t="s">
        <v>1623</v>
      </c>
      <c r="GV45" s="245" t="s">
        <v>1624</v>
      </c>
      <c r="GW45" s="246">
        <v>43769</v>
      </c>
      <c r="GX45" s="244" t="s">
        <v>5443</v>
      </c>
      <c r="GY45" s="247">
        <v>0</v>
      </c>
      <c r="GZ45" s="247" t="s">
        <v>1587</v>
      </c>
      <c r="HA45" s="247" t="s">
        <v>601</v>
      </c>
      <c r="HB45" s="247">
        <v>1</v>
      </c>
      <c r="HC45" s="247" t="s">
        <v>1623</v>
      </c>
      <c r="HD45" s="247" t="s">
        <v>1624</v>
      </c>
      <c r="HE45" s="237">
        <v>43769</v>
      </c>
      <c r="HF45" s="245" t="s">
        <v>5444</v>
      </c>
      <c r="HG45" s="245">
        <v>0</v>
      </c>
      <c r="HH45" s="245" t="s">
        <v>1587</v>
      </c>
      <c r="HI45" s="245" t="s">
        <v>601</v>
      </c>
      <c r="HJ45" s="245">
        <v>1</v>
      </c>
      <c r="HK45" s="245" t="s">
        <v>1623</v>
      </c>
      <c r="HL45" s="245" t="s">
        <v>1624</v>
      </c>
      <c r="HM45" s="246">
        <v>43769</v>
      </c>
      <c r="HN45" s="244" t="s">
        <v>5445</v>
      </c>
      <c r="HO45" s="247">
        <v>2</v>
      </c>
      <c r="HP45" s="247" t="s">
        <v>1587</v>
      </c>
      <c r="HQ45" s="247" t="s">
        <v>601</v>
      </c>
      <c r="HR45" s="247">
        <v>1</v>
      </c>
      <c r="HS45" s="247" t="s">
        <v>1623</v>
      </c>
      <c r="HT45" s="247" t="s">
        <v>1624</v>
      </c>
      <c r="HU45" s="237">
        <v>43769</v>
      </c>
      <c r="HV45" s="245" t="s">
        <v>5446</v>
      </c>
      <c r="HW45" s="245">
        <v>1</v>
      </c>
      <c r="HX45" s="245" t="s">
        <v>1587</v>
      </c>
      <c r="HY45" s="245" t="s">
        <v>601</v>
      </c>
      <c r="HZ45" s="245">
        <v>1</v>
      </c>
      <c r="IA45" s="245" t="s">
        <v>1623</v>
      </c>
      <c r="IB45" s="245" t="s">
        <v>1624</v>
      </c>
      <c r="IC45" s="246">
        <v>43769</v>
      </c>
      <c r="ID45" s="244" t="s">
        <v>5447</v>
      </c>
      <c r="IE45" s="247">
        <v>0</v>
      </c>
      <c r="IF45" s="247" t="s">
        <v>1587</v>
      </c>
      <c r="IG45" s="247" t="s">
        <v>601</v>
      </c>
      <c r="IH45" s="247">
        <v>1</v>
      </c>
      <c r="II45" s="247" t="s">
        <v>1623</v>
      </c>
      <c r="IJ45" s="247" t="s">
        <v>1624</v>
      </c>
      <c r="IK45" s="237">
        <v>43769</v>
      </c>
      <c r="IL45" s="245" t="s">
        <v>5448</v>
      </c>
      <c r="IM45" s="245">
        <v>2</v>
      </c>
      <c r="IN45" s="245" t="s">
        <v>1587</v>
      </c>
      <c r="IO45" s="245" t="s">
        <v>601</v>
      </c>
      <c r="IP45" s="245">
        <v>1</v>
      </c>
      <c r="IQ45" s="245" t="s">
        <v>1623</v>
      </c>
      <c r="IR45" s="245" t="s">
        <v>1624</v>
      </c>
      <c r="IS45" s="246">
        <v>43769</v>
      </c>
    </row>
    <row r="46" spans="1:253" s="11" customFormat="1" ht="13.2" x14ac:dyDescent="0.25">
      <c r="A46" s="11" t="s">
        <v>1084</v>
      </c>
      <c r="B46" s="11" t="s">
        <v>691</v>
      </c>
      <c r="C46" s="11" t="s">
        <v>2916</v>
      </c>
      <c r="D46" s="11" t="s">
        <v>101</v>
      </c>
      <c r="E46" s="11" t="s">
        <v>100</v>
      </c>
      <c r="F46" s="11" t="s">
        <v>5449</v>
      </c>
      <c r="G46" s="235">
        <v>3227000</v>
      </c>
      <c r="H46" s="236" t="s">
        <v>1641</v>
      </c>
      <c r="I46" s="236" t="s">
        <v>600</v>
      </c>
      <c r="J46" s="236">
        <v>2</v>
      </c>
      <c r="K46" s="236" t="s">
        <v>1646</v>
      </c>
      <c r="L46" s="236" t="s">
        <v>1644</v>
      </c>
      <c r="M46" s="237">
        <v>43790</v>
      </c>
      <c r="N46" s="244" t="s">
        <v>5450</v>
      </c>
      <c r="O46" s="239">
        <v>101000</v>
      </c>
      <c r="P46" s="239" t="s">
        <v>3295</v>
      </c>
      <c r="Q46" s="239" t="s">
        <v>600</v>
      </c>
      <c r="R46" s="239">
        <v>2</v>
      </c>
      <c r="S46" s="239" t="s">
        <v>3641</v>
      </c>
      <c r="T46" s="239" t="s">
        <v>3642</v>
      </c>
      <c r="U46" s="240">
        <v>44111</v>
      </c>
      <c r="V46" s="244" t="s">
        <v>5451</v>
      </c>
      <c r="W46" s="236">
        <v>3227000</v>
      </c>
      <c r="X46" s="236" t="s">
        <v>1641</v>
      </c>
      <c r="Y46" s="236" t="s">
        <v>600</v>
      </c>
      <c r="Z46" s="236">
        <v>2</v>
      </c>
      <c r="AA46" s="236" t="s">
        <v>871</v>
      </c>
      <c r="AB46" s="236" t="s">
        <v>1644</v>
      </c>
      <c r="AC46" s="237">
        <v>43790</v>
      </c>
      <c r="AD46" s="244" t="s">
        <v>5452</v>
      </c>
      <c r="AE46" s="241">
        <v>3227000</v>
      </c>
      <c r="AF46" s="241" t="s">
        <v>866</v>
      </c>
      <c r="AG46" s="241" t="s">
        <v>599</v>
      </c>
      <c r="AH46" s="241">
        <v>3</v>
      </c>
      <c r="AI46" s="241" t="s">
        <v>872</v>
      </c>
      <c r="AJ46" s="241" t="s">
        <v>869</v>
      </c>
      <c r="AK46" s="242">
        <v>43790</v>
      </c>
      <c r="AL46" s="244" t="s">
        <v>5453</v>
      </c>
      <c r="AM46" s="236">
        <v>300000</v>
      </c>
      <c r="AN46" s="236" t="s">
        <v>1642</v>
      </c>
      <c r="AO46" s="236" t="s">
        <v>599</v>
      </c>
      <c r="AP46" s="236">
        <v>3</v>
      </c>
      <c r="AQ46" s="236" t="s">
        <v>1647</v>
      </c>
      <c r="AR46" s="236" t="s">
        <v>1645</v>
      </c>
      <c r="AS46" s="237">
        <v>43790</v>
      </c>
      <c r="AT46" s="245" t="s">
        <v>5454</v>
      </c>
      <c r="AU46" s="241" t="s">
        <v>393</v>
      </c>
      <c r="AV46" s="241">
        <v>0</v>
      </c>
      <c r="AW46" s="241" t="s">
        <v>600</v>
      </c>
      <c r="AX46" s="241">
        <v>2</v>
      </c>
      <c r="AY46" s="241" t="s">
        <v>873</v>
      </c>
      <c r="AZ46" s="241">
        <v>0</v>
      </c>
      <c r="BA46" s="242">
        <v>43509</v>
      </c>
      <c r="BB46" s="244" t="s">
        <v>5455</v>
      </c>
      <c r="BC46" s="236" t="s">
        <v>393</v>
      </c>
      <c r="BD46" s="236">
        <v>0</v>
      </c>
      <c r="BE46" s="236" t="s">
        <v>600</v>
      </c>
      <c r="BF46" s="236">
        <v>2</v>
      </c>
      <c r="BG46" s="236" t="s">
        <v>873</v>
      </c>
      <c r="BH46" s="236">
        <v>0</v>
      </c>
      <c r="BI46" s="237">
        <v>43509</v>
      </c>
      <c r="BJ46" s="245" t="s">
        <v>5456</v>
      </c>
      <c r="BK46" s="245">
        <v>0</v>
      </c>
      <c r="BL46" s="245" t="s">
        <v>4097</v>
      </c>
      <c r="BM46" s="245" t="s">
        <v>599</v>
      </c>
      <c r="BN46" s="245">
        <v>3</v>
      </c>
      <c r="BO46" s="245" t="s">
        <v>4105</v>
      </c>
      <c r="BP46" s="241" t="s">
        <v>4094</v>
      </c>
      <c r="BQ46" s="246">
        <v>44140</v>
      </c>
      <c r="BR46" s="244" t="s">
        <v>5457</v>
      </c>
      <c r="BS46" s="247" t="s">
        <v>393</v>
      </c>
      <c r="BT46" s="247">
        <v>0</v>
      </c>
      <c r="BU46" s="247" t="s">
        <v>600</v>
      </c>
      <c r="BV46" s="247">
        <v>2</v>
      </c>
      <c r="BW46" s="247" t="s">
        <v>873</v>
      </c>
      <c r="BX46" s="247">
        <v>0</v>
      </c>
      <c r="BY46" s="237">
        <v>43509</v>
      </c>
      <c r="BZ46" s="245" t="s">
        <v>5458</v>
      </c>
      <c r="CA46" s="245" t="s">
        <v>393</v>
      </c>
      <c r="CB46" s="245">
        <v>0</v>
      </c>
      <c r="CC46" s="245" t="s">
        <v>393</v>
      </c>
      <c r="CD46" s="245" t="s">
        <v>393</v>
      </c>
      <c r="CE46" s="245" t="s">
        <v>873</v>
      </c>
      <c r="CF46" s="245">
        <v>0</v>
      </c>
      <c r="CG46" s="246">
        <v>43509</v>
      </c>
      <c r="CH46" s="244" t="s">
        <v>5459</v>
      </c>
      <c r="CI46" s="245" t="e">
        <v>#N/A</v>
      </c>
      <c r="CJ46" s="245" t="e">
        <v>#N/A</v>
      </c>
      <c r="CK46" s="245" t="e">
        <v>#N/A</v>
      </c>
      <c r="CL46" s="245" t="e">
        <v>#N/A</v>
      </c>
      <c r="CM46" s="245" t="e">
        <v>#N/A</v>
      </c>
      <c r="CN46" s="245" t="e">
        <v>#N/A</v>
      </c>
      <c r="CO46" s="248" t="e">
        <v>#N/A</v>
      </c>
      <c r="CP46" s="245" t="s">
        <v>5460</v>
      </c>
      <c r="CQ46" s="247" t="s">
        <v>393</v>
      </c>
      <c r="CR46" s="247" t="s">
        <v>393</v>
      </c>
      <c r="CS46" s="247" t="s">
        <v>393</v>
      </c>
      <c r="CT46" s="247" t="s">
        <v>393</v>
      </c>
      <c r="CU46" s="247" t="s">
        <v>1648</v>
      </c>
      <c r="CV46" s="247" t="s">
        <v>393</v>
      </c>
      <c r="CW46" s="237">
        <v>43790</v>
      </c>
      <c r="CX46" s="245" t="s">
        <v>5461</v>
      </c>
      <c r="CY46" s="241">
        <v>2582000</v>
      </c>
      <c r="CZ46" s="241" t="s">
        <v>867</v>
      </c>
      <c r="DA46" s="241" t="s">
        <v>599</v>
      </c>
      <c r="DB46" s="241">
        <v>3</v>
      </c>
      <c r="DC46" s="241" t="s">
        <v>874</v>
      </c>
      <c r="DD46" s="241" t="s">
        <v>870</v>
      </c>
      <c r="DE46" s="243">
        <v>43790</v>
      </c>
      <c r="DF46" s="244" t="s">
        <v>5462</v>
      </c>
      <c r="DG46" s="236">
        <v>645000</v>
      </c>
      <c r="DH46" s="247" t="s">
        <v>1643</v>
      </c>
      <c r="DI46" s="247" t="s">
        <v>599</v>
      </c>
      <c r="DJ46" s="247">
        <v>3</v>
      </c>
      <c r="DK46" s="247" t="s">
        <v>1465</v>
      </c>
      <c r="DL46" s="247" t="s">
        <v>868</v>
      </c>
      <c r="DM46" s="237">
        <v>43790</v>
      </c>
      <c r="DN46" s="245" t="s">
        <v>5463</v>
      </c>
      <c r="DO46" s="250">
        <v>0</v>
      </c>
      <c r="DP46" s="245" t="s">
        <v>867</v>
      </c>
      <c r="DQ46" s="245" t="s">
        <v>599</v>
      </c>
      <c r="DR46" s="245">
        <v>3</v>
      </c>
      <c r="DS46" s="245" t="s">
        <v>874</v>
      </c>
      <c r="DT46" s="245" t="s">
        <v>870</v>
      </c>
      <c r="DU46" s="246">
        <v>43598</v>
      </c>
      <c r="DV46" s="244" t="s">
        <v>5464</v>
      </c>
      <c r="DW46" s="236">
        <v>2582000</v>
      </c>
      <c r="DX46" s="247" t="s">
        <v>867</v>
      </c>
      <c r="DY46" s="247" t="s">
        <v>599</v>
      </c>
      <c r="DZ46" s="247">
        <v>3</v>
      </c>
      <c r="EA46" s="247" t="s">
        <v>874</v>
      </c>
      <c r="EB46" s="247" t="s">
        <v>870</v>
      </c>
      <c r="EC46" s="237">
        <v>43790</v>
      </c>
      <c r="ED46" s="245" t="s">
        <v>5465</v>
      </c>
      <c r="EE46" s="241">
        <v>0</v>
      </c>
      <c r="EF46" s="245" t="s">
        <v>867</v>
      </c>
      <c r="EG46" s="245" t="s">
        <v>599</v>
      </c>
      <c r="EH46" s="245">
        <v>3</v>
      </c>
      <c r="EI46" s="245" t="s">
        <v>874</v>
      </c>
      <c r="EJ46" s="245" t="s">
        <v>870</v>
      </c>
      <c r="EK46" s="246">
        <v>43598</v>
      </c>
      <c r="EL46" s="244" t="s">
        <v>5466</v>
      </c>
      <c r="EM46" s="236">
        <v>0</v>
      </c>
      <c r="EN46" s="247" t="s">
        <v>867</v>
      </c>
      <c r="EO46" s="247" t="s">
        <v>599</v>
      </c>
      <c r="EP46" s="247">
        <v>3</v>
      </c>
      <c r="EQ46" s="247" t="s">
        <v>874</v>
      </c>
      <c r="ER46" s="247" t="s">
        <v>870</v>
      </c>
      <c r="ES46" s="237">
        <v>43598</v>
      </c>
      <c r="ET46" s="245" t="s">
        <v>5467</v>
      </c>
      <c r="EU46" s="245" t="s">
        <v>393</v>
      </c>
      <c r="EV46" s="245" t="s">
        <v>879</v>
      </c>
      <c r="EW46" s="245" t="s">
        <v>393</v>
      </c>
      <c r="EX46" s="245" t="s">
        <v>393</v>
      </c>
      <c r="EY46" s="245" t="s">
        <v>873</v>
      </c>
      <c r="EZ46" s="245" t="s">
        <v>812</v>
      </c>
      <c r="FA46" s="246">
        <v>43816</v>
      </c>
      <c r="FB46" s="244" t="s">
        <v>5468</v>
      </c>
      <c r="FC46" s="247">
        <v>5</v>
      </c>
      <c r="FD46" s="247">
        <v>0</v>
      </c>
      <c r="FE46" s="247" t="s">
        <v>600</v>
      </c>
      <c r="FF46" s="247">
        <v>2</v>
      </c>
      <c r="FG46" s="247" t="s">
        <v>875</v>
      </c>
      <c r="FH46" s="247">
        <v>0</v>
      </c>
      <c r="FI46" s="237">
        <v>43509</v>
      </c>
      <c r="FJ46" s="244" t="s">
        <v>5469</v>
      </c>
      <c r="FK46" s="245" t="s">
        <v>393</v>
      </c>
      <c r="FL46" s="245">
        <v>0</v>
      </c>
      <c r="FM46" s="245" t="s">
        <v>600</v>
      </c>
      <c r="FN46" s="245">
        <v>2</v>
      </c>
      <c r="FO46" s="245" t="s">
        <v>873</v>
      </c>
      <c r="FP46" s="241">
        <v>0</v>
      </c>
      <c r="FQ46" s="242">
        <v>43509</v>
      </c>
      <c r="FR46" s="244" t="s">
        <v>5470</v>
      </c>
      <c r="FS46" s="247" t="s">
        <v>393</v>
      </c>
      <c r="FT46" s="247">
        <v>0</v>
      </c>
      <c r="FU46" s="247" t="s">
        <v>600</v>
      </c>
      <c r="FV46" s="247">
        <v>2</v>
      </c>
      <c r="FW46" s="247" t="s">
        <v>873</v>
      </c>
      <c r="FX46" s="247">
        <v>0</v>
      </c>
      <c r="FY46" s="237">
        <v>43509</v>
      </c>
      <c r="FZ46" s="245" t="s">
        <v>5471</v>
      </c>
      <c r="GA46" s="245">
        <v>3</v>
      </c>
      <c r="GB46" s="245" t="s">
        <v>1587</v>
      </c>
      <c r="GC46" s="245" t="s">
        <v>600</v>
      </c>
      <c r="GD46" s="245">
        <v>2</v>
      </c>
      <c r="GE46" s="245" t="s">
        <v>1623</v>
      </c>
      <c r="GF46" s="245" t="s">
        <v>1624</v>
      </c>
      <c r="GG46" s="246">
        <v>43770</v>
      </c>
      <c r="GH46" s="244" t="s">
        <v>5472</v>
      </c>
      <c r="GI46" s="247" t="s">
        <v>393</v>
      </c>
      <c r="GJ46" s="247" t="s">
        <v>1587</v>
      </c>
      <c r="GK46" s="247" t="s">
        <v>393</v>
      </c>
      <c r="GL46" s="247" t="s">
        <v>393</v>
      </c>
      <c r="GM46" s="247" t="s">
        <v>1623</v>
      </c>
      <c r="GN46" s="247" t="s">
        <v>1624</v>
      </c>
      <c r="GO46" s="237">
        <v>43770</v>
      </c>
      <c r="GP46" s="245" t="s">
        <v>5473</v>
      </c>
      <c r="GQ46" s="245" t="s">
        <v>393</v>
      </c>
      <c r="GR46" s="245" t="s">
        <v>1587</v>
      </c>
      <c r="GS46" s="245" t="s">
        <v>393</v>
      </c>
      <c r="GT46" s="245" t="s">
        <v>393</v>
      </c>
      <c r="GU46" s="245" t="s">
        <v>1623</v>
      </c>
      <c r="GV46" s="245" t="s">
        <v>1624</v>
      </c>
      <c r="GW46" s="246">
        <v>43770</v>
      </c>
      <c r="GX46" s="244" t="s">
        <v>5474</v>
      </c>
      <c r="GY46" s="247">
        <v>0</v>
      </c>
      <c r="GZ46" s="247" t="s">
        <v>1587</v>
      </c>
      <c r="HA46" s="247" t="s">
        <v>600</v>
      </c>
      <c r="HB46" s="247">
        <v>2</v>
      </c>
      <c r="HC46" s="247" t="s">
        <v>1623</v>
      </c>
      <c r="HD46" s="247" t="s">
        <v>1624</v>
      </c>
      <c r="HE46" s="237">
        <v>43770</v>
      </c>
      <c r="HF46" s="245" t="s">
        <v>5475</v>
      </c>
      <c r="HG46" s="245" t="s">
        <v>393</v>
      </c>
      <c r="HH46" s="245" t="s">
        <v>1587</v>
      </c>
      <c r="HI46" s="245" t="s">
        <v>393</v>
      </c>
      <c r="HJ46" s="245" t="s">
        <v>393</v>
      </c>
      <c r="HK46" s="245" t="s">
        <v>1623</v>
      </c>
      <c r="HL46" s="245" t="s">
        <v>1624</v>
      </c>
      <c r="HM46" s="246">
        <v>43770</v>
      </c>
      <c r="HN46" s="244" t="s">
        <v>5476</v>
      </c>
      <c r="HO46" s="247" t="s">
        <v>393</v>
      </c>
      <c r="HP46" s="247" t="s">
        <v>1587</v>
      </c>
      <c r="HQ46" s="247" t="s">
        <v>393</v>
      </c>
      <c r="HR46" s="247" t="s">
        <v>393</v>
      </c>
      <c r="HS46" s="247" t="s">
        <v>1623</v>
      </c>
      <c r="HT46" s="247" t="s">
        <v>1624</v>
      </c>
      <c r="HU46" s="237">
        <v>43770</v>
      </c>
      <c r="HV46" s="245" t="s">
        <v>5477</v>
      </c>
      <c r="HW46" s="245">
        <v>0</v>
      </c>
      <c r="HX46" s="245" t="s">
        <v>1587</v>
      </c>
      <c r="HY46" s="245" t="s">
        <v>600</v>
      </c>
      <c r="HZ46" s="245">
        <v>2</v>
      </c>
      <c r="IA46" s="245" t="s">
        <v>1623</v>
      </c>
      <c r="IB46" s="245" t="s">
        <v>1624</v>
      </c>
      <c r="IC46" s="246">
        <v>43770</v>
      </c>
      <c r="ID46" s="244" t="s">
        <v>5478</v>
      </c>
      <c r="IE46" s="247">
        <v>2</v>
      </c>
      <c r="IF46" s="247" t="s">
        <v>1587</v>
      </c>
      <c r="IG46" s="247" t="s">
        <v>600</v>
      </c>
      <c r="IH46" s="247">
        <v>2</v>
      </c>
      <c r="II46" s="247" t="s">
        <v>1623</v>
      </c>
      <c r="IJ46" s="247" t="s">
        <v>1624</v>
      </c>
      <c r="IK46" s="237">
        <v>43770</v>
      </c>
      <c r="IL46" s="245" t="s">
        <v>5479</v>
      </c>
      <c r="IM46" s="245" t="s">
        <v>393</v>
      </c>
      <c r="IN46" s="245" t="s">
        <v>1587</v>
      </c>
      <c r="IO46" s="245" t="s">
        <v>393</v>
      </c>
      <c r="IP46" s="245" t="s">
        <v>393</v>
      </c>
      <c r="IQ46" s="245" t="s">
        <v>1623</v>
      </c>
      <c r="IR46" s="245" t="s">
        <v>1624</v>
      </c>
      <c r="IS46" s="246">
        <v>43770</v>
      </c>
    </row>
    <row r="47" spans="1:253" s="11" customFormat="1" ht="13.2" x14ac:dyDescent="0.25">
      <c r="A47" s="11" t="s">
        <v>3651</v>
      </c>
      <c r="B47" s="11" t="s">
        <v>2103</v>
      </c>
      <c r="C47" s="11" t="s">
        <v>3125</v>
      </c>
      <c r="D47" s="11" t="s">
        <v>3649</v>
      </c>
      <c r="E47" s="11" t="s">
        <v>308</v>
      </c>
      <c r="F47" s="11" t="s">
        <v>5480</v>
      </c>
      <c r="G47" s="235">
        <v>1136000</v>
      </c>
      <c r="H47" s="236" t="s">
        <v>2065</v>
      </c>
      <c r="I47" s="236" t="s">
        <v>601</v>
      </c>
      <c r="J47" s="236">
        <v>1</v>
      </c>
      <c r="K47" s="236" t="s">
        <v>2067</v>
      </c>
      <c r="L47" s="236" t="s">
        <v>2066</v>
      </c>
      <c r="M47" s="237">
        <v>43868</v>
      </c>
      <c r="N47" s="244" t="s">
        <v>5481</v>
      </c>
      <c r="O47" s="239">
        <v>17204</v>
      </c>
      <c r="P47" s="239" t="s">
        <v>3374</v>
      </c>
      <c r="Q47" s="239" t="s">
        <v>601</v>
      </c>
      <c r="R47" s="239">
        <v>1</v>
      </c>
      <c r="S47" s="239" t="s">
        <v>3605</v>
      </c>
      <c r="T47" s="239" t="s">
        <v>3617</v>
      </c>
      <c r="U47" s="240">
        <v>44110</v>
      </c>
      <c r="V47" s="244" t="s">
        <v>5482</v>
      </c>
      <c r="W47" s="236">
        <v>1131000</v>
      </c>
      <c r="X47" s="236" t="s">
        <v>3367</v>
      </c>
      <c r="Y47" s="236" t="s">
        <v>600</v>
      </c>
      <c r="Z47" s="236">
        <v>2</v>
      </c>
      <c r="AA47" s="236" t="s">
        <v>3914</v>
      </c>
      <c r="AB47" s="236" t="s">
        <v>2841</v>
      </c>
      <c r="AC47" s="237">
        <v>44134</v>
      </c>
      <c r="AD47" s="244" t="s">
        <v>5483</v>
      </c>
      <c r="AE47" s="241">
        <v>752000</v>
      </c>
      <c r="AF47" s="241" t="s">
        <v>3367</v>
      </c>
      <c r="AG47" s="241" t="s">
        <v>600</v>
      </c>
      <c r="AH47" s="241">
        <v>2</v>
      </c>
      <c r="AI47" s="241" t="s">
        <v>3915</v>
      </c>
      <c r="AJ47" s="241" t="s">
        <v>2841</v>
      </c>
      <c r="AK47" s="242">
        <v>44134</v>
      </c>
      <c r="AL47" s="244" t="s">
        <v>5484</v>
      </c>
      <c r="AM47" s="236">
        <v>0</v>
      </c>
      <c r="AN47" s="236" t="s">
        <v>393</v>
      </c>
      <c r="AO47" s="236" t="s">
        <v>393</v>
      </c>
      <c r="AP47" s="236" t="s">
        <v>393</v>
      </c>
      <c r="AQ47" s="236" t="s">
        <v>393</v>
      </c>
      <c r="AR47" s="236" t="s">
        <v>393</v>
      </c>
      <c r="AS47" s="237">
        <v>43874</v>
      </c>
      <c r="AT47" s="245" t="s">
        <v>5485</v>
      </c>
      <c r="AU47" s="241">
        <v>0</v>
      </c>
      <c r="AV47" s="241" t="s">
        <v>393</v>
      </c>
      <c r="AW47" s="241" t="s">
        <v>393</v>
      </c>
      <c r="AX47" s="241" t="s">
        <v>393</v>
      </c>
      <c r="AY47" s="241" t="s">
        <v>393</v>
      </c>
      <c r="AZ47" s="241" t="s">
        <v>393</v>
      </c>
      <c r="BA47" s="242">
        <v>43874</v>
      </c>
      <c r="BB47" s="244" t="s">
        <v>5486</v>
      </c>
      <c r="BC47" s="236">
        <v>0</v>
      </c>
      <c r="BD47" s="236" t="s">
        <v>393</v>
      </c>
      <c r="BE47" s="236" t="s">
        <v>393</v>
      </c>
      <c r="BF47" s="236" t="s">
        <v>393</v>
      </c>
      <c r="BG47" s="236" t="s">
        <v>393</v>
      </c>
      <c r="BH47" s="236" t="s">
        <v>393</v>
      </c>
      <c r="BI47" s="237">
        <v>43874</v>
      </c>
      <c r="BJ47" s="245" t="s">
        <v>5487</v>
      </c>
      <c r="BK47" s="245" t="s">
        <v>393</v>
      </c>
      <c r="BL47" s="245" t="s">
        <v>393</v>
      </c>
      <c r="BM47" s="245" t="s">
        <v>393</v>
      </c>
      <c r="BN47" s="245" t="s">
        <v>393</v>
      </c>
      <c r="BO47" s="245" t="s">
        <v>3913</v>
      </c>
      <c r="BP47" s="241" t="s">
        <v>393</v>
      </c>
      <c r="BQ47" s="246">
        <v>44134</v>
      </c>
      <c r="BR47" s="244" t="s">
        <v>5488</v>
      </c>
      <c r="BS47" s="247" t="e">
        <v>#N/A</v>
      </c>
      <c r="BT47" s="247" t="e">
        <v>#N/A</v>
      </c>
      <c r="BU47" s="247" t="e">
        <v>#N/A</v>
      </c>
      <c r="BV47" s="247" t="e">
        <v>#N/A</v>
      </c>
      <c r="BW47" s="247" t="e">
        <v>#N/A</v>
      </c>
      <c r="BX47" s="247" t="e">
        <v>#N/A</v>
      </c>
      <c r="BY47" s="237" t="e">
        <v>#N/A</v>
      </c>
      <c r="BZ47" s="245" t="s">
        <v>5489</v>
      </c>
      <c r="CA47" s="245" t="e">
        <v>#N/A</v>
      </c>
      <c r="CB47" s="245" t="e">
        <v>#N/A</v>
      </c>
      <c r="CC47" s="245" t="e">
        <v>#N/A</v>
      </c>
      <c r="CD47" s="245" t="e">
        <v>#N/A</v>
      </c>
      <c r="CE47" s="245" t="e">
        <v>#N/A</v>
      </c>
      <c r="CF47" s="245" t="e">
        <v>#N/A</v>
      </c>
      <c r="CG47" s="246" t="e">
        <v>#N/A</v>
      </c>
      <c r="CH47" s="244" t="s">
        <v>5490</v>
      </c>
      <c r="CI47" s="245" t="e">
        <v>#N/A</v>
      </c>
      <c r="CJ47" s="245" t="e">
        <v>#N/A</v>
      </c>
      <c r="CK47" s="245" t="e">
        <v>#N/A</v>
      </c>
      <c r="CL47" s="245" t="e">
        <v>#N/A</v>
      </c>
      <c r="CM47" s="245" t="e">
        <v>#N/A</v>
      </c>
      <c r="CN47" s="245" t="e">
        <v>#N/A</v>
      </c>
      <c r="CO47" s="248" t="e">
        <v>#N/A</v>
      </c>
      <c r="CP47" s="245" t="s">
        <v>5491</v>
      </c>
      <c r="CQ47" s="247" t="e">
        <v>#N/A</v>
      </c>
      <c r="CR47" s="247" t="e">
        <v>#N/A</v>
      </c>
      <c r="CS47" s="247" t="e">
        <v>#N/A</v>
      </c>
      <c r="CT47" s="247" t="e">
        <v>#N/A</v>
      </c>
      <c r="CU47" s="247" t="e">
        <v>#N/A</v>
      </c>
      <c r="CV47" s="247" t="e">
        <v>#N/A</v>
      </c>
      <c r="CW47" s="237" t="e">
        <v>#N/A</v>
      </c>
      <c r="CX47" s="245" t="s">
        <v>5492</v>
      </c>
      <c r="CY47" s="241">
        <v>367000</v>
      </c>
      <c r="CZ47" s="241" t="s">
        <v>3367</v>
      </c>
      <c r="DA47" s="241" t="s">
        <v>600</v>
      </c>
      <c r="DB47" s="241">
        <v>2</v>
      </c>
      <c r="DC47" s="241" t="s">
        <v>3916</v>
      </c>
      <c r="DD47" s="241" t="s">
        <v>2841</v>
      </c>
      <c r="DE47" s="243">
        <v>44134</v>
      </c>
      <c r="DF47" s="244" t="s">
        <v>5493</v>
      </c>
      <c r="DG47" s="236">
        <v>379000</v>
      </c>
      <c r="DH47" s="247" t="s">
        <v>3367</v>
      </c>
      <c r="DI47" s="247" t="s">
        <v>600</v>
      </c>
      <c r="DJ47" s="247">
        <v>2</v>
      </c>
      <c r="DK47" s="247" t="s">
        <v>3916</v>
      </c>
      <c r="DL47" s="247" t="s">
        <v>2841</v>
      </c>
      <c r="DM47" s="237">
        <v>44134</v>
      </c>
      <c r="DN47" s="245" t="s">
        <v>5494</v>
      </c>
      <c r="DO47" s="241">
        <v>385000</v>
      </c>
      <c r="DP47" s="245" t="s">
        <v>3367</v>
      </c>
      <c r="DQ47" s="245" t="s">
        <v>600</v>
      </c>
      <c r="DR47" s="245">
        <v>2</v>
      </c>
      <c r="DS47" s="245" t="s">
        <v>3916</v>
      </c>
      <c r="DT47" s="245" t="s">
        <v>2841</v>
      </c>
      <c r="DU47" s="246">
        <v>44134</v>
      </c>
      <c r="DV47" s="244" t="s">
        <v>5495</v>
      </c>
      <c r="DW47" s="236">
        <v>307000</v>
      </c>
      <c r="DX47" s="247" t="s">
        <v>3367</v>
      </c>
      <c r="DY47" s="247" t="s">
        <v>600</v>
      </c>
      <c r="DZ47" s="247">
        <v>2</v>
      </c>
      <c r="EA47" s="247" t="s">
        <v>3916</v>
      </c>
      <c r="EB47" s="247" t="s">
        <v>2841</v>
      </c>
      <c r="EC47" s="237">
        <v>44134</v>
      </c>
      <c r="ED47" s="245" t="s">
        <v>5496</v>
      </c>
      <c r="EE47" s="241">
        <v>60000</v>
      </c>
      <c r="EF47" s="245" t="s">
        <v>3367</v>
      </c>
      <c r="EG47" s="245" t="s">
        <v>600</v>
      </c>
      <c r="EH47" s="245">
        <v>2</v>
      </c>
      <c r="EI47" s="245" t="s">
        <v>3916</v>
      </c>
      <c r="EJ47" s="245" t="s">
        <v>2841</v>
      </c>
      <c r="EK47" s="246">
        <v>44134</v>
      </c>
      <c r="EL47" s="244" t="s">
        <v>5497</v>
      </c>
      <c r="EM47" s="236">
        <v>0</v>
      </c>
      <c r="EN47" s="247" t="s">
        <v>3367</v>
      </c>
      <c r="EO47" s="247" t="s">
        <v>600</v>
      </c>
      <c r="EP47" s="247">
        <v>2</v>
      </c>
      <c r="EQ47" s="247" t="s">
        <v>3916</v>
      </c>
      <c r="ER47" s="247" t="s">
        <v>2841</v>
      </c>
      <c r="ES47" s="237">
        <v>44134</v>
      </c>
      <c r="ET47" s="245" t="s">
        <v>5498</v>
      </c>
      <c r="EU47" s="245" t="s">
        <v>393</v>
      </c>
      <c r="EV47" s="245" t="s">
        <v>393</v>
      </c>
      <c r="EW47" s="245" t="s">
        <v>393</v>
      </c>
      <c r="EX47" s="245" t="s">
        <v>393</v>
      </c>
      <c r="EY47" s="245" t="s">
        <v>3913</v>
      </c>
      <c r="EZ47" s="245" t="s">
        <v>393</v>
      </c>
      <c r="FA47" s="246">
        <v>44134</v>
      </c>
      <c r="FB47" s="244" t="s">
        <v>5499</v>
      </c>
      <c r="FC47" s="247">
        <v>1</v>
      </c>
      <c r="FD47" s="247" t="s">
        <v>2068</v>
      </c>
      <c r="FE47" s="247" t="s">
        <v>600</v>
      </c>
      <c r="FF47" s="247">
        <v>2</v>
      </c>
      <c r="FG47" s="247" t="s">
        <v>2106</v>
      </c>
      <c r="FH47" s="247" t="s">
        <v>2069</v>
      </c>
      <c r="FI47" s="237">
        <v>43868</v>
      </c>
      <c r="FJ47" s="244" t="s">
        <v>5500</v>
      </c>
      <c r="FK47" s="245" t="e">
        <v>#N/A</v>
      </c>
      <c r="FL47" s="245" t="e">
        <v>#N/A</v>
      </c>
      <c r="FM47" s="245" t="e">
        <v>#N/A</v>
      </c>
      <c r="FN47" s="245" t="e">
        <v>#N/A</v>
      </c>
      <c r="FO47" s="245" t="e">
        <v>#N/A</v>
      </c>
      <c r="FP47" s="241" t="e">
        <v>#N/A</v>
      </c>
      <c r="FQ47" s="242" t="e">
        <v>#N/A</v>
      </c>
      <c r="FR47" s="244" t="s">
        <v>5501</v>
      </c>
      <c r="FS47" s="247" t="e">
        <v>#N/A</v>
      </c>
      <c r="FT47" s="247" t="e">
        <v>#N/A</v>
      </c>
      <c r="FU47" s="247" t="e">
        <v>#N/A</v>
      </c>
      <c r="FV47" s="247" t="e">
        <v>#N/A</v>
      </c>
      <c r="FW47" s="247" t="e">
        <v>#N/A</v>
      </c>
      <c r="FX47" s="247" t="e">
        <v>#N/A</v>
      </c>
      <c r="FY47" s="237" t="e">
        <v>#N/A</v>
      </c>
      <c r="FZ47" s="245" t="s">
        <v>5502</v>
      </c>
      <c r="GA47" s="245">
        <v>0</v>
      </c>
      <c r="GB47" s="245" t="s">
        <v>2112</v>
      </c>
      <c r="GC47" s="245" t="s">
        <v>600</v>
      </c>
      <c r="GD47" s="245">
        <v>2</v>
      </c>
      <c r="GE47" s="245" t="s">
        <v>393</v>
      </c>
      <c r="GF47" s="245" t="s">
        <v>1723</v>
      </c>
      <c r="GG47" s="246">
        <v>43868</v>
      </c>
      <c r="GH47" s="244" t="s">
        <v>5503</v>
      </c>
      <c r="GI47" s="247">
        <v>0</v>
      </c>
      <c r="GJ47" s="247" t="s">
        <v>2112</v>
      </c>
      <c r="GK47" s="247" t="s">
        <v>600</v>
      </c>
      <c r="GL47" s="247">
        <v>2</v>
      </c>
      <c r="GM47" s="247" t="s">
        <v>393</v>
      </c>
      <c r="GN47" s="247" t="s">
        <v>1723</v>
      </c>
      <c r="GO47" s="237">
        <v>43868</v>
      </c>
      <c r="GP47" s="245" t="s">
        <v>5504</v>
      </c>
      <c r="GQ47" s="245">
        <v>0</v>
      </c>
      <c r="GR47" s="245" t="s">
        <v>2112</v>
      </c>
      <c r="GS47" s="245" t="s">
        <v>600</v>
      </c>
      <c r="GT47" s="245">
        <v>2</v>
      </c>
      <c r="GU47" s="245" t="s">
        <v>393</v>
      </c>
      <c r="GV47" s="245" t="s">
        <v>1723</v>
      </c>
      <c r="GW47" s="246">
        <v>43868</v>
      </c>
      <c r="GX47" s="244" t="s">
        <v>5505</v>
      </c>
      <c r="GY47" s="247">
        <v>0</v>
      </c>
      <c r="GZ47" s="247" t="s">
        <v>2112</v>
      </c>
      <c r="HA47" s="247" t="s">
        <v>600</v>
      </c>
      <c r="HB47" s="247">
        <v>2</v>
      </c>
      <c r="HC47" s="247" t="s">
        <v>393</v>
      </c>
      <c r="HD47" s="247" t="s">
        <v>1723</v>
      </c>
      <c r="HE47" s="237">
        <v>43868</v>
      </c>
      <c r="HF47" s="245" t="s">
        <v>5506</v>
      </c>
      <c r="HG47" s="245">
        <v>0</v>
      </c>
      <c r="HH47" s="245" t="s">
        <v>2112</v>
      </c>
      <c r="HI47" s="245" t="s">
        <v>600</v>
      </c>
      <c r="HJ47" s="245">
        <v>2</v>
      </c>
      <c r="HK47" s="245" t="s">
        <v>393</v>
      </c>
      <c r="HL47" s="245" t="s">
        <v>1723</v>
      </c>
      <c r="HM47" s="246">
        <v>43868</v>
      </c>
      <c r="HN47" s="244" t="s">
        <v>5507</v>
      </c>
      <c r="HO47" s="247">
        <v>0</v>
      </c>
      <c r="HP47" s="247" t="s">
        <v>2112</v>
      </c>
      <c r="HQ47" s="247" t="s">
        <v>600</v>
      </c>
      <c r="HR47" s="247">
        <v>2</v>
      </c>
      <c r="HS47" s="247" t="s">
        <v>393</v>
      </c>
      <c r="HT47" s="247" t="s">
        <v>1723</v>
      </c>
      <c r="HU47" s="237">
        <v>43868</v>
      </c>
      <c r="HV47" s="245" t="s">
        <v>5508</v>
      </c>
      <c r="HW47" s="245">
        <v>0</v>
      </c>
      <c r="HX47" s="245" t="s">
        <v>2112</v>
      </c>
      <c r="HY47" s="245" t="s">
        <v>600</v>
      </c>
      <c r="HZ47" s="245">
        <v>2</v>
      </c>
      <c r="IA47" s="245" t="s">
        <v>393</v>
      </c>
      <c r="IB47" s="245" t="s">
        <v>1723</v>
      </c>
      <c r="IC47" s="246">
        <v>43868</v>
      </c>
      <c r="ID47" s="244" t="s">
        <v>5509</v>
      </c>
      <c r="IE47" s="247">
        <v>0</v>
      </c>
      <c r="IF47" s="247" t="s">
        <v>2112</v>
      </c>
      <c r="IG47" s="247" t="s">
        <v>600</v>
      </c>
      <c r="IH47" s="247">
        <v>2</v>
      </c>
      <c r="II47" s="247" t="s">
        <v>393</v>
      </c>
      <c r="IJ47" s="247" t="s">
        <v>1723</v>
      </c>
      <c r="IK47" s="237">
        <v>43868</v>
      </c>
      <c r="IL47" s="245" t="s">
        <v>5510</v>
      </c>
      <c r="IM47" s="245">
        <v>0</v>
      </c>
      <c r="IN47" s="245" t="s">
        <v>2112</v>
      </c>
      <c r="IO47" s="245" t="s">
        <v>600</v>
      </c>
      <c r="IP47" s="245">
        <v>2</v>
      </c>
      <c r="IQ47" s="245" t="s">
        <v>393</v>
      </c>
      <c r="IR47" s="245" t="s">
        <v>1723</v>
      </c>
      <c r="IS47" s="246">
        <v>43868</v>
      </c>
    </row>
    <row r="48" spans="1:253" s="11" customFormat="1" ht="13.2" x14ac:dyDescent="0.25">
      <c r="A48" s="11" t="s">
        <v>1085</v>
      </c>
      <c r="B48" s="11" t="s">
        <v>691</v>
      </c>
      <c r="C48" s="11" t="s">
        <v>582</v>
      </c>
      <c r="D48" s="11" t="s">
        <v>105</v>
      </c>
      <c r="E48" s="11" t="s">
        <v>104</v>
      </c>
      <c r="F48" s="11" t="s">
        <v>5511</v>
      </c>
      <c r="G48" s="235">
        <v>109945000</v>
      </c>
      <c r="H48" s="236" t="s">
        <v>1887</v>
      </c>
      <c r="I48" s="236" t="s">
        <v>601</v>
      </c>
      <c r="J48" s="236">
        <v>1</v>
      </c>
      <c r="K48" s="236" t="s">
        <v>1894</v>
      </c>
      <c r="L48" s="236" t="s">
        <v>1480</v>
      </c>
      <c r="M48" s="237">
        <v>43816</v>
      </c>
      <c r="N48" s="244" t="s">
        <v>5512</v>
      </c>
      <c r="O48" s="239">
        <v>1000000</v>
      </c>
      <c r="P48" s="239" t="s">
        <v>3399</v>
      </c>
      <c r="Q48" s="239" t="s">
        <v>600</v>
      </c>
      <c r="R48" s="239">
        <v>2</v>
      </c>
      <c r="S48" s="239" t="s">
        <v>3644</v>
      </c>
      <c r="T48" s="239" t="s">
        <v>3643</v>
      </c>
      <c r="U48" s="240">
        <v>44111</v>
      </c>
      <c r="V48" s="244" t="s">
        <v>5513</v>
      </c>
      <c r="W48" s="236">
        <v>29225000</v>
      </c>
      <c r="X48" s="236" t="s">
        <v>2287</v>
      </c>
      <c r="Y48" s="236" t="s">
        <v>599</v>
      </c>
      <c r="Z48" s="236">
        <v>3</v>
      </c>
      <c r="AA48" s="236" t="s">
        <v>2289</v>
      </c>
      <c r="AB48" s="236" t="s">
        <v>2288</v>
      </c>
      <c r="AC48" s="237">
        <v>43950</v>
      </c>
      <c r="AD48" s="244" t="s">
        <v>5514</v>
      </c>
      <c r="AE48" s="241">
        <v>18770000</v>
      </c>
      <c r="AF48" s="241" t="s">
        <v>2287</v>
      </c>
      <c r="AG48" s="241" t="s">
        <v>599</v>
      </c>
      <c r="AH48" s="241">
        <v>3</v>
      </c>
      <c r="AI48" s="241" t="s">
        <v>2290</v>
      </c>
      <c r="AJ48" s="241" t="s">
        <v>2288</v>
      </c>
      <c r="AK48" s="242">
        <v>43950</v>
      </c>
      <c r="AL48" s="244" t="s">
        <v>5515</v>
      </c>
      <c r="AM48" s="236">
        <v>1735000</v>
      </c>
      <c r="AN48" s="236" t="s">
        <v>2612</v>
      </c>
      <c r="AO48" s="236" t="s">
        <v>600</v>
      </c>
      <c r="AP48" s="236">
        <v>2</v>
      </c>
      <c r="AQ48" s="236" t="s">
        <v>2614</v>
      </c>
      <c r="AR48" s="236" t="s">
        <v>2613</v>
      </c>
      <c r="AS48" s="237">
        <v>44011</v>
      </c>
      <c r="AT48" s="245" t="s">
        <v>5516</v>
      </c>
      <c r="AU48" s="241" t="s">
        <v>393</v>
      </c>
      <c r="AV48" s="241">
        <v>0</v>
      </c>
      <c r="AW48" s="241" t="s">
        <v>600</v>
      </c>
      <c r="AX48" s="241">
        <v>2</v>
      </c>
      <c r="AY48" s="241" t="s">
        <v>1064</v>
      </c>
      <c r="AZ48" s="241">
        <v>0</v>
      </c>
      <c r="BA48" s="242">
        <v>43511</v>
      </c>
      <c r="BB48" s="244" t="s">
        <v>5517</v>
      </c>
      <c r="BC48" s="236" t="s">
        <v>393</v>
      </c>
      <c r="BD48" s="236">
        <v>0</v>
      </c>
      <c r="BE48" s="236" t="s">
        <v>393</v>
      </c>
      <c r="BF48" s="236" t="s">
        <v>393</v>
      </c>
      <c r="BG48" s="236" t="s">
        <v>1611</v>
      </c>
      <c r="BH48" s="236" t="s">
        <v>393</v>
      </c>
      <c r="BI48" s="237">
        <v>43770</v>
      </c>
      <c r="BJ48" s="245" t="s">
        <v>5518</v>
      </c>
      <c r="BK48" s="245">
        <v>571</v>
      </c>
      <c r="BL48" s="245" t="s">
        <v>4098</v>
      </c>
      <c r="BM48" s="245" t="s">
        <v>600</v>
      </c>
      <c r="BN48" s="245">
        <v>2</v>
      </c>
      <c r="BO48" s="245" t="s">
        <v>4106</v>
      </c>
      <c r="BP48" s="241" t="s">
        <v>4094</v>
      </c>
      <c r="BQ48" s="246">
        <v>44140</v>
      </c>
      <c r="BR48" s="244" t="s">
        <v>5519</v>
      </c>
      <c r="BS48" s="247" t="s">
        <v>393</v>
      </c>
      <c r="BT48" s="247" t="s">
        <v>1063</v>
      </c>
      <c r="BU48" s="247" t="s">
        <v>600</v>
      </c>
      <c r="BV48" s="247">
        <v>2</v>
      </c>
      <c r="BW48" s="247" t="s">
        <v>1065</v>
      </c>
      <c r="BX48" s="247" t="s">
        <v>1068</v>
      </c>
      <c r="BY48" s="237">
        <v>43511</v>
      </c>
      <c r="BZ48" s="245" t="s">
        <v>5520</v>
      </c>
      <c r="CA48" s="245" t="s">
        <v>393</v>
      </c>
      <c r="CB48" s="245" t="s">
        <v>1063</v>
      </c>
      <c r="CC48" s="245" t="s">
        <v>600</v>
      </c>
      <c r="CD48" s="245">
        <v>2</v>
      </c>
      <c r="CE48" s="245" t="s">
        <v>1065</v>
      </c>
      <c r="CF48" s="245" t="s">
        <v>1068</v>
      </c>
      <c r="CG48" s="246">
        <v>43511</v>
      </c>
      <c r="CH48" s="244" t="s">
        <v>5521</v>
      </c>
      <c r="CI48" s="245" t="e">
        <v>#N/A</v>
      </c>
      <c r="CJ48" s="245" t="e">
        <v>#N/A</v>
      </c>
      <c r="CK48" s="245" t="e">
        <v>#N/A</v>
      </c>
      <c r="CL48" s="245" t="e">
        <v>#N/A</v>
      </c>
      <c r="CM48" s="245" t="e">
        <v>#N/A</v>
      </c>
      <c r="CN48" s="245" t="e">
        <v>#N/A</v>
      </c>
      <c r="CO48" s="248" t="e">
        <v>#N/A</v>
      </c>
      <c r="CP48" s="245" t="s">
        <v>5522</v>
      </c>
      <c r="CQ48" s="247" t="s">
        <v>393</v>
      </c>
      <c r="CR48" s="247">
        <v>0</v>
      </c>
      <c r="CS48" s="247" t="s">
        <v>600</v>
      </c>
      <c r="CT48" s="247">
        <v>2</v>
      </c>
      <c r="CU48" s="247" t="s">
        <v>1066</v>
      </c>
      <c r="CV48" s="247">
        <v>0</v>
      </c>
      <c r="CW48" s="237">
        <v>43511</v>
      </c>
      <c r="CX48" s="245" t="s">
        <v>5523</v>
      </c>
      <c r="CY48" s="241">
        <v>8474000</v>
      </c>
      <c r="CZ48" s="241" t="s">
        <v>3384</v>
      </c>
      <c r="DA48" s="241" t="s">
        <v>600</v>
      </c>
      <c r="DB48" s="241">
        <v>2</v>
      </c>
      <c r="DC48" s="241" t="s">
        <v>2821</v>
      </c>
      <c r="DD48" s="241" t="s">
        <v>2820</v>
      </c>
      <c r="DE48" s="243">
        <v>44111</v>
      </c>
      <c r="DF48" s="244" t="s">
        <v>5524</v>
      </c>
      <c r="DG48" s="236">
        <v>10455000</v>
      </c>
      <c r="DH48" s="247" t="s">
        <v>2819</v>
      </c>
      <c r="DI48" s="247" t="s">
        <v>600</v>
      </c>
      <c r="DJ48" s="247">
        <v>2</v>
      </c>
      <c r="DK48" s="247" t="s">
        <v>2821</v>
      </c>
      <c r="DL48" s="247" t="s">
        <v>2820</v>
      </c>
      <c r="DM48" s="237">
        <v>44111</v>
      </c>
      <c r="DN48" s="245" t="s">
        <v>5525</v>
      </c>
      <c r="DO48" s="241">
        <v>10296000</v>
      </c>
      <c r="DP48" s="245" t="s">
        <v>3383</v>
      </c>
      <c r="DQ48" s="245" t="s">
        <v>600</v>
      </c>
      <c r="DR48" s="245">
        <v>2</v>
      </c>
      <c r="DS48" s="245" t="s">
        <v>2821</v>
      </c>
      <c r="DT48" s="245" t="s">
        <v>2820</v>
      </c>
      <c r="DU48" s="246">
        <v>44111</v>
      </c>
      <c r="DV48" s="244" t="s">
        <v>5526</v>
      </c>
      <c r="DW48" s="236">
        <v>6497000</v>
      </c>
      <c r="DX48" s="247" t="s">
        <v>3384</v>
      </c>
      <c r="DY48" s="247" t="s">
        <v>600</v>
      </c>
      <c r="DZ48" s="247">
        <v>2</v>
      </c>
      <c r="EA48" s="247" t="s">
        <v>2821</v>
      </c>
      <c r="EB48" s="247" t="s">
        <v>2820</v>
      </c>
      <c r="EC48" s="237">
        <v>44111</v>
      </c>
      <c r="ED48" s="245" t="s">
        <v>5527</v>
      </c>
      <c r="EE48" s="241">
        <v>1977000</v>
      </c>
      <c r="EF48" s="245" t="s">
        <v>3385</v>
      </c>
      <c r="EG48" s="245" t="s">
        <v>600</v>
      </c>
      <c r="EH48" s="245">
        <v>2</v>
      </c>
      <c r="EI48" s="245" t="s">
        <v>2821</v>
      </c>
      <c r="EJ48" s="245" t="s">
        <v>2820</v>
      </c>
      <c r="EK48" s="246">
        <v>44111</v>
      </c>
      <c r="EL48" s="244" t="s">
        <v>5528</v>
      </c>
      <c r="EM48" s="236">
        <v>0</v>
      </c>
      <c r="EN48" s="247" t="s">
        <v>3386</v>
      </c>
      <c r="EO48" s="247" t="s">
        <v>600</v>
      </c>
      <c r="EP48" s="247">
        <v>2</v>
      </c>
      <c r="EQ48" s="247" t="s">
        <v>2821</v>
      </c>
      <c r="ER48" s="247" t="s">
        <v>2820</v>
      </c>
      <c r="ES48" s="237">
        <v>44111</v>
      </c>
      <c r="ET48" s="245" t="s">
        <v>5529</v>
      </c>
      <c r="EU48" s="245">
        <v>379</v>
      </c>
      <c r="EV48" s="245" t="s">
        <v>2912</v>
      </c>
      <c r="EW48" s="245" t="s">
        <v>600</v>
      </c>
      <c r="EX48" s="245">
        <v>2</v>
      </c>
      <c r="EY48" s="245" t="s">
        <v>2913</v>
      </c>
      <c r="EZ48" s="245" t="s">
        <v>2534</v>
      </c>
      <c r="FA48" s="246">
        <v>44071</v>
      </c>
      <c r="FB48" s="244" t="s">
        <v>5530</v>
      </c>
      <c r="FC48" s="247">
        <v>4</v>
      </c>
      <c r="FD48" s="247">
        <v>0</v>
      </c>
      <c r="FE48" s="247" t="s">
        <v>600</v>
      </c>
      <c r="FF48" s="247">
        <v>2</v>
      </c>
      <c r="FG48" s="247" t="s">
        <v>1067</v>
      </c>
      <c r="FH48" s="247">
        <v>0</v>
      </c>
      <c r="FI48" s="237">
        <v>43511</v>
      </c>
      <c r="FJ48" s="244" t="s">
        <v>5531</v>
      </c>
      <c r="FK48" s="245" t="s">
        <v>393</v>
      </c>
      <c r="FL48" s="245">
        <v>0</v>
      </c>
      <c r="FM48" s="245" t="s">
        <v>600</v>
      </c>
      <c r="FN48" s="245">
        <v>2</v>
      </c>
      <c r="FO48" s="245" t="s">
        <v>704</v>
      </c>
      <c r="FP48" s="241">
        <v>0</v>
      </c>
      <c r="FQ48" s="242">
        <v>43511</v>
      </c>
      <c r="FR48" s="244" t="s">
        <v>5532</v>
      </c>
      <c r="FS48" s="247" t="s">
        <v>393</v>
      </c>
      <c r="FT48" s="247">
        <v>0</v>
      </c>
      <c r="FU48" s="247" t="s">
        <v>600</v>
      </c>
      <c r="FV48" s="247">
        <v>2</v>
      </c>
      <c r="FW48" s="247" t="s">
        <v>704</v>
      </c>
      <c r="FX48" s="247">
        <v>0</v>
      </c>
      <c r="FY48" s="237">
        <v>43511</v>
      </c>
      <c r="FZ48" s="245" t="s">
        <v>5533</v>
      </c>
      <c r="GA48" s="245">
        <v>2</v>
      </c>
      <c r="GB48" s="245" t="s">
        <v>1587</v>
      </c>
      <c r="GC48" s="245" t="s">
        <v>600</v>
      </c>
      <c r="GD48" s="245">
        <v>2</v>
      </c>
      <c r="GE48" s="245" t="s">
        <v>1623</v>
      </c>
      <c r="GF48" s="245" t="s">
        <v>1624</v>
      </c>
      <c r="GG48" s="246">
        <v>43770</v>
      </c>
      <c r="GH48" s="244" t="s">
        <v>5534</v>
      </c>
      <c r="GI48" s="247">
        <v>1</v>
      </c>
      <c r="GJ48" s="247" t="s">
        <v>1587</v>
      </c>
      <c r="GK48" s="247" t="s">
        <v>600</v>
      </c>
      <c r="GL48" s="247">
        <v>2</v>
      </c>
      <c r="GM48" s="247" t="s">
        <v>1623</v>
      </c>
      <c r="GN48" s="247" t="s">
        <v>1624</v>
      </c>
      <c r="GO48" s="237">
        <v>43770</v>
      </c>
      <c r="GP48" s="245" t="s">
        <v>5535</v>
      </c>
      <c r="GQ48" s="245">
        <v>2</v>
      </c>
      <c r="GR48" s="245" t="s">
        <v>1587</v>
      </c>
      <c r="GS48" s="245" t="s">
        <v>600</v>
      </c>
      <c r="GT48" s="245">
        <v>2</v>
      </c>
      <c r="GU48" s="245" t="s">
        <v>1623</v>
      </c>
      <c r="GV48" s="245" t="s">
        <v>1624</v>
      </c>
      <c r="GW48" s="246">
        <v>43770</v>
      </c>
      <c r="GX48" s="244" t="s">
        <v>5536</v>
      </c>
      <c r="GY48" s="247">
        <v>0</v>
      </c>
      <c r="GZ48" s="247" t="s">
        <v>1587</v>
      </c>
      <c r="HA48" s="247" t="s">
        <v>600</v>
      </c>
      <c r="HB48" s="247">
        <v>2</v>
      </c>
      <c r="HC48" s="247" t="s">
        <v>1623</v>
      </c>
      <c r="HD48" s="247" t="s">
        <v>1624</v>
      </c>
      <c r="HE48" s="237">
        <v>43770</v>
      </c>
      <c r="HF48" s="245" t="s">
        <v>5537</v>
      </c>
      <c r="HG48" s="245">
        <v>2</v>
      </c>
      <c r="HH48" s="245" t="s">
        <v>1587</v>
      </c>
      <c r="HI48" s="245" t="s">
        <v>600</v>
      </c>
      <c r="HJ48" s="245">
        <v>2</v>
      </c>
      <c r="HK48" s="245" t="s">
        <v>1623</v>
      </c>
      <c r="HL48" s="245" t="s">
        <v>1624</v>
      </c>
      <c r="HM48" s="246">
        <v>43770</v>
      </c>
      <c r="HN48" s="244" t="s">
        <v>5538</v>
      </c>
      <c r="HO48" s="247" t="s">
        <v>393</v>
      </c>
      <c r="HP48" s="247" t="s">
        <v>1587</v>
      </c>
      <c r="HQ48" s="247" t="s">
        <v>393</v>
      </c>
      <c r="HR48" s="247" t="s">
        <v>393</v>
      </c>
      <c r="HS48" s="247" t="s">
        <v>1623</v>
      </c>
      <c r="HT48" s="247" t="s">
        <v>1624</v>
      </c>
      <c r="HU48" s="237">
        <v>43770</v>
      </c>
      <c r="HV48" s="245" t="s">
        <v>5539</v>
      </c>
      <c r="HW48" s="245">
        <v>2</v>
      </c>
      <c r="HX48" s="245" t="s">
        <v>1587</v>
      </c>
      <c r="HY48" s="245" t="s">
        <v>600</v>
      </c>
      <c r="HZ48" s="245">
        <v>2</v>
      </c>
      <c r="IA48" s="245" t="s">
        <v>1623</v>
      </c>
      <c r="IB48" s="245" t="s">
        <v>1624</v>
      </c>
      <c r="IC48" s="246">
        <v>43770</v>
      </c>
      <c r="ID48" s="244" t="s">
        <v>5540</v>
      </c>
      <c r="IE48" s="247">
        <v>2</v>
      </c>
      <c r="IF48" s="247" t="s">
        <v>1587</v>
      </c>
      <c r="IG48" s="247" t="s">
        <v>600</v>
      </c>
      <c r="IH48" s="247">
        <v>2</v>
      </c>
      <c r="II48" s="247" t="s">
        <v>1623</v>
      </c>
      <c r="IJ48" s="247" t="s">
        <v>1624</v>
      </c>
      <c r="IK48" s="237">
        <v>43770</v>
      </c>
      <c r="IL48" s="245" t="s">
        <v>5541</v>
      </c>
      <c r="IM48" s="245">
        <v>2</v>
      </c>
      <c r="IN48" s="245" t="s">
        <v>1587</v>
      </c>
      <c r="IO48" s="245" t="s">
        <v>600</v>
      </c>
      <c r="IP48" s="245">
        <v>2</v>
      </c>
      <c r="IQ48" s="245" t="s">
        <v>1623</v>
      </c>
      <c r="IR48" s="245" t="s">
        <v>1624</v>
      </c>
      <c r="IS48" s="246">
        <v>43770</v>
      </c>
    </row>
    <row r="49" spans="1:253" s="11" customFormat="1" ht="13.2" x14ac:dyDescent="0.25">
      <c r="A49" s="11" t="s">
        <v>2512</v>
      </c>
      <c r="B49" s="11" t="s">
        <v>1279</v>
      </c>
      <c r="C49" s="11" t="s">
        <v>2513</v>
      </c>
      <c r="D49" s="11" t="s">
        <v>105</v>
      </c>
      <c r="E49" s="11" t="s">
        <v>104</v>
      </c>
      <c r="F49" s="11" t="s">
        <v>5542</v>
      </c>
      <c r="G49" s="235">
        <v>99300000</v>
      </c>
      <c r="H49" s="236" t="s">
        <v>2529</v>
      </c>
      <c r="I49" s="236" t="s">
        <v>601</v>
      </c>
      <c r="J49" s="236">
        <v>1</v>
      </c>
      <c r="K49" s="236" t="s">
        <v>2535</v>
      </c>
      <c r="L49" s="236" t="s">
        <v>2532</v>
      </c>
      <c r="M49" s="237">
        <v>43988</v>
      </c>
      <c r="N49" s="244" t="s">
        <v>5543</v>
      </c>
      <c r="O49" s="239">
        <v>742878</v>
      </c>
      <c r="P49" s="239" t="s">
        <v>2530</v>
      </c>
      <c r="Q49" s="239" t="s">
        <v>601</v>
      </c>
      <c r="R49" s="239">
        <v>1</v>
      </c>
      <c r="S49" s="239" t="s">
        <v>2536</v>
      </c>
      <c r="T49" s="239" t="s">
        <v>2533</v>
      </c>
      <c r="U49" s="240">
        <v>43987</v>
      </c>
      <c r="V49" s="244" t="s">
        <v>5544</v>
      </c>
      <c r="W49" s="236">
        <v>61952000</v>
      </c>
      <c r="X49" s="236" t="s">
        <v>2822</v>
      </c>
      <c r="Y49" s="236" t="s">
        <v>599</v>
      </c>
      <c r="Z49" s="236">
        <v>3</v>
      </c>
      <c r="AA49" s="236" t="s">
        <v>3684</v>
      </c>
      <c r="AB49" s="236" t="s">
        <v>2824</v>
      </c>
      <c r="AC49" s="237">
        <v>44123</v>
      </c>
      <c r="AD49" s="244" t="s">
        <v>5545</v>
      </c>
      <c r="AE49" s="241">
        <v>1018000</v>
      </c>
      <c r="AF49" s="241" t="s">
        <v>3382</v>
      </c>
      <c r="AG49" s="241" t="s">
        <v>601</v>
      </c>
      <c r="AH49" s="241">
        <v>1</v>
      </c>
      <c r="AI49" s="241" t="s">
        <v>3633</v>
      </c>
      <c r="AJ49" s="241" t="s">
        <v>3632</v>
      </c>
      <c r="AK49" s="242">
        <v>44111</v>
      </c>
      <c r="AL49" s="244" t="s">
        <v>5546</v>
      </c>
      <c r="AM49" s="236">
        <v>294000</v>
      </c>
      <c r="AN49" s="236" t="s">
        <v>3382</v>
      </c>
      <c r="AO49" s="236" t="s">
        <v>601</v>
      </c>
      <c r="AP49" s="236">
        <v>1</v>
      </c>
      <c r="AQ49" s="236" t="s">
        <v>3634</v>
      </c>
      <c r="AR49" s="236" t="s">
        <v>3632</v>
      </c>
      <c r="AS49" s="237">
        <v>44111</v>
      </c>
      <c r="AT49" s="245" t="s">
        <v>5547</v>
      </c>
      <c r="AU49" s="241" t="s">
        <v>393</v>
      </c>
      <c r="AV49" s="241" t="s">
        <v>393</v>
      </c>
      <c r="AW49" s="241" t="s">
        <v>393</v>
      </c>
      <c r="AX49" s="241" t="s">
        <v>393</v>
      </c>
      <c r="AY49" s="241" t="s">
        <v>393</v>
      </c>
      <c r="AZ49" s="241" t="s">
        <v>393</v>
      </c>
      <c r="BA49" s="242">
        <v>43988</v>
      </c>
      <c r="BB49" s="244" t="s">
        <v>5548</v>
      </c>
      <c r="BC49" s="236" t="s">
        <v>393</v>
      </c>
      <c r="BD49" s="236" t="s">
        <v>393</v>
      </c>
      <c r="BE49" s="236" t="s">
        <v>393</v>
      </c>
      <c r="BF49" s="236" t="s">
        <v>393</v>
      </c>
      <c r="BG49" s="236" t="s">
        <v>393</v>
      </c>
      <c r="BH49" s="236" t="s">
        <v>393</v>
      </c>
      <c r="BI49" s="237">
        <v>43988</v>
      </c>
      <c r="BJ49" s="245" t="s">
        <v>5549</v>
      </c>
      <c r="BK49" s="245">
        <v>12</v>
      </c>
      <c r="BL49" s="245" t="s">
        <v>2531</v>
      </c>
      <c r="BM49" s="245" t="s">
        <v>600</v>
      </c>
      <c r="BN49" s="245">
        <v>2</v>
      </c>
      <c r="BO49" s="245" t="s">
        <v>2537</v>
      </c>
      <c r="BP49" s="241" t="s">
        <v>2528</v>
      </c>
      <c r="BQ49" s="246">
        <v>43987</v>
      </c>
      <c r="BR49" s="244" t="s">
        <v>5550</v>
      </c>
      <c r="BS49" s="247" t="s">
        <v>393</v>
      </c>
      <c r="BT49" s="247" t="s">
        <v>393</v>
      </c>
      <c r="BU49" s="247" t="s">
        <v>393</v>
      </c>
      <c r="BV49" s="247" t="s">
        <v>393</v>
      </c>
      <c r="BW49" s="247" t="s">
        <v>393</v>
      </c>
      <c r="BX49" s="247" t="s">
        <v>393</v>
      </c>
      <c r="BY49" s="237">
        <v>43988</v>
      </c>
      <c r="BZ49" s="245" t="s">
        <v>5551</v>
      </c>
      <c r="CA49" s="245" t="s">
        <v>393</v>
      </c>
      <c r="CB49" s="245" t="s">
        <v>393</v>
      </c>
      <c r="CC49" s="245" t="s">
        <v>393</v>
      </c>
      <c r="CD49" s="245" t="s">
        <v>393</v>
      </c>
      <c r="CE49" s="245" t="s">
        <v>393</v>
      </c>
      <c r="CF49" s="245" t="s">
        <v>393</v>
      </c>
      <c r="CG49" s="246">
        <v>43988</v>
      </c>
      <c r="CH49" s="244" t="s">
        <v>5552</v>
      </c>
      <c r="CI49" s="245" t="e">
        <v>#N/A</v>
      </c>
      <c r="CJ49" s="245" t="e">
        <v>#N/A</v>
      </c>
      <c r="CK49" s="245" t="e">
        <v>#N/A</v>
      </c>
      <c r="CL49" s="245" t="e">
        <v>#N/A</v>
      </c>
      <c r="CM49" s="245" t="e">
        <v>#N/A</v>
      </c>
      <c r="CN49" s="245" t="e">
        <v>#N/A</v>
      </c>
      <c r="CO49" s="248" t="e">
        <v>#N/A</v>
      </c>
      <c r="CP49" s="245" t="s">
        <v>5553</v>
      </c>
      <c r="CQ49" s="247" t="s">
        <v>393</v>
      </c>
      <c r="CR49" s="247" t="s">
        <v>393</v>
      </c>
      <c r="CS49" s="247" t="s">
        <v>393</v>
      </c>
      <c r="CT49" s="247" t="s">
        <v>393</v>
      </c>
      <c r="CU49" s="247" t="s">
        <v>393</v>
      </c>
      <c r="CV49" s="247" t="s">
        <v>393</v>
      </c>
      <c r="CW49" s="237">
        <v>43988</v>
      </c>
      <c r="CX49" s="245" t="s">
        <v>5554</v>
      </c>
      <c r="CY49" s="241">
        <v>401000</v>
      </c>
      <c r="CZ49" s="241" t="s">
        <v>2823</v>
      </c>
      <c r="DA49" s="241" t="s">
        <v>600</v>
      </c>
      <c r="DB49" s="241">
        <v>2</v>
      </c>
      <c r="DC49" s="241" t="s">
        <v>2826</v>
      </c>
      <c r="DD49" s="241" t="s">
        <v>2825</v>
      </c>
      <c r="DE49" s="243">
        <v>44064</v>
      </c>
      <c r="DF49" s="244" t="s">
        <v>5555</v>
      </c>
      <c r="DG49" s="236">
        <v>61221000</v>
      </c>
      <c r="DH49" s="247" t="s">
        <v>2823</v>
      </c>
      <c r="DI49" s="247" t="s">
        <v>600</v>
      </c>
      <c r="DJ49" s="247">
        <v>2</v>
      </c>
      <c r="DK49" s="247" t="s">
        <v>2826</v>
      </c>
      <c r="DL49" s="247" t="s">
        <v>2825</v>
      </c>
      <c r="DM49" s="237">
        <v>44064</v>
      </c>
      <c r="DN49" s="245" t="s">
        <v>5556</v>
      </c>
      <c r="DO49" s="241">
        <v>221000</v>
      </c>
      <c r="DP49" s="245" t="s">
        <v>2823</v>
      </c>
      <c r="DQ49" s="245" t="s">
        <v>600</v>
      </c>
      <c r="DR49" s="245">
        <v>2</v>
      </c>
      <c r="DS49" s="245" t="s">
        <v>2826</v>
      </c>
      <c r="DT49" s="245" t="s">
        <v>2825</v>
      </c>
      <c r="DU49" s="246">
        <v>44064</v>
      </c>
      <c r="DV49" s="244" t="s">
        <v>5557</v>
      </c>
      <c r="DW49" s="236">
        <v>401000</v>
      </c>
      <c r="DX49" s="247" t="s">
        <v>2823</v>
      </c>
      <c r="DY49" s="247" t="s">
        <v>600</v>
      </c>
      <c r="DZ49" s="247">
        <v>2</v>
      </c>
      <c r="EA49" s="247" t="s">
        <v>2826</v>
      </c>
      <c r="EB49" s="247" t="s">
        <v>2825</v>
      </c>
      <c r="EC49" s="237">
        <v>44064</v>
      </c>
      <c r="ED49" s="245" t="s">
        <v>5558</v>
      </c>
      <c r="EE49" s="241">
        <v>0</v>
      </c>
      <c r="EF49" s="245" t="s">
        <v>2823</v>
      </c>
      <c r="EG49" s="245" t="s">
        <v>600</v>
      </c>
      <c r="EH49" s="245">
        <v>2</v>
      </c>
      <c r="EI49" s="245" t="s">
        <v>2826</v>
      </c>
      <c r="EJ49" s="245" t="s">
        <v>2825</v>
      </c>
      <c r="EK49" s="246">
        <v>44064</v>
      </c>
      <c r="EL49" s="244" t="s">
        <v>5559</v>
      </c>
      <c r="EM49" s="236">
        <v>0</v>
      </c>
      <c r="EN49" s="247" t="s">
        <v>2823</v>
      </c>
      <c r="EO49" s="247" t="s">
        <v>600</v>
      </c>
      <c r="EP49" s="247">
        <v>2</v>
      </c>
      <c r="EQ49" s="247" t="s">
        <v>2826</v>
      </c>
      <c r="ER49" s="247" t="s">
        <v>2825</v>
      </c>
      <c r="ES49" s="237">
        <v>44064</v>
      </c>
      <c r="ET49" s="245" t="s">
        <v>5560</v>
      </c>
      <c r="EU49" s="245">
        <v>379</v>
      </c>
      <c r="EV49" s="245" t="s">
        <v>2912</v>
      </c>
      <c r="EW49" s="245" t="s">
        <v>600</v>
      </c>
      <c r="EX49" s="245">
        <v>2</v>
      </c>
      <c r="EY49" s="245" t="s">
        <v>2913</v>
      </c>
      <c r="EZ49" s="245" t="s">
        <v>2534</v>
      </c>
      <c r="FA49" s="246">
        <v>44071</v>
      </c>
      <c r="FB49" s="244" t="s">
        <v>5561</v>
      </c>
      <c r="FC49" s="247">
        <v>3</v>
      </c>
      <c r="FD49" s="247" t="s">
        <v>393</v>
      </c>
      <c r="FE49" s="247" t="s">
        <v>601</v>
      </c>
      <c r="FF49" s="247">
        <v>1</v>
      </c>
      <c r="FG49" s="247" t="s">
        <v>2527</v>
      </c>
      <c r="FH49" s="247" t="s">
        <v>393</v>
      </c>
      <c r="FI49" s="237">
        <v>43987</v>
      </c>
      <c r="FJ49" s="244" t="s">
        <v>5562</v>
      </c>
      <c r="FK49" s="245" t="s">
        <v>393</v>
      </c>
      <c r="FL49" s="245" t="s">
        <v>393</v>
      </c>
      <c r="FM49" s="245" t="s">
        <v>393</v>
      </c>
      <c r="FN49" s="245" t="s">
        <v>393</v>
      </c>
      <c r="FO49" s="245" t="s">
        <v>393</v>
      </c>
      <c r="FP49" s="241" t="s">
        <v>393</v>
      </c>
      <c r="FQ49" s="242">
        <v>43988</v>
      </c>
      <c r="FR49" s="244" t="s">
        <v>5563</v>
      </c>
      <c r="FS49" s="247" t="s">
        <v>393</v>
      </c>
      <c r="FT49" s="247" t="s">
        <v>393</v>
      </c>
      <c r="FU49" s="247" t="s">
        <v>393</v>
      </c>
      <c r="FV49" s="247" t="s">
        <v>393</v>
      </c>
      <c r="FW49" s="247" t="s">
        <v>393</v>
      </c>
      <c r="FX49" s="247" t="s">
        <v>393</v>
      </c>
      <c r="FY49" s="237">
        <v>43988</v>
      </c>
      <c r="FZ49" s="245" t="s">
        <v>5564</v>
      </c>
      <c r="GA49" s="245" t="s">
        <v>393</v>
      </c>
      <c r="GB49" s="245" t="s">
        <v>393</v>
      </c>
      <c r="GC49" s="245" t="s">
        <v>393</v>
      </c>
      <c r="GD49" s="245" t="s">
        <v>393</v>
      </c>
      <c r="GE49" s="245" t="s">
        <v>393</v>
      </c>
      <c r="GF49" s="245" t="s">
        <v>393</v>
      </c>
      <c r="GG49" s="246">
        <v>43987</v>
      </c>
      <c r="GH49" s="244" t="s">
        <v>5565</v>
      </c>
      <c r="GI49" s="247" t="s">
        <v>393</v>
      </c>
      <c r="GJ49" s="247" t="s">
        <v>393</v>
      </c>
      <c r="GK49" s="247" t="s">
        <v>393</v>
      </c>
      <c r="GL49" s="247" t="s">
        <v>393</v>
      </c>
      <c r="GM49" s="247" t="s">
        <v>393</v>
      </c>
      <c r="GN49" s="247" t="s">
        <v>393</v>
      </c>
      <c r="GO49" s="237">
        <v>43988</v>
      </c>
      <c r="GP49" s="245" t="s">
        <v>5566</v>
      </c>
      <c r="GQ49" s="245" t="s">
        <v>393</v>
      </c>
      <c r="GR49" s="245" t="s">
        <v>393</v>
      </c>
      <c r="GS49" s="245" t="s">
        <v>393</v>
      </c>
      <c r="GT49" s="245" t="s">
        <v>393</v>
      </c>
      <c r="GU49" s="245" t="s">
        <v>393</v>
      </c>
      <c r="GV49" s="245" t="s">
        <v>393</v>
      </c>
      <c r="GW49" s="246">
        <v>43987</v>
      </c>
      <c r="GX49" s="244" t="s">
        <v>5567</v>
      </c>
      <c r="GY49" s="247" t="s">
        <v>393</v>
      </c>
      <c r="GZ49" s="247" t="s">
        <v>393</v>
      </c>
      <c r="HA49" s="247" t="s">
        <v>393</v>
      </c>
      <c r="HB49" s="247" t="s">
        <v>393</v>
      </c>
      <c r="HC49" s="247" t="s">
        <v>393</v>
      </c>
      <c r="HD49" s="247" t="s">
        <v>393</v>
      </c>
      <c r="HE49" s="237">
        <v>43988</v>
      </c>
      <c r="HF49" s="245" t="s">
        <v>5568</v>
      </c>
      <c r="HG49" s="245" t="s">
        <v>393</v>
      </c>
      <c r="HH49" s="245" t="s">
        <v>393</v>
      </c>
      <c r="HI49" s="245" t="s">
        <v>393</v>
      </c>
      <c r="HJ49" s="245" t="s">
        <v>393</v>
      </c>
      <c r="HK49" s="245" t="s">
        <v>393</v>
      </c>
      <c r="HL49" s="245" t="s">
        <v>393</v>
      </c>
      <c r="HM49" s="246">
        <v>43987</v>
      </c>
      <c r="HN49" s="244" t="s">
        <v>5569</v>
      </c>
      <c r="HO49" s="247" t="s">
        <v>393</v>
      </c>
      <c r="HP49" s="247" t="s">
        <v>393</v>
      </c>
      <c r="HQ49" s="247" t="s">
        <v>393</v>
      </c>
      <c r="HR49" s="247" t="s">
        <v>393</v>
      </c>
      <c r="HS49" s="247" t="s">
        <v>393</v>
      </c>
      <c r="HT49" s="247" t="s">
        <v>393</v>
      </c>
      <c r="HU49" s="237">
        <v>43988</v>
      </c>
      <c r="HV49" s="245" t="s">
        <v>5570</v>
      </c>
      <c r="HW49" s="245" t="s">
        <v>393</v>
      </c>
      <c r="HX49" s="245" t="s">
        <v>393</v>
      </c>
      <c r="HY49" s="245" t="s">
        <v>393</v>
      </c>
      <c r="HZ49" s="245" t="s">
        <v>393</v>
      </c>
      <c r="IA49" s="245" t="s">
        <v>393</v>
      </c>
      <c r="IB49" s="245" t="s">
        <v>393</v>
      </c>
      <c r="IC49" s="246">
        <v>43987</v>
      </c>
      <c r="ID49" s="244" t="s">
        <v>5571</v>
      </c>
      <c r="IE49" s="247" t="s">
        <v>393</v>
      </c>
      <c r="IF49" s="247" t="s">
        <v>393</v>
      </c>
      <c r="IG49" s="247" t="s">
        <v>393</v>
      </c>
      <c r="IH49" s="247" t="s">
        <v>393</v>
      </c>
      <c r="II49" s="247" t="s">
        <v>393</v>
      </c>
      <c r="IJ49" s="247" t="s">
        <v>393</v>
      </c>
      <c r="IK49" s="237">
        <v>43987</v>
      </c>
      <c r="IL49" s="245" t="s">
        <v>5572</v>
      </c>
      <c r="IM49" s="245">
        <v>2</v>
      </c>
      <c r="IN49" s="245" t="s">
        <v>2538</v>
      </c>
      <c r="IO49" s="245" t="s">
        <v>601</v>
      </c>
      <c r="IP49" s="245">
        <v>1</v>
      </c>
      <c r="IQ49" s="245" t="s">
        <v>2539</v>
      </c>
      <c r="IR49" s="245" t="s">
        <v>393</v>
      </c>
      <c r="IS49" s="246">
        <v>43987</v>
      </c>
    </row>
    <row r="50" spans="1:253" s="11" customFormat="1" ht="13.2" x14ac:dyDescent="0.25">
      <c r="A50" s="11" t="s">
        <v>2643</v>
      </c>
      <c r="B50" s="11" t="s">
        <v>1280</v>
      </c>
      <c r="C50" s="11" t="s">
        <v>2644</v>
      </c>
      <c r="D50" s="11" t="s">
        <v>105</v>
      </c>
      <c r="E50" s="11" t="s">
        <v>104</v>
      </c>
      <c r="F50" s="11" t="s">
        <v>5573</v>
      </c>
      <c r="G50" s="235">
        <v>99300000</v>
      </c>
      <c r="H50" s="236" t="s">
        <v>2529</v>
      </c>
      <c r="I50" s="236" t="s">
        <v>601</v>
      </c>
      <c r="J50" s="236">
        <v>1</v>
      </c>
      <c r="K50" s="236" t="s">
        <v>2376</v>
      </c>
      <c r="L50" s="236" t="s">
        <v>2532</v>
      </c>
      <c r="M50" s="237">
        <v>44013</v>
      </c>
      <c r="N50" s="244" t="s">
        <v>5574</v>
      </c>
      <c r="O50" s="239">
        <v>907050</v>
      </c>
      <c r="P50" s="239" t="s">
        <v>2645</v>
      </c>
      <c r="Q50" s="239" t="s">
        <v>600</v>
      </c>
      <c r="R50" s="239">
        <v>2</v>
      </c>
      <c r="S50" s="239" t="s">
        <v>2647</v>
      </c>
      <c r="T50" s="239" t="s">
        <v>2646</v>
      </c>
      <c r="U50" s="240">
        <v>44013</v>
      </c>
      <c r="V50" s="244" t="s">
        <v>5575</v>
      </c>
      <c r="W50" s="236">
        <v>72381000</v>
      </c>
      <c r="X50" s="236" t="s">
        <v>2645</v>
      </c>
      <c r="Y50" s="236" t="s">
        <v>600</v>
      </c>
      <c r="Z50" s="236">
        <v>2</v>
      </c>
      <c r="AA50" s="236" t="s">
        <v>2648</v>
      </c>
      <c r="AB50" s="236" t="s">
        <v>2646</v>
      </c>
      <c r="AC50" s="237">
        <v>44013</v>
      </c>
      <c r="AD50" s="244" t="s">
        <v>5576</v>
      </c>
      <c r="AE50" s="241">
        <v>769000</v>
      </c>
      <c r="AF50" s="241" t="s">
        <v>2805</v>
      </c>
      <c r="AG50" s="241" t="s">
        <v>600</v>
      </c>
      <c r="AH50" s="241">
        <v>2</v>
      </c>
      <c r="AI50" s="241" t="s">
        <v>2290</v>
      </c>
      <c r="AJ50" s="241" t="s">
        <v>2649</v>
      </c>
      <c r="AK50" s="242">
        <v>44064</v>
      </c>
      <c r="AL50" s="244" t="s">
        <v>5577</v>
      </c>
      <c r="AM50" s="236">
        <v>769000</v>
      </c>
      <c r="AN50" s="236" t="s">
        <v>2805</v>
      </c>
      <c r="AO50" s="236" t="s">
        <v>600</v>
      </c>
      <c r="AP50" s="236">
        <v>2</v>
      </c>
      <c r="AQ50" s="236" t="s">
        <v>2650</v>
      </c>
      <c r="AR50" s="236" t="s">
        <v>2649</v>
      </c>
      <c r="AS50" s="237">
        <v>44064</v>
      </c>
      <c r="AT50" s="245" t="s">
        <v>5578</v>
      </c>
      <c r="AU50" s="241" t="s">
        <v>393</v>
      </c>
      <c r="AV50" s="241" t="s">
        <v>393</v>
      </c>
      <c r="AW50" s="241" t="s">
        <v>393</v>
      </c>
      <c r="AX50" s="241" t="s">
        <v>393</v>
      </c>
      <c r="AY50" s="241" t="s">
        <v>393</v>
      </c>
      <c r="AZ50" s="241" t="s">
        <v>393</v>
      </c>
      <c r="BA50" s="242">
        <v>44018</v>
      </c>
      <c r="BB50" s="244" t="s">
        <v>5579</v>
      </c>
      <c r="BC50" s="236" t="s">
        <v>393</v>
      </c>
      <c r="BD50" s="236" t="s">
        <v>393</v>
      </c>
      <c r="BE50" s="236" t="s">
        <v>393</v>
      </c>
      <c r="BF50" s="236" t="s">
        <v>393</v>
      </c>
      <c r="BG50" s="236" t="s">
        <v>393</v>
      </c>
      <c r="BH50" s="236" t="s">
        <v>393</v>
      </c>
      <c r="BI50" s="237">
        <v>44018</v>
      </c>
      <c r="BJ50" s="245" t="s">
        <v>5580</v>
      </c>
      <c r="BK50" s="245" t="s">
        <v>393</v>
      </c>
      <c r="BL50" s="245" t="s">
        <v>393</v>
      </c>
      <c r="BM50" s="245" t="s">
        <v>393</v>
      </c>
      <c r="BN50" s="245" t="s">
        <v>393</v>
      </c>
      <c r="BO50" s="245" t="s">
        <v>2653</v>
      </c>
      <c r="BP50" s="241" t="s">
        <v>393</v>
      </c>
      <c r="BQ50" s="246">
        <v>44013</v>
      </c>
      <c r="BR50" s="244" t="s">
        <v>5581</v>
      </c>
      <c r="BS50" s="247" t="s">
        <v>393</v>
      </c>
      <c r="BT50" s="247" t="s">
        <v>393</v>
      </c>
      <c r="BU50" s="247" t="s">
        <v>393</v>
      </c>
      <c r="BV50" s="247" t="s">
        <v>393</v>
      </c>
      <c r="BW50" s="247" t="s">
        <v>2654</v>
      </c>
      <c r="BX50" s="247" t="s">
        <v>393</v>
      </c>
      <c r="BY50" s="237">
        <v>44013</v>
      </c>
      <c r="BZ50" s="245" t="s">
        <v>5582</v>
      </c>
      <c r="CA50" s="245" t="s">
        <v>393</v>
      </c>
      <c r="CB50" s="245" t="s">
        <v>393</v>
      </c>
      <c r="CC50" s="245" t="s">
        <v>393</v>
      </c>
      <c r="CD50" s="245" t="s">
        <v>393</v>
      </c>
      <c r="CE50" s="245" t="s">
        <v>2654</v>
      </c>
      <c r="CF50" s="245" t="s">
        <v>393</v>
      </c>
      <c r="CG50" s="246">
        <v>44013</v>
      </c>
      <c r="CH50" s="244" t="s">
        <v>5583</v>
      </c>
      <c r="CI50" s="245" t="e">
        <v>#N/A</v>
      </c>
      <c r="CJ50" s="245" t="e">
        <v>#N/A</v>
      </c>
      <c r="CK50" s="245" t="e">
        <v>#N/A</v>
      </c>
      <c r="CL50" s="245" t="e">
        <v>#N/A</v>
      </c>
      <c r="CM50" s="245" t="e">
        <v>#N/A</v>
      </c>
      <c r="CN50" s="245" t="e">
        <v>#N/A</v>
      </c>
      <c r="CO50" s="248" t="e">
        <v>#N/A</v>
      </c>
      <c r="CP50" s="245" t="s">
        <v>5584</v>
      </c>
      <c r="CQ50" s="247" t="s">
        <v>393</v>
      </c>
      <c r="CR50" s="247" t="s">
        <v>393</v>
      </c>
      <c r="CS50" s="247" t="s">
        <v>393</v>
      </c>
      <c r="CT50" s="247" t="s">
        <v>393</v>
      </c>
      <c r="CU50" s="247" t="s">
        <v>2655</v>
      </c>
      <c r="CV50" s="247" t="s">
        <v>393</v>
      </c>
      <c r="CW50" s="237">
        <v>44013</v>
      </c>
      <c r="CX50" s="245" t="s">
        <v>5585</v>
      </c>
      <c r="CY50" s="241">
        <v>769000</v>
      </c>
      <c r="CZ50" s="241" t="s">
        <v>2827</v>
      </c>
      <c r="DA50" s="241" t="s">
        <v>600</v>
      </c>
      <c r="DB50" s="241">
        <v>2</v>
      </c>
      <c r="DC50" s="241" t="s">
        <v>2652</v>
      </c>
      <c r="DD50" s="241" t="s">
        <v>2651</v>
      </c>
      <c r="DE50" s="243">
        <v>44064</v>
      </c>
      <c r="DF50" s="244" t="s">
        <v>5586</v>
      </c>
      <c r="DG50" s="236">
        <v>71612000</v>
      </c>
      <c r="DH50" s="247" t="s">
        <v>2827</v>
      </c>
      <c r="DI50" s="247" t="s">
        <v>600</v>
      </c>
      <c r="DJ50" s="247">
        <v>2</v>
      </c>
      <c r="DK50" s="247" t="s">
        <v>2652</v>
      </c>
      <c r="DL50" s="247" t="s">
        <v>2651</v>
      </c>
      <c r="DM50" s="237">
        <v>44064</v>
      </c>
      <c r="DN50" s="245" t="s">
        <v>5587</v>
      </c>
      <c r="DO50" s="241">
        <v>0</v>
      </c>
      <c r="DP50" s="245" t="s">
        <v>2827</v>
      </c>
      <c r="DQ50" s="245" t="s">
        <v>600</v>
      </c>
      <c r="DR50" s="245">
        <v>2</v>
      </c>
      <c r="DS50" s="245" t="s">
        <v>2652</v>
      </c>
      <c r="DT50" s="245" t="s">
        <v>2651</v>
      </c>
      <c r="DU50" s="246">
        <v>44064</v>
      </c>
      <c r="DV50" s="244" t="s">
        <v>5588</v>
      </c>
      <c r="DW50" s="236">
        <v>769000</v>
      </c>
      <c r="DX50" s="247" t="s">
        <v>2827</v>
      </c>
      <c r="DY50" s="247" t="s">
        <v>600</v>
      </c>
      <c r="DZ50" s="247">
        <v>2</v>
      </c>
      <c r="EA50" s="247" t="s">
        <v>2652</v>
      </c>
      <c r="EB50" s="247" t="s">
        <v>2651</v>
      </c>
      <c r="EC50" s="237">
        <v>44064</v>
      </c>
      <c r="ED50" s="245" t="s">
        <v>5589</v>
      </c>
      <c r="EE50" s="241">
        <v>0</v>
      </c>
      <c r="EF50" s="245" t="s">
        <v>2827</v>
      </c>
      <c r="EG50" s="245" t="s">
        <v>600</v>
      </c>
      <c r="EH50" s="245">
        <v>2</v>
      </c>
      <c r="EI50" s="245" t="s">
        <v>2652</v>
      </c>
      <c r="EJ50" s="245" t="s">
        <v>2651</v>
      </c>
      <c r="EK50" s="246">
        <v>44064</v>
      </c>
      <c r="EL50" s="244" t="s">
        <v>5590</v>
      </c>
      <c r="EM50" s="236">
        <v>0</v>
      </c>
      <c r="EN50" s="247" t="s">
        <v>2827</v>
      </c>
      <c r="EO50" s="247" t="s">
        <v>600</v>
      </c>
      <c r="EP50" s="247">
        <v>2</v>
      </c>
      <c r="EQ50" s="247" t="s">
        <v>2652</v>
      </c>
      <c r="ER50" s="247" t="s">
        <v>2651</v>
      </c>
      <c r="ES50" s="237">
        <v>44064</v>
      </c>
      <c r="ET50" s="245" t="s">
        <v>5591</v>
      </c>
      <c r="EU50" s="245">
        <v>379</v>
      </c>
      <c r="EV50" s="245" t="s">
        <v>2912</v>
      </c>
      <c r="EW50" s="245" t="s">
        <v>600</v>
      </c>
      <c r="EX50" s="245">
        <v>2</v>
      </c>
      <c r="EY50" s="245" t="s">
        <v>2913</v>
      </c>
      <c r="EZ50" s="245" t="s">
        <v>2534</v>
      </c>
      <c r="FA50" s="246">
        <v>44071</v>
      </c>
      <c r="FB50" s="244" t="s">
        <v>5592</v>
      </c>
      <c r="FC50" s="247">
        <v>3</v>
      </c>
      <c r="FD50" s="247" t="s">
        <v>2827</v>
      </c>
      <c r="FE50" s="247" t="s">
        <v>600</v>
      </c>
      <c r="FF50" s="247">
        <v>2</v>
      </c>
      <c r="FG50" s="247" t="s">
        <v>2828</v>
      </c>
      <c r="FH50" s="247" t="s">
        <v>2651</v>
      </c>
      <c r="FI50" s="237">
        <v>44064</v>
      </c>
      <c r="FJ50" s="244" t="s">
        <v>5593</v>
      </c>
      <c r="FK50" s="245" t="s">
        <v>393</v>
      </c>
      <c r="FL50" s="245" t="s">
        <v>393</v>
      </c>
      <c r="FM50" s="245" t="s">
        <v>393</v>
      </c>
      <c r="FN50" s="245" t="s">
        <v>393</v>
      </c>
      <c r="FO50" s="245" t="s">
        <v>2655</v>
      </c>
      <c r="FP50" s="241" t="s">
        <v>393</v>
      </c>
      <c r="FQ50" s="242">
        <v>44013</v>
      </c>
      <c r="FR50" s="244" t="s">
        <v>5594</v>
      </c>
      <c r="FS50" s="247" t="s">
        <v>393</v>
      </c>
      <c r="FT50" s="247" t="s">
        <v>393</v>
      </c>
      <c r="FU50" s="247" t="s">
        <v>393</v>
      </c>
      <c r="FV50" s="247" t="s">
        <v>393</v>
      </c>
      <c r="FW50" s="247" t="s">
        <v>2655</v>
      </c>
      <c r="FX50" s="247" t="s">
        <v>393</v>
      </c>
      <c r="FY50" s="237">
        <v>44013</v>
      </c>
      <c r="FZ50" s="245" t="s">
        <v>5595</v>
      </c>
      <c r="GA50" s="245">
        <v>2</v>
      </c>
      <c r="GB50" s="245" t="s">
        <v>2096</v>
      </c>
      <c r="GC50" s="245" t="s">
        <v>600</v>
      </c>
      <c r="GD50" s="245">
        <v>2</v>
      </c>
      <c r="GE50" s="245" t="s">
        <v>2735</v>
      </c>
      <c r="GF50" s="245" t="s">
        <v>1314</v>
      </c>
      <c r="GG50" s="246">
        <v>44018</v>
      </c>
      <c r="GH50" s="244" t="s">
        <v>5596</v>
      </c>
      <c r="GI50" s="247">
        <v>1</v>
      </c>
      <c r="GJ50" s="247" t="s">
        <v>2096</v>
      </c>
      <c r="GK50" s="247" t="s">
        <v>600</v>
      </c>
      <c r="GL50" s="247">
        <v>2</v>
      </c>
      <c r="GM50" s="247" t="s">
        <v>2735</v>
      </c>
      <c r="GN50" s="247" t="s">
        <v>1314</v>
      </c>
      <c r="GO50" s="237">
        <v>44018</v>
      </c>
      <c r="GP50" s="245" t="s">
        <v>5597</v>
      </c>
      <c r="GQ50" s="245">
        <v>2</v>
      </c>
      <c r="GR50" s="245" t="s">
        <v>2096</v>
      </c>
      <c r="GS50" s="245" t="s">
        <v>600</v>
      </c>
      <c r="GT50" s="245">
        <v>2</v>
      </c>
      <c r="GU50" s="245" t="s">
        <v>2735</v>
      </c>
      <c r="GV50" s="245" t="s">
        <v>1314</v>
      </c>
      <c r="GW50" s="246">
        <v>44018</v>
      </c>
      <c r="GX50" s="244" t="s">
        <v>5598</v>
      </c>
      <c r="GY50" s="247">
        <v>0</v>
      </c>
      <c r="GZ50" s="247" t="s">
        <v>2096</v>
      </c>
      <c r="HA50" s="247" t="s">
        <v>600</v>
      </c>
      <c r="HB50" s="247">
        <v>2</v>
      </c>
      <c r="HC50" s="247" t="s">
        <v>2735</v>
      </c>
      <c r="HD50" s="247" t="s">
        <v>1314</v>
      </c>
      <c r="HE50" s="237">
        <v>44018</v>
      </c>
      <c r="HF50" s="245" t="s">
        <v>5599</v>
      </c>
      <c r="HG50" s="245">
        <v>2</v>
      </c>
      <c r="HH50" s="245" t="s">
        <v>2096</v>
      </c>
      <c r="HI50" s="245" t="s">
        <v>600</v>
      </c>
      <c r="HJ50" s="245">
        <v>2</v>
      </c>
      <c r="HK50" s="245" t="s">
        <v>2735</v>
      </c>
      <c r="HL50" s="245" t="s">
        <v>1314</v>
      </c>
      <c r="HM50" s="246">
        <v>44018</v>
      </c>
      <c r="HN50" s="244" t="s">
        <v>5600</v>
      </c>
      <c r="HO50" s="247">
        <v>2</v>
      </c>
      <c r="HP50" s="247" t="s">
        <v>2096</v>
      </c>
      <c r="HQ50" s="247" t="s">
        <v>600</v>
      </c>
      <c r="HR50" s="247">
        <v>2</v>
      </c>
      <c r="HS50" s="247" t="s">
        <v>2735</v>
      </c>
      <c r="HT50" s="247" t="s">
        <v>1314</v>
      </c>
      <c r="HU50" s="237">
        <v>44018</v>
      </c>
      <c r="HV50" s="245" t="s">
        <v>5601</v>
      </c>
      <c r="HW50" s="245">
        <v>1</v>
      </c>
      <c r="HX50" s="245" t="s">
        <v>2096</v>
      </c>
      <c r="HY50" s="245" t="s">
        <v>600</v>
      </c>
      <c r="HZ50" s="245">
        <v>2</v>
      </c>
      <c r="IA50" s="245" t="s">
        <v>2735</v>
      </c>
      <c r="IB50" s="245" t="s">
        <v>1314</v>
      </c>
      <c r="IC50" s="246">
        <v>44018</v>
      </c>
      <c r="ID50" s="244" t="s">
        <v>5602</v>
      </c>
      <c r="IE50" s="247">
        <v>3</v>
      </c>
      <c r="IF50" s="247" t="s">
        <v>2096</v>
      </c>
      <c r="IG50" s="247" t="s">
        <v>600</v>
      </c>
      <c r="IH50" s="247">
        <v>2</v>
      </c>
      <c r="II50" s="247" t="s">
        <v>2735</v>
      </c>
      <c r="IJ50" s="247" t="s">
        <v>1314</v>
      </c>
      <c r="IK50" s="237">
        <v>44018</v>
      </c>
      <c r="IL50" s="245" t="s">
        <v>5603</v>
      </c>
      <c r="IM50" s="245" t="s">
        <v>393</v>
      </c>
      <c r="IN50" s="245" t="s">
        <v>393</v>
      </c>
      <c r="IO50" s="245" t="s">
        <v>393</v>
      </c>
      <c r="IP50" s="245" t="s">
        <v>393</v>
      </c>
      <c r="IQ50" s="245" t="s">
        <v>393</v>
      </c>
      <c r="IR50" s="245" t="s">
        <v>393</v>
      </c>
      <c r="IS50" s="246">
        <v>44018</v>
      </c>
    </row>
    <row r="51" spans="1:253" s="11" customFormat="1" ht="13.2" x14ac:dyDescent="0.25">
      <c r="A51" s="11" t="s">
        <v>796</v>
      </c>
      <c r="B51" s="11" t="s">
        <v>1280</v>
      </c>
      <c r="C51" s="11" t="s">
        <v>688</v>
      </c>
      <c r="D51" s="11" t="s">
        <v>123</v>
      </c>
      <c r="E51" s="11" t="s">
        <v>122</v>
      </c>
      <c r="F51" s="11" t="s">
        <v>5604</v>
      </c>
      <c r="G51" s="235">
        <v>10881000</v>
      </c>
      <c r="H51" s="236" t="s">
        <v>2423</v>
      </c>
      <c r="I51" s="236" t="s">
        <v>601</v>
      </c>
      <c r="J51" s="236">
        <v>1</v>
      </c>
      <c r="K51" s="236" t="s">
        <v>1137</v>
      </c>
      <c r="L51" s="236" t="s">
        <v>2241</v>
      </c>
      <c r="M51" s="237">
        <v>44015</v>
      </c>
      <c r="N51" s="244" t="s">
        <v>5605</v>
      </c>
      <c r="O51" s="239">
        <v>3364.07</v>
      </c>
      <c r="P51" s="239" t="s">
        <v>1135</v>
      </c>
      <c r="Q51" s="239" t="s">
        <v>600</v>
      </c>
      <c r="R51" s="239">
        <v>2</v>
      </c>
      <c r="S51" s="239" t="s">
        <v>1310</v>
      </c>
      <c r="T51" s="239" t="s">
        <v>1136</v>
      </c>
      <c r="U51" s="240">
        <v>43585</v>
      </c>
      <c r="V51" s="244" t="s">
        <v>5606</v>
      </c>
      <c r="W51" s="236">
        <v>335000</v>
      </c>
      <c r="X51" s="236" t="s">
        <v>3315</v>
      </c>
      <c r="Y51" s="236" t="s">
        <v>601</v>
      </c>
      <c r="Z51" s="236">
        <v>1</v>
      </c>
      <c r="AA51" s="236" t="s">
        <v>1956</v>
      </c>
      <c r="AB51" s="236" t="s">
        <v>3488</v>
      </c>
      <c r="AC51" s="237">
        <v>44109</v>
      </c>
      <c r="AD51" s="244" t="s">
        <v>5607</v>
      </c>
      <c r="AE51" s="241">
        <v>121000</v>
      </c>
      <c r="AF51" s="241" t="s">
        <v>3316</v>
      </c>
      <c r="AG51" s="241" t="s">
        <v>601</v>
      </c>
      <c r="AH51" s="241">
        <v>1</v>
      </c>
      <c r="AI51" s="241" t="s">
        <v>1311</v>
      </c>
      <c r="AJ51" s="241" t="s">
        <v>3489</v>
      </c>
      <c r="AK51" s="242">
        <v>44109</v>
      </c>
      <c r="AL51" s="244" t="s">
        <v>5608</v>
      </c>
      <c r="AM51" s="236">
        <v>121000</v>
      </c>
      <c r="AN51" s="236" t="s">
        <v>3316</v>
      </c>
      <c r="AO51" s="236" t="s">
        <v>601</v>
      </c>
      <c r="AP51" s="236">
        <v>1</v>
      </c>
      <c r="AQ51" s="236" t="s">
        <v>1312</v>
      </c>
      <c r="AR51" s="236" t="s">
        <v>3489</v>
      </c>
      <c r="AS51" s="237">
        <v>44109</v>
      </c>
      <c r="AT51" s="245" t="s">
        <v>5609</v>
      </c>
      <c r="AU51" s="241">
        <v>0</v>
      </c>
      <c r="AV51" s="241" t="s">
        <v>393</v>
      </c>
      <c r="AW51" s="241" t="s">
        <v>393</v>
      </c>
      <c r="AX51" s="241" t="s">
        <v>393</v>
      </c>
      <c r="AY51" s="241" t="s">
        <v>393</v>
      </c>
      <c r="AZ51" s="241" t="s">
        <v>393</v>
      </c>
      <c r="BA51" s="242">
        <v>43585</v>
      </c>
      <c r="BB51" s="244" t="s">
        <v>5610</v>
      </c>
      <c r="BC51" s="236" t="s">
        <v>393</v>
      </c>
      <c r="BD51" s="236">
        <v>0</v>
      </c>
      <c r="BE51" s="236" t="s">
        <v>393</v>
      </c>
      <c r="BF51" s="236" t="s">
        <v>393</v>
      </c>
      <c r="BG51" s="236">
        <v>0</v>
      </c>
      <c r="BH51" s="236">
        <v>0</v>
      </c>
      <c r="BI51" s="237">
        <v>43501</v>
      </c>
      <c r="BJ51" s="245" t="s">
        <v>5611</v>
      </c>
      <c r="BK51" s="245">
        <v>19</v>
      </c>
      <c r="BL51" s="245" t="s">
        <v>4065</v>
      </c>
      <c r="BM51" s="245" t="s">
        <v>600</v>
      </c>
      <c r="BN51" s="245">
        <v>2</v>
      </c>
      <c r="BO51" s="245" t="s">
        <v>4066</v>
      </c>
      <c r="BP51" s="241" t="s">
        <v>1033</v>
      </c>
      <c r="BQ51" s="246">
        <v>44139</v>
      </c>
      <c r="BR51" s="244" t="s">
        <v>5612</v>
      </c>
      <c r="BS51" s="247" t="s">
        <v>393</v>
      </c>
      <c r="BT51" s="247">
        <v>0</v>
      </c>
      <c r="BU51" s="247" t="s">
        <v>393</v>
      </c>
      <c r="BV51" s="247" t="s">
        <v>393</v>
      </c>
      <c r="BW51" s="247">
        <v>0</v>
      </c>
      <c r="BX51" s="247">
        <v>0</v>
      </c>
      <c r="BY51" s="237">
        <v>43501</v>
      </c>
      <c r="BZ51" s="245" t="s">
        <v>5613</v>
      </c>
      <c r="CA51" s="245" t="s">
        <v>393</v>
      </c>
      <c r="CB51" s="245">
        <v>0</v>
      </c>
      <c r="CC51" s="245" t="s">
        <v>393</v>
      </c>
      <c r="CD51" s="245" t="s">
        <v>393</v>
      </c>
      <c r="CE51" s="245">
        <v>0</v>
      </c>
      <c r="CF51" s="245">
        <v>0</v>
      </c>
      <c r="CG51" s="246">
        <v>43501</v>
      </c>
      <c r="CH51" s="244" t="s">
        <v>5614</v>
      </c>
      <c r="CI51" s="245" t="e">
        <v>#N/A</v>
      </c>
      <c r="CJ51" s="245" t="e">
        <v>#N/A</v>
      </c>
      <c r="CK51" s="245" t="e">
        <v>#N/A</v>
      </c>
      <c r="CL51" s="245" t="e">
        <v>#N/A</v>
      </c>
      <c r="CM51" s="245" t="e">
        <v>#N/A</v>
      </c>
      <c r="CN51" s="245" t="e">
        <v>#N/A</v>
      </c>
      <c r="CO51" s="248" t="e">
        <v>#N/A</v>
      </c>
      <c r="CP51" s="245" t="s">
        <v>5615</v>
      </c>
      <c r="CQ51" s="247" t="s">
        <v>393</v>
      </c>
      <c r="CR51" s="247">
        <v>0</v>
      </c>
      <c r="CS51" s="247" t="s">
        <v>393</v>
      </c>
      <c r="CT51" s="247" t="s">
        <v>393</v>
      </c>
      <c r="CU51" s="247">
        <v>0</v>
      </c>
      <c r="CV51" s="247">
        <v>0</v>
      </c>
      <c r="CW51" s="237">
        <v>43501</v>
      </c>
      <c r="CX51" s="245" t="s">
        <v>5616</v>
      </c>
      <c r="CY51" s="241">
        <v>24000</v>
      </c>
      <c r="CZ51" s="241" t="s">
        <v>3317</v>
      </c>
      <c r="DA51" s="241" t="s">
        <v>600</v>
      </c>
      <c r="DB51" s="241">
        <v>2</v>
      </c>
      <c r="DC51" s="241" t="s">
        <v>3491</v>
      </c>
      <c r="DD51" s="241" t="s">
        <v>3490</v>
      </c>
      <c r="DE51" s="243">
        <v>44109</v>
      </c>
      <c r="DF51" s="244" t="s">
        <v>5617</v>
      </c>
      <c r="DG51" s="236">
        <v>214000</v>
      </c>
      <c r="DH51" s="247" t="s">
        <v>3317</v>
      </c>
      <c r="DI51" s="247" t="s">
        <v>600</v>
      </c>
      <c r="DJ51" s="247">
        <v>2</v>
      </c>
      <c r="DK51" s="247" t="s">
        <v>3491</v>
      </c>
      <c r="DL51" s="247" t="s">
        <v>3490</v>
      </c>
      <c r="DM51" s="237">
        <v>44109</v>
      </c>
      <c r="DN51" s="245" t="s">
        <v>5618</v>
      </c>
      <c r="DO51" s="241">
        <v>98000</v>
      </c>
      <c r="DP51" s="245" t="s">
        <v>3317</v>
      </c>
      <c r="DQ51" s="245" t="s">
        <v>600</v>
      </c>
      <c r="DR51" s="245">
        <v>2</v>
      </c>
      <c r="DS51" s="245" t="s">
        <v>3491</v>
      </c>
      <c r="DT51" s="245" t="s">
        <v>3490</v>
      </c>
      <c r="DU51" s="246">
        <v>44109</v>
      </c>
      <c r="DV51" s="244" t="s">
        <v>5619</v>
      </c>
      <c r="DW51" s="236">
        <v>24000</v>
      </c>
      <c r="DX51" s="247" t="s">
        <v>3317</v>
      </c>
      <c r="DY51" s="247" t="s">
        <v>600</v>
      </c>
      <c r="DZ51" s="247">
        <v>2</v>
      </c>
      <c r="EA51" s="247" t="s">
        <v>3491</v>
      </c>
      <c r="EB51" s="247" t="s">
        <v>3490</v>
      </c>
      <c r="EC51" s="237">
        <v>44109</v>
      </c>
      <c r="ED51" s="245" t="s">
        <v>5620</v>
      </c>
      <c r="EE51" s="241">
        <v>0</v>
      </c>
      <c r="EF51" s="245" t="s">
        <v>3317</v>
      </c>
      <c r="EG51" s="245" t="s">
        <v>600</v>
      </c>
      <c r="EH51" s="245">
        <v>2</v>
      </c>
      <c r="EI51" s="245" t="s">
        <v>3491</v>
      </c>
      <c r="EJ51" s="245" t="s">
        <v>3490</v>
      </c>
      <c r="EK51" s="246">
        <v>44109</v>
      </c>
      <c r="EL51" s="244" t="s">
        <v>5621</v>
      </c>
      <c r="EM51" s="236">
        <v>0</v>
      </c>
      <c r="EN51" s="247" t="s">
        <v>3317</v>
      </c>
      <c r="EO51" s="247" t="s">
        <v>600</v>
      </c>
      <c r="EP51" s="247">
        <v>2</v>
      </c>
      <c r="EQ51" s="247" t="s">
        <v>3491</v>
      </c>
      <c r="ER51" s="247" t="s">
        <v>3490</v>
      </c>
      <c r="ES51" s="237">
        <v>44109</v>
      </c>
      <c r="ET51" s="245" t="s">
        <v>5622</v>
      </c>
      <c r="EU51" s="245">
        <v>19</v>
      </c>
      <c r="EV51" s="245" t="s">
        <v>4065</v>
      </c>
      <c r="EW51" s="245" t="s">
        <v>600</v>
      </c>
      <c r="EX51" s="245">
        <v>2</v>
      </c>
      <c r="EY51" s="245" t="s">
        <v>4066</v>
      </c>
      <c r="EZ51" s="245" t="s">
        <v>1033</v>
      </c>
      <c r="FA51" s="246">
        <v>44139</v>
      </c>
      <c r="FB51" s="244" t="s">
        <v>5623</v>
      </c>
      <c r="FC51" s="247">
        <v>2</v>
      </c>
      <c r="FD51" s="247">
        <v>0</v>
      </c>
      <c r="FE51" s="247" t="s">
        <v>600</v>
      </c>
      <c r="FF51" s="247">
        <v>2</v>
      </c>
      <c r="FG51" s="247" t="s">
        <v>809</v>
      </c>
      <c r="FH51" s="247">
        <v>0</v>
      </c>
      <c r="FI51" s="237">
        <v>43501</v>
      </c>
      <c r="FJ51" s="244" t="s">
        <v>5624</v>
      </c>
      <c r="FK51" s="245" t="s">
        <v>393</v>
      </c>
      <c r="FL51" s="245">
        <v>0</v>
      </c>
      <c r="FM51" s="245" t="s">
        <v>393</v>
      </c>
      <c r="FN51" s="245" t="s">
        <v>393</v>
      </c>
      <c r="FO51" s="245">
        <v>0</v>
      </c>
      <c r="FP51" s="241">
        <v>0</v>
      </c>
      <c r="FQ51" s="242">
        <v>43501</v>
      </c>
      <c r="FR51" s="244" t="s">
        <v>5625</v>
      </c>
      <c r="FS51" s="247" t="s">
        <v>393</v>
      </c>
      <c r="FT51" s="247">
        <v>0</v>
      </c>
      <c r="FU51" s="247" t="s">
        <v>393</v>
      </c>
      <c r="FV51" s="247" t="s">
        <v>393</v>
      </c>
      <c r="FW51" s="247">
        <v>0</v>
      </c>
      <c r="FX51" s="247">
        <v>0</v>
      </c>
      <c r="FY51" s="237">
        <v>43501</v>
      </c>
      <c r="FZ51" s="245" t="s">
        <v>5626</v>
      </c>
      <c r="GA51" s="245">
        <v>0</v>
      </c>
      <c r="GB51" s="245" t="s">
        <v>2096</v>
      </c>
      <c r="GC51" s="245" t="s">
        <v>600</v>
      </c>
      <c r="GD51" s="245">
        <v>2</v>
      </c>
      <c r="GE51" s="245" t="s">
        <v>3323</v>
      </c>
      <c r="GF51" s="245" t="s">
        <v>2097</v>
      </c>
      <c r="GG51" s="246">
        <v>44140</v>
      </c>
      <c r="GH51" s="244" t="s">
        <v>5627</v>
      </c>
      <c r="GI51" s="247">
        <v>0</v>
      </c>
      <c r="GJ51" s="247" t="s">
        <v>2096</v>
      </c>
      <c r="GK51" s="247" t="s">
        <v>600</v>
      </c>
      <c r="GL51" s="247">
        <v>2</v>
      </c>
      <c r="GM51" s="247" t="s">
        <v>3323</v>
      </c>
      <c r="GN51" s="247" t="s">
        <v>2097</v>
      </c>
      <c r="GO51" s="237">
        <v>44140</v>
      </c>
      <c r="GP51" s="245" t="s">
        <v>5628</v>
      </c>
      <c r="GQ51" s="245">
        <v>1</v>
      </c>
      <c r="GR51" s="245" t="s">
        <v>2096</v>
      </c>
      <c r="GS51" s="245" t="s">
        <v>600</v>
      </c>
      <c r="GT51" s="245">
        <v>2</v>
      </c>
      <c r="GU51" s="245" t="s">
        <v>3323</v>
      </c>
      <c r="GV51" s="245" t="s">
        <v>2097</v>
      </c>
      <c r="GW51" s="246">
        <v>44140</v>
      </c>
      <c r="GX51" s="244" t="s">
        <v>5629</v>
      </c>
      <c r="GY51" s="247">
        <v>0</v>
      </c>
      <c r="GZ51" s="247" t="s">
        <v>2096</v>
      </c>
      <c r="HA51" s="247" t="s">
        <v>600</v>
      </c>
      <c r="HB51" s="247">
        <v>2</v>
      </c>
      <c r="HC51" s="247" t="s">
        <v>3323</v>
      </c>
      <c r="HD51" s="247" t="s">
        <v>2097</v>
      </c>
      <c r="HE51" s="237">
        <v>44140</v>
      </c>
      <c r="HF51" s="245" t="s">
        <v>5630</v>
      </c>
      <c r="HG51" s="245">
        <v>0</v>
      </c>
      <c r="HH51" s="245" t="s">
        <v>2096</v>
      </c>
      <c r="HI51" s="245" t="s">
        <v>600</v>
      </c>
      <c r="HJ51" s="245">
        <v>2</v>
      </c>
      <c r="HK51" s="245" t="s">
        <v>3323</v>
      </c>
      <c r="HL51" s="245" t="s">
        <v>2097</v>
      </c>
      <c r="HM51" s="246">
        <v>44140</v>
      </c>
      <c r="HN51" s="244" t="s">
        <v>5631</v>
      </c>
      <c r="HO51" s="247">
        <v>2</v>
      </c>
      <c r="HP51" s="247" t="s">
        <v>2096</v>
      </c>
      <c r="HQ51" s="247" t="s">
        <v>600</v>
      </c>
      <c r="HR51" s="247">
        <v>2</v>
      </c>
      <c r="HS51" s="247" t="s">
        <v>3323</v>
      </c>
      <c r="HT51" s="247" t="s">
        <v>2097</v>
      </c>
      <c r="HU51" s="237">
        <v>44140</v>
      </c>
      <c r="HV51" s="245" t="s">
        <v>5632</v>
      </c>
      <c r="HW51" s="245">
        <v>0</v>
      </c>
      <c r="HX51" s="245" t="s">
        <v>2096</v>
      </c>
      <c r="HY51" s="245" t="s">
        <v>600</v>
      </c>
      <c r="HZ51" s="245">
        <v>2</v>
      </c>
      <c r="IA51" s="245" t="s">
        <v>3323</v>
      </c>
      <c r="IB51" s="245" t="s">
        <v>2097</v>
      </c>
      <c r="IC51" s="246">
        <v>44140</v>
      </c>
      <c r="ID51" s="244" t="s">
        <v>5633</v>
      </c>
      <c r="IE51" s="247">
        <v>0</v>
      </c>
      <c r="IF51" s="247" t="s">
        <v>2096</v>
      </c>
      <c r="IG51" s="247" t="s">
        <v>600</v>
      </c>
      <c r="IH51" s="247">
        <v>2</v>
      </c>
      <c r="II51" s="247" t="s">
        <v>3323</v>
      </c>
      <c r="IJ51" s="247" t="s">
        <v>2097</v>
      </c>
      <c r="IK51" s="237">
        <v>44140</v>
      </c>
      <c r="IL51" s="245" t="s">
        <v>5634</v>
      </c>
      <c r="IM51" s="245">
        <v>0</v>
      </c>
      <c r="IN51" s="245" t="s">
        <v>2096</v>
      </c>
      <c r="IO51" s="245" t="s">
        <v>600</v>
      </c>
      <c r="IP51" s="245">
        <v>2</v>
      </c>
      <c r="IQ51" s="245" t="s">
        <v>3323</v>
      </c>
      <c r="IR51" s="245" t="s">
        <v>2097</v>
      </c>
      <c r="IS51" s="246">
        <v>44140</v>
      </c>
    </row>
    <row r="52" spans="1:253" s="11" customFormat="1" ht="13.2" x14ac:dyDescent="0.25">
      <c r="A52" s="11" t="s">
        <v>1086</v>
      </c>
      <c r="B52" s="11" t="s">
        <v>691</v>
      </c>
      <c r="C52" s="11" t="s">
        <v>1745</v>
      </c>
      <c r="D52" s="11" t="s">
        <v>127</v>
      </c>
      <c r="E52" s="11" t="s">
        <v>126</v>
      </c>
      <c r="F52" s="11" t="s">
        <v>5635</v>
      </c>
      <c r="G52" s="235">
        <v>14900000</v>
      </c>
      <c r="H52" s="236" t="s">
        <v>3330</v>
      </c>
      <c r="I52" s="236" t="s">
        <v>601</v>
      </c>
      <c r="J52" s="236">
        <v>1</v>
      </c>
      <c r="K52" s="236" t="s">
        <v>3552</v>
      </c>
      <c r="L52" s="236" t="s">
        <v>3535</v>
      </c>
      <c r="M52" s="237">
        <v>44110</v>
      </c>
      <c r="N52" s="244" t="s">
        <v>5636</v>
      </c>
      <c r="O52" s="239">
        <v>107160</v>
      </c>
      <c r="P52" s="239" t="s">
        <v>3400</v>
      </c>
      <c r="Q52" s="239" t="s">
        <v>601</v>
      </c>
      <c r="R52" s="239">
        <v>1</v>
      </c>
      <c r="S52" s="239" t="s">
        <v>2377</v>
      </c>
      <c r="T52" s="239" t="s">
        <v>3646</v>
      </c>
      <c r="U52" s="240">
        <v>44111</v>
      </c>
      <c r="V52" s="244" t="s">
        <v>5637</v>
      </c>
      <c r="W52" s="236">
        <v>14900000</v>
      </c>
      <c r="X52" s="236" t="s">
        <v>3330</v>
      </c>
      <c r="Y52" s="236" t="s">
        <v>601</v>
      </c>
      <c r="Z52" s="236">
        <v>1</v>
      </c>
      <c r="AA52" s="236" t="s">
        <v>3553</v>
      </c>
      <c r="AB52" s="236" t="s">
        <v>3535</v>
      </c>
      <c r="AC52" s="237">
        <v>44110</v>
      </c>
      <c r="AD52" s="244" t="s">
        <v>5638</v>
      </c>
      <c r="AE52" s="241">
        <v>5500000</v>
      </c>
      <c r="AF52" s="241" t="s">
        <v>3330</v>
      </c>
      <c r="AG52" s="241" t="s">
        <v>601</v>
      </c>
      <c r="AH52" s="241">
        <v>1</v>
      </c>
      <c r="AI52" s="241" t="s">
        <v>3554</v>
      </c>
      <c r="AJ52" s="241" t="s">
        <v>3535</v>
      </c>
      <c r="AK52" s="242">
        <v>44110</v>
      </c>
      <c r="AL52" s="244" t="s">
        <v>5639</v>
      </c>
      <c r="AM52" s="236">
        <v>242000</v>
      </c>
      <c r="AN52" s="236" t="s">
        <v>1359</v>
      </c>
      <c r="AO52" s="236" t="s">
        <v>600</v>
      </c>
      <c r="AP52" s="236">
        <v>2</v>
      </c>
      <c r="AQ52" s="236" t="s">
        <v>1360</v>
      </c>
      <c r="AR52" s="236" t="s">
        <v>1361</v>
      </c>
      <c r="AS52" s="237">
        <v>44110</v>
      </c>
      <c r="AT52" s="245" t="s">
        <v>5640</v>
      </c>
      <c r="AU52" s="241" t="s">
        <v>393</v>
      </c>
      <c r="AV52" s="241">
        <v>0</v>
      </c>
      <c r="AW52" s="241" t="s">
        <v>600</v>
      </c>
      <c r="AX52" s="241">
        <v>2</v>
      </c>
      <c r="AY52" s="241">
        <v>0</v>
      </c>
      <c r="AZ52" s="241">
        <v>0</v>
      </c>
      <c r="BA52" s="242">
        <v>43510</v>
      </c>
      <c r="BB52" s="244" t="s">
        <v>5641</v>
      </c>
      <c r="BC52" s="236">
        <v>1678</v>
      </c>
      <c r="BD52" s="236" t="s">
        <v>3336</v>
      </c>
      <c r="BE52" s="236" t="s">
        <v>601</v>
      </c>
      <c r="BF52" s="236">
        <v>1</v>
      </c>
      <c r="BG52" s="236" t="s">
        <v>3555</v>
      </c>
      <c r="BH52" s="236" t="s">
        <v>1598</v>
      </c>
      <c r="BI52" s="237">
        <v>44110</v>
      </c>
      <c r="BJ52" s="245" t="s">
        <v>5642</v>
      </c>
      <c r="BK52" s="245">
        <v>1661</v>
      </c>
      <c r="BL52" s="245" t="s">
        <v>3337</v>
      </c>
      <c r="BM52" s="245" t="s">
        <v>600</v>
      </c>
      <c r="BN52" s="245">
        <v>2</v>
      </c>
      <c r="BO52" s="245" t="s">
        <v>3556</v>
      </c>
      <c r="BP52" s="241" t="s">
        <v>2014</v>
      </c>
      <c r="BQ52" s="246">
        <v>44110</v>
      </c>
      <c r="BR52" s="244" t="s">
        <v>5643</v>
      </c>
      <c r="BS52" s="247">
        <v>0</v>
      </c>
      <c r="BT52" s="247">
        <v>0</v>
      </c>
      <c r="BU52" s="247" t="s">
        <v>600</v>
      </c>
      <c r="BV52" s="247">
        <v>2</v>
      </c>
      <c r="BW52" s="247">
        <v>0</v>
      </c>
      <c r="BX52" s="247">
        <v>0</v>
      </c>
      <c r="BY52" s="237">
        <v>43510</v>
      </c>
      <c r="BZ52" s="245" t="s">
        <v>5644</v>
      </c>
      <c r="CA52" s="245">
        <v>0</v>
      </c>
      <c r="CB52" s="245">
        <v>0</v>
      </c>
      <c r="CC52" s="245" t="s">
        <v>600</v>
      </c>
      <c r="CD52" s="245">
        <v>2</v>
      </c>
      <c r="CE52" s="245">
        <v>0</v>
      </c>
      <c r="CF52" s="245">
        <v>0</v>
      </c>
      <c r="CG52" s="246">
        <v>43510</v>
      </c>
      <c r="CH52" s="244" t="s">
        <v>5645</v>
      </c>
      <c r="CI52" s="245" t="e">
        <v>#N/A</v>
      </c>
      <c r="CJ52" s="245" t="e">
        <v>#N/A</v>
      </c>
      <c r="CK52" s="245" t="e">
        <v>#N/A</v>
      </c>
      <c r="CL52" s="245" t="e">
        <v>#N/A</v>
      </c>
      <c r="CM52" s="245" t="e">
        <v>#N/A</v>
      </c>
      <c r="CN52" s="245" t="e">
        <v>#N/A</v>
      </c>
      <c r="CO52" s="248" t="e">
        <v>#N/A</v>
      </c>
      <c r="CP52" s="245" t="s">
        <v>5646</v>
      </c>
      <c r="CQ52" s="247" t="s">
        <v>393</v>
      </c>
      <c r="CR52" s="247">
        <v>0</v>
      </c>
      <c r="CS52" s="247" t="s">
        <v>600</v>
      </c>
      <c r="CT52" s="247">
        <v>2</v>
      </c>
      <c r="CU52" s="247">
        <v>0</v>
      </c>
      <c r="CV52" s="247">
        <v>0</v>
      </c>
      <c r="CW52" s="237">
        <v>43510</v>
      </c>
      <c r="CX52" s="245" t="s">
        <v>5647</v>
      </c>
      <c r="CY52" s="241">
        <v>3300000</v>
      </c>
      <c r="CZ52" s="241" t="s">
        <v>3330</v>
      </c>
      <c r="DA52" s="241" t="s">
        <v>600</v>
      </c>
      <c r="DB52" s="241">
        <v>2</v>
      </c>
      <c r="DC52" s="241" t="s">
        <v>3557</v>
      </c>
      <c r="DD52" s="241" t="s">
        <v>3535</v>
      </c>
      <c r="DE52" s="243">
        <v>44110</v>
      </c>
      <c r="DF52" s="244" t="s">
        <v>5648</v>
      </c>
      <c r="DG52" s="236">
        <v>9104000</v>
      </c>
      <c r="DH52" s="247" t="s">
        <v>3330</v>
      </c>
      <c r="DI52" s="247" t="s">
        <v>600</v>
      </c>
      <c r="DJ52" s="247">
        <v>2</v>
      </c>
      <c r="DK52" s="247" t="s">
        <v>3557</v>
      </c>
      <c r="DL52" s="247" t="s">
        <v>3535</v>
      </c>
      <c r="DM52" s="237">
        <v>44110</v>
      </c>
      <c r="DN52" s="245" t="s">
        <v>5649</v>
      </c>
      <c r="DO52" s="241">
        <v>2496000</v>
      </c>
      <c r="DP52" s="245" t="s">
        <v>3330</v>
      </c>
      <c r="DQ52" s="245" t="s">
        <v>600</v>
      </c>
      <c r="DR52" s="245">
        <v>2</v>
      </c>
      <c r="DS52" s="245" t="s">
        <v>3557</v>
      </c>
      <c r="DT52" s="245" t="s">
        <v>3535</v>
      </c>
      <c r="DU52" s="246">
        <v>44110</v>
      </c>
      <c r="DV52" s="244" t="s">
        <v>5650</v>
      </c>
      <c r="DW52" s="236">
        <v>3074000</v>
      </c>
      <c r="DX52" s="247" t="s">
        <v>3330</v>
      </c>
      <c r="DY52" s="247" t="s">
        <v>600</v>
      </c>
      <c r="DZ52" s="247">
        <v>2</v>
      </c>
      <c r="EA52" s="247" t="s">
        <v>3557</v>
      </c>
      <c r="EB52" s="247" t="s">
        <v>3535</v>
      </c>
      <c r="EC52" s="237">
        <v>44110</v>
      </c>
      <c r="ED52" s="245" t="s">
        <v>5651</v>
      </c>
      <c r="EE52" s="241">
        <v>226000</v>
      </c>
      <c r="EF52" s="245" t="s">
        <v>3330</v>
      </c>
      <c r="EG52" s="245" t="s">
        <v>600</v>
      </c>
      <c r="EH52" s="245">
        <v>2</v>
      </c>
      <c r="EI52" s="245" t="s">
        <v>3557</v>
      </c>
      <c r="EJ52" s="245" t="s">
        <v>3535</v>
      </c>
      <c r="EK52" s="246">
        <v>44110</v>
      </c>
      <c r="EL52" s="244" t="s">
        <v>5652</v>
      </c>
      <c r="EM52" s="236">
        <v>0</v>
      </c>
      <c r="EN52" s="247" t="s">
        <v>3330</v>
      </c>
      <c r="EO52" s="247" t="s">
        <v>600</v>
      </c>
      <c r="EP52" s="247">
        <v>2</v>
      </c>
      <c r="EQ52" s="247" t="s">
        <v>3557</v>
      </c>
      <c r="ER52" s="247" t="s">
        <v>3535</v>
      </c>
      <c r="ES52" s="237">
        <v>44110</v>
      </c>
      <c r="ET52" s="245" t="s">
        <v>5653</v>
      </c>
      <c r="EU52" s="245">
        <v>1661</v>
      </c>
      <c r="EV52" s="245" t="s">
        <v>3337</v>
      </c>
      <c r="EW52" s="245" t="s">
        <v>600</v>
      </c>
      <c r="EX52" s="245">
        <v>2</v>
      </c>
      <c r="EY52" s="245" t="s">
        <v>3556</v>
      </c>
      <c r="EZ52" s="245" t="s">
        <v>2014</v>
      </c>
      <c r="FA52" s="246">
        <v>44110</v>
      </c>
      <c r="FB52" s="244" t="s">
        <v>5654</v>
      </c>
      <c r="FC52" s="247">
        <v>3</v>
      </c>
      <c r="FD52" s="247" t="s">
        <v>1149</v>
      </c>
      <c r="FE52" s="247" t="s">
        <v>600</v>
      </c>
      <c r="FF52" s="247">
        <v>2</v>
      </c>
      <c r="FG52" s="247" t="s">
        <v>1421</v>
      </c>
      <c r="FH52" s="247" t="s">
        <v>1149</v>
      </c>
      <c r="FI52" s="237">
        <v>43644</v>
      </c>
      <c r="FJ52" s="244" t="s">
        <v>5655</v>
      </c>
      <c r="FK52" s="245" t="s">
        <v>393</v>
      </c>
      <c r="FL52" s="245">
        <v>0</v>
      </c>
      <c r="FM52" s="245" t="s">
        <v>600</v>
      </c>
      <c r="FN52" s="245">
        <v>2</v>
      </c>
      <c r="FO52" s="245">
        <v>0</v>
      </c>
      <c r="FP52" s="241">
        <v>0</v>
      </c>
      <c r="FQ52" s="242">
        <v>43510</v>
      </c>
      <c r="FR52" s="244" t="s">
        <v>5656</v>
      </c>
      <c r="FS52" s="247" t="s">
        <v>393</v>
      </c>
      <c r="FT52" s="247">
        <v>0</v>
      </c>
      <c r="FU52" s="247" t="s">
        <v>600</v>
      </c>
      <c r="FV52" s="247">
        <v>2</v>
      </c>
      <c r="FW52" s="247">
        <v>0</v>
      </c>
      <c r="FX52" s="247">
        <v>0</v>
      </c>
      <c r="FY52" s="237">
        <v>43510</v>
      </c>
      <c r="FZ52" s="245" t="s">
        <v>5657</v>
      </c>
      <c r="GA52" s="245">
        <v>0</v>
      </c>
      <c r="GB52" s="245" t="s">
        <v>1587</v>
      </c>
      <c r="GC52" s="245" t="s">
        <v>601</v>
      </c>
      <c r="GD52" s="245">
        <v>1</v>
      </c>
      <c r="GE52" s="245" t="s">
        <v>1623</v>
      </c>
      <c r="GF52" s="245" t="s">
        <v>1624</v>
      </c>
      <c r="GG52" s="246">
        <v>43769</v>
      </c>
      <c r="GH52" s="244" t="s">
        <v>5658</v>
      </c>
      <c r="GI52" s="247">
        <v>1</v>
      </c>
      <c r="GJ52" s="247" t="s">
        <v>1587</v>
      </c>
      <c r="GK52" s="247" t="s">
        <v>601</v>
      </c>
      <c r="GL52" s="247">
        <v>1</v>
      </c>
      <c r="GM52" s="247" t="s">
        <v>1623</v>
      </c>
      <c r="GN52" s="247" t="s">
        <v>1624</v>
      </c>
      <c r="GO52" s="237">
        <v>43769</v>
      </c>
      <c r="GP52" s="245" t="s">
        <v>5659</v>
      </c>
      <c r="GQ52" s="245">
        <v>0</v>
      </c>
      <c r="GR52" s="245" t="s">
        <v>1587</v>
      </c>
      <c r="GS52" s="245">
        <v>0</v>
      </c>
      <c r="GT52" s="245" t="b">
        <v>0</v>
      </c>
      <c r="GU52" s="245" t="s">
        <v>1623</v>
      </c>
      <c r="GV52" s="245" t="s">
        <v>1624</v>
      </c>
      <c r="GW52" s="246">
        <v>43769</v>
      </c>
      <c r="GX52" s="244" t="s">
        <v>5660</v>
      </c>
      <c r="GY52" s="247">
        <v>1</v>
      </c>
      <c r="GZ52" s="247" t="s">
        <v>1587</v>
      </c>
      <c r="HA52" s="247" t="s">
        <v>601</v>
      </c>
      <c r="HB52" s="247">
        <v>1</v>
      </c>
      <c r="HC52" s="247" t="s">
        <v>1623</v>
      </c>
      <c r="HD52" s="247" t="s">
        <v>1624</v>
      </c>
      <c r="HE52" s="237">
        <v>43769</v>
      </c>
      <c r="HF52" s="245" t="s">
        <v>5661</v>
      </c>
      <c r="HG52" s="245">
        <v>0</v>
      </c>
      <c r="HH52" s="245" t="s">
        <v>1587</v>
      </c>
      <c r="HI52" s="245" t="s">
        <v>601</v>
      </c>
      <c r="HJ52" s="245">
        <v>1</v>
      </c>
      <c r="HK52" s="245" t="s">
        <v>1623</v>
      </c>
      <c r="HL52" s="245" t="s">
        <v>1624</v>
      </c>
      <c r="HM52" s="246">
        <v>43769</v>
      </c>
      <c r="HN52" s="244" t="s">
        <v>5662</v>
      </c>
      <c r="HO52" s="247">
        <v>2</v>
      </c>
      <c r="HP52" s="247" t="s">
        <v>1587</v>
      </c>
      <c r="HQ52" s="247" t="s">
        <v>601</v>
      </c>
      <c r="HR52" s="247">
        <v>1</v>
      </c>
      <c r="HS52" s="247" t="s">
        <v>1623</v>
      </c>
      <c r="HT52" s="247" t="s">
        <v>1624</v>
      </c>
      <c r="HU52" s="237">
        <v>43769</v>
      </c>
      <c r="HV52" s="245" t="s">
        <v>5663</v>
      </c>
      <c r="HW52" s="245">
        <v>0</v>
      </c>
      <c r="HX52" s="245" t="s">
        <v>1587</v>
      </c>
      <c r="HY52" s="245" t="s">
        <v>601</v>
      </c>
      <c r="HZ52" s="245">
        <v>1</v>
      </c>
      <c r="IA52" s="245" t="s">
        <v>1623</v>
      </c>
      <c r="IB52" s="245" t="s">
        <v>1624</v>
      </c>
      <c r="IC52" s="246">
        <v>43769</v>
      </c>
      <c r="ID52" s="244" t="s">
        <v>5664</v>
      </c>
      <c r="IE52" s="247">
        <v>0</v>
      </c>
      <c r="IF52" s="247" t="s">
        <v>1587</v>
      </c>
      <c r="IG52" s="247" t="s">
        <v>601</v>
      </c>
      <c r="IH52" s="247">
        <v>1</v>
      </c>
      <c r="II52" s="247" t="s">
        <v>1623</v>
      </c>
      <c r="IJ52" s="247" t="s">
        <v>1624</v>
      </c>
      <c r="IK52" s="237">
        <v>43769</v>
      </c>
      <c r="IL52" s="245" t="s">
        <v>5665</v>
      </c>
      <c r="IM52" s="245">
        <v>1</v>
      </c>
      <c r="IN52" s="245" t="s">
        <v>1587</v>
      </c>
      <c r="IO52" s="245" t="s">
        <v>601</v>
      </c>
      <c r="IP52" s="245">
        <v>1</v>
      </c>
      <c r="IQ52" s="245" t="s">
        <v>1623</v>
      </c>
      <c r="IR52" s="245" t="s">
        <v>1624</v>
      </c>
      <c r="IS52" s="246">
        <v>43769</v>
      </c>
    </row>
    <row r="53" spans="1:253" s="11" customFormat="1" ht="13.2" x14ac:dyDescent="0.25">
      <c r="A53" s="11" t="s">
        <v>1087</v>
      </c>
      <c r="B53" s="11" t="s">
        <v>691</v>
      </c>
      <c r="C53" s="11" t="s">
        <v>583</v>
      </c>
      <c r="D53" s="11" t="s">
        <v>134</v>
      </c>
      <c r="E53" s="11" t="s">
        <v>133</v>
      </c>
      <c r="F53" s="11" t="s">
        <v>5666</v>
      </c>
      <c r="G53" s="235">
        <v>10900000</v>
      </c>
      <c r="H53" s="236" t="s">
        <v>3363</v>
      </c>
      <c r="I53" s="236" t="s">
        <v>601</v>
      </c>
      <c r="J53" s="236">
        <v>1</v>
      </c>
      <c r="K53" s="236" t="s">
        <v>3594</v>
      </c>
      <c r="L53" s="236" t="s">
        <v>3593</v>
      </c>
      <c r="M53" s="237">
        <v>44110</v>
      </c>
      <c r="N53" s="244" t="s">
        <v>5667</v>
      </c>
      <c r="O53" s="239">
        <v>27166</v>
      </c>
      <c r="P53" s="239" t="s">
        <v>722</v>
      </c>
      <c r="Q53" s="239" t="s">
        <v>601</v>
      </c>
      <c r="R53" s="239">
        <v>1</v>
      </c>
      <c r="S53" s="239" t="s">
        <v>716</v>
      </c>
      <c r="T53" s="239" t="s">
        <v>723</v>
      </c>
      <c r="U53" s="240">
        <v>43493</v>
      </c>
      <c r="V53" s="244" t="s">
        <v>5668</v>
      </c>
      <c r="W53" s="236">
        <v>10900000</v>
      </c>
      <c r="X53" s="236" t="s">
        <v>3363</v>
      </c>
      <c r="Y53" s="236" t="s">
        <v>601</v>
      </c>
      <c r="Z53" s="236">
        <v>1</v>
      </c>
      <c r="AA53" s="236" t="s">
        <v>3594</v>
      </c>
      <c r="AB53" s="236" t="s">
        <v>3593</v>
      </c>
      <c r="AC53" s="237">
        <v>44110</v>
      </c>
      <c r="AD53" s="244" t="s">
        <v>5669</v>
      </c>
      <c r="AE53" s="241">
        <v>6300000</v>
      </c>
      <c r="AF53" s="241" t="s">
        <v>3363</v>
      </c>
      <c r="AG53" s="241" t="s">
        <v>600</v>
      </c>
      <c r="AH53" s="241">
        <v>2</v>
      </c>
      <c r="AI53" s="241" t="s">
        <v>3595</v>
      </c>
      <c r="AJ53" s="241" t="s">
        <v>3593</v>
      </c>
      <c r="AK53" s="242">
        <v>44110</v>
      </c>
      <c r="AL53" s="244" t="s">
        <v>5670</v>
      </c>
      <c r="AM53" s="236">
        <v>53000</v>
      </c>
      <c r="AN53" s="236" t="s">
        <v>3364</v>
      </c>
      <c r="AO53" s="236" t="s">
        <v>599</v>
      </c>
      <c r="AP53" s="236">
        <v>3</v>
      </c>
      <c r="AQ53" s="236" t="s">
        <v>3597</v>
      </c>
      <c r="AR53" s="236" t="s">
        <v>3596</v>
      </c>
      <c r="AS53" s="237">
        <v>44110</v>
      </c>
      <c r="AT53" s="245" t="s">
        <v>5671</v>
      </c>
      <c r="AU53" s="241" t="s">
        <v>393</v>
      </c>
      <c r="AV53" s="241" t="s">
        <v>393</v>
      </c>
      <c r="AW53" s="241" t="s">
        <v>393</v>
      </c>
      <c r="AX53" s="241" t="s">
        <v>393</v>
      </c>
      <c r="AY53" s="241" t="s">
        <v>1428</v>
      </c>
      <c r="AZ53" s="241" t="s">
        <v>393</v>
      </c>
      <c r="BA53" s="242">
        <v>43644</v>
      </c>
      <c r="BB53" s="244" t="s">
        <v>5672</v>
      </c>
      <c r="BC53" s="236" t="s">
        <v>393</v>
      </c>
      <c r="BD53" s="236" t="s">
        <v>393</v>
      </c>
      <c r="BE53" s="236" t="s">
        <v>393</v>
      </c>
      <c r="BF53" s="236" t="s">
        <v>393</v>
      </c>
      <c r="BG53" s="236" t="s">
        <v>393</v>
      </c>
      <c r="BH53" s="236" t="s">
        <v>393</v>
      </c>
      <c r="BI53" s="237">
        <v>43759</v>
      </c>
      <c r="BJ53" s="245" t="s">
        <v>5673</v>
      </c>
      <c r="BK53" s="245">
        <v>222</v>
      </c>
      <c r="BL53" s="245" t="s">
        <v>3365</v>
      </c>
      <c r="BM53" s="245" t="s">
        <v>599</v>
      </c>
      <c r="BN53" s="245">
        <v>3</v>
      </c>
      <c r="BO53" s="245" t="s">
        <v>3598</v>
      </c>
      <c r="BP53" s="241" t="s">
        <v>2205</v>
      </c>
      <c r="BQ53" s="246">
        <v>44110</v>
      </c>
      <c r="BR53" s="244" t="s">
        <v>5674</v>
      </c>
      <c r="BS53" s="247" t="s">
        <v>393</v>
      </c>
      <c r="BT53" s="247">
        <v>0</v>
      </c>
      <c r="BU53" s="247" t="s">
        <v>393</v>
      </c>
      <c r="BV53" s="247" t="s">
        <v>393</v>
      </c>
      <c r="BW53" s="247">
        <v>0</v>
      </c>
      <c r="BX53" s="247">
        <v>0</v>
      </c>
      <c r="BY53" s="237">
        <v>43493</v>
      </c>
      <c r="BZ53" s="245" t="s">
        <v>5675</v>
      </c>
      <c r="CA53" s="245" t="s">
        <v>393</v>
      </c>
      <c r="CB53" s="245">
        <v>0</v>
      </c>
      <c r="CC53" s="245" t="s">
        <v>393</v>
      </c>
      <c r="CD53" s="245" t="s">
        <v>393</v>
      </c>
      <c r="CE53" s="245">
        <v>0</v>
      </c>
      <c r="CF53" s="245">
        <v>0</v>
      </c>
      <c r="CG53" s="246">
        <v>43493</v>
      </c>
      <c r="CH53" s="244" t="s">
        <v>5676</v>
      </c>
      <c r="CI53" s="245" t="e">
        <v>#N/A</v>
      </c>
      <c r="CJ53" s="245" t="e">
        <v>#N/A</v>
      </c>
      <c r="CK53" s="245" t="e">
        <v>#N/A</v>
      </c>
      <c r="CL53" s="245" t="e">
        <v>#N/A</v>
      </c>
      <c r="CM53" s="245" t="e">
        <v>#N/A</v>
      </c>
      <c r="CN53" s="245" t="e">
        <v>#N/A</v>
      </c>
      <c r="CO53" s="248" t="e">
        <v>#N/A</v>
      </c>
      <c r="CP53" s="245" t="s">
        <v>5677</v>
      </c>
      <c r="CQ53" s="247" t="s">
        <v>393</v>
      </c>
      <c r="CR53" s="247">
        <v>0</v>
      </c>
      <c r="CS53" s="247" t="s">
        <v>393</v>
      </c>
      <c r="CT53" s="247" t="s">
        <v>393</v>
      </c>
      <c r="CU53" s="247">
        <v>0</v>
      </c>
      <c r="CV53" s="247">
        <v>0</v>
      </c>
      <c r="CW53" s="237">
        <v>43493</v>
      </c>
      <c r="CX53" s="245" t="s">
        <v>5678</v>
      </c>
      <c r="CY53" s="241">
        <v>4000000</v>
      </c>
      <c r="CZ53" s="241" t="s">
        <v>3366</v>
      </c>
      <c r="DA53" s="241" t="s">
        <v>600</v>
      </c>
      <c r="DB53" s="241">
        <v>2</v>
      </c>
      <c r="DC53" s="241" t="s">
        <v>3600</v>
      </c>
      <c r="DD53" s="241" t="s">
        <v>3599</v>
      </c>
      <c r="DE53" s="243">
        <v>44110</v>
      </c>
      <c r="DF53" s="244" t="s">
        <v>5679</v>
      </c>
      <c r="DG53" s="236">
        <v>3878000</v>
      </c>
      <c r="DH53" s="247" t="s">
        <v>3366</v>
      </c>
      <c r="DI53" s="247" t="s">
        <v>600</v>
      </c>
      <c r="DJ53" s="247">
        <v>2</v>
      </c>
      <c r="DK53" s="247" t="s">
        <v>3600</v>
      </c>
      <c r="DL53" s="247" t="s">
        <v>3599</v>
      </c>
      <c r="DM53" s="237">
        <v>44110</v>
      </c>
      <c r="DN53" s="245" t="s">
        <v>5680</v>
      </c>
      <c r="DO53" s="241">
        <v>3022000</v>
      </c>
      <c r="DP53" s="245" t="s">
        <v>3366</v>
      </c>
      <c r="DQ53" s="245" t="s">
        <v>600</v>
      </c>
      <c r="DR53" s="245">
        <v>2</v>
      </c>
      <c r="DS53" s="245" t="s">
        <v>3600</v>
      </c>
      <c r="DT53" s="245" t="s">
        <v>3599</v>
      </c>
      <c r="DU53" s="246">
        <v>44110</v>
      </c>
      <c r="DV53" s="244" t="s">
        <v>5681</v>
      </c>
      <c r="DW53" s="236">
        <v>3095000</v>
      </c>
      <c r="DX53" s="247" t="s">
        <v>3366</v>
      </c>
      <c r="DY53" s="247" t="s">
        <v>600</v>
      </c>
      <c r="DZ53" s="247">
        <v>2</v>
      </c>
      <c r="EA53" s="247" t="s">
        <v>3600</v>
      </c>
      <c r="EB53" s="247" t="s">
        <v>3599</v>
      </c>
      <c r="EC53" s="237">
        <v>44110</v>
      </c>
      <c r="ED53" s="245" t="s">
        <v>5682</v>
      </c>
      <c r="EE53" s="241">
        <v>905000</v>
      </c>
      <c r="EF53" s="245" t="s">
        <v>3366</v>
      </c>
      <c r="EG53" s="245" t="s">
        <v>600</v>
      </c>
      <c r="EH53" s="245">
        <v>2</v>
      </c>
      <c r="EI53" s="245" t="s">
        <v>3600</v>
      </c>
      <c r="EJ53" s="245" t="s">
        <v>3599</v>
      </c>
      <c r="EK53" s="246">
        <v>44110</v>
      </c>
      <c r="EL53" s="244" t="s">
        <v>5683</v>
      </c>
      <c r="EM53" s="236">
        <v>0</v>
      </c>
      <c r="EN53" s="247" t="s">
        <v>3366</v>
      </c>
      <c r="EO53" s="247" t="s">
        <v>600</v>
      </c>
      <c r="EP53" s="247">
        <v>2</v>
      </c>
      <c r="EQ53" s="247" t="s">
        <v>3600</v>
      </c>
      <c r="ER53" s="247" t="s">
        <v>3599</v>
      </c>
      <c r="ES53" s="237">
        <v>44110</v>
      </c>
      <c r="ET53" s="245" t="s">
        <v>5684</v>
      </c>
      <c r="EU53" s="245">
        <v>222</v>
      </c>
      <c r="EV53" s="245" t="s">
        <v>3365</v>
      </c>
      <c r="EW53" s="245" t="s">
        <v>599</v>
      </c>
      <c r="EX53" s="245">
        <v>3</v>
      </c>
      <c r="EY53" s="245" t="s">
        <v>3598</v>
      </c>
      <c r="EZ53" s="245" t="s">
        <v>2205</v>
      </c>
      <c r="FA53" s="246">
        <v>44110</v>
      </c>
      <c r="FB53" s="244" t="s">
        <v>5685</v>
      </c>
      <c r="FC53" s="247">
        <v>2</v>
      </c>
      <c r="FD53" s="247">
        <v>0</v>
      </c>
      <c r="FE53" s="247" t="s">
        <v>601</v>
      </c>
      <c r="FF53" s="247">
        <v>1</v>
      </c>
      <c r="FG53" s="247" t="s">
        <v>725</v>
      </c>
      <c r="FH53" s="247">
        <v>0</v>
      </c>
      <c r="FI53" s="237">
        <v>43493</v>
      </c>
      <c r="FJ53" s="244" t="s">
        <v>5686</v>
      </c>
      <c r="FK53" s="245" t="s">
        <v>393</v>
      </c>
      <c r="FL53" s="245" t="s">
        <v>1217</v>
      </c>
      <c r="FM53" s="245" t="s">
        <v>393</v>
      </c>
      <c r="FN53" s="245" t="s">
        <v>393</v>
      </c>
      <c r="FO53" s="245" t="s">
        <v>393</v>
      </c>
      <c r="FP53" s="241" t="s">
        <v>1314</v>
      </c>
      <c r="FQ53" s="242">
        <v>43578</v>
      </c>
      <c r="FR53" s="244" t="s">
        <v>5687</v>
      </c>
      <c r="FS53" s="247" t="s">
        <v>393</v>
      </c>
      <c r="FT53" s="247" t="s">
        <v>750</v>
      </c>
      <c r="FU53" s="247" t="s">
        <v>393</v>
      </c>
      <c r="FV53" s="247" t="s">
        <v>393</v>
      </c>
      <c r="FW53" s="247" t="s">
        <v>393</v>
      </c>
      <c r="FX53" s="247" t="s">
        <v>1314</v>
      </c>
      <c r="FY53" s="237">
        <v>43578</v>
      </c>
      <c r="FZ53" s="245" t="s">
        <v>5688</v>
      </c>
      <c r="GA53" s="245">
        <v>0</v>
      </c>
      <c r="GB53" s="245" t="s">
        <v>2096</v>
      </c>
      <c r="GC53" s="245" t="s">
        <v>600</v>
      </c>
      <c r="GD53" s="245">
        <v>2</v>
      </c>
      <c r="GE53" s="245" t="s">
        <v>3323</v>
      </c>
      <c r="GF53" s="245" t="s">
        <v>2097</v>
      </c>
      <c r="GG53" s="246">
        <v>44140</v>
      </c>
      <c r="GH53" s="244" t="s">
        <v>5689</v>
      </c>
      <c r="GI53" s="247">
        <v>1</v>
      </c>
      <c r="GJ53" s="247" t="s">
        <v>2096</v>
      </c>
      <c r="GK53" s="247" t="s">
        <v>600</v>
      </c>
      <c r="GL53" s="247">
        <v>2</v>
      </c>
      <c r="GM53" s="247" t="s">
        <v>3323</v>
      </c>
      <c r="GN53" s="247" t="s">
        <v>2097</v>
      </c>
      <c r="GO53" s="237">
        <v>44140</v>
      </c>
      <c r="GP53" s="245" t="s">
        <v>5690</v>
      </c>
      <c r="GQ53" s="245">
        <v>0</v>
      </c>
      <c r="GR53" s="245" t="s">
        <v>2096</v>
      </c>
      <c r="GS53" s="245" t="s">
        <v>600</v>
      </c>
      <c r="GT53" s="245">
        <v>2</v>
      </c>
      <c r="GU53" s="245" t="s">
        <v>3323</v>
      </c>
      <c r="GV53" s="245" t="s">
        <v>2097</v>
      </c>
      <c r="GW53" s="246">
        <v>44140</v>
      </c>
      <c r="GX53" s="244" t="s">
        <v>5691</v>
      </c>
      <c r="GY53" s="247">
        <v>0</v>
      </c>
      <c r="GZ53" s="247" t="s">
        <v>2096</v>
      </c>
      <c r="HA53" s="247" t="s">
        <v>600</v>
      </c>
      <c r="HB53" s="247">
        <v>2</v>
      </c>
      <c r="HC53" s="247" t="s">
        <v>3323</v>
      </c>
      <c r="HD53" s="247" t="s">
        <v>2097</v>
      </c>
      <c r="HE53" s="237">
        <v>44140</v>
      </c>
      <c r="HF53" s="245" t="s">
        <v>5692</v>
      </c>
      <c r="HG53" s="245">
        <v>0</v>
      </c>
      <c r="HH53" s="245" t="s">
        <v>2096</v>
      </c>
      <c r="HI53" s="245" t="s">
        <v>600</v>
      </c>
      <c r="HJ53" s="245">
        <v>2</v>
      </c>
      <c r="HK53" s="245" t="s">
        <v>3323</v>
      </c>
      <c r="HL53" s="245" t="s">
        <v>2097</v>
      </c>
      <c r="HM53" s="246">
        <v>44140</v>
      </c>
      <c r="HN53" s="244" t="s">
        <v>5693</v>
      </c>
      <c r="HO53" s="247">
        <v>0</v>
      </c>
      <c r="HP53" s="247" t="s">
        <v>2096</v>
      </c>
      <c r="HQ53" s="247" t="s">
        <v>600</v>
      </c>
      <c r="HR53" s="247">
        <v>2</v>
      </c>
      <c r="HS53" s="247" t="s">
        <v>3323</v>
      </c>
      <c r="HT53" s="247" t="s">
        <v>2097</v>
      </c>
      <c r="HU53" s="237">
        <v>44140</v>
      </c>
      <c r="HV53" s="245" t="s">
        <v>5694</v>
      </c>
      <c r="HW53" s="245">
        <v>2</v>
      </c>
      <c r="HX53" s="245" t="s">
        <v>2096</v>
      </c>
      <c r="HY53" s="245" t="s">
        <v>600</v>
      </c>
      <c r="HZ53" s="245">
        <v>2</v>
      </c>
      <c r="IA53" s="245" t="s">
        <v>3323</v>
      </c>
      <c r="IB53" s="245" t="s">
        <v>2097</v>
      </c>
      <c r="IC53" s="246">
        <v>44140</v>
      </c>
      <c r="ID53" s="244" t="s">
        <v>5695</v>
      </c>
      <c r="IE53" s="247">
        <v>0</v>
      </c>
      <c r="IF53" s="247" t="s">
        <v>2096</v>
      </c>
      <c r="IG53" s="247" t="s">
        <v>600</v>
      </c>
      <c r="IH53" s="247">
        <v>2</v>
      </c>
      <c r="II53" s="247" t="s">
        <v>3323</v>
      </c>
      <c r="IJ53" s="247" t="s">
        <v>2097</v>
      </c>
      <c r="IK53" s="237">
        <v>44140</v>
      </c>
      <c r="IL53" s="245" t="s">
        <v>5696</v>
      </c>
      <c r="IM53" s="245">
        <v>3</v>
      </c>
      <c r="IN53" s="245" t="s">
        <v>2096</v>
      </c>
      <c r="IO53" s="245" t="s">
        <v>600</v>
      </c>
      <c r="IP53" s="245">
        <v>2</v>
      </c>
      <c r="IQ53" s="245" t="s">
        <v>3323</v>
      </c>
      <c r="IR53" s="245" t="s">
        <v>2097</v>
      </c>
      <c r="IS53" s="246">
        <v>44140</v>
      </c>
    </row>
    <row r="54" spans="1:253" s="11" customFormat="1" ht="13.2" x14ac:dyDescent="0.25">
      <c r="A54" s="11" t="s">
        <v>1088</v>
      </c>
      <c r="B54" s="11" t="s">
        <v>691</v>
      </c>
      <c r="C54" s="11" t="s">
        <v>584</v>
      </c>
      <c r="D54" s="11" t="s">
        <v>136</v>
      </c>
      <c r="E54" s="11" t="s">
        <v>135</v>
      </c>
      <c r="F54" s="11" t="s">
        <v>5697</v>
      </c>
      <c r="G54" s="235">
        <v>9158000</v>
      </c>
      <c r="H54" s="236" t="s">
        <v>3334</v>
      </c>
      <c r="I54" s="236" t="s">
        <v>601</v>
      </c>
      <c r="J54" s="236">
        <v>1</v>
      </c>
      <c r="K54" s="236" t="s">
        <v>3545</v>
      </c>
      <c r="L54" s="236" t="s">
        <v>3535</v>
      </c>
      <c r="M54" s="237">
        <v>44110</v>
      </c>
      <c r="N54" s="244" t="s">
        <v>5698</v>
      </c>
      <c r="O54" s="239">
        <v>111890</v>
      </c>
      <c r="P54" s="239" t="s">
        <v>3400</v>
      </c>
      <c r="Q54" s="239" t="s">
        <v>601</v>
      </c>
      <c r="R54" s="239">
        <v>1</v>
      </c>
      <c r="S54" s="239" t="s">
        <v>2377</v>
      </c>
      <c r="T54" s="239" t="s">
        <v>3646</v>
      </c>
      <c r="U54" s="240">
        <v>44111</v>
      </c>
      <c r="V54" s="244" t="s">
        <v>5699</v>
      </c>
      <c r="W54" s="236">
        <v>9158000</v>
      </c>
      <c r="X54" s="236" t="s">
        <v>3334</v>
      </c>
      <c r="Y54" s="236" t="s">
        <v>601</v>
      </c>
      <c r="Z54" s="236">
        <v>1</v>
      </c>
      <c r="AA54" s="236" t="s">
        <v>3546</v>
      </c>
      <c r="AB54" s="236" t="s">
        <v>3535</v>
      </c>
      <c r="AC54" s="237">
        <v>44110</v>
      </c>
      <c r="AD54" s="244" t="s">
        <v>5700</v>
      </c>
      <c r="AE54" s="241">
        <v>2700000</v>
      </c>
      <c r="AF54" s="241" t="s">
        <v>3334</v>
      </c>
      <c r="AG54" s="241" t="s">
        <v>601</v>
      </c>
      <c r="AH54" s="241">
        <v>1</v>
      </c>
      <c r="AI54" s="241" t="s">
        <v>3547</v>
      </c>
      <c r="AJ54" s="241" t="s">
        <v>3535</v>
      </c>
      <c r="AK54" s="242">
        <v>44110</v>
      </c>
      <c r="AL54" s="244" t="s">
        <v>5701</v>
      </c>
      <c r="AM54" s="236">
        <v>247000</v>
      </c>
      <c r="AN54" s="236" t="s">
        <v>3335</v>
      </c>
      <c r="AO54" s="236" t="s">
        <v>600</v>
      </c>
      <c r="AP54" s="236">
        <v>2</v>
      </c>
      <c r="AQ54" s="236" t="s">
        <v>3549</v>
      </c>
      <c r="AR54" s="236" t="s">
        <v>3548</v>
      </c>
      <c r="AS54" s="237">
        <v>44110</v>
      </c>
      <c r="AT54" s="245" t="s">
        <v>5702</v>
      </c>
      <c r="AU54" s="241">
        <v>75122</v>
      </c>
      <c r="AV54" s="241" t="s">
        <v>1557</v>
      </c>
      <c r="AW54" s="241" t="s">
        <v>600</v>
      </c>
      <c r="AX54" s="241">
        <v>2</v>
      </c>
      <c r="AY54" s="241" t="s">
        <v>1559</v>
      </c>
      <c r="AZ54" s="241" t="s">
        <v>1558</v>
      </c>
      <c r="BA54" s="242">
        <v>43731</v>
      </c>
      <c r="BB54" s="244" t="s">
        <v>5703</v>
      </c>
      <c r="BC54" s="236">
        <v>7103</v>
      </c>
      <c r="BD54" s="236" t="s">
        <v>3336</v>
      </c>
      <c r="BE54" s="236" t="s">
        <v>600</v>
      </c>
      <c r="BF54" s="236">
        <v>2</v>
      </c>
      <c r="BG54" s="236" t="s">
        <v>3550</v>
      </c>
      <c r="BH54" s="236" t="s">
        <v>1598</v>
      </c>
      <c r="BI54" s="237">
        <v>44110</v>
      </c>
      <c r="BJ54" s="245" t="s">
        <v>5704</v>
      </c>
      <c r="BK54" s="245">
        <v>2078</v>
      </c>
      <c r="BL54" s="245" t="s">
        <v>1989</v>
      </c>
      <c r="BM54" s="245" t="s">
        <v>600</v>
      </c>
      <c r="BN54" s="245">
        <v>2</v>
      </c>
      <c r="BO54" s="245" t="s">
        <v>2016</v>
      </c>
      <c r="BP54" s="241" t="s">
        <v>2015</v>
      </c>
      <c r="BQ54" s="246">
        <v>43867</v>
      </c>
      <c r="BR54" s="244" t="s">
        <v>5705</v>
      </c>
      <c r="BS54" s="247" t="s">
        <v>393</v>
      </c>
      <c r="BT54" s="247">
        <v>0</v>
      </c>
      <c r="BU54" s="247" t="s">
        <v>600</v>
      </c>
      <c r="BV54" s="247">
        <v>2</v>
      </c>
      <c r="BW54" s="247">
        <v>0</v>
      </c>
      <c r="BX54" s="247">
        <v>0</v>
      </c>
      <c r="BY54" s="237">
        <v>43509</v>
      </c>
      <c r="BZ54" s="245" t="s">
        <v>5706</v>
      </c>
      <c r="CA54" s="245" t="s">
        <v>393</v>
      </c>
      <c r="CB54" s="245">
        <v>0</v>
      </c>
      <c r="CC54" s="245" t="s">
        <v>393</v>
      </c>
      <c r="CD54" s="245" t="s">
        <v>393</v>
      </c>
      <c r="CE54" s="245">
        <v>0</v>
      </c>
      <c r="CF54" s="245">
        <v>0</v>
      </c>
      <c r="CG54" s="246">
        <v>43509</v>
      </c>
      <c r="CH54" s="244" t="s">
        <v>5707</v>
      </c>
      <c r="CI54" s="245" t="e">
        <v>#N/A</v>
      </c>
      <c r="CJ54" s="245" t="e">
        <v>#N/A</v>
      </c>
      <c r="CK54" s="245" t="e">
        <v>#N/A</v>
      </c>
      <c r="CL54" s="245" t="e">
        <v>#N/A</v>
      </c>
      <c r="CM54" s="245" t="e">
        <v>#N/A</v>
      </c>
      <c r="CN54" s="245" t="e">
        <v>#N/A</v>
      </c>
      <c r="CO54" s="248" t="e">
        <v>#N/A</v>
      </c>
      <c r="CP54" s="245" t="s">
        <v>5708</v>
      </c>
      <c r="CQ54" s="247">
        <v>12965</v>
      </c>
      <c r="CR54" s="247" t="s">
        <v>892</v>
      </c>
      <c r="CS54" s="247" t="s">
        <v>600</v>
      </c>
      <c r="CT54" s="247">
        <v>2</v>
      </c>
      <c r="CU54" s="247" t="s">
        <v>895</v>
      </c>
      <c r="CV54" s="247" t="s">
        <v>894</v>
      </c>
      <c r="CW54" s="237">
        <v>43509</v>
      </c>
      <c r="CX54" s="245" t="s">
        <v>5709</v>
      </c>
      <c r="CY54" s="241">
        <v>1300000</v>
      </c>
      <c r="CZ54" s="241" t="s">
        <v>3334</v>
      </c>
      <c r="DA54" s="241" t="s">
        <v>600</v>
      </c>
      <c r="DB54" s="241">
        <v>2</v>
      </c>
      <c r="DC54" s="241" t="s">
        <v>3551</v>
      </c>
      <c r="DD54" s="241" t="s">
        <v>3535</v>
      </c>
      <c r="DE54" s="243">
        <v>44110</v>
      </c>
      <c r="DF54" s="244" t="s">
        <v>5710</v>
      </c>
      <c r="DG54" s="236">
        <v>6014000</v>
      </c>
      <c r="DH54" s="247" t="s">
        <v>3334</v>
      </c>
      <c r="DI54" s="247" t="s">
        <v>600</v>
      </c>
      <c r="DJ54" s="247">
        <v>2</v>
      </c>
      <c r="DK54" s="247" t="s">
        <v>3551</v>
      </c>
      <c r="DL54" s="247" t="s">
        <v>3535</v>
      </c>
      <c r="DM54" s="237">
        <v>44110</v>
      </c>
      <c r="DN54" s="245" t="s">
        <v>5711</v>
      </c>
      <c r="DO54" s="241">
        <v>1844000</v>
      </c>
      <c r="DP54" s="245" t="s">
        <v>3334</v>
      </c>
      <c r="DQ54" s="245" t="s">
        <v>600</v>
      </c>
      <c r="DR54" s="245">
        <v>2</v>
      </c>
      <c r="DS54" s="245" t="s">
        <v>3551</v>
      </c>
      <c r="DT54" s="245" t="s">
        <v>3535</v>
      </c>
      <c r="DU54" s="246">
        <v>44110</v>
      </c>
      <c r="DV54" s="244" t="s">
        <v>5712</v>
      </c>
      <c r="DW54" s="236">
        <v>1042000</v>
      </c>
      <c r="DX54" s="247" t="s">
        <v>3334</v>
      </c>
      <c r="DY54" s="247" t="s">
        <v>600</v>
      </c>
      <c r="DZ54" s="247">
        <v>2</v>
      </c>
      <c r="EA54" s="247" t="s">
        <v>3551</v>
      </c>
      <c r="EB54" s="247" t="s">
        <v>3535</v>
      </c>
      <c r="EC54" s="237">
        <v>44110</v>
      </c>
      <c r="ED54" s="245" t="s">
        <v>5713</v>
      </c>
      <c r="EE54" s="241">
        <v>258000</v>
      </c>
      <c r="EF54" s="245" t="s">
        <v>3334</v>
      </c>
      <c r="EG54" s="245" t="s">
        <v>600</v>
      </c>
      <c r="EH54" s="245">
        <v>2</v>
      </c>
      <c r="EI54" s="245" t="s">
        <v>3551</v>
      </c>
      <c r="EJ54" s="245" t="s">
        <v>3535</v>
      </c>
      <c r="EK54" s="246">
        <v>44110</v>
      </c>
      <c r="EL54" s="244" t="s">
        <v>5714</v>
      </c>
      <c r="EM54" s="236">
        <v>0</v>
      </c>
      <c r="EN54" s="247" t="s">
        <v>3334</v>
      </c>
      <c r="EO54" s="247" t="s">
        <v>600</v>
      </c>
      <c r="EP54" s="247">
        <v>2</v>
      </c>
      <c r="EQ54" s="247" t="s">
        <v>3551</v>
      </c>
      <c r="ER54" s="247" t="s">
        <v>3535</v>
      </c>
      <c r="ES54" s="237">
        <v>44110</v>
      </c>
      <c r="ET54" s="245" t="s">
        <v>5715</v>
      </c>
      <c r="EU54" s="245">
        <v>2078</v>
      </c>
      <c r="EV54" s="245" t="s">
        <v>1989</v>
      </c>
      <c r="EW54" s="245" t="s">
        <v>600</v>
      </c>
      <c r="EX54" s="245">
        <v>2</v>
      </c>
      <c r="EY54" s="245" t="s">
        <v>2016</v>
      </c>
      <c r="EZ54" s="245" t="s">
        <v>2015</v>
      </c>
      <c r="FA54" s="246">
        <v>43867</v>
      </c>
      <c r="FB54" s="244" t="s">
        <v>5716</v>
      </c>
      <c r="FC54" s="247">
        <v>3</v>
      </c>
      <c r="FD54" s="247">
        <v>0</v>
      </c>
      <c r="FE54" s="247" t="s">
        <v>600</v>
      </c>
      <c r="FF54" s="247">
        <v>2</v>
      </c>
      <c r="FG54" s="247" t="s">
        <v>896</v>
      </c>
      <c r="FH54" s="247">
        <v>0</v>
      </c>
      <c r="FI54" s="237">
        <v>43509</v>
      </c>
      <c r="FJ54" s="244" t="s">
        <v>5717</v>
      </c>
      <c r="FK54" s="245" t="s">
        <v>393</v>
      </c>
      <c r="FL54" s="245">
        <v>0</v>
      </c>
      <c r="FM54" s="245" t="s">
        <v>600</v>
      </c>
      <c r="FN54" s="245">
        <v>2</v>
      </c>
      <c r="FO54" s="245">
        <v>0</v>
      </c>
      <c r="FP54" s="241">
        <v>0</v>
      </c>
      <c r="FQ54" s="242">
        <v>43509</v>
      </c>
      <c r="FR54" s="244" t="s">
        <v>5718</v>
      </c>
      <c r="FS54" s="247" t="s">
        <v>393</v>
      </c>
      <c r="FT54" s="247">
        <v>0</v>
      </c>
      <c r="FU54" s="247" t="s">
        <v>600</v>
      </c>
      <c r="FV54" s="247">
        <v>2</v>
      </c>
      <c r="FW54" s="247">
        <v>0</v>
      </c>
      <c r="FX54" s="247">
        <v>0</v>
      </c>
      <c r="FY54" s="237">
        <v>43509</v>
      </c>
      <c r="FZ54" s="245" t="s">
        <v>5719</v>
      </c>
      <c r="GA54" s="245">
        <v>0</v>
      </c>
      <c r="GB54" s="245" t="s">
        <v>1587</v>
      </c>
      <c r="GC54" s="245" t="s">
        <v>601</v>
      </c>
      <c r="GD54" s="245">
        <v>1</v>
      </c>
      <c r="GE54" s="245" t="s">
        <v>1623</v>
      </c>
      <c r="GF54" s="245" t="s">
        <v>1624</v>
      </c>
      <c r="GG54" s="246">
        <v>43769</v>
      </c>
      <c r="GH54" s="244" t="s">
        <v>5720</v>
      </c>
      <c r="GI54" s="247">
        <v>2</v>
      </c>
      <c r="GJ54" s="247" t="s">
        <v>1587</v>
      </c>
      <c r="GK54" s="247" t="s">
        <v>601</v>
      </c>
      <c r="GL54" s="247">
        <v>1</v>
      </c>
      <c r="GM54" s="247" t="s">
        <v>1623</v>
      </c>
      <c r="GN54" s="247" t="s">
        <v>1624</v>
      </c>
      <c r="GO54" s="237">
        <v>43769</v>
      </c>
      <c r="GP54" s="245" t="s">
        <v>5721</v>
      </c>
      <c r="GQ54" s="245">
        <v>1</v>
      </c>
      <c r="GR54" s="245" t="s">
        <v>1587</v>
      </c>
      <c r="GS54" s="245" t="s">
        <v>601</v>
      </c>
      <c r="GT54" s="245">
        <v>1</v>
      </c>
      <c r="GU54" s="245" t="s">
        <v>1623</v>
      </c>
      <c r="GV54" s="245" t="s">
        <v>1624</v>
      </c>
      <c r="GW54" s="246">
        <v>43769</v>
      </c>
      <c r="GX54" s="244" t="s">
        <v>5722</v>
      </c>
      <c r="GY54" s="247">
        <v>1</v>
      </c>
      <c r="GZ54" s="247" t="s">
        <v>1587</v>
      </c>
      <c r="HA54" s="247" t="s">
        <v>601</v>
      </c>
      <c r="HB54" s="247">
        <v>1</v>
      </c>
      <c r="HC54" s="247" t="s">
        <v>1623</v>
      </c>
      <c r="HD54" s="247" t="s">
        <v>1624</v>
      </c>
      <c r="HE54" s="237">
        <v>43769</v>
      </c>
      <c r="HF54" s="245" t="s">
        <v>5723</v>
      </c>
      <c r="HG54" s="245">
        <v>0</v>
      </c>
      <c r="HH54" s="245" t="s">
        <v>1587</v>
      </c>
      <c r="HI54" s="245" t="s">
        <v>601</v>
      </c>
      <c r="HJ54" s="245">
        <v>1</v>
      </c>
      <c r="HK54" s="245" t="s">
        <v>1623</v>
      </c>
      <c r="HL54" s="245" t="s">
        <v>1624</v>
      </c>
      <c r="HM54" s="246">
        <v>43769</v>
      </c>
      <c r="HN54" s="244" t="s">
        <v>5724</v>
      </c>
      <c r="HO54" s="247">
        <v>2</v>
      </c>
      <c r="HP54" s="247" t="s">
        <v>1587</v>
      </c>
      <c r="HQ54" s="247" t="s">
        <v>601</v>
      </c>
      <c r="HR54" s="247">
        <v>1</v>
      </c>
      <c r="HS54" s="247" t="s">
        <v>1623</v>
      </c>
      <c r="HT54" s="247" t="s">
        <v>1624</v>
      </c>
      <c r="HU54" s="237">
        <v>43769</v>
      </c>
      <c r="HV54" s="245" t="s">
        <v>5725</v>
      </c>
      <c r="HW54" s="245">
        <v>1</v>
      </c>
      <c r="HX54" s="245" t="s">
        <v>1587</v>
      </c>
      <c r="HY54" s="245" t="s">
        <v>601</v>
      </c>
      <c r="HZ54" s="245">
        <v>1</v>
      </c>
      <c r="IA54" s="245" t="s">
        <v>1623</v>
      </c>
      <c r="IB54" s="245" t="s">
        <v>1624</v>
      </c>
      <c r="IC54" s="246">
        <v>43769</v>
      </c>
      <c r="ID54" s="244" t="s">
        <v>5726</v>
      </c>
      <c r="IE54" s="247">
        <v>0</v>
      </c>
      <c r="IF54" s="247" t="s">
        <v>1587</v>
      </c>
      <c r="IG54" s="247" t="s">
        <v>601</v>
      </c>
      <c r="IH54" s="247">
        <v>1</v>
      </c>
      <c r="II54" s="247" t="s">
        <v>1623</v>
      </c>
      <c r="IJ54" s="247" t="s">
        <v>1624</v>
      </c>
      <c r="IK54" s="237">
        <v>43769</v>
      </c>
      <c r="IL54" s="245" t="s">
        <v>5727</v>
      </c>
      <c r="IM54" s="245">
        <v>0</v>
      </c>
      <c r="IN54" s="245" t="s">
        <v>1587</v>
      </c>
      <c r="IO54" s="245" t="s">
        <v>601</v>
      </c>
      <c r="IP54" s="245">
        <v>1</v>
      </c>
      <c r="IQ54" s="245" t="s">
        <v>1623</v>
      </c>
      <c r="IR54" s="245" t="s">
        <v>1624</v>
      </c>
      <c r="IS54" s="246">
        <v>43769</v>
      </c>
    </row>
    <row r="55" spans="1:253" s="11" customFormat="1" ht="13.2" x14ac:dyDescent="0.25">
      <c r="A55" s="11" t="s">
        <v>2415</v>
      </c>
      <c r="B55" s="11" t="s">
        <v>3258</v>
      </c>
      <c r="C55" s="11" t="s">
        <v>2416</v>
      </c>
      <c r="D55" s="11" t="s">
        <v>142</v>
      </c>
      <c r="E55" s="11" t="s">
        <v>141</v>
      </c>
      <c r="F55" s="11" t="s">
        <v>5728</v>
      </c>
      <c r="G55" s="235">
        <v>1353520000</v>
      </c>
      <c r="H55" s="236" t="s">
        <v>1207</v>
      </c>
      <c r="I55" s="236" t="s">
        <v>600</v>
      </c>
      <c r="J55" s="236">
        <v>2</v>
      </c>
      <c r="K55" s="236" t="s">
        <v>1849</v>
      </c>
      <c r="L55" s="236" t="s">
        <v>3517</v>
      </c>
      <c r="M55" s="237">
        <v>44110</v>
      </c>
      <c r="N55" s="244" t="s">
        <v>5729</v>
      </c>
      <c r="O55" s="239">
        <v>2119339</v>
      </c>
      <c r="P55" s="239" t="s">
        <v>3324</v>
      </c>
      <c r="Q55" s="239" t="s">
        <v>600</v>
      </c>
      <c r="R55" s="239">
        <v>2</v>
      </c>
      <c r="S55" s="239" t="s">
        <v>3744</v>
      </c>
      <c r="T55" s="239" t="s">
        <v>3518</v>
      </c>
      <c r="U55" s="240">
        <v>44132</v>
      </c>
      <c r="V55" s="244" t="s">
        <v>5730</v>
      </c>
      <c r="W55" s="236">
        <v>865053000</v>
      </c>
      <c r="X55" s="236" t="s">
        <v>3324</v>
      </c>
      <c r="Y55" s="236" t="s">
        <v>600</v>
      </c>
      <c r="Z55" s="236">
        <v>2</v>
      </c>
      <c r="AA55" s="236" t="s">
        <v>3745</v>
      </c>
      <c r="AB55" s="236" t="s">
        <v>3518</v>
      </c>
      <c r="AC55" s="237">
        <v>44132</v>
      </c>
      <c r="AD55" s="244" t="s">
        <v>5731</v>
      </c>
      <c r="AE55" s="241">
        <v>22615000</v>
      </c>
      <c r="AF55" s="241" t="s">
        <v>3732</v>
      </c>
      <c r="AG55" s="241" t="s">
        <v>599</v>
      </c>
      <c r="AH55" s="241">
        <v>3</v>
      </c>
      <c r="AI55" s="241" t="s">
        <v>3746</v>
      </c>
      <c r="AJ55" s="241" t="s">
        <v>3736</v>
      </c>
      <c r="AK55" s="242">
        <v>44132</v>
      </c>
      <c r="AL55" s="244" t="s">
        <v>5732</v>
      </c>
      <c r="AM55" s="236">
        <v>1827000</v>
      </c>
      <c r="AN55" s="236" t="s">
        <v>3733</v>
      </c>
      <c r="AO55" s="236" t="s">
        <v>599</v>
      </c>
      <c r="AP55" s="236">
        <v>3</v>
      </c>
      <c r="AQ55" s="236" t="s">
        <v>3747</v>
      </c>
      <c r="AR55" s="236" t="s">
        <v>3737</v>
      </c>
      <c r="AS55" s="237">
        <v>44132</v>
      </c>
      <c r="AT55" s="245" t="s">
        <v>5733</v>
      </c>
      <c r="AU55" s="241" t="s">
        <v>393</v>
      </c>
      <c r="AV55" s="241" t="s">
        <v>393</v>
      </c>
      <c r="AW55" s="241" t="s">
        <v>393</v>
      </c>
      <c r="AX55" s="241" t="s">
        <v>393</v>
      </c>
      <c r="AY55" s="241" t="s">
        <v>393</v>
      </c>
      <c r="AZ55" s="241" t="s">
        <v>393</v>
      </c>
      <c r="BA55" s="242">
        <v>43987</v>
      </c>
      <c r="BB55" s="244" t="s">
        <v>5734</v>
      </c>
      <c r="BC55" s="236" t="s">
        <v>393</v>
      </c>
      <c r="BD55" s="236" t="s">
        <v>393</v>
      </c>
      <c r="BE55" s="236" t="s">
        <v>393</v>
      </c>
      <c r="BF55" s="236" t="s">
        <v>393</v>
      </c>
      <c r="BG55" s="236" t="s">
        <v>393</v>
      </c>
      <c r="BH55" s="236" t="s">
        <v>393</v>
      </c>
      <c r="BI55" s="237">
        <v>43987</v>
      </c>
      <c r="BJ55" s="245" t="s">
        <v>5735</v>
      </c>
      <c r="BK55" s="245">
        <v>2019</v>
      </c>
      <c r="BL55" s="245" t="s">
        <v>3734</v>
      </c>
      <c r="BM55" s="245" t="s">
        <v>599</v>
      </c>
      <c r="BN55" s="245">
        <v>3</v>
      </c>
      <c r="BO55" s="245" t="s">
        <v>3748</v>
      </c>
      <c r="BP55" s="241" t="s">
        <v>3738</v>
      </c>
      <c r="BQ55" s="246">
        <v>44132</v>
      </c>
      <c r="BR55" s="244" t="s">
        <v>5736</v>
      </c>
      <c r="BS55" s="247" t="s">
        <v>393</v>
      </c>
      <c r="BT55" s="247" t="s">
        <v>393</v>
      </c>
      <c r="BU55" s="247" t="s">
        <v>393</v>
      </c>
      <c r="BV55" s="247" t="s">
        <v>393</v>
      </c>
      <c r="BW55" s="247" t="s">
        <v>393</v>
      </c>
      <c r="BX55" s="247" t="s">
        <v>393</v>
      </c>
      <c r="BY55" s="237">
        <v>43987</v>
      </c>
      <c r="BZ55" s="245" t="s">
        <v>5737</v>
      </c>
      <c r="CA55" s="245" t="s">
        <v>393</v>
      </c>
      <c r="CB55" s="245" t="s">
        <v>393</v>
      </c>
      <c r="CC55" s="245" t="s">
        <v>393</v>
      </c>
      <c r="CD55" s="245" t="s">
        <v>393</v>
      </c>
      <c r="CE55" s="245" t="s">
        <v>393</v>
      </c>
      <c r="CF55" s="245" t="s">
        <v>393</v>
      </c>
      <c r="CG55" s="246">
        <v>43987</v>
      </c>
      <c r="CH55" s="244" t="s">
        <v>5738</v>
      </c>
      <c r="CI55" s="245" t="e">
        <v>#N/A</v>
      </c>
      <c r="CJ55" s="245" t="e">
        <v>#N/A</v>
      </c>
      <c r="CK55" s="245" t="e">
        <v>#N/A</v>
      </c>
      <c r="CL55" s="245" t="e">
        <v>#N/A</v>
      </c>
      <c r="CM55" s="245" t="e">
        <v>#N/A</v>
      </c>
      <c r="CN55" s="245" t="e">
        <v>#N/A</v>
      </c>
      <c r="CO55" s="248" t="e">
        <v>#N/A</v>
      </c>
      <c r="CP55" s="245" t="s">
        <v>5739</v>
      </c>
      <c r="CQ55" s="247" t="s">
        <v>393</v>
      </c>
      <c r="CR55" s="247" t="s">
        <v>393</v>
      </c>
      <c r="CS55" s="247" t="s">
        <v>393</v>
      </c>
      <c r="CT55" s="247" t="s">
        <v>393</v>
      </c>
      <c r="CU55" s="247" t="s">
        <v>393</v>
      </c>
      <c r="CV55" s="247" t="s">
        <v>393</v>
      </c>
      <c r="CW55" s="237">
        <v>43987</v>
      </c>
      <c r="CX55" s="245" t="s">
        <v>5740</v>
      </c>
      <c r="CY55" s="241">
        <v>1827000</v>
      </c>
      <c r="CZ55" s="241" t="s">
        <v>3735</v>
      </c>
      <c r="DA55" s="241" t="s">
        <v>599</v>
      </c>
      <c r="DB55" s="241">
        <v>3</v>
      </c>
      <c r="DC55" s="241" t="s">
        <v>3749</v>
      </c>
      <c r="DD55" s="241" t="s">
        <v>3741</v>
      </c>
      <c r="DE55" s="243">
        <v>44132</v>
      </c>
      <c r="DF55" s="244" t="s">
        <v>5741</v>
      </c>
      <c r="DG55" s="236">
        <v>842438000</v>
      </c>
      <c r="DH55" s="247" t="s">
        <v>3735</v>
      </c>
      <c r="DI55" s="247" t="s">
        <v>599</v>
      </c>
      <c r="DJ55" s="247">
        <v>3</v>
      </c>
      <c r="DK55" s="247" t="s">
        <v>3749</v>
      </c>
      <c r="DL55" s="247" t="s">
        <v>3739</v>
      </c>
      <c r="DM55" s="237">
        <v>44132</v>
      </c>
      <c r="DN55" s="245" t="s">
        <v>5742</v>
      </c>
      <c r="DO55" s="241">
        <v>20788000</v>
      </c>
      <c r="DP55" s="245" t="s">
        <v>3735</v>
      </c>
      <c r="DQ55" s="245" t="s">
        <v>599</v>
      </c>
      <c r="DR55" s="245">
        <v>3</v>
      </c>
      <c r="DS55" s="245" t="s">
        <v>3749</v>
      </c>
      <c r="DT55" s="245" t="s">
        <v>3740</v>
      </c>
      <c r="DU55" s="246">
        <v>44132</v>
      </c>
      <c r="DV55" s="244" t="s">
        <v>5743</v>
      </c>
      <c r="DW55" s="236">
        <v>1827000</v>
      </c>
      <c r="DX55" s="247" t="s">
        <v>3735</v>
      </c>
      <c r="DY55" s="247" t="s">
        <v>599</v>
      </c>
      <c r="DZ55" s="247">
        <v>3</v>
      </c>
      <c r="EA55" s="247" t="s">
        <v>3749</v>
      </c>
      <c r="EB55" s="247" t="s">
        <v>3741</v>
      </c>
      <c r="EC55" s="237">
        <v>44132</v>
      </c>
      <c r="ED55" s="245" t="s">
        <v>5744</v>
      </c>
      <c r="EE55" s="241">
        <v>0</v>
      </c>
      <c r="EF55" s="245" t="s">
        <v>3735</v>
      </c>
      <c r="EG55" s="245" t="s">
        <v>599</v>
      </c>
      <c r="EH55" s="245">
        <v>3</v>
      </c>
      <c r="EI55" s="245" t="s">
        <v>3749</v>
      </c>
      <c r="EJ55" s="245" t="s">
        <v>3742</v>
      </c>
      <c r="EK55" s="246">
        <v>44132</v>
      </c>
      <c r="EL55" s="244" t="s">
        <v>5745</v>
      </c>
      <c r="EM55" s="236">
        <v>0</v>
      </c>
      <c r="EN55" s="247" t="s">
        <v>3735</v>
      </c>
      <c r="EO55" s="247" t="s">
        <v>599</v>
      </c>
      <c r="EP55" s="247">
        <v>3</v>
      </c>
      <c r="EQ55" s="247" t="s">
        <v>3749</v>
      </c>
      <c r="ER55" s="247" t="s">
        <v>3743</v>
      </c>
      <c r="ES55" s="237">
        <v>44132</v>
      </c>
      <c r="ET55" s="245" t="s">
        <v>5746</v>
      </c>
      <c r="EU55" s="245">
        <v>2019</v>
      </c>
      <c r="EV55" s="245" t="s">
        <v>3734</v>
      </c>
      <c r="EW55" s="245" t="s">
        <v>599</v>
      </c>
      <c r="EX55" s="245">
        <v>3</v>
      </c>
      <c r="EY55" s="245" t="s">
        <v>3748</v>
      </c>
      <c r="EZ55" s="245" t="s">
        <v>3738</v>
      </c>
      <c r="FA55" s="246">
        <v>44132</v>
      </c>
      <c r="FB55" s="244" t="s">
        <v>5747</v>
      </c>
      <c r="FC55" s="247" t="s">
        <v>393</v>
      </c>
      <c r="FD55" s="247" t="s">
        <v>393</v>
      </c>
      <c r="FE55" s="247" t="s">
        <v>393</v>
      </c>
      <c r="FF55" s="247" t="s">
        <v>393</v>
      </c>
      <c r="FG55" s="247" t="s">
        <v>393</v>
      </c>
      <c r="FH55" s="247" t="s">
        <v>393</v>
      </c>
      <c r="FI55" s="237">
        <v>43987</v>
      </c>
      <c r="FJ55" s="244" t="s">
        <v>5748</v>
      </c>
      <c r="FK55" s="245" t="s">
        <v>393</v>
      </c>
      <c r="FL55" s="245" t="s">
        <v>393</v>
      </c>
      <c r="FM55" s="245" t="s">
        <v>393</v>
      </c>
      <c r="FN55" s="245" t="s">
        <v>393</v>
      </c>
      <c r="FO55" s="245" t="s">
        <v>393</v>
      </c>
      <c r="FP55" s="241" t="s">
        <v>393</v>
      </c>
      <c r="FQ55" s="242">
        <v>43987</v>
      </c>
      <c r="FR55" s="244" t="s">
        <v>5749</v>
      </c>
      <c r="FS55" s="247" t="s">
        <v>393</v>
      </c>
      <c r="FT55" s="247" t="s">
        <v>393</v>
      </c>
      <c r="FU55" s="247" t="s">
        <v>393</v>
      </c>
      <c r="FV55" s="247" t="s">
        <v>393</v>
      </c>
      <c r="FW55" s="247" t="s">
        <v>393</v>
      </c>
      <c r="FX55" s="247" t="s">
        <v>393</v>
      </c>
      <c r="FY55" s="237">
        <v>43987</v>
      </c>
      <c r="FZ55" s="245" t="s">
        <v>5750</v>
      </c>
      <c r="GA55" s="245" t="s">
        <v>393</v>
      </c>
      <c r="GB55" s="245" t="s">
        <v>393</v>
      </c>
      <c r="GC55" s="245" t="s">
        <v>393</v>
      </c>
      <c r="GD55" s="245" t="s">
        <v>393</v>
      </c>
      <c r="GE55" s="245" t="s">
        <v>393</v>
      </c>
      <c r="GF55" s="245" t="s">
        <v>393</v>
      </c>
      <c r="GG55" s="246">
        <v>43987</v>
      </c>
      <c r="GH55" s="244" t="s">
        <v>5751</v>
      </c>
      <c r="GI55" s="247">
        <v>1</v>
      </c>
      <c r="GJ55" s="247" t="s">
        <v>3274</v>
      </c>
      <c r="GK55" s="247" t="s">
        <v>600</v>
      </c>
      <c r="GL55" s="247">
        <v>2</v>
      </c>
      <c r="GM55" s="247" t="s">
        <v>3323</v>
      </c>
      <c r="GN55" s="247" t="s">
        <v>1314</v>
      </c>
      <c r="GO55" s="237">
        <v>44110</v>
      </c>
      <c r="GP55" s="245" t="s">
        <v>5752</v>
      </c>
      <c r="GQ55" s="245" t="s">
        <v>393</v>
      </c>
      <c r="GR55" s="245" t="s">
        <v>393</v>
      </c>
      <c r="GS55" s="245" t="s">
        <v>393</v>
      </c>
      <c r="GT55" s="245" t="s">
        <v>393</v>
      </c>
      <c r="GU55" s="245" t="s">
        <v>393</v>
      </c>
      <c r="GV55" s="245" t="s">
        <v>393</v>
      </c>
      <c r="GW55" s="246">
        <v>43987</v>
      </c>
      <c r="GX55" s="244" t="s">
        <v>5753</v>
      </c>
      <c r="GY55" s="247" t="s">
        <v>393</v>
      </c>
      <c r="GZ55" s="247" t="s">
        <v>393</v>
      </c>
      <c r="HA55" s="247" t="s">
        <v>393</v>
      </c>
      <c r="HB55" s="247" t="s">
        <v>393</v>
      </c>
      <c r="HC55" s="247" t="s">
        <v>393</v>
      </c>
      <c r="HD55" s="247" t="s">
        <v>393</v>
      </c>
      <c r="HE55" s="237">
        <v>43987</v>
      </c>
      <c r="HF55" s="245" t="s">
        <v>5754</v>
      </c>
      <c r="HG55" s="245" t="s">
        <v>393</v>
      </c>
      <c r="HH55" s="245" t="s">
        <v>393</v>
      </c>
      <c r="HI55" s="245" t="s">
        <v>393</v>
      </c>
      <c r="HJ55" s="245" t="s">
        <v>393</v>
      </c>
      <c r="HK55" s="245" t="s">
        <v>393</v>
      </c>
      <c r="HL55" s="245" t="s">
        <v>393</v>
      </c>
      <c r="HM55" s="246">
        <v>43987</v>
      </c>
      <c r="HN55" s="244" t="s">
        <v>5755</v>
      </c>
      <c r="HO55" s="247" t="s">
        <v>393</v>
      </c>
      <c r="HP55" s="247" t="s">
        <v>393</v>
      </c>
      <c r="HQ55" s="247" t="s">
        <v>393</v>
      </c>
      <c r="HR55" s="247" t="s">
        <v>393</v>
      </c>
      <c r="HS55" s="247" t="s">
        <v>393</v>
      </c>
      <c r="HT55" s="247" t="s">
        <v>393</v>
      </c>
      <c r="HU55" s="237">
        <v>43987</v>
      </c>
      <c r="HV55" s="245" t="s">
        <v>5756</v>
      </c>
      <c r="HW55" s="245" t="s">
        <v>393</v>
      </c>
      <c r="HX55" s="245" t="s">
        <v>393</v>
      </c>
      <c r="HY55" s="245" t="s">
        <v>393</v>
      </c>
      <c r="HZ55" s="245" t="s">
        <v>393</v>
      </c>
      <c r="IA55" s="245" t="s">
        <v>393</v>
      </c>
      <c r="IB55" s="245" t="s">
        <v>393</v>
      </c>
      <c r="IC55" s="246">
        <v>43987</v>
      </c>
      <c r="ID55" s="244" t="s">
        <v>5757</v>
      </c>
      <c r="IE55" s="247" t="s">
        <v>393</v>
      </c>
      <c r="IF55" s="247" t="s">
        <v>393</v>
      </c>
      <c r="IG55" s="247" t="s">
        <v>393</v>
      </c>
      <c r="IH55" s="247" t="s">
        <v>393</v>
      </c>
      <c r="II55" s="247" t="s">
        <v>393</v>
      </c>
      <c r="IJ55" s="247" t="s">
        <v>393</v>
      </c>
      <c r="IK55" s="237">
        <v>43987</v>
      </c>
      <c r="IL55" s="245" t="s">
        <v>5758</v>
      </c>
      <c r="IM55" s="245" t="s">
        <v>393</v>
      </c>
      <c r="IN55" s="245" t="s">
        <v>393</v>
      </c>
      <c r="IO55" s="245" t="s">
        <v>393</v>
      </c>
      <c r="IP55" s="245" t="s">
        <v>393</v>
      </c>
      <c r="IQ55" s="245" t="s">
        <v>393</v>
      </c>
      <c r="IR55" s="245" t="s">
        <v>393</v>
      </c>
      <c r="IS55" s="246">
        <v>43987</v>
      </c>
    </row>
    <row r="56" spans="1:253" s="11" customFormat="1" ht="13.2" x14ac:dyDescent="0.25">
      <c r="A56" s="11" t="s">
        <v>1201</v>
      </c>
      <c r="B56" s="11" t="s">
        <v>650</v>
      </c>
      <c r="C56" s="11" t="s">
        <v>1203</v>
      </c>
      <c r="D56" s="11" t="s">
        <v>142</v>
      </c>
      <c r="E56" s="11" t="s">
        <v>141</v>
      </c>
      <c r="F56" s="11" t="s">
        <v>5759</v>
      </c>
      <c r="G56" s="235">
        <v>1353520000</v>
      </c>
      <c r="H56" s="236" t="s">
        <v>1207</v>
      </c>
      <c r="I56" s="236" t="s">
        <v>600</v>
      </c>
      <c r="J56" s="236">
        <v>2</v>
      </c>
      <c r="K56" s="236" t="s">
        <v>1849</v>
      </c>
      <c r="L56" s="236" t="s">
        <v>1208</v>
      </c>
      <c r="M56" s="237">
        <v>43553</v>
      </c>
      <c r="N56" s="244" t="s">
        <v>5760</v>
      </c>
      <c r="O56" s="239">
        <v>222236</v>
      </c>
      <c r="P56" s="239" t="s">
        <v>1209</v>
      </c>
      <c r="Q56" s="239" t="s">
        <v>601</v>
      </c>
      <c r="R56" s="239">
        <v>1</v>
      </c>
      <c r="S56" s="239" t="s">
        <v>1850</v>
      </c>
      <c r="T56" s="239" t="s">
        <v>1210</v>
      </c>
      <c r="U56" s="240">
        <v>43553</v>
      </c>
      <c r="V56" s="244" t="s">
        <v>5761</v>
      </c>
      <c r="W56" s="236">
        <v>12541000</v>
      </c>
      <c r="X56" s="236" t="s">
        <v>1209</v>
      </c>
      <c r="Y56" s="236" t="s">
        <v>600</v>
      </c>
      <c r="Z56" s="236">
        <v>2</v>
      </c>
      <c r="AA56" s="236" t="s">
        <v>1851</v>
      </c>
      <c r="AB56" s="236" t="s">
        <v>1210</v>
      </c>
      <c r="AC56" s="237">
        <v>43553</v>
      </c>
      <c r="AD56" s="244" t="s">
        <v>5762</v>
      </c>
      <c r="AE56" s="241" t="s">
        <v>393</v>
      </c>
      <c r="AF56" s="241" t="s">
        <v>393</v>
      </c>
      <c r="AG56" s="241" t="s">
        <v>393</v>
      </c>
      <c r="AH56" s="241" t="s">
        <v>393</v>
      </c>
      <c r="AI56" s="241" t="s">
        <v>1852</v>
      </c>
      <c r="AJ56" s="241" t="s">
        <v>393</v>
      </c>
      <c r="AK56" s="242">
        <v>43553</v>
      </c>
      <c r="AL56" s="244" t="s">
        <v>5763</v>
      </c>
      <c r="AM56" s="236" t="s">
        <v>393</v>
      </c>
      <c r="AN56" s="236" t="s">
        <v>393</v>
      </c>
      <c r="AO56" s="236" t="s">
        <v>393</v>
      </c>
      <c r="AP56" s="236" t="s">
        <v>393</v>
      </c>
      <c r="AQ56" s="236" t="s">
        <v>1853</v>
      </c>
      <c r="AR56" s="236" t="s">
        <v>393</v>
      </c>
      <c r="AS56" s="237">
        <v>43553</v>
      </c>
      <c r="AT56" s="245" t="s">
        <v>5764</v>
      </c>
      <c r="AU56" s="241" t="s">
        <v>393</v>
      </c>
      <c r="AV56" s="241" t="s">
        <v>393</v>
      </c>
      <c r="AW56" s="241" t="s">
        <v>393</v>
      </c>
      <c r="AX56" s="241" t="s">
        <v>393</v>
      </c>
      <c r="AY56" s="241" t="s">
        <v>393</v>
      </c>
      <c r="AZ56" s="241" t="s">
        <v>393</v>
      </c>
      <c r="BA56" s="242">
        <v>43553</v>
      </c>
      <c r="BB56" s="244" t="s">
        <v>5765</v>
      </c>
      <c r="BC56" s="236" t="s">
        <v>393</v>
      </c>
      <c r="BD56" s="236">
        <v>0</v>
      </c>
      <c r="BE56" s="236" t="s">
        <v>393</v>
      </c>
      <c r="BF56" s="236" t="s">
        <v>393</v>
      </c>
      <c r="BG56" s="236" t="s">
        <v>1854</v>
      </c>
      <c r="BH56" s="236" t="s">
        <v>393</v>
      </c>
      <c r="BI56" s="237">
        <v>43553</v>
      </c>
      <c r="BJ56" s="245" t="s">
        <v>5766</v>
      </c>
      <c r="BK56" s="245">
        <v>271</v>
      </c>
      <c r="BL56" s="245" t="s">
        <v>3724</v>
      </c>
      <c r="BM56" s="245" t="s">
        <v>599</v>
      </c>
      <c r="BN56" s="245">
        <v>3</v>
      </c>
      <c r="BO56" s="245" t="s">
        <v>3750</v>
      </c>
      <c r="BP56" s="241" t="s">
        <v>812</v>
      </c>
      <c r="BQ56" s="246">
        <v>44132</v>
      </c>
      <c r="BR56" s="244" t="s">
        <v>5767</v>
      </c>
      <c r="BS56" s="247" t="s">
        <v>393</v>
      </c>
      <c r="BT56" s="247">
        <v>0</v>
      </c>
      <c r="BU56" s="247" t="s">
        <v>393</v>
      </c>
      <c r="BV56" s="247" t="s">
        <v>393</v>
      </c>
      <c r="BW56" s="247">
        <v>0</v>
      </c>
      <c r="BX56" s="247">
        <v>0</v>
      </c>
      <c r="BY56" s="237">
        <v>43553</v>
      </c>
      <c r="BZ56" s="245" t="s">
        <v>5768</v>
      </c>
      <c r="CA56" s="245" t="s">
        <v>393</v>
      </c>
      <c r="CB56" s="245" t="s">
        <v>393</v>
      </c>
      <c r="CC56" s="245" t="s">
        <v>393</v>
      </c>
      <c r="CD56" s="245" t="s">
        <v>393</v>
      </c>
      <c r="CE56" s="245" t="s">
        <v>393</v>
      </c>
      <c r="CF56" s="245" t="s">
        <v>393</v>
      </c>
      <c r="CG56" s="246">
        <v>43553</v>
      </c>
      <c r="CH56" s="244" t="s">
        <v>5769</v>
      </c>
      <c r="CI56" s="245" t="e">
        <v>#N/A</v>
      </c>
      <c r="CJ56" s="245" t="e">
        <v>#N/A</v>
      </c>
      <c r="CK56" s="245" t="e">
        <v>#N/A</v>
      </c>
      <c r="CL56" s="245" t="e">
        <v>#N/A</v>
      </c>
      <c r="CM56" s="245" t="e">
        <v>#N/A</v>
      </c>
      <c r="CN56" s="245" t="e">
        <v>#N/A</v>
      </c>
      <c r="CO56" s="248" t="e">
        <v>#N/A</v>
      </c>
      <c r="CP56" s="245" t="s">
        <v>5770</v>
      </c>
      <c r="CQ56" s="247" t="s">
        <v>393</v>
      </c>
      <c r="CR56" s="247">
        <v>0</v>
      </c>
      <c r="CS56" s="247" t="s">
        <v>393</v>
      </c>
      <c r="CT56" s="247" t="s">
        <v>393</v>
      </c>
      <c r="CU56" s="247">
        <v>0</v>
      </c>
      <c r="CV56" s="247">
        <v>0</v>
      </c>
      <c r="CW56" s="237">
        <v>43553</v>
      </c>
      <c r="CX56" s="245" t="s">
        <v>5771</v>
      </c>
      <c r="CY56" s="241" t="s">
        <v>393</v>
      </c>
      <c r="CZ56" s="241" t="s">
        <v>393</v>
      </c>
      <c r="DA56" s="241" t="s">
        <v>599</v>
      </c>
      <c r="DB56" s="241">
        <v>3</v>
      </c>
      <c r="DC56" s="241" t="s">
        <v>1855</v>
      </c>
      <c r="DD56" s="241" t="s">
        <v>393</v>
      </c>
      <c r="DE56" s="243">
        <v>43553</v>
      </c>
      <c r="DF56" s="244" t="s">
        <v>5772</v>
      </c>
      <c r="DG56" s="236">
        <v>12541000</v>
      </c>
      <c r="DH56" s="247" t="s">
        <v>1209</v>
      </c>
      <c r="DI56" s="247" t="s">
        <v>599</v>
      </c>
      <c r="DJ56" s="247">
        <v>3</v>
      </c>
      <c r="DK56" s="247" t="s">
        <v>1855</v>
      </c>
      <c r="DL56" s="247" t="s">
        <v>1210</v>
      </c>
      <c r="DM56" s="237">
        <v>43581</v>
      </c>
      <c r="DN56" s="245" t="s">
        <v>5773</v>
      </c>
      <c r="DO56" s="241" t="s">
        <v>393</v>
      </c>
      <c r="DP56" s="245" t="s">
        <v>393</v>
      </c>
      <c r="DQ56" s="245" t="s">
        <v>599</v>
      </c>
      <c r="DR56" s="245">
        <v>3</v>
      </c>
      <c r="DS56" s="245" t="s">
        <v>1855</v>
      </c>
      <c r="DT56" s="245" t="s">
        <v>393</v>
      </c>
      <c r="DU56" s="246">
        <v>43553</v>
      </c>
      <c r="DV56" s="244" t="s">
        <v>5774</v>
      </c>
      <c r="DW56" s="236" t="s">
        <v>393</v>
      </c>
      <c r="DX56" s="247" t="s">
        <v>393</v>
      </c>
      <c r="DY56" s="247" t="s">
        <v>599</v>
      </c>
      <c r="DZ56" s="247">
        <v>3</v>
      </c>
      <c r="EA56" s="247" t="s">
        <v>1855</v>
      </c>
      <c r="EB56" s="247" t="s">
        <v>393</v>
      </c>
      <c r="EC56" s="237">
        <v>43553</v>
      </c>
      <c r="ED56" s="245" t="s">
        <v>5775</v>
      </c>
      <c r="EE56" s="241" t="s">
        <v>393</v>
      </c>
      <c r="EF56" s="245">
        <v>0</v>
      </c>
      <c r="EG56" s="245" t="s">
        <v>599</v>
      </c>
      <c r="EH56" s="245">
        <v>3</v>
      </c>
      <c r="EI56" s="245" t="s">
        <v>1855</v>
      </c>
      <c r="EJ56" s="245">
        <v>0</v>
      </c>
      <c r="EK56" s="246">
        <v>43553</v>
      </c>
      <c r="EL56" s="244" t="s">
        <v>5776</v>
      </c>
      <c r="EM56" s="236">
        <v>0</v>
      </c>
      <c r="EN56" s="247">
        <v>0</v>
      </c>
      <c r="EO56" s="247" t="s">
        <v>600</v>
      </c>
      <c r="EP56" s="247">
        <v>2</v>
      </c>
      <c r="EQ56" s="247" t="s">
        <v>1855</v>
      </c>
      <c r="ER56" s="247">
        <v>0</v>
      </c>
      <c r="ES56" s="237">
        <v>43553</v>
      </c>
      <c r="ET56" s="245" t="s">
        <v>5777</v>
      </c>
      <c r="EU56" s="245">
        <v>2019</v>
      </c>
      <c r="EV56" s="245" t="s">
        <v>3734</v>
      </c>
      <c r="EW56" s="245" t="s">
        <v>599</v>
      </c>
      <c r="EX56" s="245">
        <v>3</v>
      </c>
      <c r="EY56" s="245" t="s">
        <v>3748</v>
      </c>
      <c r="EZ56" s="245" t="s">
        <v>3738</v>
      </c>
      <c r="FA56" s="246">
        <v>44132</v>
      </c>
      <c r="FB56" s="244" t="s">
        <v>5778</v>
      </c>
      <c r="FC56" s="247" t="s">
        <v>393</v>
      </c>
      <c r="FD56" s="247" t="s">
        <v>393</v>
      </c>
      <c r="FE56" s="247" t="s">
        <v>393</v>
      </c>
      <c r="FF56" s="247" t="s">
        <v>393</v>
      </c>
      <c r="FG56" s="247" t="s">
        <v>1649</v>
      </c>
      <c r="FH56" s="247" t="s">
        <v>393</v>
      </c>
      <c r="FI56" s="237">
        <v>43796</v>
      </c>
      <c r="FJ56" s="244" t="s">
        <v>5779</v>
      </c>
      <c r="FK56" s="245" t="s">
        <v>393</v>
      </c>
      <c r="FL56" s="245">
        <v>0</v>
      </c>
      <c r="FM56" s="245" t="s">
        <v>600</v>
      </c>
      <c r="FN56" s="245">
        <v>2</v>
      </c>
      <c r="FO56" s="245">
        <v>0</v>
      </c>
      <c r="FP56" s="241">
        <v>0</v>
      </c>
      <c r="FQ56" s="242">
        <v>43553</v>
      </c>
      <c r="FR56" s="244" t="s">
        <v>5780</v>
      </c>
      <c r="FS56" s="247" t="s">
        <v>393</v>
      </c>
      <c r="FT56" s="247">
        <v>0</v>
      </c>
      <c r="FU56" s="247" t="s">
        <v>600</v>
      </c>
      <c r="FV56" s="247">
        <v>2</v>
      </c>
      <c r="FW56" s="247">
        <v>0</v>
      </c>
      <c r="FX56" s="247">
        <v>0</v>
      </c>
      <c r="FY56" s="237">
        <v>43553</v>
      </c>
      <c r="FZ56" s="245" t="s">
        <v>5781</v>
      </c>
      <c r="GA56" s="245">
        <v>1</v>
      </c>
      <c r="GB56" s="245" t="s">
        <v>1587</v>
      </c>
      <c r="GC56" s="245" t="s">
        <v>601</v>
      </c>
      <c r="GD56" s="245">
        <v>1</v>
      </c>
      <c r="GE56" s="245" t="s">
        <v>1623</v>
      </c>
      <c r="GF56" s="245" t="s">
        <v>1624</v>
      </c>
      <c r="GG56" s="246">
        <v>43767</v>
      </c>
      <c r="GH56" s="244" t="s">
        <v>5782</v>
      </c>
      <c r="GI56" s="247">
        <v>1</v>
      </c>
      <c r="GJ56" s="247" t="s">
        <v>1587</v>
      </c>
      <c r="GK56" s="247" t="s">
        <v>599</v>
      </c>
      <c r="GL56" s="247">
        <v>3</v>
      </c>
      <c r="GM56" s="247" t="s">
        <v>1623</v>
      </c>
      <c r="GN56" s="247" t="s">
        <v>1624</v>
      </c>
      <c r="GO56" s="237">
        <v>43767</v>
      </c>
      <c r="GP56" s="245" t="s">
        <v>5783</v>
      </c>
      <c r="GQ56" s="245">
        <v>1</v>
      </c>
      <c r="GR56" s="245" t="s">
        <v>1587</v>
      </c>
      <c r="GS56" s="245" t="s">
        <v>599</v>
      </c>
      <c r="GT56" s="245">
        <v>3</v>
      </c>
      <c r="GU56" s="245" t="s">
        <v>1623</v>
      </c>
      <c r="GV56" s="245" t="s">
        <v>1624</v>
      </c>
      <c r="GW56" s="246">
        <v>43767</v>
      </c>
      <c r="GX56" s="244" t="s">
        <v>5784</v>
      </c>
      <c r="GY56" s="247">
        <v>0</v>
      </c>
      <c r="GZ56" s="247" t="s">
        <v>1587</v>
      </c>
      <c r="HA56" s="247" t="s">
        <v>599</v>
      </c>
      <c r="HB56" s="247">
        <v>3</v>
      </c>
      <c r="HC56" s="247" t="s">
        <v>1623</v>
      </c>
      <c r="HD56" s="247" t="s">
        <v>1624</v>
      </c>
      <c r="HE56" s="237">
        <v>43767</v>
      </c>
      <c r="HF56" s="245" t="s">
        <v>5785</v>
      </c>
      <c r="HG56" s="245">
        <v>1</v>
      </c>
      <c r="HH56" s="245" t="s">
        <v>1587</v>
      </c>
      <c r="HI56" s="245" t="s">
        <v>599</v>
      </c>
      <c r="HJ56" s="245">
        <v>3</v>
      </c>
      <c r="HK56" s="245" t="s">
        <v>1623</v>
      </c>
      <c r="HL56" s="245" t="s">
        <v>1624</v>
      </c>
      <c r="HM56" s="246">
        <v>43767</v>
      </c>
      <c r="HN56" s="244" t="s">
        <v>5786</v>
      </c>
      <c r="HO56" s="247">
        <v>1</v>
      </c>
      <c r="HP56" s="247" t="s">
        <v>1587</v>
      </c>
      <c r="HQ56" s="247" t="s">
        <v>599</v>
      </c>
      <c r="HR56" s="247">
        <v>3</v>
      </c>
      <c r="HS56" s="247" t="s">
        <v>1623</v>
      </c>
      <c r="HT56" s="247" t="s">
        <v>1624</v>
      </c>
      <c r="HU56" s="237">
        <v>43767</v>
      </c>
      <c r="HV56" s="245" t="s">
        <v>5787</v>
      </c>
      <c r="HW56" s="245">
        <v>1</v>
      </c>
      <c r="HX56" s="245" t="s">
        <v>1587</v>
      </c>
      <c r="HY56" s="245" t="s">
        <v>599</v>
      </c>
      <c r="HZ56" s="245">
        <v>3</v>
      </c>
      <c r="IA56" s="245" t="s">
        <v>1623</v>
      </c>
      <c r="IB56" s="245" t="s">
        <v>1624</v>
      </c>
      <c r="IC56" s="246">
        <v>43767</v>
      </c>
      <c r="ID56" s="244" t="s">
        <v>5788</v>
      </c>
      <c r="IE56" s="247">
        <v>1</v>
      </c>
      <c r="IF56" s="247" t="s">
        <v>1587</v>
      </c>
      <c r="IG56" s="247" t="s">
        <v>599</v>
      </c>
      <c r="IH56" s="247">
        <v>3</v>
      </c>
      <c r="II56" s="247" t="s">
        <v>1623</v>
      </c>
      <c r="IJ56" s="247" t="s">
        <v>1624</v>
      </c>
      <c r="IK56" s="237">
        <v>43767</v>
      </c>
      <c r="IL56" s="245" t="s">
        <v>5789</v>
      </c>
      <c r="IM56" s="245">
        <v>1</v>
      </c>
      <c r="IN56" s="245" t="s">
        <v>1587</v>
      </c>
      <c r="IO56" s="245" t="s">
        <v>600</v>
      </c>
      <c r="IP56" s="245">
        <v>2</v>
      </c>
      <c r="IQ56" s="245" t="s">
        <v>1623</v>
      </c>
      <c r="IR56" s="245" t="s">
        <v>1624</v>
      </c>
      <c r="IS56" s="246">
        <v>43767</v>
      </c>
    </row>
    <row r="57" spans="1:253" s="11" customFormat="1" ht="13.2" x14ac:dyDescent="0.25">
      <c r="A57" s="11" t="s">
        <v>2417</v>
      </c>
      <c r="B57" s="11" t="s">
        <v>1549</v>
      </c>
      <c r="C57" s="11" t="s">
        <v>2418</v>
      </c>
      <c r="D57" s="11" t="s">
        <v>142</v>
      </c>
      <c r="E57" s="11" t="s">
        <v>141</v>
      </c>
      <c r="F57" s="11" t="s">
        <v>5790</v>
      </c>
      <c r="G57" s="235">
        <v>1353520000</v>
      </c>
      <c r="H57" s="236" t="s">
        <v>1207</v>
      </c>
      <c r="I57" s="236" t="s">
        <v>600</v>
      </c>
      <c r="J57" s="236">
        <v>2</v>
      </c>
      <c r="K57" s="236" t="s">
        <v>1849</v>
      </c>
      <c r="L57" s="236" t="s">
        <v>1208</v>
      </c>
      <c r="M57" s="237">
        <v>43987</v>
      </c>
      <c r="N57" s="244" t="s">
        <v>5791</v>
      </c>
      <c r="O57" s="239">
        <v>269249</v>
      </c>
      <c r="P57" s="239" t="s">
        <v>2427</v>
      </c>
      <c r="Q57" s="239" t="s">
        <v>599</v>
      </c>
      <c r="R57" s="239">
        <v>3</v>
      </c>
      <c r="S57" s="239" t="s">
        <v>2451</v>
      </c>
      <c r="T57" s="239" t="s">
        <v>2448</v>
      </c>
      <c r="U57" s="240">
        <v>43987</v>
      </c>
      <c r="V57" s="244" t="s">
        <v>5792</v>
      </c>
      <c r="W57" s="236">
        <v>44047000</v>
      </c>
      <c r="X57" s="236" t="s">
        <v>2427</v>
      </c>
      <c r="Y57" s="236" t="s">
        <v>600</v>
      </c>
      <c r="Z57" s="236">
        <v>2</v>
      </c>
      <c r="AA57" s="236" t="s">
        <v>2452</v>
      </c>
      <c r="AB57" s="236" t="s">
        <v>2448</v>
      </c>
      <c r="AC57" s="237">
        <v>44118</v>
      </c>
      <c r="AD57" s="244" t="s">
        <v>5793</v>
      </c>
      <c r="AE57" s="241">
        <v>18000000</v>
      </c>
      <c r="AF57" s="241" t="s">
        <v>2778</v>
      </c>
      <c r="AG57" s="241" t="s">
        <v>599</v>
      </c>
      <c r="AH57" s="241">
        <v>3</v>
      </c>
      <c r="AI57" s="241" t="s">
        <v>2780</v>
      </c>
      <c r="AJ57" s="241" t="s">
        <v>2779</v>
      </c>
      <c r="AK57" s="242">
        <v>44071</v>
      </c>
      <c r="AL57" s="244" t="s">
        <v>5794</v>
      </c>
      <c r="AM57" s="236">
        <v>660000</v>
      </c>
      <c r="AN57" s="236" t="s">
        <v>2428</v>
      </c>
      <c r="AO57" s="236" t="s">
        <v>599</v>
      </c>
      <c r="AP57" s="236">
        <v>3</v>
      </c>
      <c r="AQ57" s="236" t="s">
        <v>2453</v>
      </c>
      <c r="AR57" s="236" t="s">
        <v>2449</v>
      </c>
      <c r="AS57" s="237">
        <v>43987</v>
      </c>
      <c r="AT57" s="245" t="s">
        <v>5795</v>
      </c>
      <c r="AU57" s="241" t="s">
        <v>393</v>
      </c>
      <c r="AV57" s="241" t="s">
        <v>393</v>
      </c>
      <c r="AW57" s="241" t="s">
        <v>393</v>
      </c>
      <c r="AX57" s="241" t="s">
        <v>393</v>
      </c>
      <c r="AY57" s="241" t="s">
        <v>393</v>
      </c>
      <c r="AZ57" s="241" t="s">
        <v>393</v>
      </c>
      <c r="BA57" s="242">
        <v>43987</v>
      </c>
      <c r="BB57" s="244" t="s">
        <v>5796</v>
      </c>
      <c r="BC57" s="236" t="s">
        <v>393</v>
      </c>
      <c r="BD57" s="236" t="s">
        <v>393</v>
      </c>
      <c r="BE57" s="236" t="s">
        <v>393</v>
      </c>
      <c r="BF57" s="236" t="s">
        <v>393</v>
      </c>
      <c r="BG57" s="236" t="s">
        <v>393</v>
      </c>
      <c r="BH57" s="236" t="s">
        <v>393</v>
      </c>
      <c r="BI57" s="237">
        <v>43987</v>
      </c>
      <c r="BJ57" s="245" t="s">
        <v>5797</v>
      </c>
      <c r="BK57" s="245">
        <v>86</v>
      </c>
      <c r="BL57" s="245" t="s">
        <v>2428</v>
      </c>
      <c r="BM57" s="245" t="s">
        <v>600</v>
      </c>
      <c r="BN57" s="245">
        <v>2</v>
      </c>
      <c r="BO57" s="245" t="s">
        <v>2454</v>
      </c>
      <c r="BP57" s="241" t="s">
        <v>2449</v>
      </c>
      <c r="BQ57" s="246">
        <v>43987</v>
      </c>
      <c r="BR57" s="244" t="s">
        <v>5798</v>
      </c>
      <c r="BS57" s="247" t="s">
        <v>393</v>
      </c>
      <c r="BT57" s="247" t="s">
        <v>393</v>
      </c>
      <c r="BU57" s="247" t="s">
        <v>393</v>
      </c>
      <c r="BV57" s="247" t="s">
        <v>393</v>
      </c>
      <c r="BW57" s="247" t="s">
        <v>393</v>
      </c>
      <c r="BX57" s="247" t="s">
        <v>393</v>
      </c>
      <c r="BY57" s="237">
        <v>43987</v>
      </c>
      <c r="BZ57" s="245" t="s">
        <v>5799</v>
      </c>
      <c r="CA57" s="245" t="s">
        <v>393</v>
      </c>
      <c r="CB57" s="245" t="s">
        <v>393</v>
      </c>
      <c r="CC57" s="245" t="s">
        <v>393</v>
      </c>
      <c r="CD57" s="245" t="s">
        <v>393</v>
      </c>
      <c r="CE57" s="245" t="s">
        <v>393</v>
      </c>
      <c r="CF57" s="245" t="s">
        <v>393</v>
      </c>
      <c r="CG57" s="246">
        <v>43987</v>
      </c>
      <c r="CH57" s="244" t="s">
        <v>5800</v>
      </c>
      <c r="CI57" s="245" t="e">
        <v>#N/A</v>
      </c>
      <c r="CJ57" s="245" t="e">
        <v>#N/A</v>
      </c>
      <c r="CK57" s="245" t="e">
        <v>#N/A</v>
      </c>
      <c r="CL57" s="245" t="e">
        <v>#N/A</v>
      </c>
      <c r="CM57" s="245" t="e">
        <v>#N/A</v>
      </c>
      <c r="CN57" s="245" t="e">
        <v>#N/A</v>
      </c>
      <c r="CO57" s="248" t="e">
        <v>#N/A</v>
      </c>
      <c r="CP57" s="245" t="s">
        <v>5801</v>
      </c>
      <c r="CQ57" s="247" t="s">
        <v>393</v>
      </c>
      <c r="CR57" s="247" t="s">
        <v>393</v>
      </c>
      <c r="CS57" s="247" t="s">
        <v>393</v>
      </c>
      <c r="CT57" s="247" t="s">
        <v>393</v>
      </c>
      <c r="CU57" s="247" t="s">
        <v>393</v>
      </c>
      <c r="CV57" s="247" t="s">
        <v>393</v>
      </c>
      <c r="CW57" s="237">
        <v>43987</v>
      </c>
      <c r="CX57" s="245" t="s">
        <v>5802</v>
      </c>
      <c r="CY57" s="241">
        <v>660000</v>
      </c>
      <c r="CZ57" s="241" t="s">
        <v>2781</v>
      </c>
      <c r="DA57" s="241" t="s">
        <v>599</v>
      </c>
      <c r="DB57" s="241">
        <v>3</v>
      </c>
      <c r="DC57" s="241" t="s">
        <v>2455</v>
      </c>
      <c r="DD57" s="241" t="s">
        <v>2782</v>
      </c>
      <c r="DE57" s="243">
        <v>44071</v>
      </c>
      <c r="DF57" s="244" t="s">
        <v>5803</v>
      </c>
      <c r="DG57" s="236">
        <v>26047000</v>
      </c>
      <c r="DH57" s="247" t="s">
        <v>2781</v>
      </c>
      <c r="DI57" s="247" t="s">
        <v>600</v>
      </c>
      <c r="DJ57" s="247">
        <v>2</v>
      </c>
      <c r="DK57" s="247" t="s">
        <v>2455</v>
      </c>
      <c r="DL57" s="247" t="s">
        <v>2782</v>
      </c>
      <c r="DM57" s="237">
        <v>44110</v>
      </c>
      <c r="DN57" s="245" t="s">
        <v>5804</v>
      </c>
      <c r="DO57" s="241">
        <v>17340000</v>
      </c>
      <c r="DP57" s="245" t="s">
        <v>2781</v>
      </c>
      <c r="DQ57" s="245" t="s">
        <v>599</v>
      </c>
      <c r="DR57" s="245">
        <v>3</v>
      </c>
      <c r="DS57" s="245" t="s">
        <v>2455</v>
      </c>
      <c r="DT57" s="245" t="s">
        <v>2782</v>
      </c>
      <c r="DU57" s="246">
        <v>44071</v>
      </c>
      <c r="DV57" s="244" t="s">
        <v>5805</v>
      </c>
      <c r="DW57" s="236">
        <v>660000</v>
      </c>
      <c r="DX57" s="247" t="s">
        <v>2781</v>
      </c>
      <c r="DY57" s="247" t="s">
        <v>599</v>
      </c>
      <c r="DZ57" s="247">
        <v>3</v>
      </c>
      <c r="EA57" s="247" t="s">
        <v>2455</v>
      </c>
      <c r="EB57" s="247" t="s">
        <v>2782</v>
      </c>
      <c r="EC57" s="237">
        <v>44071</v>
      </c>
      <c r="ED57" s="245" t="s">
        <v>5806</v>
      </c>
      <c r="EE57" s="241">
        <v>0</v>
      </c>
      <c r="EF57" s="245" t="s">
        <v>2429</v>
      </c>
      <c r="EG57" s="245" t="s">
        <v>599</v>
      </c>
      <c r="EH57" s="245">
        <v>3</v>
      </c>
      <c r="EI57" s="245" t="s">
        <v>2455</v>
      </c>
      <c r="EJ57" s="245" t="s">
        <v>2450</v>
      </c>
      <c r="EK57" s="246">
        <v>43987</v>
      </c>
      <c r="EL57" s="244" t="s">
        <v>5807</v>
      </c>
      <c r="EM57" s="236">
        <v>0</v>
      </c>
      <c r="EN57" s="247" t="s">
        <v>2429</v>
      </c>
      <c r="EO57" s="247" t="s">
        <v>599</v>
      </c>
      <c r="EP57" s="247">
        <v>3</v>
      </c>
      <c r="EQ57" s="247" t="s">
        <v>2455</v>
      </c>
      <c r="ER57" s="247" t="s">
        <v>2450</v>
      </c>
      <c r="ES57" s="237">
        <v>43987</v>
      </c>
      <c r="ET57" s="245" t="s">
        <v>5808</v>
      </c>
      <c r="EU57" s="245">
        <v>2019</v>
      </c>
      <c r="EV57" s="245" t="s">
        <v>3734</v>
      </c>
      <c r="EW57" s="245" t="s">
        <v>599</v>
      </c>
      <c r="EX57" s="245">
        <v>3</v>
      </c>
      <c r="EY57" s="245" t="s">
        <v>3748</v>
      </c>
      <c r="EZ57" s="245" t="s">
        <v>3738</v>
      </c>
      <c r="FA57" s="246">
        <v>44132</v>
      </c>
      <c r="FB57" s="244" t="s">
        <v>5809</v>
      </c>
      <c r="FC57" s="247" t="s">
        <v>393</v>
      </c>
      <c r="FD57" s="247" t="s">
        <v>393</v>
      </c>
      <c r="FE57" s="247" t="s">
        <v>393</v>
      </c>
      <c r="FF57" s="247" t="s">
        <v>393</v>
      </c>
      <c r="FG57" s="247" t="s">
        <v>393</v>
      </c>
      <c r="FH57" s="247" t="s">
        <v>393</v>
      </c>
      <c r="FI57" s="237">
        <v>43987</v>
      </c>
      <c r="FJ57" s="244" t="s">
        <v>5810</v>
      </c>
      <c r="FK57" s="245" t="s">
        <v>393</v>
      </c>
      <c r="FL57" s="245" t="s">
        <v>393</v>
      </c>
      <c r="FM57" s="245" t="s">
        <v>393</v>
      </c>
      <c r="FN57" s="245" t="s">
        <v>393</v>
      </c>
      <c r="FO57" s="245" t="s">
        <v>393</v>
      </c>
      <c r="FP57" s="241" t="s">
        <v>393</v>
      </c>
      <c r="FQ57" s="242">
        <v>43987</v>
      </c>
      <c r="FR57" s="244" t="s">
        <v>5811</v>
      </c>
      <c r="FS57" s="247" t="s">
        <v>393</v>
      </c>
      <c r="FT57" s="247" t="s">
        <v>393</v>
      </c>
      <c r="FU57" s="247" t="s">
        <v>393</v>
      </c>
      <c r="FV57" s="247" t="s">
        <v>393</v>
      </c>
      <c r="FW57" s="247" t="s">
        <v>393</v>
      </c>
      <c r="FX57" s="247" t="s">
        <v>393</v>
      </c>
      <c r="FY57" s="237">
        <v>43987</v>
      </c>
      <c r="FZ57" s="245" t="s">
        <v>5812</v>
      </c>
      <c r="GA57" s="245" t="s">
        <v>393</v>
      </c>
      <c r="GB57" s="245" t="s">
        <v>393</v>
      </c>
      <c r="GC57" s="245" t="s">
        <v>393</v>
      </c>
      <c r="GD57" s="245" t="s">
        <v>393</v>
      </c>
      <c r="GE57" s="245" t="s">
        <v>393</v>
      </c>
      <c r="GF57" s="245" t="s">
        <v>393</v>
      </c>
      <c r="GG57" s="246">
        <v>43987</v>
      </c>
      <c r="GH57" s="244" t="s">
        <v>5813</v>
      </c>
      <c r="GI57" s="247" t="s">
        <v>393</v>
      </c>
      <c r="GJ57" s="247" t="s">
        <v>393</v>
      </c>
      <c r="GK57" s="247" t="s">
        <v>393</v>
      </c>
      <c r="GL57" s="247" t="s">
        <v>393</v>
      </c>
      <c r="GM57" s="247" t="s">
        <v>393</v>
      </c>
      <c r="GN57" s="247" t="s">
        <v>393</v>
      </c>
      <c r="GO57" s="237">
        <v>43987</v>
      </c>
      <c r="GP57" s="245" t="s">
        <v>5814</v>
      </c>
      <c r="GQ57" s="245" t="s">
        <v>393</v>
      </c>
      <c r="GR57" s="245" t="s">
        <v>393</v>
      </c>
      <c r="GS57" s="245" t="s">
        <v>393</v>
      </c>
      <c r="GT57" s="245" t="s">
        <v>393</v>
      </c>
      <c r="GU57" s="245" t="s">
        <v>393</v>
      </c>
      <c r="GV57" s="245" t="s">
        <v>393</v>
      </c>
      <c r="GW57" s="246">
        <v>43987</v>
      </c>
      <c r="GX57" s="244" t="s">
        <v>5815</v>
      </c>
      <c r="GY57" s="247" t="s">
        <v>393</v>
      </c>
      <c r="GZ57" s="247" t="s">
        <v>393</v>
      </c>
      <c r="HA57" s="247" t="s">
        <v>393</v>
      </c>
      <c r="HB57" s="247" t="s">
        <v>393</v>
      </c>
      <c r="HC57" s="247" t="s">
        <v>393</v>
      </c>
      <c r="HD57" s="247" t="s">
        <v>393</v>
      </c>
      <c r="HE57" s="237">
        <v>43987</v>
      </c>
      <c r="HF57" s="245" t="s">
        <v>5816</v>
      </c>
      <c r="HG57" s="245" t="s">
        <v>393</v>
      </c>
      <c r="HH57" s="245" t="s">
        <v>393</v>
      </c>
      <c r="HI57" s="245" t="s">
        <v>393</v>
      </c>
      <c r="HJ57" s="245" t="s">
        <v>393</v>
      </c>
      <c r="HK57" s="245" t="s">
        <v>393</v>
      </c>
      <c r="HL57" s="245" t="s">
        <v>393</v>
      </c>
      <c r="HM57" s="246">
        <v>43987</v>
      </c>
      <c r="HN57" s="244" t="s">
        <v>5817</v>
      </c>
      <c r="HO57" s="247" t="s">
        <v>393</v>
      </c>
      <c r="HP57" s="247" t="s">
        <v>393</v>
      </c>
      <c r="HQ57" s="247" t="s">
        <v>393</v>
      </c>
      <c r="HR57" s="247" t="s">
        <v>393</v>
      </c>
      <c r="HS57" s="247" t="s">
        <v>393</v>
      </c>
      <c r="HT57" s="247" t="s">
        <v>393</v>
      </c>
      <c r="HU57" s="237">
        <v>43987</v>
      </c>
      <c r="HV57" s="245" t="s">
        <v>5818</v>
      </c>
      <c r="HW57" s="245" t="s">
        <v>393</v>
      </c>
      <c r="HX57" s="245" t="s">
        <v>393</v>
      </c>
      <c r="HY57" s="245" t="s">
        <v>393</v>
      </c>
      <c r="HZ57" s="245" t="s">
        <v>393</v>
      </c>
      <c r="IA57" s="245" t="s">
        <v>393</v>
      </c>
      <c r="IB57" s="245" t="s">
        <v>393</v>
      </c>
      <c r="IC57" s="246">
        <v>43987</v>
      </c>
      <c r="ID57" s="244" t="s">
        <v>5819</v>
      </c>
      <c r="IE57" s="247" t="s">
        <v>393</v>
      </c>
      <c r="IF57" s="247" t="s">
        <v>393</v>
      </c>
      <c r="IG57" s="247" t="s">
        <v>393</v>
      </c>
      <c r="IH57" s="247" t="s">
        <v>393</v>
      </c>
      <c r="II57" s="247" t="s">
        <v>393</v>
      </c>
      <c r="IJ57" s="247" t="s">
        <v>393</v>
      </c>
      <c r="IK57" s="237">
        <v>43987</v>
      </c>
      <c r="IL57" s="245" t="s">
        <v>5820</v>
      </c>
      <c r="IM57" s="245" t="s">
        <v>393</v>
      </c>
      <c r="IN57" s="245" t="s">
        <v>393</v>
      </c>
      <c r="IO57" s="245" t="s">
        <v>393</v>
      </c>
      <c r="IP57" s="245" t="s">
        <v>393</v>
      </c>
      <c r="IQ57" s="245" t="s">
        <v>393</v>
      </c>
      <c r="IR57" s="245" t="s">
        <v>393</v>
      </c>
      <c r="IS57" s="246">
        <v>43987</v>
      </c>
    </row>
    <row r="58" spans="1:253" s="11" customFormat="1" ht="13.2" x14ac:dyDescent="0.25">
      <c r="A58" s="11" t="s">
        <v>2804</v>
      </c>
      <c r="B58" s="11" t="s">
        <v>1279</v>
      </c>
      <c r="C58" s="11" t="s">
        <v>3218</v>
      </c>
      <c r="D58" s="11" t="s">
        <v>142</v>
      </c>
      <c r="E58" s="11" t="s">
        <v>141</v>
      </c>
      <c r="F58" s="11" t="s">
        <v>5821</v>
      </c>
      <c r="G58" s="235">
        <v>1353520000</v>
      </c>
      <c r="H58" s="236" t="s">
        <v>1207</v>
      </c>
      <c r="I58" s="236" t="s">
        <v>600</v>
      </c>
      <c r="J58" s="236">
        <v>2</v>
      </c>
      <c r="K58" s="236" t="s">
        <v>1849</v>
      </c>
      <c r="L58" s="236" t="s">
        <v>1208</v>
      </c>
      <c r="M58" s="237">
        <v>44088</v>
      </c>
      <c r="N58" s="244" t="s">
        <v>5822</v>
      </c>
      <c r="O58" s="239">
        <v>1897103</v>
      </c>
      <c r="P58" s="239" t="s">
        <v>3751</v>
      </c>
      <c r="Q58" s="239" t="s">
        <v>600</v>
      </c>
      <c r="R58" s="239">
        <v>2</v>
      </c>
      <c r="S58" s="239" t="s">
        <v>3754</v>
      </c>
      <c r="T58" s="239" t="s">
        <v>2783</v>
      </c>
      <c r="U58" s="240">
        <v>44132</v>
      </c>
      <c r="V58" s="244" t="s">
        <v>5823</v>
      </c>
      <c r="W58" s="236">
        <v>821006000</v>
      </c>
      <c r="X58" s="236" t="s">
        <v>3751</v>
      </c>
      <c r="Y58" s="236" t="s">
        <v>600</v>
      </c>
      <c r="Z58" s="236">
        <v>2</v>
      </c>
      <c r="AA58" s="236" t="s">
        <v>3755</v>
      </c>
      <c r="AB58" s="236" t="s">
        <v>2783</v>
      </c>
      <c r="AC58" s="237">
        <v>44132</v>
      </c>
      <c r="AD58" s="244" t="s">
        <v>5824</v>
      </c>
      <c r="AE58" s="241">
        <v>22615000</v>
      </c>
      <c r="AF58" s="241" t="s">
        <v>3752</v>
      </c>
      <c r="AG58" s="241" t="s">
        <v>599</v>
      </c>
      <c r="AH58" s="241">
        <v>3</v>
      </c>
      <c r="AI58" s="241" t="s">
        <v>3520</v>
      </c>
      <c r="AJ58" s="241" t="s">
        <v>3753</v>
      </c>
      <c r="AK58" s="242">
        <v>44132</v>
      </c>
      <c r="AL58" s="244" t="s">
        <v>5825</v>
      </c>
      <c r="AM58" s="236">
        <v>1167000</v>
      </c>
      <c r="AN58" s="236" t="s">
        <v>3752</v>
      </c>
      <c r="AO58" s="236" t="s">
        <v>599</v>
      </c>
      <c r="AP58" s="236">
        <v>3</v>
      </c>
      <c r="AQ58" s="236" t="s">
        <v>3521</v>
      </c>
      <c r="AR58" s="236" t="s">
        <v>3753</v>
      </c>
      <c r="AS58" s="237">
        <v>44132</v>
      </c>
      <c r="AT58" s="245" t="s">
        <v>5826</v>
      </c>
      <c r="AU58" s="241" t="s">
        <v>393</v>
      </c>
      <c r="AV58" s="241" t="s">
        <v>393</v>
      </c>
      <c r="AW58" s="241" t="s">
        <v>393</v>
      </c>
      <c r="AX58" s="241" t="s">
        <v>393</v>
      </c>
      <c r="AY58" s="241" t="s">
        <v>393</v>
      </c>
      <c r="AZ58" s="241" t="s">
        <v>393</v>
      </c>
      <c r="BA58" s="242">
        <v>44071</v>
      </c>
      <c r="BB58" s="244" t="s">
        <v>5827</v>
      </c>
      <c r="BC58" s="236" t="s">
        <v>393</v>
      </c>
      <c r="BD58" s="236" t="s">
        <v>393</v>
      </c>
      <c r="BE58" s="236" t="s">
        <v>393</v>
      </c>
      <c r="BF58" s="236" t="s">
        <v>393</v>
      </c>
      <c r="BG58" s="236" t="s">
        <v>393</v>
      </c>
      <c r="BH58" s="236" t="s">
        <v>393</v>
      </c>
      <c r="BI58" s="237">
        <v>44071</v>
      </c>
      <c r="BJ58" s="245" t="s">
        <v>5828</v>
      </c>
      <c r="BK58" s="245">
        <v>1662</v>
      </c>
      <c r="BL58" s="245" t="s">
        <v>3752</v>
      </c>
      <c r="BM58" s="245" t="s">
        <v>600</v>
      </c>
      <c r="BN58" s="245">
        <v>2</v>
      </c>
      <c r="BO58" s="245" t="s">
        <v>3756</v>
      </c>
      <c r="BP58" s="241" t="s">
        <v>3753</v>
      </c>
      <c r="BQ58" s="246">
        <v>44132</v>
      </c>
      <c r="BR58" s="244" t="s">
        <v>5829</v>
      </c>
      <c r="BS58" s="247" t="s">
        <v>393</v>
      </c>
      <c r="BT58" s="247" t="s">
        <v>393</v>
      </c>
      <c r="BU58" s="247" t="s">
        <v>393</v>
      </c>
      <c r="BV58" s="247" t="s">
        <v>393</v>
      </c>
      <c r="BW58" s="247" t="s">
        <v>393</v>
      </c>
      <c r="BX58" s="247" t="s">
        <v>393</v>
      </c>
      <c r="BY58" s="237">
        <v>44071</v>
      </c>
      <c r="BZ58" s="245" t="s">
        <v>5830</v>
      </c>
      <c r="CA58" s="245" t="s">
        <v>393</v>
      </c>
      <c r="CB58" s="245" t="s">
        <v>393</v>
      </c>
      <c r="CC58" s="245" t="s">
        <v>393</v>
      </c>
      <c r="CD58" s="245" t="s">
        <v>393</v>
      </c>
      <c r="CE58" s="245" t="s">
        <v>393</v>
      </c>
      <c r="CF58" s="245" t="s">
        <v>393</v>
      </c>
      <c r="CG58" s="246">
        <v>44071</v>
      </c>
      <c r="CH58" s="244" t="s">
        <v>5831</v>
      </c>
      <c r="CI58" s="245" t="e">
        <v>#N/A</v>
      </c>
      <c r="CJ58" s="245" t="e">
        <v>#N/A</v>
      </c>
      <c r="CK58" s="245" t="e">
        <v>#N/A</v>
      </c>
      <c r="CL58" s="245" t="e">
        <v>#N/A</v>
      </c>
      <c r="CM58" s="245" t="e">
        <v>#N/A</v>
      </c>
      <c r="CN58" s="245" t="e">
        <v>#N/A</v>
      </c>
      <c r="CO58" s="248" t="e">
        <v>#N/A</v>
      </c>
      <c r="CP58" s="245" t="s">
        <v>5832</v>
      </c>
      <c r="CQ58" s="247" t="s">
        <v>393</v>
      </c>
      <c r="CR58" s="247" t="s">
        <v>393</v>
      </c>
      <c r="CS58" s="247" t="s">
        <v>393</v>
      </c>
      <c r="CT58" s="247" t="s">
        <v>393</v>
      </c>
      <c r="CU58" s="247" t="s">
        <v>393</v>
      </c>
      <c r="CV58" s="247" t="s">
        <v>393</v>
      </c>
      <c r="CW58" s="237">
        <v>44071</v>
      </c>
      <c r="CX58" s="245" t="s">
        <v>5833</v>
      </c>
      <c r="CY58" s="241">
        <v>1167000</v>
      </c>
      <c r="CZ58" s="241" t="s">
        <v>3752</v>
      </c>
      <c r="DA58" s="241" t="s">
        <v>599</v>
      </c>
      <c r="DB58" s="241">
        <v>3</v>
      </c>
      <c r="DC58" s="241" t="s">
        <v>3757</v>
      </c>
      <c r="DD58" s="241" t="s">
        <v>3753</v>
      </c>
      <c r="DE58" s="243">
        <v>44132</v>
      </c>
      <c r="DF58" s="244" t="s">
        <v>5834</v>
      </c>
      <c r="DG58" s="236">
        <v>797224000</v>
      </c>
      <c r="DH58" s="247" t="s">
        <v>3752</v>
      </c>
      <c r="DI58" s="247" t="s">
        <v>599</v>
      </c>
      <c r="DJ58" s="247">
        <v>3</v>
      </c>
      <c r="DK58" s="247" t="s">
        <v>3757</v>
      </c>
      <c r="DL58" s="247" t="s">
        <v>3753</v>
      </c>
      <c r="DM58" s="237">
        <v>44132</v>
      </c>
      <c r="DN58" s="245" t="s">
        <v>5835</v>
      </c>
      <c r="DO58" s="241">
        <v>21448000</v>
      </c>
      <c r="DP58" s="245" t="s">
        <v>3752</v>
      </c>
      <c r="DQ58" s="245" t="s">
        <v>599</v>
      </c>
      <c r="DR58" s="245">
        <v>3</v>
      </c>
      <c r="DS58" s="245" t="s">
        <v>3757</v>
      </c>
      <c r="DT58" s="245" t="s">
        <v>3753</v>
      </c>
      <c r="DU58" s="246">
        <v>44132</v>
      </c>
      <c r="DV58" s="244" t="s">
        <v>5836</v>
      </c>
      <c r="DW58" s="236">
        <v>1167000</v>
      </c>
      <c r="DX58" s="247" t="s">
        <v>3752</v>
      </c>
      <c r="DY58" s="247" t="s">
        <v>599</v>
      </c>
      <c r="DZ58" s="247">
        <v>3</v>
      </c>
      <c r="EA58" s="247" t="s">
        <v>3757</v>
      </c>
      <c r="EB58" s="247" t="s">
        <v>3753</v>
      </c>
      <c r="EC58" s="237">
        <v>44132</v>
      </c>
      <c r="ED58" s="245" t="s">
        <v>5837</v>
      </c>
      <c r="EE58" s="241">
        <v>0</v>
      </c>
      <c r="EF58" s="245" t="s">
        <v>3752</v>
      </c>
      <c r="EG58" s="245" t="s">
        <v>599</v>
      </c>
      <c r="EH58" s="245">
        <v>3</v>
      </c>
      <c r="EI58" s="245" t="s">
        <v>3757</v>
      </c>
      <c r="EJ58" s="245" t="s">
        <v>3753</v>
      </c>
      <c r="EK58" s="246">
        <v>44132</v>
      </c>
      <c r="EL58" s="244" t="s">
        <v>5838</v>
      </c>
      <c r="EM58" s="236">
        <v>0</v>
      </c>
      <c r="EN58" s="247" t="s">
        <v>3752</v>
      </c>
      <c r="EO58" s="247" t="s">
        <v>599</v>
      </c>
      <c r="EP58" s="247">
        <v>3</v>
      </c>
      <c r="EQ58" s="247" t="s">
        <v>3757</v>
      </c>
      <c r="ER58" s="247" t="s">
        <v>3753</v>
      </c>
      <c r="ES58" s="237">
        <v>44132</v>
      </c>
      <c r="ET58" s="245" t="s">
        <v>5839</v>
      </c>
      <c r="EU58" s="245">
        <v>2019</v>
      </c>
      <c r="EV58" s="245" t="s">
        <v>3734</v>
      </c>
      <c r="EW58" s="245" t="s">
        <v>599</v>
      </c>
      <c r="EX58" s="245">
        <v>3</v>
      </c>
      <c r="EY58" s="245" t="s">
        <v>3748</v>
      </c>
      <c r="EZ58" s="245" t="s">
        <v>3738</v>
      </c>
      <c r="FA58" s="246">
        <v>44132</v>
      </c>
      <c r="FB58" s="244" t="s">
        <v>5840</v>
      </c>
      <c r="FC58" s="247">
        <v>2</v>
      </c>
      <c r="FD58" s="247" t="s">
        <v>3325</v>
      </c>
      <c r="FE58" s="247" t="s">
        <v>600</v>
      </c>
      <c r="FF58" s="247">
        <v>2</v>
      </c>
      <c r="FG58" s="247" t="s">
        <v>3683</v>
      </c>
      <c r="FH58" s="247" t="s">
        <v>3519</v>
      </c>
      <c r="FI58" s="237">
        <v>44110</v>
      </c>
      <c r="FJ58" s="244" t="s">
        <v>5841</v>
      </c>
      <c r="FK58" s="245" t="s">
        <v>393</v>
      </c>
      <c r="FL58" s="245" t="s">
        <v>3274</v>
      </c>
      <c r="FM58" s="245" t="s">
        <v>393</v>
      </c>
      <c r="FN58" s="245" t="s">
        <v>393</v>
      </c>
      <c r="FO58" s="245" t="s">
        <v>2096</v>
      </c>
      <c r="FP58" s="241" t="s">
        <v>1314</v>
      </c>
      <c r="FQ58" s="242">
        <v>44088</v>
      </c>
      <c r="FR58" s="244" t="s">
        <v>5842</v>
      </c>
      <c r="FS58" s="247" t="s">
        <v>393</v>
      </c>
      <c r="FT58" s="247" t="s">
        <v>3274</v>
      </c>
      <c r="FU58" s="247" t="s">
        <v>393</v>
      </c>
      <c r="FV58" s="247" t="s">
        <v>393</v>
      </c>
      <c r="FW58" s="247" t="s">
        <v>2096</v>
      </c>
      <c r="FX58" s="247" t="s">
        <v>1314</v>
      </c>
      <c r="FY58" s="237">
        <v>44088</v>
      </c>
      <c r="FZ58" s="245" t="s">
        <v>5843</v>
      </c>
      <c r="GA58" s="245">
        <v>1</v>
      </c>
      <c r="GB58" s="245" t="s">
        <v>3274</v>
      </c>
      <c r="GC58" s="245" t="s">
        <v>600</v>
      </c>
      <c r="GD58" s="245">
        <v>2</v>
      </c>
      <c r="GE58" s="245" t="s">
        <v>2096</v>
      </c>
      <c r="GF58" s="245" t="s">
        <v>1314</v>
      </c>
      <c r="GG58" s="246">
        <v>44088</v>
      </c>
      <c r="GH58" s="244" t="s">
        <v>5844</v>
      </c>
      <c r="GI58" s="247">
        <v>1</v>
      </c>
      <c r="GJ58" s="247" t="s">
        <v>3274</v>
      </c>
      <c r="GK58" s="247" t="s">
        <v>600</v>
      </c>
      <c r="GL58" s="247">
        <v>2</v>
      </c>
      <c r="GM58" s="247" t="s">
        <v>2096</v>
      </c>
      <c r="GN58" s="247" t="s">
        <v>1314</v>
      </c>
      <c r="GO58" s="237">
        <v>44088</v>
      </c>
      <c r="GP58" s="245" t="s">
        <v>5845</v>
      </c>
      <c r="GQ58" s="245">
        <v>0</v>
      </c>
      <c r="GR58" s="245" t="s">
        <v>3274</v>
      </c>
      <c r="GS58" s="245" t="s">
        <v>600</v>
      </c>
      <c r="GT58" s="245">
        <v>2</v>
      </c>
      <c r="GU58" s="245" t="s">
        <v>2096</v>
      </c>
      <c r="GV58" s="245" t="s">
        <v>1314</v>
      </c>
      <c r="GW58" s="246">
        <v>44088</v>
      </c>
      <c r="GX58" s="244" t="s">
        <v>5846</v>
      </c>
      <c r="GY58" s="247">
        <v>0</v>
      </c>
      <c r="GZ58" s="247" t="s">
        <v>3274</v>
      </c>
      <c r="HA58" s="247" t="s">
        <v>600</v>
      </c>
      <c r="HB58" s="247">
        <v>2</v>
      </c>
      <c r="HC58" s="247" t="s">
        <v>2096</v>
      </c>
      <c r="HD58" s="247" t="s">
        <v>1314</v>
      </c>
      <c r="HE58" s="237">
        <v>44088</v>
      </c>
      <c r="HF58" s="245" t="s">
        <v>5847</v>
      </c>
      <c r="HG58" s="245">
        <v>0</v>
      </c>
      <c r="HH58" s="245" t="s">
        <v>3274</v>
      </c>
      <c r="HI58" s="245" t="s">
        <v>600</v>
      </c>
      <c r="HJ58" s="245">
        <v>2</v>
      </c>
      <c r="HK58" s="245" t="s">
        <v>2096</v>
      </c>
      <c r="HL58" s="245" t="s">
        <v>1314</v>
      </c>
      <c r="HM58" s="246">
        <v>44088</v>
      </c>
      <c r="HN58" s="244" t="s">
        <v>5848</v>
      </c>
      <c r="HO58" s="247">
        <v>2</v>
      </c>
      <c r="HP58" s="247" t="s">
        <v>3274</v>
      </c>
      <c r="HQ58" s="247" t="s">
        <v>600</v>
      </c>
      <c r="HR58" s="247">
        <v>2</v>
      </c>
      <c r="HS58" s="247" t="s">
        <v>2096</v>
      </c>
      <c r="HT58" s="247" t="s">
        <v>1314</v>
      </c>
      <c r="HU58" s="237">
        <v>44088</v>
      </c>
      <c r="HV58" s="245" t="s">
        <v>5849</v>
      </c>
      <c r="HW58" s="245">
        <v>0</v>
      </c>
      <c r="HX58" s="245" t="s">
        <v>3274</v>
      </c>
      <c r="HY58" s="245" t="s">
        <v>600</v>
      </c>
      <c r="HZ58" s="245">
        <v>2</v>
      </c>
      <c r="IA58" s="245" t="s">
        <v>2096</v>
      </c>
      <c r="IB58" s="245" t="s">
        <v>1314</v>
      </c>
      <c r="IC58" s="246">
        <v>44088</v>
      </c>
      <c r="ID58" s="244" t="s">
        <v>5850</v>
      </c>
      <c r="IE58" s="247">
        <v>0</v>
      </c>
      <c r="IF58" s="247" t="s">
        <v>3274</v>
      </c>
      <c r="IG58" s="247" t="s">
        <v>600</v>
      </c>
      <c r="IH58" s="247">
        <v>2</v>
      </c>
      <c r="II58" s="247" t="s">
        <v>2096</v>
      </c>
      <c r="IJ58" s="247" t="s">
        <v>1314</v>
      </c>
      <c r="IK58" s="237">
        <v>44088</v>
      </c>
      <c r="IL58" s="245" t="s">
        <v>5851</v>
      </c>
      <c r="IM58" s="245">
        <v>3</v>
      </c>
      <c r="IN58" s="245" t="s">
        <v>3274</v>
      </c>
      <c r="IO58" s="245" t="s">
        <v>600</v>
      </c>
      <c r="IP58" s="245">
        <v>2</v>
      </c>
      <c r="IQ58" s="245" t="s">
        <v>2096</v>
      </c>
      <c r="IR58" s="245" t="s">
        <v>1314</v>
      </c>
      <c r="IS58" s="246">
        <v>44088</v>
      </c>
    </row>
    <row r="59" spans="1:253" s="11" customFormat="1" ht="13.2" x14ac:dyDescent="0.25">
      <c r="A59" s="11" t="s">
        <v>1234</v>
      </c>
      <c r="B59" s="11" t="s">
        <v>1281</v>
      </c>
      <c r="C59" s="11" t="s">
        <v>1235</v>
      </c>
      <c r="D59" s="11" t="s">
        <v>1236</v>
      </c>
      <c r="E59" s="11" t="s">
        <v>1237</v>
      </c>
      <c r="F59" s="11" t="s">
        <v>5852</v>
      </c>
      <c r="G59" s="235">
        <v>1561970000</v>
      </c>
      <c r="H59" s="236" t="s">
        <v>1238</v>
      </c>
      <c r="I59" s="236" t="s">
        <v>600</v>
      </c>
      <c r="J59" s="236">
        <v>2</v>
      </c>
      <c r="K59" s="236" t="s">
        <v>1242</v>
      </c>
      <c r="L59" s="236" t="s">
        <v>1240</v>
      </c>
      <c r="M59" s="237">
        <v>43580</v>
      </c>
      <c r="N59" s="244" t="s">
        <v>5853</v>
      </c>
      <c r="O59" s="239">
        <v>235533</v>
      </c>
      <c r="P59" s="239" t="s">
        <v>1239</v>
      </c>
      <c r="Q59" s="239" t="s">
        <v>600</v>
      </c>
      <c r="R59" s="239">
        <v>2</v>
      </c>
      <c r="S59" s="239" t="s">
        <v>1634</v>
      </c>
      <c r="T59" s="239" t="s">
        <v>1241</v>
      </c>
      <c r="U59" s="240">
        <v>43787</v>
      </c>
      <c r="V59" s="244" t="s">
        <v>5854</v>
      </c>
      <c r="W59" s="236">
        <v>16991000</v>
      </c>
      <c r="X59" s="236" t="s">
        <v>1239</v>
      </c>
      <c r="Y59" s="236" t="s">
        <v>600</v>
      </c>
      <c r="Z59" s="236">
        <v>2</v>
      </c>
      <c r="AA59" s="236" t="s">
        <v>1635</v>
      </c>
      <c r="AB59" s="236" t="s">
        <v>1241</v>
      </c>
      <c r="AC59" s="237">
        <v>43787</v>
      </c>
      <c r="AD59" s="244" t="s">
        <v>5855</v>
      </c>
      <c r="AE59" s="241">
        <v>16991000</v>
      </c>
      <c r="AF59" s="241" t="s">
        <v>1239</v>
      </c>
      <c r="AG59" s="241" t="s">
        <v>600</v>
      </c>
      <c r="AH59" s="241">
        <v>2</v>
      </c>
      <c r="AI59" s="241" t="s">
        <v>1635</v>
      </c>
      <c r="AJ59" s="241" t="s">
        <v>1241</v>
      </c>
      <c r="AK59" s="242">
        <v>44110</v>
      </c>
      <c r="AL59" s="244" t="s">
        <v>5856</v>
      </c>
      <c r="AM59" s="236" t="s">
        <v>393</v>
      </c>
      <c r="AN59" s="236" t="s">
        <v>393</v>
      </c>
      <c r="AO59" s="236" t="s">
        <v>393</v>
      </c>
      <c r="AP59" s="236" t="s">
        <v>393</v>
      </c>
      <c r="AQ59" s="236" t="s">
        <v>1636</v>
      </c>
      <c r="AR59" s="236" t="s">
        <v>393</v>
      </c>
      <c r="AS59" s="237">
        <v>43787</v>
      </c>
      <c r="AT59" s="245" t="s">
        <v>5857</v>
      </c>
      <c r="AU59" s="241" t="s">
        <v>393</v>
      </c>
      <c r="AV59" s="241" t="s">
        <v>393</v>
      </c>
      <c r="AW59" s="241" t="s">
        <v>393</v>
      </c>
      <c r="AX59" s="241" t="s">
        <v>393</v>
      </c>
      <c r="AY59" s="241" t="s">
        <v>1243</v>
      </c>
      <c r="AZ59" s="241" t="s">
        <v>393</v>
      </c>
      <c r="BA59" s="242">
        <v>43580</v>
      </c>
      <c r="BB59" s="244" t="s">
        <v>5858</v>
      </c>
      <c r="BC59" s="236" t="s">
        <v>393</v>
      </c>
      <c r="BD59" s="236" t="s">
        <v>393</v>
      </c>
      <c r="BE59" s="236" t="s">
        <v>393</v>
      </c>
      <c r="BF59" s="236" t="s">
        <v>393</v>
      </c>
      <c r="BG59" s="236" t="s">
        <v>1243</v>
      </c>
      <c r="BH59" s="236" t="s">
        <v>393</v>
      </c>
      <c r="BI59" s="237">
        <v>43580</v>
      </c>
      <c r="BJ59" s="245" t="s">
        <v>5859</v>
      </c>
      <c r="BK59" s="245">
        <v>308</v>
      </c>
      <c r="BL59" s="245" t="s">
        <v>3724</v>
      </c>
      <c r="BM59" s="245" t="s">
        <v>599</v>
      </c>
      <c r="BN59" s="245">
        <v>3</v>
      </c>
      <c r="BO59" s="245" t="s">
        <v>3814</v>
      </c>
      <c r="BP59" s="241" t="s">
        <v>812</v>
      </c>
      <c r="BQ59" s="246">
        <v>44132</v>
      </c>
      <c r="BR59" s="244" t="s">
        <v>5860</v>
      </c>
      <c r="BS59" s="247" t="s">
        <v>393</v>
      </c>
      <c r="BT59" s="247" t="s">
        <v>393</v>
      </c>
      <c r="BU59" s="247" t="s">
        <v>393</v>
      </c>
      <c r="BV59" s="247" t="s">
        <v>393</v>
      </c>
      <c r="BW59" s="247" t="s">
        <v>1243</v>
      </c>
      <c r="BX59" s="247" t="s">
        <v>393</v>
      </c>
      <c r="BY59" s="237">
        <v>43580</v>
      </c>
      <c r="BZ59" s="245" t="s">
        <v>5861</v>
      </c>
      <c r="CA59" s="245" t="s">
        <v>393</v>
      </c>
      <c r="CB59" s="245" t="s">
        <v>393</v>
      </c>
      <c r="CC59" s="245" t="s">
        <v>393</v>
      </c>
      <c r="CD59" s="245" t="s">
        <v>393</v>
      </c>
      <c r="CE59" s="245" t="s">
        <v>1243</v>
      </c>
      <c r="CF59" s="245" t="s">
        <v>393</v>
      </c>
      <c r="CG59" s="246">
        <v>43580</v>
      </c>
      <c r="CH59" s="244" t="s">
        <v>5862</v>
      </c>
      <c r="CI59" s="245" t="e">
        <v>#N/A</v>
      </c>
      <c r="CJ59" s="245" t="e">
        <v>#N/A</v>
      </c>
      <c r="CK59" s="245" t="e">
        <v>#N/A</v>
      </c>
      <c r="CL59" s="245" t="e">
        <v>#N/A</v>
      </c>
      <c r="CM59" s="245" t="e">
        <v>#N/A</v>
      </c>
      <c r="CN59" s="245" t="e">
        <v>#N/A</v>
      </c>
      <c r="CO59" s="248" t="e">
        <v>#N/A</v>
      </c>
      <c r="CP59" s="245" t="s">
        <v>5863</v>
      </c>
      <c r="CQ59" s="247" t="s">
        <v>393</v>
      </c>
      <c r="CR59" s="247" t="s">
        <v>393</v>
      </c>
      <c r="CS59" s="247" t="s">
        <v>393</v>
      </c>
      <c r="CT59" s="247" t="s">
        <v>393</v>
      </c>
      <c r="CU59" s="247" t="s">
        <v>1243</v>
      </c>
      <c r="CV59" s="247" t="s">
        <v>393</v>
      </c>
      <c r="CW59" s="237">
        <v>43580</v>
      </c>
      <c r="CX59" s="245" t="s">
        <v>5864</v>
      </c>
      <c r="CY59" s="241" t="s">
        <v>393</v>
      </c>
      <c r="CZ59" s="241" t="s">
        <v>393</v>
      </c>
      <c r="DA59" s="241" t="s">
        <v>599</v>
      </c>
      <c r="DB59" s="241">
        <v>3</v>
      </c>
      <c r="DC59" s="241" t="s">
        <v>1243</v>
      </c>
      <c r="DD59" s="241" t="s">
        <v>393</v>
      </c>
      <c r="DE59" s="243">
        <v>43580</v>
      </c>
      <c r="DF59" s="244" t="s">
        <v>5865</v>
      </c>
      <c r="DG59" s="236" t="s">
        <v>393</v>
      </c>
      <c r="DH59" s="247" t="s">
        <v>393</v>
      </c>
      <c r="DI59" s="247" t="s">
        <v>393</v>
      </c>
      <c r="DJ59" s="247" t="s">
        <v>393</v>
      </c>
      <c r="DK59" s="247" t="s">
        <v>393</v>
      </c>
      <c r="DL59" s="247" t="s">
        <v>393</v>
      </c>
      <c r="DM59" s="237">
        <v>43787</v>
      </c>
      <c r="DN59" s="245" t="s">
        <v>5866</v>
      </c>
      <c r="DO59" s="241" t="s">
        <v>393</v>
      </c>
      <c r="DP59" s="245" t="s">
        <v>393</v>
      </c>
      <c r="DQ59" s="245" t="s">
        <v>599</v>
      </c>
      <c r="DR59" s="245">
        <v>3</v>
      </c>
      <c r="DS59" s="245" t="s">
        <v>1243</v>
      </c>
      <c r="DT59" s="245" t="s">
        <v>393</v>
      </c>
      <c r="DU59" s="246">
        <v>43580</v>
      </c>
      <c r="DV59" s="244" t="s">
        <v>5867</v>
      </c>
      <c r="DW59" s="236" t="s">
        <v>393</v>
      </c>
      <c r="DX59" s="247" t="s">
        <v>393</v>
      </c>
      <c r="DY59" s="247" t="s">
        <v>599</v>
      </c>
      <c r="DZ59" s="247">
        <v>3</v>
      </c>
      <c r="EA59" s="247" t="s">
        <v>1243</v>
      </c>
      <c r="EB59" s="247" t="s">
        <v>393</v>
      </c>
      <c r="EC59" s="237">
        <v>43580</v>
      </c>
      <c r="ED59" s="245" t="s">
        <v>5868</v>
      </c>
      <c r="EE59" s="241" t="s">
        <v>393</v>
      </c>
      <c r="EF59" s="245" t="s">
        <v>393</v>
      </c>
      <c r="EG59" s="245" t="s">
        <v>599</v>
      </c>
      <c r="EH59" s="245">
        <v>3</v>
      </c>
      <c r="EI59" s="245" t="s">
        <v>1243</v>
      </c>
      <c r="EJ59" s="245" t="s">
        <v>393</v>
      </c>
      <c r="EK59" s="246">
        <v>43580</v>
      </c>
      <c r="EL59" s="244" t="s">
        <v>5869</v>
      </c>
      <c r="EM59" s="236" t="s">
        <v>393</v>
      </c>
      <c r="EN59" s="247" t="s">
        <v>393</v>
      </c>
      <c r="EO59" s="247" t="s">
        <v>599</v>
      </c>
      <c r="EP59" s="247">
        <v>3</v>
      </c>
      <c r="EQ59" s="247" t="s">
        <v>1243</v>
      </c>
      <c r="ER59" s="247" t="s">
        <v>393</v>
      </c>
      <c r="ES59" s="237">
        <v>43580</v>
      </c>
      <c r="ET59" s="245" t="s">
        <v>5870</v>
      </c>
      <c r="EU59" s="245">
        <v>2819</v>
      </c>
      <c r="EV59" s="245" t="s">
        <v>3813</v>
      </c>
      <c r="EW59" s="245" t="s">
        <v>600</v>
      </c>
      <c r="EX59" s="245">
        <v>2</v>
      </c>
      <c r="EY59" s="245" t="s">
        <v>3815</v>
      </c>
      <c r="EZ59" s="245" t="s">
        <v>3816</v>
      </c>
      <c r="FA59" s="246">
        <v>44132</v>
      </c>
      <c r="FB59" s="244" t="s">
        <v>5871</v>
      </c>
      <c r="FC59" s="247">
        <v>3</v>
      </c>
      <c r="FD59" s="247" t="s">
        <v>833</v>
      </c>
      <c r="FE59" s="247" t="s">
        <v>600</v>
      </c>
      <c r="FF59" s="247">
        <v>2</v>
      </c>
      <c r="FG59" s="247" t="s">
        <v>1247</v>
      </c>
      <c r="FH59" s="247" t="s">
        <v>1123</v>
      </c>
      <c r="FI59" s="237">
        <v>43580</v>
      </c>
      <c r="FJ59" s="244" t="s">
        <v>5872</v>
      </c>
      <c r="FK59" s="245" t="s">
        <v>393</v>
      </c>
      <c r="FL59" s="245" t="s">
        <v>393</v>
      </c>
      <c r="FM59" s="245" t="s">
        <v>393</v>
      </c>
      <c r="FN59" s="245" t="s">
        <v>393</v>
      </c>
      <c r="FO59" s="245" t="s">
        <v>393</v>
      </c>
      <c r="FP59" s="241" t="s">
        <v>393</v>
      </c>
      <c r="FQ59" s="242">
        <v>43580</v>
      </c>
      <c r="FR59" s="244" t="s">
        <v>5873</v>
      </c>
      <c r="FS59" s="247" t="s">
        <v>393</v>
      </c>
      <c r="FT59" s="247" t="s">
        <v>393</v>
      </c>
      <c r="FU59" s="247" t="s">
        <v>393</v>
      </c>
      <c r="FV59" s="247" t="s">
        <v>393</v>
      </c>
      <c r="FW59" s="247" t="s">
        <v>393</v>
      </c>
      <c r="FX59" s="247" t="s">
        <v>393</v>
      </c>
      <c r="FY59" s="237">
        <v>43580</v>
      </c>
      <c r="FZ59" s="245" t="s">
        <v>5874</v>
      </c>
      <c r="GA59" s="245">
        <v>1</v>
      </c>
      <c r="GB59" s="245" t="s">
        <v>1587</v>
      </c>
      <c r="GC59" s="245" t="s">
        <v>601</v>
      </c>
      <c r="GD59" s="245">
        <v>1</v>
      </c>
      <c r="GE59" s="245" t="s">
        <v>1623</v>
      </c>
      <c r="GF59" s="245" t="s">
        <v>1624</v>
      </c>
      <c r="GG59" s="246">
        <v>43767</v>
      </c>
      <c r="GH59" s="244" t="s">
        <v>5875</v>
      </c>
      <c r="GI59" s="247">
        <v>1</v>
      </c>
      <c r="GJ59" s="247" t="s">
        <v>1587</v>
      </c>
      <c r="GK59" s="247" t="s">
        <v>599</v>
      </c>
      <c r="GL59" s="247">
        <v>3</v>
      </c>
      <c r="GM59" s="247" t="s">
        <v>1623</v>
      </c>
      <c r="GN59" s="247" t="s">
        <v>1624</v>
      </c>
      <c r="GO59" s="237">
        <v>43767</v>
      </c>
      <c r="GP59" s="245" t="s">
        <v>5876</v>
      </c>
      <c r="GQ59" s="245">
        <v>1</v>
      </c>
      <c r="GR59" s="245" t="s">
        <v>1587</v>
      </c>
      <c r="GS59" s="245" t="s">
        <v>599</v>
      </c>
      <c r="GT59" s="245">
        <v>3</v>
      </c>
      <c r="GU59" s="245" t="s">
        <v>1623</v>
      </c>
      <c r="GV59" s="245" t="s">
        <v>1624</v>
      </c>
      <c r="GW59" s="246">
        <v>43767</v>
      </c>
      <c r="GX59" s="244" t="s">
        <v>5877</v>
      </c>
      <c r="GY59" s="247">
        <v>0</v>
      </c>
      <c r="GZ59" s="247" t="s">
        <v>1587</v>
      </c>
      <c r="HA59" s="247" t="s">
        <v>599</v>
      </c>
      <c r="HB59" s="247">
        <v>3</v>
      </c>
      <c r="HC59" s="247" t="s">
        <v>1623</v>
      </c>
      <c r="HD59" s="247" t="s">
        <v>1624</v>
      </c>
      <c r="HE59" s="237">
        <v>43767</v>
      </c>
      <c r="HF59" s="245" t="s">
        <v>5878</v>
      </c>
      <c r="HG59" s="245">
        <v>0</v>
      </c>
      <c r="HH59" s="245" t="s">
        <v>1587</v>
      </c>
      <c r="HI59" s="245" t="s">
        <v>599</v>
      </c>
      <c r="HJ59" s="245">
        <v>3</v>
      </c>
      <c r="HK59" s="245" t="s">
        <v>1623</v>
      </c>
      <c r="HL59" s="245" t="s">
        <v>1624</v>
      </c>
      <c r="HM59" s="246">
        <v>43767</v>
      </c>
      <c r="HN59" s="244" t="s">
        <v>5879</v>
      </c>
      <c r="HO59" s="247">
        <v>2</v>
      </c>
      <c r="HP59" s="247" t="s">
        <v>1587</v>
      </c>
      <c r="HQ59" s="247" t="s">
        <v>599</v>
      </c>
      <c r="HR59" s="247">
        <v>3</v>
      </c>
      <c r="HS59" s="247" t="s">
        <v>1623</v>
      </c>
      <c r="HT59" s="247" t="s">
        <v>1624</v>
      </c>
      <c r="HU59" s="237">
        <v>43767</v>
      </c>
      <c r="HV59" s="245" t="s">
        <v>5880</v>
      </c>
      <c r="HW59" s="245">
        <v>1</v>
      </c>
      <c r="HX59" s="245" t="s">
        <v>1587</v>
      </c>
      <c r="HY59" s="245" t="s">
        <v>599</v>
      </c>
      <c r="HZ59" s="245">
        <v>3</v>
      </c>
      <c r="IA59" s="245" t="s">
        <v>1623</v>
      </c>
      <c r="IB59" s="245" t="s">
        <v>1624</v>
      </c>
      <c r="IC59" s="246">
        <v>43767</v>
      </c>
      <c r="ID59" s="244" t="s">
        <v>5881</v>
      </c>
      <c r="IE59" s="247">
        <v>1</v>
      </c>
      <c r="IF59" s="247" t="s">
        <v>1587</v>
      </c>
      <c r="IG59" s="247" t="s">
        <v>599</v>
      </c>
      <c r="IH59" s="247">
        <v>3</v>
      </c>
      <c r="II59" s="247" t="s">
        <v>1623</v>
      </c>
      <c r="IJ59" s="247" t="s">
        <v>1624</v>
      </c>
      <c r="IK59" s="237">
        <v>43767</v>
      </c>
      <c r="IL59" s="245" t="s">
        <v>5882</v>
      </c>
      <c r="IM59" s="245">
        <v>2</v>
      </c>
      <c r="IN59" s="245" t="s">
        <v>1587</v>
      </c>
      <c r="IO59" s="245" t="s">
        <v>600</v>
      </c>
      <c r="IP59" s="245">
        <v>2</v>
      </c>
      <c r="IQ59" s="245" t="s">
        <v>1623</v>
      </c>
      <c r="IR59" s="245" t="s">
        <v>1624</v>
      </c>
      <c r="IS59" s="246">
        <v>43767</v>
      </c>
    </row>
    <row r="60" spans="1:253" s="11" customFormat="1" ht="13.2" x14ac:dyDescent="0.25">
      <c r="A60" s="11" t="s">
        <v>1452</v>
      </c>
      <c r="B60" s="11" t="s">
        <v>650</v>
      </c>
      <c r="C60" s="11" t="s">
        <v>1453</v>
      </c>
      <c r="D60" s="11" t="s">
        <v>144</v>
      </c>
      <c r="E60" s="11" t="s">
        <v>143</v>
      </c>
      <c r="F60" s="11" t="s">
        <v>5883</v>
      </c>
      <c r="G60" s="235">
        <v>237655000</v>
      </c>
      <c r="H60" s="236" t="s">
        <v>1942</v>
      </c>
      <c r="I60" s="236" t="s">
        <v>599</v>
      </c>
      <c r="J60" s="236">
        <v>3</v>
      </c>
      <c r="K60" s="236" t="s">
        <v>1948</v>
      </c>
      <c r="L60" s="236" t="s">
        <v>1945</v>
      </c>
      <c r="M60" s="237">
        <v>43859</v>
      </c>
      <c r="N60" s="244" t="s">
        <v>5884</v>
      </c>
      <c r="O60" s="239">
        <v>416060</v>
      </c>
      <c r="P60" s="239" t="s">
        <v>1943</v>
      </c>
      <c r="Q60" s="239" t="s">
        <v>599</v>
      </c>
      <c r="R60" s="239">
        <v>3</v>
      </c>
      <c r="S60" s="239" t="s">
        <v>1949</v>
      </c>
      <c r="T60" s="239" t="s">
        <v>1946</v>
      </c>
      <c r="U60" s="240">
        <v>43859</v>
      </c>
      <c r="V60" s="244" t="s">
        <v>5885</v>
      </c>
      <c r="W60" s="236">
        <v>3594000</v>
      </c>
      <c r="X60" s="236" t="s">
        <v>1944</v>
      </c>
      <c r="Y60" s="236" t="s">
        <v>599</v>
      </c>
      <c r="Z60" s="236">
        <v>3</v>
      </c>
      <c r="AA60" s="236" t="s">
        <v>1950</v>
      </c>
      <c r="AB60" s="236" t="s">
        <v>1947</v>
      </c>
      <c r="AC60" s="237">
        <v>43859</v>
      </c>
      <c r="AD60" s="244" t="s">
        <v>5886</v>
      </c>
      <c r="AE60" s="241">
        <v>3594000</v>
      </c>
      <c r="AF60" s="241" t="s">
        <v>1944</v>
      </c>
      <c r="AG60" s="241" t="s">
        <v>599</v>
      </c>
      <c r="AH60" s="241">
        <v>3</v>
      </c>
      <c r="AI60" s="241" t="s">
        <v>1454</v>
      </c>
      <c r="AJ60" s="241" t="s">
        <v>1947</v>
      </c>
      <c r="AK60" s="242">
        <v>43859</v>
      </c>
      <c r="AL60" s="244" t="s">
        <v>5887</v>
      </c>
      <c r="AM60" s="236" t="s">
        <v>393</v>
      </c>
      <c r="AN60" s="236" t="s">
        <v>393</v>
      </c>
      <c r="AO60" s="236" t="s">
        <v>393</v>
      </c>
      <c r="AP60" s="236" t="s">
        <v>393</v>
      </c>
      <c r="AQ60" s="236" t="s">
        <v>1951</v>
      </c>
      <c r="AR60" s="236" t="s">
        <v>393</v>
      </c>
      <c r="AS60" s="237">
        <v>43859</v>
      </c>
      <c r="AT60" s="245" t="s">
        <v>5888</v>
      </c>
      <c r="AU60" s="241" t="s">
        <v>393</v>
      </c>
      <c r="AV60" s="241" t="s">
        <v>393</v>
      </c>
      <c r="AW60" s="241" t="s">
        <v>393</v>
      </c>
      <c r="AX60" s="241" t="s">
        <v>393</v>
      </c>
      <c r="AY60" s="241" t="s">
        <v>1473</v>
      </c>
      <c r="AZ60" s="241" t="s">
        <v>393</v>
      </c>
      <c r="BA60" s="242">
        <v>43676</v>
      </c>
      <c r="BB60" s="244" t="s">
        <v>5889</v>
      </c>
      <c r="BC60" s="236" t="s">
        <v>393</v>
      </c>
      <c r="BD60" s="236" t="s">
        <v>393</v>
      </c>
      <c r="BE60" s="236" t="s">
        <v>393</v>
      </c>
      <c r="BF60" s="236" t="s">
        <v>393</v>
      </c>
      <c r="BG60" s="236" t="s">
        <v>1473</v>
      </c>
      <c r="BH60" s="236" t="s">
        <v>393</v>
      </c>
      <c r="BI60" s="237">
        <v>43676</v>
      </c>
      <c r="BJ60" s="245" t="s">
        <v>5890</v>
      </c>
      <c r="BK60" s="245">
        <v>36</v>
      </c>
      <c r="BL60" s="245" t="s">
        <v>3724</v>
      </c>
      <c r="BM60" s="245" t="s">
        <v>599</v>
      </c>
      <c r="BN60" s="245">
        <v>3</v>
      </c>
      <c r="BO60" s="245" t="s">
        <v>3758</v>
      </c>
      <c r="BP60" s="241" t="s">
        <v>812</v>
      </c>
      <c r="BQ60" s="246">
        <v>44132</v>
      </c>
      <c r="BR60" s="244" t="s">
        <v>5891</v>
      </c>
      <c r="BS60" s="247" t="s">
        <v>393</v>
      </c>
      <c r="BT60" s="247" t="s">
        <v>393</v>
      </c>
      <c r="BU60" s="247" t="s">
        <v>393</v>
      </c>
      <c r="BV60" s="247" t="s">
        <v>393</v>
      </c>
      <c r="BW60" s="247" t="s">
        <v>1473</v>
      </c>
      <c r="BX60" s="247" t="s">
        <v>393</v>
      </c>
      <c r="BY60" s="237">
        <v>43676</v>
      </c>
      <c r="BZ60" s="245" t="s">
        <v>5892</v>
      </c>
      <c r="CA60" s="245" t="s">
        <v>393</v>
      </c>
      <c r="CB60" s="245" t="s">
        <v>393</v>
      </c>
      <c r="CC60" s="245" t="s">
        <v>393</v>
      </c>
      <c r="CD60" s="245" t="s">
        <v>393</v>
      </c>
      <c r="CE60" s="245" t="s">
        <v>1473</v>
      </c>
      <c r="CF60" s="245" t="s">
        <v>393</v>
      </c>
      <c r="CG60" s="246">
        <v>43676</v>
      </c>
      <c r="CH60" s="244" t="s">
        <v>5893</v>
      </c>
      <c r="CI60" s="245" t="e">
        <v>#N/A</v>
      </c>
      <c r="CJ60" s="245" t="e">
        <v>#N/A</v>
      </c>
      <c r="CK60" s="245" t="e">
        <v>#N/A</v>
      </c>
      <c r="CL60" s="245" t="e">
        <v>#N/A</v>
      </c>
      <c r="CM60" s="245" t="e">
        <v>#N/A</v>
      </c>
      <c r="CN60" s="245" t="e">
        <v>#N/A</v>
      </c>
      <c r="CO60" s="248" t="e">
        <v>#N/A</v>
      </c>
      <c r="CP60" s="245" t="s">
        <v>5894</v>
      </c>
      <c r="CQ60" s="247" t="s">
        <v>393</v>
      </c>
      <c r="CR60" s="247" t="s">
        <v>393</v>
      </c>
      <c r="CS60" s="247" t="s">
        <v>393</v>
      </c>
      <c r="CT60" s="247" t="s">
        <v>393</v>
      </c>
      <c r="CU60" s="247" t="s">
        <v>1473</v>
      </c>
      <c r="CV60" s="247" t="s">
        <v>393</v>
      </c>
      <c r="CW60" s="237">
        <v>43676</v>
      </c>
      <c r="CX60" s="245" t="s">
        <v>5895</v>
      </c>
      <c r="CY60" s="241" t="s">
        <v>393</v>
      </c>
      <c r="CZ60" s="241" t="s">
        <v>393</v>
      </c>
      <c r="DA60" s="241" t="s">
        <v>393</v>
      </c>
      <c r="DB60" s="241" t="s">
        <v>393</v>
      </c>
      <c r="DC60" s="241" t="s">
        <v>1952</v>
      </c>
      <c r="DD60" s="241" t="s">
        <v>393</v>
      </c>
      <c r="DE60" s="243">
        <v>43859</v>
      </c>
      <c r="DF60" s="244" t="s">
        <v>5896</v>
      </c>
      <c r="DG60" s="236" t="s">
        <v>393</v>
      </c>
      <c r="DH60" s="247" t="s">
        <v>393</v>
      </c>
      <c r="DI60" s="247" t="s">
        <v>393</v>
      </c>
      <c r="DJ60" s="247" t="s">
        <v>393</v>
      </c>
      <c r="DK60" s="247" t="s">
        <v>1952</v>
      </c>
      <c r="DL60" s="247" t="s">
        <v>393</v>
      </c>
      <c r="DM60" s="237">
        <v>43859</v>
      </c>
      <c r="DN60" s="245" t="s">
        <v>5897</v>
      </c>
      <c r="DO60" s="241" t="s">
        <v>393</v>
      </c>
      <c r="DP60" s="245" t="s">
        <v>393</v>
      </c>
      <c r="DQ60" s="245" t="s">
        <v>393</v>
      </c>
      <c r="DR60" s="245" t="s">
        <v>393</v>
      </c>
      <c r="DS60" s="245" t="s">
        <v>1952</v>
      </c>
      <c r="DT60" s="245" t="s">
        <v>393</v>
      </c>
      <c r="DU60" s="246">
        <v>43859</v>
      </c>
      <c r="DV60" s="244" t="s">
        <v>5898</v>
      </c>
      <c r="DW60" s="236" t="s">
        <v>393</v>
      </c>
      <c r="DX60" s="247" t="s">
        <v>393</v>
      </c>
      <c r="DY60" s="247" t="s">
        <v>393</v>
      </c>
      <c r="DZ60" s="247" t="s">
        <v>393</v>
      </c>
      <c r="EA60" s="247" t="s">
        <v>1952</v>
      </c>
      <c r="EB60" s="247" t="s">
        <v>393</v>
      </c>
      <c r="EC60" s="237">
        <v>43859</v>
      </c>
      <c r="ED60" s="245" t="s">
        <v>5899</v>
      </c>
      <c r="EE60" s="241" t="s">
        <v>393</v>
      </c>
      <c r="EF60" s="245" t="s">
        <v>393</v>
      </c>
      <c r="EG60" s="245" t="s">
        <v>393</v>
      </c>
      <c r="EH60" s="245" t="s">
        <v>393</v>
      </c>
      <c r="EI60" s="245" t="s">
        <v>1952</v>
      </c>
      <c r="EJ60" s="245" t="s">
        <v>393</v>
      </c>
      <c r="EK60" s="246">
        <v>43859</v>
      </c>
      <c r="EL60" s="244" t="s">
        <v>5900</v>
      </c>
      <c r="EM60" s="236" t="s">
        <v>393</v>
      </c>
      <c r="EN60" s="247" t="s">
        <v>393</v>
      </c>
      <c r="EO60" s="247" t="s">
        <v>393</v>
      </c>
      <c r="EP60" s="247" t="s">
        <v>393</v>
      </c>
      <c r="EQ60" s="247" t="s">
        <v>1952</v>
      </c>
      <c r="ER60" s="247" t="s">
        <v>393</v>
      </c>
      <c r="ES60" s="237">
        <v>43859</v>
      </c>
      <c r="ET60" s="245" t="s">
        <v>5901</v>
      </c>
      <c r="EU60" s="245">
        <v>36</v>
      </c>
      <c r="EV60" s="245" t="s">
        <v>3724</v>
      </c>
      <c r="EW60" s="245" t="s">
        <v>599</v>
      </c>
      <c r="EX60" s="245">
        <v>3</v>
      </c>
      <c r="EY60" s="245" t="s">
        <v>3758</v>
      </c>
      <c r="EZ60" s="245" t="s">
        <v>812</v>
      </c>
      <c r="FA60" s="246">
        <v>44132</v>
      </c>
      <c r="FB60" s="244" t="s">
        <v>5902</v>
      </c>
      <c r="FC60" s="247">
        <v>4</v>
      </c>
      <c r="FD60" s="247" t="s">
        <v>393</v>
      </c>
      <c r="FE60" s="247" t="s">
        <v>601</v>
      </c>
      <c r="FF60" s="247">
        <v>1</v>
      </c>
      <c r="FG60" s="247" t="s">
        <v>1455</v>
      </c>
      <c r="FH60" s="247" t="s">
        <v>393</v>
      </c>
      <c r="FI60" s="237">
        <v>43676</v>
      </c>
      <c r="FJ60" s="244" t="s">
        <v>5903</v>
      </c>
      <c r="FK60" s="245" t="s">
        <v>393</v>
      </c>
      <c r="FL60" s="245" t="s">
        <v>393</v>
      </c>
      <c r="FM60" s="245" t="s">
        <v>393</v>
      </c>
      <c r="FN60" s="245" t="s">
        <v>393</v>
      </c>
      <c r="FO60" s="245" t="s">
        <v>1473</v>
      </c>
      <c r="FP60" s="241" t="s">
        <v>393</v>
      </c>
      <c r="FQ60" s="242">
        <v>43676</v>
      </c>
      <c r="FR60" s="244" t="s">
        <v>5904</v>
      </c>
      <c r="FS60" s="247" t="s">
        <v>393</v>
      </c>
      <c r="FT60" s="247" t="s">
        <v>393</v>
      </c>
      <c r="FU60" s="247" t="s">
        <v>393</v>
      </c>
      <c r="FV60" s="247" t="s">
        <v>393</v>
      </c>
      <c r="FW60" s="247" t="s">
        <v>1473</v>
      </c>
      <c r="FX60" s="247" t="s">
        <v>393</v>
      </c>
      <c r="FY60" s="237">
        <v>43676</v>
      </c>
      <c r="FZ60" s="245" t="s">
        <v>5905</v>
      </c>
      <c r="GA60" s="245">
        <v>0</v>
      </c>
      <c r="GB60" s="245" t="s">
        <v>1587</v>
      </c>
      <c r="GC60" s="245" t="s">
        <v>601</v>
      </c>
      <c r="GD60" s="245">
        <v>1</v>
      </c>
      <c r="GE60" s="245" t="s">
        <v>1623</v>
      </c>
      <c r="GF60" s="245" t="s">
        <v>1624</v>
      </c>
      <c r="GG60" s="246">
        <v>43770</v>
      </c>
      <c r="GH60" s="244" t="s">
        <v>5906</v>
      </c>
      <c r="GI60" s="247">
        <v>2</v>
      </c>
      <c r="GJ60" s="247" t="s">
        <v>1587</v>
      </c>
      <c r="GK60" s="247" t="s">
        <v>601</v>
      </c>
      <c r="GL60" s="247">
        <v>1</v>
      </c>
      <c r="GM60" s="247" t="s">
        <v>1623</v>
      </c>
      <c r="GN60" s="247" t="s">
        <v>1624</v>
      </c>
      <c r="GO60" s="237">
        <v>43770</v>
      </c>
      <c r="GP60" s="245" t="s">
        <v>5907</v>
      </c>
      <c r="GQ60" s="245">
        <v>2</v>
      </c>
      <c r="GR60" s="245" t="s">
        <v>1587</v>
      </c>
      <c r="GS60" s="245" t="s">
        <v>601</v>
      </c>
      <c r="GT60" s="245">
        <v>1</v>
      </c>
      <c r="GU60" s="245" t="s">
        <v>1623</v>
      </c>
      <c r="GV60" s="245" t="s">
        <v>1624</v>
      </c>
      <c r="GW60" s="246">
        <v>43770</v>
      </c>
      <c r="GX60" s="244" t="s">
        <v>5908</v>
      </c>
      <c r="GY60" s="247">
        <v>0</v>
      </c>
      <c r="GZ60" s="247" t="s">
        <v>1587</v>
      </c>
      <c r="HA60" s="247" t="s">
        <v>601</v>
      </c>
      <c r="HB60" s="247">
        <v>1</v>
      </c>
      <c r="HC60" s="247" t="s">
        <v>1623</v>
      </c>
      <c r="HD60" s="247" t="s">
        <v>1624</v>
      </c>
      <c r="HE60" s="237">
        <v>43770</v>
      </c>
      <c r="HF60" s="245" t="s">
        <v>5909</v>
      </c>
      <c r="HG60" s="245">
        <v>1</v>
      </c>
      <c r="HH60" s="245" t="s">
        <v>1587</v>
      </c>
      <c r="HI60" s="245" t="s">
        <v>601</v>
      </c>
      <c r="HJ60" s="245">
        <v>1</v>
      </c>
      <c r="HK60" s="245" t="s">
        <v>1623</v>
      </c>
      <c r="HL60" s="245" t="s">
        <v>1624</v>
      </c>
      <c r="HM60" s="246">
        <v>43770</v>
      </c>
      <c r="HN60" s="244" t="s">
        <v>5910</v>
      </c>
      <c r="HO60" s="247">
        <v>1</v>
      </c>
      <c r="HP60" s="247" t="s">
        <v>1587</v>
      </c>
      <c r="HQ60" s="247" t="s">
        <v>601</v>
      </c>
      <c r="HR60" s="247">
        <v>1</v>
      </c>
      <c r="HS60" s="247" t="s">
        <v>1623</v>
      </c>
      <c r="HT60" s="247" t="s">
        <v>1624</v>
      </c>
      <c r="HU60" s="237">
        <v>43770</v>
      </c>
      <c r="HV60" s="245" t="s">
        <v>5911</v>
      </c>
      <c r="HW60" s="245">
        <v>1</v>
      </c>
      <c r="HX60" s="245" t="s">
        <v>1587</v>
      </c>
      <c r="HY60" s="245" t="s">
        <v>601</v>
      </c>
      <c r="HZ60" s="245">
        <v>1</v>
      </c>
      <c r="IA60" s="245" t="s">
        <v>1623</v>
      </c>
      <c r="IB60" s="245" t="s">
        <v>1624</v>
      </c>
      <c r="IC60" s="246">
        <v>43770</v>
      </c>
      <c r="ID60" s="244" t="s">
        <v>5912</v>
      </c>
      <c r="IE60" s="247">
        <v>1</v>
      </c>
      <c r="IF60" s="247" t="s">
        <v>1587</v>
      </c>
      <c r="IG60" s="247" t="s">
        <v>601</v>
      </c>
      <c r="IH60" s="247">
        <v>1</v>
      </c>
      <c r="II60" s="247" t="s">
        <v>1623</v>
      </c>
      <c r="IJ60" s="247" t="s">
        <v>1624</v>
      </c>
      <c r="IK60" s="237">
        <v>43770</v>
      </c>
      <c r="IL60" s="245" t="s">
        <v>5913</v>
      </c>
      <c r="IM60" s="245">
        <v>1</v>
      </c>
      <c r="IN60" s="245" t="s">
        <v>1587</v>
      </c>
      <c r="IO60" s="245" t="s">
        <v>601</v>
      </c>
      <c r="IP60" s="245">
        <v>1</v>
      </c>
      <c r="IQ60" s="245" t="s">
        <v>1623</v>
      </c>
      <c r="IR60" s="245" t="s">
        <v>1624</v>
      </c>
      <c r="IS60" s="246">
        <v>43770</v>
      </c>
    </row>
    <row r="61" spans="1:253" s="11" customFormat="1" ht="13.2" x14ac:dyDescent="0.25">
      <c r="A61" s="11" t="s">
        <v>2262</v>
      </c>
      <c r="B61" s="11" t="s">
        <v>1280</v>
      </c>
      <c r="C61" s="11" t="s">
        <v>2588</v>
      </c>
      <c r="D61" s="11" t="s">
        <v>385</v>
      </c>
      <c r="E61" s="11" t="s">
        <v>145</v>
      </c>
      <c r="F61" s="11" t="s">
        <v>5914</v>
      </c>
      <c r="G61" s="235">
        <v>82926000</v>
      </c>
      <c r="H61" s="236" t="s">
        <v>1954</v>
      </c>
      <c r="I61" s="236" t="s">
        <v>601</v>
      </c>
      <c r="J61" s="236">
        <v>1</v>
      </c>
      <c r="K61" s="236" t="s">
        <v>2148</v>
      </c>
      <c r="L61" s="236" t="s">
        <v>1955</v>
      </c>
      <c r="M61" s="237">
        <v>43920</v>
      </c>
      <c r="N61" s="244" t="s">
        <v>5915</v>
      </c>
      <c r="O61" s="239">
        <v>239561</v>
      </c>
      <c r="P61" s="239" t="s">
        <v>2146</v>
      </c>
      <c r="Q61" s="239" t="s">
        <v>599</v>
      </c>
      <c r="R61" s="239">
        <v>3</v>
      </c>
      <c r="S61" s="239" t="s">
        <v>2149</v>
      </c>
      <c r="T61" s="239" t="s">
        <v>2146</v>
      </c>
      <c r="U61" s="240">
        <v>43920</v>
      </c>
      <c r="V61" s="244" t="s">
        <v>5916</v>
      </c>
      <c r="W61" s="236">
        <v>24823000</v>
      </c>
      <c r="X61" s="236" t="s">
        <v>2146</v>
      </c>
      <c r="Y61" s="236" t="s">
        <v>599</v>
      </c>
      <c r="Z61" s="236">
        <v>3</v>
      </c>
      <c r="AA61" s="236" t="s">
        <v>2150</v>
      </c>
      <c r="AB61" s="236" t="s">
        <v>2146</v>
      </c>
      <c r="AC61" s="237">
        <v>43920</v>
      </c>
      <c r="AD61" s="244" t="s">
        <v>5917</v>
      </c>
      <c r="AE61" s="241">
        <v>2951000</v>
      </c>
      <c r="AF61" s="241" t="s">
        <v>3759</v>
      </c>
      <c r="AG61" s="241" t="s">
        <v>599</v>
      </c>
      <c r="AH61" s="241">
        <v>3</v>
      </c>
      <c r="AI61" s="241" t="s">
        <v>2151</v>
      </c>
      <c r="AJ61" s="241" t="s">
        <v>3760</v>
      </c>
      <c r="AK61" s="242">
        <v>44132</v>
      </c>
      <c r="AL61" s="244" t="s">
        <v>5918</v>
      </c>
      <c r="AM61" s="236">
        <v>2951000</v>
      </c>
      <c r="AN61" s="236" t="s">
        <v>3759</v>
      </c>
      <c r="AO61" s="236" t="s">
        <v>599</v>
      </c>
      <c r="AP61" s="236">
        <v>3</v>
      </c>
      <c r="AQ61" s="236" t="s">
        <v>2152</v>
      </c>
      <c r="AR61" s="236" t="s">
        <v>3760</v>
      </c>
      <c r="AS61" s="237">
        <v>44132</v>
      </c>
      <c r="AT61" s="245" t="s">
        <v>5919</v>
      </c>
      <c r="AU61" s="241" t="s">
        <v>393</v>
      </c>
      <c r="AV61" s="241" t="s">
        <v>393</v>
      </c>
      <c r="AW61" s="241" t="s">
        <v>393</v>
      </c>
      <c r="AX61" s="241" t="s">
        <v>393</v>
      </c>
      <c r="AY61" s="241" t="s">
        <v>393</v>
      </c>
      <c r="AZ61" s="241" t="s">
        <v>393</v>
      </c>
      <c r="BA61" s="242">
        <v>43920</v>
      </c>
      <c r="BB61" s="244" t="s">
        <v>5920</v>
      </c>
      <c r="BC61" s="236" t="s">
        <v>393</v>
      </c>
      <c r="BD61" s="236" t="s">
        <v>393</v>
      </c>
      <c r="BE61" s="236" t="s">
        <v>393</v>
      </c>
      <c r="BF61" s="236" t="s">
        <v>393</v>
      </c>
      <c r="BG61" s="236" t="s">
        <v>393</v>
      </c>
      <c r="BH61" s="236" t="s">
        <v>393</v>
      </c>
      <c r="BI61" s="237">
        <v>43920</v>
      </c>
      <c r="BJ61" s="245" t="s">
        <v>5921</v>
      </c>
      <c r="BK61" s="245">
        <v>0</v>
      </c>
      <c r="BL61" s="245" t="s">
        <v>393</v>
      </c>
      <c r="BM61" s="245" t="s">
        <v>599</v>
      </c>
      <c r="BN61" s="245">
        <v>3</v>
      </c>
      <c r="BO61" s="245" t="s">
        <v>2153</v>
      </c>
      <c r="BP61" s="241" t="s">
        <v>393</v>
      </c>
      <c r="BQ61" s="246">
        <v>43920</v>
      </c>
      <c r="BR61" s="244" t="s">
        <v>5922</v>
      </c>
      <c r="BS61" s="247" t="s">
        <v>393</v>
      </c>
      <c r="BT61" s="247" t="s">
        <v>393</v>
      </c>
      <c r="BU61" s="247" t="s">
        <v>393</v>
      </c>
      <c r="BV61" s="247" t="s">
        <v>393</v>
      </c>
      <c r="BW61" s="247" t="s">
        <v>393</v>
      </c>
      <c r="BX61" s="247" t="s">
        <v>393</v>
      </c>
      <c r="BY61" s="237">
        <v>43920</v>
      </c>
      <c r="BZ61" s="245" t="s">
        <v>5923</v>
      </c>
      <c r="CA61" s="245" t="s">
        <v>393</v>
      </c>
      <c r="CB61" s="245" t="s">
        <v>393</v>
      </c>
      <c r="CC61" s="245" t="s">
        <v>393</v>
      </c>
      <c r="CD61" s="245" t="s">
        <v>393</v>
      </c>
      <c r="CE61" s="245" t="s">
        <v>393</v>
      </c>
      <c r="CF61" s="245" t="s">
        <v>393</v>
      </c>
      <c r="CG61" s="246">
        <v>43920</v>
      </c>
      <c r="CH61" s="244" t="s">
        <v>5924</v>
      </c>
      <c r="CI61" s="245" t="e">
        <v>#N/A</v>
      </c>
      <c r="CJ61" s="245" t="e">
        <v>#N/A</v>
      </c>
      <c r="CK61" s="245" t="e">
        <v>#N/A</v>
      </c>
      <c r="CL61" s="245" t="e">
        <v>#N/A</v>
      </c>
      <c r="CM61" s="245" t="e">
        <v>#N/A</v>
      </c>
      <c r="CN61" s="245" t="e">
        <v>#N/A</v>
      </c>
      <c r="CO61" s="248" t="e">
        <v>#N/A</v>
      </c>
      <c r="CP61" s="245" t="s">
        <v>5925</v>
      </c>
      <c r="CQ61" s="247" t="s">
        <v>393</v>
      </c>
      <c r="CR61" s="247" t="s">
        <v>393</v>
      </c>
      <c r="CS61" s="247" t="s">
        <v>393</v>
      </c>
      <c r="CT61" s="247" t="s">
        <v>393</v>
      </c>
      <c r="CU61" s="247" t="s">
        <v>393</v>
      </c>
      <c r="CV61" s="247" t="s">
        <v>393</v>
      </c>
      <c r="CW61" s="237">
        <v>43920</v>
      </c>
      <c r="CX61" s="245" t="s">
        <v>5926</v>
      </c>
      <c r="CY61" s="241">
        <v>2951000</v>
      </c>
      <c r="CZ61" s="241" t="s">
        <v>2147</v>
      </c>
      <c r="DA61" s="241" t="s">
        <v>599</v>
      </c>
      <c r="DB61" s="241">
        <v>3</v>
      </c>
      <c r="DC61" s="241" t="s">
        <v>2155</v>
      </c>
      <c r="DD61" s="241" t="s">
        <v>2154</v>
      </c>
      <c r="DE61" s="243">
        <v>43920</v>
      </c>
      <c r="DF61" s="244" t="s">
        <v>5927</v>
      </c>
      <c r="DG61" s="236">
        <v>21872000</v>
      </c>
      <c r="DH61" s="247" t="s">
        <v>2147</v>
      </c>
      <c r="DI61" s="247" t="s">
        <v>599</v>
      </c>
      <c r="DJ61" s="247">
        <v>3</v>
      </c>
      <c r="DK61" s="247" t="s">
        <v>2155</v>
      </c>
      <c r="DL61" s="247" t="s">
        <v>2154</v>
      </c>
      <c r="DM61" s="237">
        <v>43920</v>
      </c>
      <c r="DN61" s="245" t="s">
        <v>5928</v>
      </c>
      <c r="DO61" s="241">
        <v>0</v>
      </c>
      <c r="DP61" s="245" t="s">
        <v>2147</v>
      </c>
      <c r="DQ61" s="245" t="s">
        <v>599</v>
      </c>
      <c r="DR61" s="245">
        <v>3</v>
      </c>
      <c r="DS61" s="245" t="s">
        <v>2155</v>
      </c>
      <c r="DT61" s="245" t="s">
        <v>2154</v>
      </c>
      <c r="DU61" s="246">
        <v>43920</v>
      </c>
      <c r="DV61" s="244" t="s">
        <v>5929</v>
      </c>
      <c r="DW61" s="236">
        <v>951000</v>
      </c>
      <c r="DX61" s="247" t="s">
        <v>2147</v>
      </c>
      <c r="DY61" s="247" t="s">
        <v>599</v>
      </c>
      <c r="DZ61" s="247">
        <v>3</v>
      </c>
      <c r="EA61" s="247" t="s">
        <v>2155</v>
      </c>
      <c r="EB61" s="247" t="s">
        <v>2154</v>
      </c>
      <c r="EC61" s="237">
        <v>43920</v>
      </c>
      <c r="ED61" s="245" t="s">
        <v>5930</v>
      </c>
      <c r="EE61" s="241">
        <v>2000000</v>
      </c>
      <c r="EF61" s="245" t="s">
        <v>2147</v>
      </c>
      <c r="EG61" s="245" t="s">
        <v>599</v>
      </c>
      <c r="EH61" s="245">
        <v>3</v>
      </c>
      <c r="EI61" s="245" t="s">
        <v>2155</v>
      </c>
      <c r="EJ61" s="245" t="s">
        <v>2156</v>
      </c>
      <c r="EK61" s="246">
        <v>43920</v>
      </c>
      <c r="EL61" s="244" t="s">
        <v>5931</v>
      </c>
      <c r="EM61" s="236">
        <v>0</v>
      </c>
      <c r="EN61" s="247" t="s">
        <v>2147</v>
      </c>
      <c r="EO61" s="247" t="s">
        <v>599</v>
      </c>
      <c r="EP61" s="247">
        <v>3</v>
      </c>
      <c r="EQ61" s="247" t="s">
        <v>2155</v>
      </c>
      <c r="ER61" s="247" t="s">
        <v>2157</v>
      </c>
      <c r="ES61" s="237">
        <v>43920</v>
      </c>
      <c r="ET61" s="245" t="s">
        <v>5932</v>
      </c>
      <c r="EU61" s="245">
        <v>0</v>
      </c>
      <c r="EV61" s="245" t="s">
        <v>393</v>
      </c>
      <c r="EW61" s="245" t="s">
        <v>599</v>
      </c>
      <c r="EX61" s="245">
        <v>3</v>
      </c>
      <c r="EY61" s="245" t="s">
        <v>2153</v>
      </c>
      <c r="EZ61" s="245" t="s">
        <v>393</v>
      </c>
      <c r="FA61" s="246">
        <v>43920</v>
      </c>
      <c r="FB61" s="244" t="s">
        <v>5933</v>
      </c>
      <c r="FC61" s="247">
        <v>2</v>
      </c>
      <c r="FD61" s="247" t="s">
        <v>2147</v>
      </c>
      <c r="FE61" s="247" t="s">
        <v>599</v>
      </c>
      <c r="FF61" s="247">
        <v>3</v>
      </c>
      <c r="FG61" s="247" t="s">
        <v>2158</v>
      </c>
      <c r="FH61" s="247" t="s">
        <v>2154</v>
      </c>
      <c r="FI61" s="237">
        <v>43920</v>
      </c>
      <c r="FJ61" s="244" t="s">
        <v>5934</v>
      </c>
      <c r="FK61" s="245" t="s">
        <v>393</v>
      </c>
      <c r="FL61" s="245" t="s">
        <v>393</v>
      </c>
      <c r="FM61" s="245" t="s">
        <v>393</v>
      </c>
      <c r="FN61" s="245" t="s">
        <v>393</v>
      </c>
      <c r="FO61" s="245" t="s">
        <v>393</v>
      </c>
      <c r="FP61" s="241" t="s">
        <v>393</v>
      </c>
      <c r="FQ61" s="242">
        <v>43920</v>
      </c>
      <c r="FR61" s="244" t="s">
        <v>5935</v>
      </c>
      <c r="FS61" s="247" t="s">
        <v>393</v>
      </c>
      <c r="FT61" s="247" t="s">
        <v>393</v>
      </c>
      <c r="FU61" s="247" t="s">
        <v>393</v>
      </c>
      <c r="FV61" s="247" t="s">
        <v>393</v>
      </c>
      <c r="FW61" s="247" t="s">
        <v>393</v>
      </c>
      <c r="FX61" s="247" t="s">
        <v>393</v>
      </c>
      <c r="FY61" s="237">
        <v>43920</v>
      </c>
      <c r="FZ61" s="245" t="s">
        <v>5936</v>
      </c>
      <c r="GA61" s="245">
        <v>2</v>
      </c>
      <c r="GB61" s="245" t="s">
        <v>2096</v>
      </c>
      <c r="GC61" s="245" t="s">
        <v>600</v>
      </c>
      <c r="GD61" s="245">
        <v>2</v>
      </c>
      <c r="GE61" s="245" t="s">
        <v>2111</v>
      </c>
      <c r="GF61" s="245" t="s">
        <v>2097</v>
      </c>
      <c r="GG61" s="246">
        <v>43920</v>
      </c>
      <c r="GH61" s="244" t="s">
        <v>5937</v>
      </c>
      <c r="GI61" s="247">
        <v>1</v>
      </c>
      <c r="GJ61" s="247" t="s">
        <v>2096</v>
      </c>
      <c r="GK61" s="247" t="s">
        <v>600</v>
      </c>
      <c r="GL61" s="247">
        <v>2</v>
      </c>
      <c r="GM61" s="247" t="s">
        <v>2110</v>
      </c>
      <c r="GN61" s="247" t="s">
        <v>2097</v>
      </c>
      <c r="GO61" s="237">
        <v>43920</v>
      </c>
      <c r="GP61" s="245" t="s">
        <v>5938</v>
      </c>
      <c r="GQ61" s="245">
        <v>3</v>
      </c>
      <c r="GR61" s="245" t="s">
        <v>2096</v>
      </c>
      <c r="GS61" s="245" t="s">
        <v>600</v>
      </c>
      <c r="GT61" s="245">
        <v>2</v>
      </c>
      <c r="GU61" s="245" t="s">
        <v>2213</v>
      </c>
      <c r="GV61" s="245" t="s">
        <v>2097</v>
      </c>
      <c r="GW61" s="246">
        <v>43920</v>
      </c>
      <c r="GX61" s="244" t="s">
        <v>5939</v>
      </c>
      <c r="GY61" s="247">
        <v>0</v>
      </c>
      <c r="GZ61" s="247" t="s">
        <v>2096</v>
      </c>
      <c r="HA61" s="247" t="s">
        <v>600</v>
      </c>
      <c r="HB61" s="247">
        <v>2</v>
      </c>
      <c r="HC61" s="247" t="s">
        <v>393</v>
      </c>
      <c r="HD61" s="247" t="s">
        <v>2097</v>
      </c>
      <c r="HE61" s="237">
        <v>43920</v>
      </c>
      <c r="HF61" s="245" t="s">
        <v>5940</v>
      </c>
      <c r="HG61" s="245">
        <v>2</v>
      </c>
      <c r="HH61" s="245" t="s">
        <v>2096</v>
      </c>
      <c r="HI61" s="245" t="s">
        <v>600</v>
      </c>
      <c r="HJ61" s="245">
        <v>2</v>
      </c>
      <c r="HK61" s="245" t="s">
        <v>2214</v>
      </c>
      <c r="HL61" s="245" t="s">
        <v>2097</v>
      </c>
      <c r="HM61" s="246">
        <v>43920</v>
      </c>
      <c r="HN61" s="244" t="s">
        <v>5941</v>
      </c>
      <c r="HO61" s="247">
        <v>2</v>
      </c>
      <c r="HP61" s="247" t="s">
        <v>2096</v>
      </c>
      <c r="HQ61" s="247" t="s">
        <v>600</v>
      </c>
      <c r="HR61" s="247">
        <v>2</v>
      </c>
      <c r="HS61" s="247" t="s">
        <v>2215</v>
      </c>
      <c r="HT61" s="247" t="s">
        <v>2097</v>
      </c>
      <c r="HU61" s="237">
        <v>43920</v>
      </c>
      <c r="HV61" s="245" t="s">
        <v>5942</v>
      </c>
      <c r="HW61" s="245">
        <v>1</v>
      </c>
      <c r="HX61" s="245" t="s">
        <v>2096</v>
      </c>
      <c r="HY61" s="245" t="s">
        <v>600</v>
      </c>
      <c r="HZ61" s="245">
        <v>2</v>
      </c>
      <c r="IA61" s="245" t="s">
        <v>2216</v>
      </c>
      <c r="IB61" s="245" t="s">
        <v>2097</v>
      </c>
      <c r="IC61" s="246">
        <v>43920</v>
      </c>
      <c r="ID61" s="244" t="s">
        <v>5943</v>
      </c>
      <c r="IE61" s="247">
        <v>0</v>
      </c>
      <c r="IF61" s="247" t="s">
        <v>2096</v>
      </c>
      <c r="IG61" s="247" t="s">
        <v>600</v>
      </c>
      <c r="IH61" s="247">
        <v>2</v>
      </c>
      <c r="II61" s="247" t="s">
        <v>393</v>
      </c>
      <c r="IJ61" s="247" t="s">
        <v>2097</v>
      </c>
      <c r="IK61" s="237">
        <v>43920</v>
      </c>
      <c r="IL61" s="245" t="s">
        <v>5944</v>
      </c>
      <c r="IM61" s="245">
        <v>3</v>
      </c>
      <c r="IN61" s="245" t="s">
        <v>2096</v>
      </c>
      <c r="IO61" s="245" t="s">
        <v>600</v>
      </c>
      <c r="IP61" s="245">
        <v>2</v>
      </c>
      <c r="IQ61" s="245" t="s">
        <v>2217</v>
      </c>
      <c r="IR61" s="245" t="s">
        <v>2097</v>
      </c>
      <c r="IS61" s="246">
        <v>43920</v>
      </c>
    </row>
    <row r="62" spans="1:253" s="11" customFormat="1" ht="13.2" x14ac:dyDescent="0.25">
      <c r="A62" s="11" t="s">
        <v>1163</v>
      </c>
      <c r="B62" s="11" t="s">
        <v>3258</v>
      </c>
      <c r="C62" s="11" t="s">
        <v>586</v>
      </c>
      <c r="D62" s="11" t="s">
        <v>147</v>
      </c>
      <c r="E62" s="11" t="s">
        <v>146</v>
      </c>
      <c r="F62" s="11" t="s">
        <v>5945</v>
      </c>
      <c r="G62" s="235">
        <v>38434000</v>
      </c>
      <c r="H62" s="236" t="s">
        <v>1741</v>
      </c>
      <c r="I62" s="236" t="s">
        <v>1364</v>
      </c>
      <c r="J62" s="236">
        <v>2</v>
      </c>
      <c r="K62" s="236" t="s">
        <v>2354</v>
      </c>
      <c r="L62" s="236" t="s">
        <v>1054</v>
      </c>
      <c r="M62" s="237">
        <v>43950</v>
      </c>
      <c r="N62" s="244" t="s">
        <v>5946</v>
      </c>
      <c r="O62" s="239">
        <v>434120</v>
      </c>
      <c r="P62" s="239" t="s">
        <v>1551</v>
      </c>
      <c r="Q62" s="239" t="s">
        <v>601</v>
      </c>
      <c r="R62" s="239">
        <v>1</v>
      </c>
      <c r="S62" s="239" t="s">
        <v>2355</v>
      </c>
      <c r="T62" s="239" t="s">
        <v>2338</v>
      </c>
      <c r="U62" s="240">
        <v>44103</v>
      </c>
      <c r="V62" s="244" t="s">
        <v>5947</v>
      </c>
      <c r="W62" s="236">
        <v>38434000</v>
      </c>
      <c r="X62" s="236" t="s">
        <v>1741</v>
      </c>
      <c r="Y62" s="236" t="s">
        <v>599</v>
      </c>
      <c r="Z62" s="236">
        <v>3</v>
      </c>
      <c r="AA62" s="236" t="s">
        <v>2356</v>
      </c>
      <c r="AB62" s="236" t="s">
        <v>1054</v>
      </c>
      <c r="AC62" s="237">
        <v>44118</v>
      </c>
      <c r="AD62" s="244" t="s">
        <v>5948</v>
      </c>
      <c r="AE62" s="241">
        <v>6935000</v>
      </c>
      <c r="AF62" s="241" t="s">
        <v>3831</v>
      </c>
      <c r="AG62" s="241" t="s">
        <v>599</v>
      </c>
      <c r="AH62" s="241">
        <v>3</v>
      </c>
      <c r="AI62" s="241" t="s">
        <v>3668</v>
      </c>
      <c r="AJ62" s="241" t="s">
        <v>2711</v>
      </c>
      <c r="AK62" s="242">
        <v>44130</v>
      </c>
      <c r="AL62" s="244" t="s">
        <v>5949</v>
      </c>
      <c r="AM62" s="236">
        <v>6934000</v>
      </c>
      <c r="AN62" s="236" t="s">
        <v>3832</v>
      </c>
      <c r="AO62" s="236" t="s">
        <v>600</v>
      </c>
      <c r="AP62" s="236">
        <v>2</v>
      </c>
      <c r="AQ62" s="236" t="s">
        <v>3416</v>
      </c>
      <c r="AR62" s="236" t="s">
        <v>2712</v>
      </c>
      <c r="AS62" s="237">
        <v>44130</v>
      </c>
      <c r="AT62" s="245" t="s">
        <v>5950</v>
      </c>
      <c r="AU62" s="241" t="s">
        <v>393</v>
      </c>
      <c r="AV62" s="241" t="s">
        <v>393</v>
      </c>
      <c r="AW62" s="241" t="s">
        <v>393</v>
      </c>
      <c r="AX62" s="241" t="s">
        <v>393</v>
      </c>
      <c r="AY62" s="241" t="s">
        <v>2357</v>
      </c>
      <c r="AZ62" s="241" t="s">
        <v>393</v>
      </c>
      <c r="BA62" s="242">
        <v>43950</v>
      </c>
      <c r="BB62" s="244" t="s">
        <v>5951</v>
      </c>
      <c r="BC62" s="236" t="s">
        <v>393</v>
      </c>
      <c r="BD62" s="236" t="s">
        <v>393</v>
      </c>
      <c r="BE62" s="236" t="s">
        <v>393</v>
      </c>
      <c r="BF62" s="236" t="s">
        <v>393</v>
      </c>
      <c r="BG62" s="236" t="s">
        <v>393</v>
      </c>
      <c r="BH62" s="236" t="s">
        <v>393</v>
      </c>
      <c r="BI62" s="237">
        <v>43950</v>
      </c>
      <c r="BJ62" s="245" t="s">
        <v>5952</v>
      </c>
      <c r="BK62" s="245">
        <v>1438</v>
      </c>
      <c r="BL62" s="245" t="s">
        <v>3830</v>
      </c>
      <c r="BM62" s="245" t="s">
        <v>599</v>
      </c>
      <c r="BN62" s="245">
        <v>3</v>
      </c>
      <c r="BO62" s="245" t="s">
        <v>2723</v>
      </c>
      <c r="BP62" s="241" t="s">
        <v>812</v>
      </c>
      <c r="BQ62" s="246">
        <v>44130</v>
      </c>
      <c r="BR62" s="244" t="s">
        <v>5953</v>
      </c>
      <c r="BS62" s="247" t="s">
        <v>393</v>
      </c>
      <c r="BT62" s="247" t="s">
        <v>393</v>
      </c>
      <c r="BU62" s="247" t="s">
        <v>393</v>
      </c>
      <c r="BV62" s="247" t="s">
        <v>393</v>
      </c>
      <c r="BW62" s="247" t="s">
        <v>2358</v>
      </c>
      <c r="BX62" s="247" t="s">
        <v>393</v>
      </c>
      <c r="BY62" s="237">
        <v>43950</v>
      </c>
      <c r="BZ62" s="245" t="s">
        <v>5954</v>
      </c>
      <c r="CA62" s="245" t="s">
        <v>393</v>
      </c>
      <c r="CB62" s="245" t="s">
        <v>393</v>
      </c>
      <c r="CC62" s="245" t="s">
        <v>393</v>
      </c>
      <c r="CD62" s="245" t="s">
        <v>393</v>
      </c>
      <c r="CE62" s="245" t="s">
        <v>2358</v>
      </c>
      <c r="CF62" s="245" t="s">
        <v>393</v>
      </c>
      <c r="CG62" s="246">
        <v>43950</v>
      </c>
      <c r="CH62" s="244" t="s">
        <v>5955</v>
      </c>
      <c r="CI62" s="245" t="e">
        <v>#N/A</v>
      </c>
      <c r="CJ62" s="245" t="e">
        <v>#N/A</v>
      </c>
      <c r="CK62" s="245" t="e">
        <v>#N/A</v>
      </c>
      <c r="CL62" s="245" t="e">
        <v>#N/A</v>
      </c>
      <c r="CM62" s="245" t="e">
        <v>#N/A</v>
      </c>
      <c r="CN62" s="245" t="e">
        <v>#N/A</v>
      </c>
      <c r="CO62" s="248" t="e">
        <v>#N/A</v>
      </c>
      <c r="CP62" s="245" t="s">
        <v>5956</v>
      </c>
      <c r="CQ62" s="247">
        <v>133900</v>
      </c>
      <c r="CR62" s="247" t="s">
        <v>2327</v>
      </c>
      <c r="CS62" s="247" t="s">
        <v>1581</v>
      </c>
      <c r="CT62" s="247">
        <v>3</v>
      </c>
      <c r="CU62" s="247" t="s">
        <v>2359</v>
      </c>
      <c r="CV62" s="247" t="s">
        <v>1055</v>
      </c>
      <c r="CW62" s="237">
        <v>43950</v>
      </c>
      <c r="CX62" s="245" t="s">
        <v>5957</v>
      </c>
      <c r="CY62" s="241">
        <v>4289000</v>
      </c>
      <c r="CZ62" s="241" t="s">
        <v>3833</v>
      </c>
      <c r="DA62" s="241" t="s">
        <v>600</v>
      </c>
      <c r="DB62" s="241">
        <v>2</v>
      </c>
      <c r="DC62" s="241" t="s">
        <v>2360</v>
      </c>
      <c r="DD62" s="241" t="s">
        <v>3417</v>
      </c>
      <c r="DE62" s="243">
        <v>44130</v>
      </c>
      <c r="DF62" s="244" t="s">
        <v>5958</v>
      </c>
      <c r="DG62" s="236">
        <v>31499000</v>
      </c>
      <c r="DH62" s="247" t="s">
        <v>3833</v>
      </c>
      <c r="DI62" s="247" t="s">
        <v>600</v>
      </c>
      <c r="DJ62" s="247">
        <v>2</v>
      </c>
      <c r="DK62" s="247" t="s">
        <v>2360</v>
      </c>
      <c r="DL62" s="247" t="s">
        <v>3417</v>
      </c>
      <c r="DM62" s="237">
        <v>44130</v>
      </c>
      <c r="DN62" s="245" t="s">
        <v>5959</v>
      </c>
      <c r="DO62" s="241">
        <v>2646000</v>
      </c>
      <c r="DP62" s="245" t="s">
        <v>3833</v>
      </c>
      <c r="DQ62" s="245" t="s">
        <v>600</v>
      </c>
      <c r="DR62" s="245">
        <v>2</v>
      </c>
      <c r="DS62" s="245" t="s">
        <v>2360</v>
      </c>
      <c r="DT62" s="245" t="s">
        <v>3417</v>
      </c>
      <c r="DU62" s="246">
        <v>44130</v>
      </c>
      <c r="DV62" s="244" t="s">
        <v>5960</v>
      </c>
      <c r="DW62" s="236">
        <v>2400000</v>
      </c>
      <c r="DX62" s="247" t="s">
        <v>3833</v>
      </c>
      <c r="DY62" s="247" t="s">
        <v>600</v>
      </c>
      <c r="DZ62" s="247">
        <v>2</v>
      </c>
      <c r="EA62" s="247" t="s">
        <v>2360</v>
      </c>
      <c r="EB62" s="247" t="s">
        <v>3417</v>
      </c>
      <c r="EC62" s="237">
        <v>44130</v>
      </c>
      <c r="ED62" s="245" t="s">
        <v>5961</v>
      </c>
      <c r="EE62" s="241">
        <v>1889000</v>
      </c>
      <c r="EF62" s="245" t="s">
        <v>3833</v>
      </c>
      <c r="EG62" s="245" t="s">
        <v>600</v>
      </c>
      <c r="EH62" s="245">
        <v>2</v>
      </c>
      <c r="EI62" s="245" t="s">
        <v>2360</v>
      </c>
      <c r="EJ62" s="245" t="s">
        <v>3417</v>
      </c>
      <c r="EK62" s="246">
        <v>44130</v>
      </c>
      <c r="EL62" s="244" t="s">
        <v>5962</v>
      </c>
      <c r="EM62" s="236">
        <v>0</v>
      </c>
      <c r="EN62" s="247" t="s">
        <v>3833</v>
      </c>
      <c r="EO62" s="247" t="s">
        <v>600</v>
      </c>
      <c r="EP62" s="247">
        <v>2</v>
      </c>
      <c r="EQ62" s="247" t="s">
        <v>2360</v>
      </c>
      <c r="ER62" s="247" t="s">
        <v>3417</v>
      </c>
      <c r="ES62" s="237">
        <v>44130</v>
      </c>
      <c r="ET62" s="245" t="s">
        <v>5963</v>
      </c>
      <c r="EU62" s="245">
        <v>1438</v>
      </c>
      <c r="EV62" s="245" t="s">
        <v>3830</v>
      </c>
      <c r="EW62" s="245" t="s">
        <v>599</v>
      </c>
      <c r="EX62" s="245">
        <v>3</v>
      </c>
      <c r="EY62" s="245" t="s">
        <v>2723</v>
      </c>
      <c r="EZ62" s="245" t="s">
        <v>812</v>
      </c>
      <c r="FA62" s="246">
        <v>44130</v>
      </c>
      <c r="FB62" s="244" t="s">
        <v>5964</v>
      </c>
      <c r="FC62" s="247">
        <v>5</v>
      </c>
      <c r="FD62" s="247" t="s">
        <v>1222</v>
      </c>
      <c r="FE62" s="247" t="s">
        <v>1547</v>
      </c>
      <c r="FF62" s="247">
        <v>1</v>
      </c>
      <c r="FG62" s="247" t="s">
        <v>1898</v>
      </c>
      <c r="FH62" s="247" t="s">
        <v>1893</v>
      </c>
      <c r="FI62" s="237">
        <v>43950</v>
      </c>
      <c r="FJ62" s="244" t="s">
        <v>5965</v>
      </c>
      <c r="FK62" s="245">
        <v>1500000</v>
      </c>
      <c r="FL62" s="245" t="s">
        <v>2704</v>
      </c>
      <c r="FM62" s="245" t="s">
        <v>599</v>
      </c>
      <c r="FN62" s="245">
        <v>3</v>
      </c>
      <c r="FO62" s="245" t="s">
        <v>2724</v>
      </c>
      <c r="FP62" s="241" t="s">
        <v>2713</v>
      </c>
      <c r="FQ62" s="242">
        <v>44015</v>
      </c>
      <c r="FR62" s="244" t="s">
        <v>5966</v>
      </c>
      <c r="FS62" s="247">
        <v>300000</v>
      </c>
      <c r="FT62" s="247" t="s">
        <v>2704</v>
      </c>
      <c r="FU62" s="247" t="s">
        <v>599</v>
      </c>
      <c r="FV62" s="247">
        <v>3</v>
      </c>
      <c r="FW62" s="247" t="s">
        <v>2725</v>
      </c>
      <c r="FX62" s="247" t="s">
        <v>2713</v>
      </c>
      <c r="FY62" s="237">
        <v>44015</v>
      </c>
      <c r="FZ62" s="245" t="s">
        <v>5967</v>
      </c>
      <c r="GA62" s="245">
        <v>1</v>
      </c>
      <c r="GB62" s="245" t="s">
        <v>1587</v>
      </c>
      <c r="GC62" s="245" t="s">
        <v>600</v>
      </c>
      <c r="GD62" s="245">
        <v>2</v>
      </c>
      <c r="GE62" s="245" t="s">
        <v>1623</v>
      </c>
      <c r="GF62" s="245" t="s">
        <v>1624</v>
      </c>
      <c r="GG62" s="246">
        <v>43770</v>
      </c>
      <c r="GH62" s="244" t="s">
        <v>5968</v>
      </c>
      <c r="GI62" s="247">
        <v>2</v>
      </c>
      <c r="GJ62" s="247" t="s">
        <v>1587</v>
      </c>
      <c r="GK62" s="247" t="s">
        <v>600</v>
      </c>
      <c r="GL62" s="247">
        <v>2</v>
      </c>
      <c r="GM62" s="247" t="s">
        <v>1623</v>
      </c>
      <c r="GN62" s="247" t="s">
        <v>1624</v>
      </c>
      <c r="GO62" s="237">
        <v>43770</v>
      </c>
      <c r="GP62" s="245" t="s">
        <v>5969</v>
      </c>
      <c r="GQ62" s="245">
        <v>1</v>
      </c>
      <c r="GR62" s="245" t="s">
        <v>1587</v>
      </c>
      <c r="GS62" s="245" t="s">
        <v>600</v>
      </c>
      <c r="GT62" s="245">
        <v>2</v>
      </c>
      <c r="GU62" s="245" t="s">
        <v>1623</v>
      </c>
      <c r="GV62" s="245" t="s">
        <v>1624</v>
      </c>
      <c r="GW62" s="246">
        <v>43770</v>
      </c>
      <c r="GX62" s="244" t="s">
        <v>5970</v>
      </c>
      <c r="GY62" s="247">
        <v>0</v>
      </c>
      <c r="GZ62" s="247" t="s">
        <v>1587</v>
      </c>
      <c r="HA62" s="247" t="s">
        <v>600</v>
      </c>
      <c r="HB62" s="247">
        <v>2</v>
      </c>
      <c r="HC62" s="247" t="s">
        <v>1623</v>
      </c>
      <c r="HD62" s="247" t="s">
        <v>1624</v>
      </c>
      <c r="HE62" s="237">
        <v>43770</v>
      </c>
      <c r="HF62" s="245" t="s">
        <v>5971</v>
      </c>
      <c r="HG62" s="245">
        <v>0</v>
      </c>
      <c r="HH62" s="245" t="s">
        <v>1587</v>
      </c>
      <c r="HI62" s="245" t="s">
        <v>600</v>
      </c>
      <c r="HJ62" s="245">
        <v>2</v>
      </c>
      <c r="HK62" s="245" t="s">
        <v>1623</v>
      </c>
      <c r="HL62" s="245" t="s">
        <v>1624</v>
      </c>
      <c r="HM62" s="246">
        <v>43770</v>
      </c>
      <c r="HN62" s="244" t="s">
        <v>5972</v>
      </c>
      <c r="HO62" s="247">
        <v>3</v>
      </c>
      <c r="HP62" s="247" t="s">
        <v>1587</v>
      </c>
      <c r="HQ62" s="247" t="s">
        <v>600</v>
      </c>
      <c r="HR62" s="247">
        <v>2</v>
      </c>
      <c r="HS62" s="247" t="s">
        <v>1623</v>
      </c>
      <c r="HT62" s="247" t="s">
        <v>1624</v>
      </c>
      <c r="HU62" s="237">
        <v>43770</v>
      </c>
      <c r="HV62" s="245" t="s">
        <v>5973</v>
      </c>
      <c r="HW62" s="245">
        <v>1</v>
      </c>
      <c r="HX62" s="245" t="s">
        <v>1587</v>
      </c>
      <c r="HY62" s="245" t="s">
        <v>600</v>
      </c>
      <c r="HZ62" s="245">
        <v>2</v>
      </c>
      <c r="IA62" s="245" t="s">
        <v>1623</v>
      </c>
      <c r="IB62" s="245" t="s">
        <v>1624</v>
      </c>
      <c r="IC62" s="246">
        <v>43770</v>
      </c>
      <c r="ID62" s="244" t="s">
        <v>5974</v>
      </c>
      <c r="IE62" s="247">
        <v>3</v>
      </c>
      <c r="IF62" s="247" t="s">
        <v>1587</v>
      </c>
      <c r="IG62" s="247" t="s">
        <v>600</v>
      </c>
      <c r="IH62" s="247">
        <v>2</v>
      </c>
      <c r="II62" s="247" t="s">
        <v>1623</v>
      </c>
      <c r="IJ62" s="247" t="s">
        <v>1624</v>
      </c>
      <c r="IK62" s="237">
        <v>43770</v>
      </c>
      <c r="IL62" s="245" t="s">
        <v>5975</v>
      </c>
      <c r="IM62" s="245">
        <v>2</v>
      </c>
      <c r="IN62" s="245" t="s">
        <v>1587</v>
      </c>
      <c r="IO62" s="245" t="s">
        <v>600</v>
      </c>
      <c r="IP62" s="245">
        <v>2</v>
      </c>
      <c r="IQ62" s="245" t="s">
        <v>1623</v>
      </c>
      <c r="IR62" s="245" t="s">
        <v>1624</v>
      </c>
      <c r="IS62" s="246">
        <v>43770</v>
      </c>
    </row>
    <row r="63" spans="1:253" s="11" customFormat="1" ht="13.2" x14ac:dyDescent="0.25">
      <c r="A63" s="11" t="s">
        <v>766</v>
      </c>
      <c r="B63" s="11" t="s">
        <v>650</v>
      </c>
      <c r="C63" s="11" t="s">
        <v>659</v>
      </c>
      <c r="D63" s="11" t="s">
        <v>147</v>
      </c>
      <c r="E63" s="11" t="s">
        <v>146</v>
      </c>
      <c r="F63" s="11" t="s">
        <v>5976</v>
      </c>
      <c r="G63" s="235">
        <v>38434000</v>
      </c>
      <c r="H63" s="236" t="s">
        <v>1741</v>
      </c>
      <c r="I63" s="236" t="s">
        <v>600</v>
      </c>
      <c r="J63" s="236">
        <v>2</v>
      </c>
      <c r="K63" s="236" t="s">
        <v>1742</v>
      </c>
      <c r="L63" s="236" t="s">
        <v>1054</v>
      </c>
      <c r="M63" s="237">
        <v>43798</v>
      </c>
      <c r="N63" s="244" t="s">
        <v>5977</v>
      </c>
      <c r="O63" s="239">
        <v>434120</v>
      </c>
      <c r="P63" s="239" t="s">
        <v>1551</v>
      </c>
      <c r="Q63" s="239" t="s">
        <v>601</v>
      </c>
      <c r="R63" s="239">
        <v>1</v>
      </c>
      <c r="S63" s="239" t="s">
        <v>2361</v>
      </c>
      <c r="T63" s="239" t="s">
        <v>2338</v>
      </c>
      <c r="U63" s="240">
        <v>44103</v>
      </c>
      <c r="V63" s="244" t="s">
        <v>5978</v>
      </c>
      <c r="W63" s="236">
        <v>11000000</v>
      </c>
      <c r="X63" s="236" t="s">
        <v>2328</v>
      </c>
      <c r="Y63" s="236" t="s">
        <v>600</v>
      </c>
      <c r="Z63" s="236">
        <v>2</v>
      </c>
      <c r="AA63" s="236" t="s">
        <v>2362</v>
      </c>
      <c r="AB63" s="236" t="s">
        <v>1215</v>
      </c>
      <c r="AC63" s="237">
        <v>44119</v>
      </c>
      <c r="AD63" s="244" t="s">
        <v>5979</v>
      </c>
      <c r="AE63" s="241">
        <v>6691000</v>
      </c>
      <c r="AF63" s="241" t="s">
        <v>1222</v>
      </c>
      <c r="AG63" s="241" t="s">
        <v>599</v>
      </c>
      <c r="AH63" s="241">
        <v>3</v>
      </c>
      <c r="AI63" s="241" t="s">
        <v>3647</v>
      </c>
      <c r="AJ63" s="241" t="s">
        <v>1893</v>
      </c>
      <c r="AK63" s="242">
        <v>44130</v>
      </c>
      <c r="AL63" s="244" t="s">
        <v>5980</v>
      </c>
      <c r="AM63" s="236">
        <v>6691000</v>
      </c>
      <c r="AN63" s="236" t="s">
        <v>3834</v>
      </c>
      <c r="AO63" s="236" t="s">
        <v>600</v>
      </c>
      <c r="AP63" s="236">
        <v>2</v>
      </c>
      <c r="AQ63" s="236" t="s">
        <v>2726</v>
      </c>
      <c r="AR63" s="236" t="s">
        <v>2714</v>
      </c>
      <c r="AS63" s="237">
        <v>44130</v>
      </c>
      <c r="AT63" s="245" t="s">
        <v>5981</v>
      </c>
      <c r="AU63" s="241" t="s">
        <v>393</v>
      </c>
      <c r="AV63" s="241" t="s">
        <v>393</v>
      </c>
      <c r="AW63" s="241" t="s">
        <v>600</v>
      </c>
      <c r="AX63" s="241">
        <v>2</v>
      </c>
      <c r="AY63" s="241" t="s">
        <v>1140</v>
      </c>
      <c r="AZ63" s="241" t="s">
        <v>393</v>
      </c>
      <c r="BA63" s="242">
        <v>43524</v>
      </c>
      <c r="BB63" s="244" t="s">
        <v>5982</v>
      </c>
      <c r="BC63" s="236" t="s">
        <v>393</v>
      </c>
      <c r="BD63" s="236">
        <v>0</v>
      </c>
      <c r="BE63" s="236" t="s">
        <v>600</v>
      </c>
      <c r="BF63" s="236">
        <v>2</v>
      </c>
      <c r="BG63" s="236">
        <v>0</v>
      </c>
      <c r="BH63" s="236">
        <v>0</v>
      </c>
      <c r="BI63" s="237">
        <v>43511</v>
      </c>
      <c r="BJ63" s="245" t="s">
        <v>5983</v>
      </c>
      <c r="BK63" s="245">
        <v>1438</v>
      </c>
      <c r="BL63" s="245" t="s">
        <v>3830</v>
      </c>
      <c r="BM63" s="245" t="s">
        <v>599</v>
      </c>
      <c r="BN63" s="245">
        <v>3</v>
      </c>
      <c r="BO63" s="245" t="s">
        <v>2727</v>
      </c>
      <c r="BP63" s="241" t="s">
        <v>812</v>
      </c>
      <c r="BQ63" s="246">
        <v>44130</v>
      </c>
      <c r="BR63" s="244" t="s">
        <v>5984</v>
      </c>
      <c r="BS63" s="247" t="s">
        <v>393</v>
      </c>
      <c r="BT63" s="247">
        <v>0</v>
      </c>
      <c r="BU63" s="247" t="s">
        <v>600</v>
      </c>
      <c r="BV63" s="247">
        <v>2</v>
      </c>
      <c r="BW63" s="247">
        <v>0</v>
      </c>
      <c r="BX63" s="247">
        <v>0</v>
      </c>
      <c r="BY63" s="237">
        <v>43511</v>
      </c>
      <c r="BZ63" s="245" t="s">
        <v>5985</v>
      </c>
      <c r="CA63" s="245" t="s">
        <v>393</v>
      </c>
      <c r="CB63" s="245" t="s">
        <v>393</v>
      </c>
      <c r="CC63" s="245" t="s">
        <v>393</v>
      </c>
      <c r="CD63" s="245" t="s">
        <v>393</v>
      </c>
      <c r="CE63" s="245" t="s">
        <v>393</v>
      </c>
      <c r="CF63" s="245" t="s">
        <v>393</v>
      </c>
      <c r="CG63" s="246">
        <v>43511</v>
      </c>
      <c r="CH63" s="244" t="s">
        <v>5986</v>
      </c>
      <c r="CI63" s="245" t="e">
        <v>#N/A</v>
      </c>
      <c r="CJ63" s="245" t="e">
        <v>#N/A</v>
      </c>
      <c r="CK63" s="245" t="e">
        <v>#N/A</v>
      </c>
      <c r="CL63" s="245" t="e">
        <v>#N/A</v>
      </c>
      <c r="CM63" s="245" t="e">
        <v>#N/A</v>
      </c>
      <c r="CN63" s="245" t="e">
        <v>#N/A</v>
      </c>
      <c r="CO63" s="248" t="e">
        <v>#N/A</v>
      </c>
      <c r="CP63" s="245" t="s">
        <v>5987</v>
      </c>
      <c r="CQ63" s="247">
        <v>133900</v>
      </c>
      <c r="CR63" s="247" t="s">
        <v>2329</v>
      </c>
      <c r="CS63" s="247" t="s">
        <v>599</v>
      </c>
      <c r="CT63" s="247">
        <v>3</v>
      </c>
      <c r="CU63" s="247" t="s">
        <v>2359</v>
      </c>
      <c r="CV63" s="247" t="s">
        <v>2339</v>
      </c>
      <c r="CW63" s="237">
        <v>43950</v>
      </c>
      <c r="CX63" s="245" t="s">
        <v>5988</v>
      </c>
      <c r="CY63" s="241">
        <v>4046000</v>
      </c>
      <c r="CZ63" s="241" t="s">
        <v>1222</v>
      </c>
      <c r="DA63" s="241" t="s">
        <v>600</v>
      </c>
      <c r="DB63" s="241">
        <v>2</v>
      </c>
      <c r="DC63" s="241" t="s">
        <v>2363</v>
      </c>
      <c r="DD63" s="241" t="s">
        <v>1893</v>
      </c>
      <c r="DE63" s="243">
        <v>43950</v>
      </c>
      <c r="DF63" s="244" t="s">
        <v>5989</v>
      </c>
      <c r="DG63" s="236">
        <v>4309000</v>
      </c>
      <c r="DH63" s="247" t="s">
        <v>1222</v>
      </c>
      <c r="DI63" s="247" t="s">
        <v>600</v>
      </c>
      <c r="DJ63" s="247">
        <v>2</v>
      </c>
      <c r="DK63" s="247" t="s">
        <v>2363</v>
      </c>
      <c r="DL63" s="247" t="s">
        <v>1893</v>
      </c>
      <c r="DM63" s="237">
        <v>44119</v>
      </c>
      <c r="DN63" s="245" t="s">
        <v>5990</v>
      </c>
      <c r="DO63" s="241">
        <v>2646000</v>
      </c>
      <c r="DP63" s="245" t="s">
        <v>1222</v>
      </c>
      <c r="DQ63" s="245" t="s">
        <v>600</v>
      </c>
      <c r="DR63" s="245">
        <v>2</v>
      </c>
      <c r="DS63" s="245" t="s">
        <v>2363</v>
      </c>
      <c r="DT63" s="245" t="s">
        <v>1893</v>
      </c>
      <c r="DU63" s="246">
        <v>44119</v>
      </c>
      <c r="DV63" s="244" t="s">
        <v>5991</v>
      </c>
      <c r="DW63" s="236">
        <v>2271000</v>
      </c>
      <c r="DX63" s="247" t="s">
        <v>1222</v>
      </c>
      <c r="DY63" s="247" t="s">
        <v>600</v>
      </c>
      <c r="DZ63" s="247">
        <v>2</v>
      </c>
      <c r="EA63" s="247" t="s">
        <v>2363</v>
      </c>
      <c r="EB63" s="247" t="s">
        <v>1893</v>
      </c>
      <c r="EC63" s="237">
        <v>43950</v>
      </c>
      <c r="ED63" s="245" t="s">
        <v>5992</v>
      </c>
      <c r="EE63" s="241">
        <v>1775000</v>
      </c>
      <c r="EF63" s="245" t="s">
        <v>1222</v>
      </c>
      <c r="EG63" s="245" t="s">
        <v>600</v>
      </c>
      <c r="EH63" s="245">
        <v>2</v>
      </c>
      <c r="EI63" s="245" t="s">
        <v>2363</v>
      </c>
      <c r="EJ63" s="245" t="s">
        <v>1893</v>
      </c>
      <c r="EK63" s="246">
        <v>43950</v>
      </c>
      <c r="EL63" s="244" t="s">
        <v>5993</v>
      </c>
      <c r="EM63" s="236">
        <v>0</v>
      </c>
      <c r="EN63" s="247" t="s">
        <v>1222</v>
      </c>
      <c r="EO63" s="247" t="s">
        <v>600</v>
      </c>
      <c r="EP63" s="247">
        <v>2</v>
      </c>
      <c r="EQ63" s="247" t="s">
        <v>2363</v>
      </c>
      <c r="ER63" s="247" t="s">
        <v>1893</v>
      </c>
      <c r="ES63" s="237">
        <v>43950</v>
      </c>
      <c r="ET63" s="245" t="s">
        <v>5994</v>
      </c>
      <c r="EU63" s="245">
        <v>1438</v>
      </c>
      <c r="EV63" s="245" t="s">
        <v>3830</v>
      </c>
      <c r="EW63" s="245" t="s">
        <v>599</v>
      </c>
      <c r="EX63" s="245">
        <v>3</v>
      </c>
      <c r="EY63" s="245" t="s">
        <v>2723</v>
      </c>
      <c r="EZ63" s="245" t="s">
        <v>812</v>
      </c>
      <c r="FA63" s="246">
        <v>44130</v>
      </c>
      <c r="FB63" s="244" t="s">
        <v>5995</v>
      </c>
      <c r="FC63" s="247">
        <v>5</v>
      </c>
      <c r="FD63" s="247" t="s">
        <v>1222</v>
      </c>
      <c r="FE63" s="247" t="s">
        <v>601</v>
      </c>
      <c r="FF63" s="247">
        <v>1</v>
      </c>
      <c r="FG63" s="247" t="s">
        <v>1899</v>
      </c>
      <c r="FH63" s="247" t="s">
        <v>1893</v>
      </c>
      <c r="FI63" s="237">
        <v>43867</v>
      </c>
      <c r="FJ63" s="244" t="s">
        <v>5996</v>
      </c>
      <c r="FK63" s="245">
        <v>1500000</v>
      </c>
      <c r="FL63" s="245" t="s">
        <v>2704</v>
      </c>
      <c r="FM63" s="245" t="s">
        <v>599</v>
      </c>
      <c r="FN63" s="245">
        <v>3</v>
      </c>
      <c r="FO63" s="245" t="s">
        <v>2728</v>
      </c>
      <c r="FP63" s="241" t="s">
        <v>2713</v>
      </c>
      <c r="FQ63" s="242">
        <v>44015</v>
      </c>
      <c r="FR63" s="244" t="s">
        <v>5997</v>
      </c>
      <c r="FS63" s="247">
        <v>300000</v>
      </c>
      <c r="FT63" s="247" t="s">
        <v>2704</v>
      </c>
      <c r="FU63" s="247" t="s">
        <v>599</v>
      </c>
      <c r="FV63" s="247">
        <v>3</v>
      </c>
      <c r="FW63" s="247" t="s">
        <v>2729</v>
      </c>
      <c r="FX63" s="247" t="s">
        <v>2713</v>
      </c>
      <c r="FY63" s="237">
        <v>44015</v>
      </c>
      <c r="FZ63" s="245" t="s">
        <v>5998</v>
      </c>
      <c r="GA63" s="245">
        <v>1</v>
      </c>
      <c r="GB63" s="245" t="s">
        <v>1587</v>
      </c>
      <c r="GC63" s="245" t="s">
        <v>600</v>
      </c>
      <c r="GD63" s="245">
        <v>2</v>
      </c>
      <c r="GE63" s="245" t="s">
        <v>1623</v>
      </c>
      <c r="GF63" s="245" t="s">
        <v>1624</v>
      </c>
      <c r="GG63" s="246">
        <v>43770</v>
      </c>
      <c r="GH63" s="244" t="s">
        <v>5999</v>
      </c>
      <c r="GI63" s="247">
        <v>2</v>
      </c>
      <c r="GJ63" s="247" t="s">
        <v>1587</v>
      </c>
      <c r="GK63" s="247" t="s">
        <v>600</v>
      </c>
      <c r="GL63" s="247">
        <v>2</v>
      </c>
      <c r="GM63" s="247" t="s">
        <v>1623</v>
      </c>
      <c r="GN63" s="247" t="s">
        <v>1624</v>
      </c>
      <c r="GO63" s="237">
        <v>43770</v>
      </c>
      <c r="GP63" s="245" t="s">
        <v>6000</v>
      </c>
      <c r="GQ63" s="245">
        <v>1</v>
      </c>
      <c r="GR63" s="245" t="s">
        <v>1587</v>
      </c>
      <c r="GS63" s="245" t="s">
        <v>600</v>
      </c>
      <c r="GT63" s="245">
        <v>2</v>
      </c>
      <c r="GU63" s="245" t="s">
        <v>1623</v>
      </c>
      <c r="GV63" s="245" t="s">
        <v>1624</v>
      </c>
      <c r="GW63" s="246">
        <v>43770</v>
      </c>
      <c r="GX63" s="244" t="s">
        <v>6001</v>
      </c>
      <c r="GY63" s="247">
        <v>0</v>
      </c>
      <c r="GZ63" s="247" t="s">
        <v>1587</v>
      </c>
      <c r="HA63" s="247" t="s">
        <v>600</v>
      </c>
      <c r="HB63" s="247">
        <v>2</v>
      </c>
      <c r="HC63" s="247" t="s">
        <v>1623</v>
      </c>
      <c r="HD63" s="247" t="s">
        <v>1624</v>
      </c>
      <c r="HE63" s="237">
        <v>43770</v>
      </c>
      <c r="HF63" s="245" t="s">
        <v>6002</v>
      </c>
      <c r="HG63" s="245">
        <v>0</v>
      </c>
      <c r="HH63" s="245" t="s">
        <v>1587</v>
      </c>
      <c r="HI63" s="245" t="s">
        <v>600</v>
      </c>
      <c r="HJ63" s="245">
        <v>2</v>
      </c>
      <c r="HK63" s="245" t="s">
        <v>1623</v>
      </c>
      <c r="HL63" s="245" t="s">
        <v>1624</v>
      </c>
      <c r="HM63" s="246">
        <v>43770</v>
      </c>
      <c r="HN63" s="244" t="s">
        <v>6003</v>
      </c>
      <c r="HO63" s="247">
        <v>3</v>
      </c>
      <c r="HP63" s="247" t="s">
        <v>1587</v>
      </c>
      <c r="HQ63" s="247" t="s">
        <v>600</v>
      </c>
      <c r="HR63" s="247">
        <v>2</v>
      </c>
      <c r="HS63" s="247" t="s">
        <v>1623</v>
      </c>
      <c r="HT63" s="247" t="s">
        <v>1624</v>
      </c>
      <c r="HU63" s="237">
        <v>43770</v>
      </c>
      <c r="HV63" s="245" t="s">
        <v>6004</v>
      </c>
      <c r="HW63" s="245">
        <v>1</v>
      </c>
      <c r="HX63" s="245" t="s">
        <v>1587</v>
      </c>
      <c r="HY63" s="245" t="s">
        <v>600</v>
      </c>
      <c r="HZ63" s="245">
        <v>2</v>
      </c>
      <c r="IA63" s="245" t="s">
        <v>1623</v>
      </c>
      <c r="IB63" s="245" t="s">
        <v>1624</v>
      </c>
      <c r="IC63" s="246">
        <v>43770</v>
      </c>
      <c r="ID63" s="244" t="s">
        <v>6005</v>
      </c>
      <c r="IE63" s="247">
        <v>3</v>
      </c>
      <c r="IF63" s="247" t="s">
        <v>1587</v>
      </c>
      <c r="IG63" s="247" t="s">
        <v>600</v>
      </c>
      <c r="IH63" s="247">
        <v>2</v>
      </c>
      <c r="II63" s="247" t="s">
        <v>1623</v>
      </c>
      <c r="IJ63" s="247" t="s">
        <v>1624</v>
      </c>
      <c r="IK63" s="237">
        <v>43770</v>
      </c>
      <c r="IL63" s="245" t="s">
        <v>6006</v>
      </c>
      <c r="IM63" s="245">
        <v>2</v>
      </c>
      <c r="IN63" s="245" t="s">
        <v>1587</v>
      </c>
      <c r="IO63" s="245" t="s">
        <v>600</v>
      </c>
      <c r="IP63" s="245">
        <v>2</v>
      </c>
      <c r="IQ63" s="245" t="s">
        <v>1623</v>
      </c>
      <c r="IR63" s="245" t="s">
        <v>1624</v>
      </c>
      <c r="IS63" s="246">
        <v>43770</v>
      </c>
    </row>
    <row r="64" spans="1:253" s="251" customFormat="1" ht="13.2" x14ac:dyDescent="0.25">
      <c r="A64" s="251" t="s">
        <v>1089</v>
      </c>
      <c r="B64" s="251" t="s">
        <v>1280</v>
      </c>
      <c r="C64" s="251" t="s">
        <v>660</v>
      </c>
      <c r="D64" s="251" t="s">
        <v>147</v>
      </c>
      <c r="E64" s="251" t="s">
        <v>146</v>
      </c>
      <c r="F64" s="251" t="s">
        <v>6007</v>
      </c>
      <c r="G64" s="252">
        <v>38434000</v>
      </c>
      <c r="H64" s="253" t="s">
        <v>1741</v>
      </c>
      <c r="I64" s="253" t="s">
        <v>600</v>
      </c>
      <c r="J64" s="253">
        <v>2</v>
      </c>
      <c r="K64" s="253" t="s">
        <v>1742</v>
      </c>
      <c r="L64" s="253" t="s">
        <v>1054</v>
      </c>
      <c r="M64" s="254">
        <v>43798</v>
      </c>
      <c r="N64" s="255" t="s">
        <v>6008</v>
      </c>
      <c r="O64" s="253">
        <v>40000</v>
      </c>
      <c r="P64" s="253" t="s">
        <v>2330</v>
      </c>
      <c r="Q64" s="253" t="s">
        <v>1364</v>
      </c>
      <c r="R64" s="253">
        <v>2</v>
      </c>
      <c r="S64" s="253" t="s">
        <v>2364</v>
      </c>
      <c r="T64" s="253" t="s">
        <v>2340</v>
      </c>
      <c r="U64" s="254">
        <v>43950</v>
      </c>
      <c r="V64" s="255" t="s">
        <v>6009</v>
      </c>
      <c r="W64" s="253">
        <v>5135000</v>
      </c>
      <c r="X64" s="253" t="s">
        <v>3835</v>
      </c>
      <c r="Y64" s="253" t="s">
        <v>599</v>
      </c>
      <c r="Z64" s="253">
        <v>3</v>
      </c>
      <c r="AA64" s="253" t="s">
        <v>2730</v>
      </c>
      <c r="AB64" s="253" t="s">
        <v>3418</v>
      </c>
      <c r="AC64" s="254">
        <v>44130</v>
      </c>
      <c r="AD64" s="255" t="s">
        <v>6010</v>
      </c>
      <c r="AE64" s="253">
        <v>451000</v>
      </c>
      <c r="AF64" s="253" t="s">
        <v>3836</v>
      </c>
      <c r="AG64" s="253" t="s">
        <v>599</v>
      </c>
      <c r="AH64" s="253">
        <v>3</v>
      </c>
      <c r="AI64" s="253" t="s">
        <v>3850</v>
      </c>
      <c r="AJ64" s="253" t="s">
        <v>3419</v>
      </c>
      <c r="AK64" s="254">
        <v>44130</v>
      </c>
      <c r="AL64" s="255" t="s">
        <v>6011</v>
      </c>
      <c r="AM64" s="253">
        <v>243000</v>
      </c>
      <c r="AN64" s="253" t="s">
        <v>1612</v>
      </c>
      <c r="AO64" s="253" t="s">
        <v>600</v>
      </c>
      <c r="AP64" s="253">
        <v>2</v>
      </c>
      <c r="AQ64" s="253" t="s">
        <v>2365</v>
      </c>
      <c r="AR64" s="253" t="s">
        <v>1216</v>
      </c>
      <c r="AS64" s="254">
        <v>44130</v>
      </c>
      <c r="AT64" s="256" t="s">
        <v>6012</v>
      </c>
      <c r="AU64" s="253" t="s">
        <v>393</v>
      </c>
      <c r="AV64" s="253">
        <v>0</v>
      </c>
      <c r="AW64" s="253" t="s">
        <v>600</v>
      </c>
      <c r="AX64" s="253">
        <v>2</v>
      </c>
      <c r="AY64" s="253">
        <v>0</v>
      </c>
      <c r="AZ64" s="253">
        <v>0</v>
      </c>
      <c r="BA64" s="254">
        <v>43511</v>
      </c>
      <c r="BB64" s="255" t="s">
        <v>6013</v>
      </c>
      <c r="BC64" s="253" t="s">
        <v>393</v>
      </c>
      <c r="BD64" s="253">
        <v>0</v>
      </c>
      <c r="BE64" s="253" t="s">
        <v>600</v>
      </c>
      <c r="BF64" s="253">
        <v>2</v>
      </c>
      <c r="BG64" s="253">
        <v>0</v>
      </c>
      <c r="BH64" s="253">
        <v>0</v>
      </c>
      <c r="BI64" s="254">
        <v>43511</v>
      </c>
      <c r="BJ64" s="256" t="s">
        <v>6014</v>
      </c>
      <c r="BK64" s="256">
        <v>0</v>
      </c>
      <c r="BL64" s="256" t="s">
        <v>3830</v>
      </c>
      <c r="BM64" s="256" t="s">
        <v>599</v>
      </c>
      <c r="BN64" s="256">
        <v>3</v>
      </c>
      <c r="BO64" s="256" t="s">
        <v>2731</v>
      </c>
      <c r="BP64" s="253" t="s">
        <v>812</v>
      </c>
      <c r="BQ64" s="257">
        <v>44130</v>
      </c>
      <c r="BR64" s="255" t="s">
        <v>6015</v>
      </c>
      <c r="BS64" s="256" t="s">
        <v>393</v>
      </c>
      <c r="BT64" s="256">
        <v>0</v>
      </c>
      <c r="BU64" s="256" t="s">
        <v>600</v>
      </c>
      <c r="BV64" s="256">
        <v>2</v>
      </c>
      <c r="BW64" s="256" t="s">
        <v>1056</v>
      </c>
      <c r="BX64" s="256">
        <v>0</v>
      </c>
      <c r="BY64" s="254">
        <v>43511</v>
      </c>
      <c r="BZ64" s="256" t="s">
        <v>6016</v>
      </c>
      <c r="CA64" s="256">
        <v>0</v>
      </c>
      <c r="CB64" s="256" t="s">
        <v>393</v>
      </c>
      <c r="CC64" s="256" t="s">
        <v>600</v>
      </c>
      <c r="CD64" s="256">
        <v>2</v>
      </c>
      <c r="CE64" s="256" t="s">
        <v>393</v>
      </c>
      <c r="CF64" s="256" t="s">
        <v>393</v>
      </c>
      <c r="CG64" s="257">
        <v>43511</v>
      </c>
      <c r="CH64" s="255" t="s">
        <v>6017</v>
      </c>
      <c r="CI64" s="256" t="e">
        <v>#N/A</v>
      </c>
      <c r="CJ64" s="256" t="e">
        <v>#N/A</v>
      </c>
      <c r="CK64" s="256" t="e">
        <v>#N/A</v>
      </c>
      <c r="CL64" s="256" t="e">
        <v>#N/A</v>
      </c>
      <c r="CM64" s="256" t="e">
        <v>#N/A</v>
      </c>
      <c r="CN64" s="256" t="e">
        <v>#N/A</v>
      </c>
      <c r="CO64" s="258" t="e">
        <v>#N/A</v>
      </c>
      <c r="CP64" s="256" t="s">
        <v>6018</v>
      </c>
      <c r="CQ64" s="256" t="s">
        <v>393</v>
      </c>
      <c r="CR64" s="256">
        <v>0</v>
      </c>
      <c r="CS64" s="256" t="s">
        <v>600</v>
      </c>
      <c r="CT64" s="256">
        <v>2</v>
      </c>
      <c r="CU64" s="256" t="s">
        <v>1056</v>
      </c>
      <c r="CV64" s="256">
        <v>0</v>
      </c>
      <c r="CW64" s="254">
        <v>43511</v>
      </c>
      <c r="CX64" s="256" t="s">
        <v>6019</v>
      </c>
      <c r="CY64" s="253">
        <v>451000</v>
      </c>
      <c r="CZ64" s="253" t="s">
        <v>3837</v>
      </c>
      <c r="DA64" s="253" t="s">
        <v>600</v>
      </c>
      <c r="DB64" s="253">
        <v>2</v>
      </c>
      <c r="DC64" s="253" t="s">
        <v>2366</v>
      </c>
      <c r="DD64" s="253" t="s">
        <v>3420</v>
      </c>
      <c r="DE64" s="259">
        <v>44130</v>
      </c>
      <c r="DF64" s="255" t="s">
        <v>6020</v>
      </c>
      <c r="DG64" s="253">
        <v>4685000</v>
      </c>
      <c r="DH64" s="256" t="s">
        <v>3837</v>
      </c>
      <c r="DI64" s="256" t="s">
        <v>600</v>
      </c>
      <c r="DJ64" s="256">
        <v>2</v>
      </c>
      <c r="DK64" s="256" t="s">
        <v>2366</v>
      </c>
      <c r="DL64" s="256" t="s">
        <v>3420</v>
      </c>
      <c r="DM64" s="254">
        <v>44130</v>
      </c>
      <c r="DN64" s="256" t="s">
        <v>6021</v>
      </c>
      <c r="DO64" s="253">
        <v>0</v>
      </c>
      <c r="DP64" s="256" t="s">
        <v>3837</v>
      </c>
      <c r="DQ64" s="256" t="s">
        <v>600</v>
      </c>
      <c r="DR64" s="256">
        <v>2</v>
      </c>
      <c r="DS64" s="256" t="s">
        <v>2366</v>
      </c>
      <c r="DT64" s="256" t="s">
        <v>3420</v>
      </c>
      <c r="DU64" s="257">
        <v>44130</v>
      </c>
      <c r="DV64" s="255" t="s">
        <v>6022</v>
      </c>
      <c r="DW64" s="253">
        <v>337000</v>
      </c>
      <c r="DX64" s="256" t="s">
        <v>3837</v>
      </c>
      <c r="DY64" s="256" t="s">
        <v>600</v>
      </c>
      <c r="DZ64" s="256">
        <v>2</v>
      </c>
      <c r="EA64" s="256" t="s">
        <v>2366</v>
      </c>
      <c r="EB64" s="256" t="s">
        <v>3420</v>
      </c>
      <c r="EC64" s="254">
        <v>44130</v>
      </c>
      <c r="ED64" s="256" t="s">
        <v>6023</v>
      </c>
      <c r="EE64" s="253">
        <v>114000</v>
      </c>
      <c r="EF64" s="256" t="s">
        <v>3837</v>
      </c>
      <c r="EG64" s="256" t="s">
        <v>600</v>
      </c>
      <c r="EH64" s="256">
        <v>2</v>
      </c>
      <c r="EI64" s="256" t="s">
        <v>2366</v>
      </c>
      <c r="EJ64" s="256" t="s">
        <v>3420</v>
      </c>
      <c r="EK64" s="257">
        <v>44130</v>
      </c>
      <c r="EL64" s="255" t="s">
        <v>6024</v>
      </c>
      <c r="EM64" s="253">
        <v>0</v>
      </c>
      <c r="EN64" s="256" t="s">
        <v>3837</v>
      </c>
      <c r="EO64" s="256" t="s">
        <v>600</v>
      </c>
      <c r="EP64" s="256">
        <v>2</v>
      </c>
      <c r="EQ64" s="256" t="s">
        <v>2366</v>
      </c>
      <c r="ER64" s="256" t="s">
        <v>3420</v>
      </c>
      <c r="ES64" s="254">
        <v>44130</v>
      </c>
      <c r="ET64" s="256" t="s">
        <v>6025</v>
      </c>
      <c r="EU64" s="256">
        <v>1438</v>
      </c>
      <c r="EV64" s="256" t="s">
        <v>3830</v>
      </c>
      <c r="EW64" s="256" t="s">
        <v>1581</v>
      </c>
      <c r="EX64" s="256">
        <v>3</v>
      </c>
      <c r="EY64" s="256" t="s">
        <v>2723</v>
      </c>
      <c r="EZ64" s="256" t="s">
        <v>812</v>
      </c>
      <c r="FA64" s="257">
        <v>44130</v>
      </c>
      <c r="FB64" s="255" t="s">
        <v>6026</v>
      </c>
      <c r="FC64" s="256">
        <v>5</v>
      </c>
      <c r="FD64" s="256" t="s">
        <v>1053</v>
      </c>
      <c r="FE64" s="256" t="s">
        <v>600</v>
      </c>
      <c r="FF64" s="256">
        <v>2</v>
      </c>
      <c r="FG64" s="256" t="s">
        <v>1058</v>
      </c>
      <c r="FH64" s="256" t="s">
        <v>1057</v>
      </c>
      <c r="FI64" s="254">
        <v>43511</v>
      </c>
      <c r="FJ64" s="255" t="s">
        <v>6027</v>
      </c>
      <c r="FK64" s="256" t="s">
        <v>393</v>
      </c>
      <c r="FL64" s="256" t="s">
        <v>2705</v>
      </c>
      <c r="FM64" s="256" t="s">
        <v>393</v>
      </c>
      <c r="FN64" s="256" t="s">
        <v>393</v>
      </c>
      <c r="FO64" s="256" t="s">
        <v>2732</v>
      </c>
      <c r="FP64" s="253" t="s">
        <v>2715</v>
      </c>
      <c r="FQ64" s="254">
        <v>44015</v>
      </c>
      <c r="FR64" s="255" t="s">
        <v>6028</v>
      </c>
      <c r="FS64" s="256">
        <v>0</v>
      </c>
      <c r="FT64" s="256" t="s">
        <v>2705</v>
      </c>
      <c r="FU64" s="256" t="s">
        <v>600</v>
      </c>
      <c r="FV64" s="256">
        <v>2</v>
      </c>
      <c r="FW64" s="256" t="s">
        <v>2733</v>
      </c>
      <c r="FX64" s="256" t="s">
        <v>2715</v>
      </c>
      <c r="FY64" s="254">
        <v>44015</v>
      </c>
      <c r="FZ64" s="256" t="s">
        <v>6029</v>
      </c>
      <c r="GA64" s="256">
        <v>0</v>
      </c>
      <c r="GB64" s="256" t="s">
        <v>1587</v>
      </c>
      <c r="GC64" s="256" t="s">
        <v>600</v>
      </c>
      <c r="GD64" s="256">
        <v>2</v>
      </c>
      <c r="GE64" s="256" t="s">
        <v>1623</v>
      </c>
      <c r="GF64" s="256" t="s">
        <v>1624</v>
      </c>
      <c r="GG64" s="257">
        <v>43770</v>
      </c>
      <c r="GH64" s="255" t="s">
        <v>6030</v>
      </c>
      <c r="GI64" s="256">
        <v>2</v>
      </c>
      <c r="GJ64" s="256" t="s">
        <v>1587</v>
      </c>
      <c r="GK64" s="256" t="s">
        <v>600</v>
      </c>
      <c r="GL64" s="256">
        <v>2</v>
      </c>
      <c r="GM64" s="256" t="s">
        <v>1623</v>
      </c>
      <c r="GN64" s="256" t="s">
        <v>1624</v>
      </c>
      <c r="GO64" s="254">
        <v>43770</v>
      </c>
      <c r="GP64" s="256" t="s">
        <v>6031</v>
      </c>
      <c r="GQ64" s="256">
        <v>0</v>
      </c>
      <c r="GR64" s="256" t="s">
        <v>1587</v>
      </c>
      <c r="GS64" s="256" t="s">
        <v>600</v>
      </c>
      <c r="GT64" s="256">
        <v>2</v>
      </c>
      <c r="GU64" s="256" t="s">
        <v>1623</v>
      </c>
      <c r="GV64" s="256" t="s">
        <v>1624</v>
      </c>
      <c r="GW64" s="257">
        <v>43770</v>
      </c>
      <c r="GX64" s="255" t="s">
        <v>6032</v>
      </c>
      <c r="GY64" s="256">
        <v>0</v>
      </c>
      <c r="GZ64" s="256" t="s">
        <v>1587</v>
      </c>
      <c r="HA64" s="256" t="s">
        <v>600</v>
      </c>
      <c r="HB64" s="256">
        <v>2</v>
      </c>
      <c r="HC64" s="256" t="s">
        <v>1623</v>
      </c>
      <c r="HD64" s="256" t="s">
        <v>1624</v>
      </c>
      <c r="HE64" s="254">
        <v>43770</v>
      </c>
      <c r="HF64" s="256" t="s">
        <v>6033</v>
      </c>
      <c r="HG64" s="256">
        <v>0</v>
      </c>
      <c r="HH64" s="256" t="s">
        <v>1587</v>
      </c>
      <c r="HI64" s="256" t="s">
        <v>600</v>
      </c>
      <c r="HJ64" s="256">
        <v>2</v>
      </c>
      <c r="HK64" s="256" t="s">
        <v>1623</v>
      </c>
      <c r="HL64" s="256" t="s">
        <v>1624</v>
      </c>
      <c r="HM64" s="257">
        <v>43770</v>
      </c>
      <c r="HN64" s="255" t="s">
        <v>6034</v>
      </c>
      <c r="HO64" s="256">
        <v>1</v>
      </c>
      <c r="HP64" s="256" t="s">
        <v>1587</v>
      </c>
      <c r="HQ64" s="256" t="s">
        <v>600</v>
      </c>
      <c r="HR64" s="256">
        <v>2</v>
      </c>
      <c r="HS64" s="256" t="s">
        <v>1623</v>
      </c>
      <c r="HT64" s="256" t="s">
        <v>1624</v>
      </c>
      <c r="HU64" s="254">
        <v>43770</v>
      </c>
      <c r="HV64" s="256" t="s">
        <v>6035</v>
      </c>
      <c r="HW64" s="256">
        <v>0</v>
      </c>
      <c r="HX64" s="256" t="s">
        <v>1587</v>
      </c>
      <c r="HY64" s="256" t="s">
        <v>600</v>
      </c>
      <c r="HZ64" s="256">
        <v>2</v>
      </c>
      <c r="IA64" s="256" t="s">
        <v>1623</v>
      </c>
      <c r="IB64" s="256" t="s">
        <v>1624</v>
      </c>
      <c r="IC64" s="257">
        <v>43770</v>
      </c>
      <c r="ID64" s="255" t="s">
        <v>6036</v>
      </c>
      <c r="IE64" s="256">
        <v>3</v>
      </c>
      <c r="IF64" s="256" t="s">
        <v>1587</v>
      </c>
      <c r="IG64" s="256" t="s">
        <v>600</v>
      </c>
      <c r="IH64" s="256">
        <v>2</v>
      </c>
      <c r="II64" s="256" t="s">
        <v>1623</v>
      </c>
      <c r="IJ64" s="256" t="s">
        <v>1624</v>
      </c>
      <c r="IK64" s="254">
        <v>43770</v>
      </c>
      <c r="IL64" s="256" t="s">
        <v>6037</v>
      </c>
      <c r="IM64" s="256">
        <v>0</v>
      </c>
      <c r="IN64" s="256" t="s">
        <v>1587</v>
      </c>
      <c r="IO64" s="256" t="s">
        <v>600</v>
      </c>
      <c r="IP64" s="256">
        <v>2</v>
      </c>
      <c r="IQ64" s="256" t="s">
        <v>1623</v>
      </c>
      <c r="IR64" s="256" t="s">
        <v>1624</v>
      </c>
      <c r="IS64" s="257">
        <v>43770</v>
      </c>
    </row>
    <row r="65" spans="1:253" s="11" customFormat="1" ht="13.2" x14ac:dyDescent="0.25">
      <c r="A65" s="11" t="s">
        <v>1116</v>
      </c>
      <c r="B65" s="11" t="s">
        <v>1280</v>
      </c>
      <c r="C65" s="11" t="s">
        <v>2923</v>
      </c>
      <c r="D65" s="11" t="s">
        <v>159</v>
      </c>
      <c r="E65" s="11" t="s">
        <v>158</v>
      </c>
      <c r="F65" s="11" t="s">
        <v>6038</v>
      </c>
      <c r="G65" s="235">
        <v>10554000</v>
      </c>
      <c r="H65" s="236" t="s">
        <v>2326</v>
      </c>
      <c r="I65" s="236" t="s">
        <v>600</v>
      </c>
      <c r="J65" s="236">
        <v>2</v>
      </c>
      <c r="K65" s="236" t="s">
        <v>2350</v>
      </c>
      <c r="L65" s="236" t="s">
        <v>2337</v>
      </c>
      <c r="M65" s="237">
        <v>43950</v>
      </c>
      <c r="N65" s="244" t="s">
        <v>6039</v>
      </c>
      <c r="O65" s="239">
        <v>40463</v>
      </c>
      <c r="P65" s="239" t="s">
        <v>3284</v>
      </c>
      <c r="Q65" s="239" t="s">
        <v>600</v>
      </c>
      <c r="R65" s="239">
        <v>2</v>
      </c>
      <c r="S65" s="239" t="s">
        <v>2351</v>
      </c>
      <c r="T65" s="239" t="s">
        <v>3421</v>
      </c>
      <c r="U65" s="240">
        <v>44102</v>
      </c>
      <c r="V65" s="244" t="s">
        <v>6040</v>
      </c>
      <c r="W65" s="236">
        <v>8505000</v>
      </c>
      <c r="X65" s="236" t="s">
        <v>3284</v>
      </c>
      <c r="Y65" s="236" t="s">
        <v>600</v>
      </c>
      <c r="Z65" s="236">
        <v>2</v>
      </c>
      <c r="AA65" s="236" t="s">
        <v>3423</v>
      </c>
      <c r="AB65" s="236" t="s">
        <v>3422</v>
      </c>
      <c r="AC65" s="237">
        <v>44102</v>
      </c>
      <c r="AD65" s="244" t="s">
        <v>6041</v>
      </c>
      <c r="AE65" s="241">
        <v>1377000</v>
      </c>
      <c r="AF65" s="241" t="s">
        <v>3285</v>
      </c>
      <c r="AG65" s="241" t="s">
        <v>1581</v>
      </c>
      <c r="AH65" s="241">
        <v>3</v>
      </c>
      <c r="AI65" s="241" t="s">
        <v>3424</v>
      </c>
      <c r="AJ65" s="241" t="s">
        <v>2708</v>
      </c>
      <c r="AK65" s="242">
        <v>44102</v>
      </c>
      <c r="AL65" s="244" t="s">
        <v>6042</v>
      </c>
      <c r="AM65" s="236">
        <v>1377000</v>
      </c>
      <c r="AN65" s="236" t="s">
        <v>3285</v>
      </c>
      <c r="AO65" s="236" t="s">
        <v>600</v>
      </c>
      <c r="AP65" s="236">
        <v>2</v>
      </c>
      <c r="AQ65" s="236" t="s">
        <v>3425</v>
      </c>
      <c r="AR65" s="236" t="s">
        <v>2708</v>
      </c>
      <c r="AS65" s="237">
        <v>44102</v>
      </c>
      <c r="AT65" s="245" t="s">
        <v>6043</v>
      </c>
      <c r="AU65" s="241" t="s">
        <v>393</v>
      </c>
      <c r="AV65" s="241" t="s">
        <v>3283</v>
      </c>
      <c r="AW65" s="241" t="s">
        <v>393</v>
      </c>
      <c r="AX65" s="241" t="s">
        <v>393</v>
      </c>
      <c r="AY65" s="241" t="s">
        <v>2719</v>
      </c>
      <c r="AZ65" s="241" t="s">
        <v>2205</v>
      </c>
      <c r="BA65" s="242">
        <v>44102</v>
      </c>
      <c r="BB65" s="244" t="s">
        <v>6044</v>
      </c>
      <c r="BC65" s="236" t="s">
        <v>393</v>
      </c>
      <c r="BD65" s="236" t="s">
        <v>393</v>
      </c>
      <c r="BE65" s="236" t="s">
        <v>393</v>
      </c>
      <c r="BF65" s="236" t="s">
        <v>393</v>
      </c>
      <c r="BG65" s="236" t="s">
        <v>813</v>
      </c>
      <c r="BH65" s="236" t="s">
        <v>393</v>
      </c>
      <c r="BI65" s="237">
        <v>43950</v>
      </c>
      <c r="BJ65" s="245" t="s">
        <v>6045</v>
      </c>
      <c r="BK65" s="245">
        <v>1</v>
      </c>
      <c r="BL65" s="245" t="s">
        <v>3283</v>
      </c>
      <c r="BM65" s="245" t="s">
        <v>600</v>
      </c>
      <c r="BN65" s="245">
        <v>2</v>
      </c>
      <c r="BO65" s="245" t="s">
        <v>2720</v>
      </c>
      <c r="BP65" s="241" t="s">
        <v>2205</v>
      </c>
      <c r="BQ65" s="246">
        <v>44102</v>
      </c>
      <c r="BR65" s="244" t="s">
        <v>6046</v>
      </c>
      <c r="BS65" s="247" t="s">
        <v>393</v>
      </c>
      <c r="BT65" s="247" t="s">
        <v>393</v>
      </c>
      <c r="BU65" s="247" t="s">
        <v>393</v>
      </c>
      <c r="BV65" s="247" t="s">
        <v>393</v>
      </c>
      <c r="BW65" s="247" t="s">
        <v>2352</v>
      </c>
      <c r="BX65" s="247" t="s">
        <v>393</v>
      </c>
      <c r="BY65" s="237">
        <v>43950</v>
      </c>
      <c r="BZ65" s="245" t="s">
        <v>6047</v>
      </c>
      <c r="CA65" s="245" t="s">
        <v>393</v>
      </c>
      <c r="CB65" s="245" t="s">
        <v>393</v>
      </c>
      <c r="CC65" s="245" t="s">
        <v>393</v>
      </c>
      <c r="CD65" s="245" t="s">
        <v>393</v>
      </c>
      <c r="CE65" s="245" t="s">
        <v>2353</v>
      </c>
      <c r="CF65" s="245" t="s">
        <v>393</v>
      </c>
      <c r="CG65" s="246">
        <v>43950</v>
      </c>
      <c r="CH65" s="244" t="s">
        <v>6048</v>
      </c>
      <c r="CI65" s="245" t="e">
        <v>#N/A</v>
      </c>
      <c r="CJ65" s="245" t="e">
        <v>#N/A</v>
      </c>
      <c r="CK65" s="245" t="e">
        <v>#N/A</v>
      </c>
      <c r="CL65" s="245" t="e">
        <v>#N/A</v>
      </c>
      <c r="CM65" s="245" t="e">
        <v>#N/A</v>
      </c>
      <c r="CN65" s="245" t="e">
        <v>#N/A</v>
      </c>
      <c r="CO65" s="248" t="e">
        <v>#N/A</v>
      </c>
      <c r="CP65" s="245" t="s">
        <v>6049</v>
      </c>
      <c r="CQ65" s="247" t="s">
        <v>393</v>
      </c>
      <c r="CR65" s="247" t="s">
        <v>2701</v>
      </c>
      <c r="CS65" s="247" t="s">
        <v>393</v>
      </c>
      <c r="CT65" s="247" t="s">
        <v>393</v>
      </c>
      <c r="CU65" s="247" t="s">
        <v>2721</v>
      </c>
      <c r="CV65" s="247" t="s">
        <v>2709</v>
      </c>
      <c r="CW65" s="237">
        <v>44015</v>
      </c>
      <c r="CX65" s="245" t="s">
        <v>6050</v>
      </c>
      <c r="CY65" s="241">
        <v>642000</v>
      </c>
      <c r="CZ65" s="241" t="s">
        <v>3286</v>
      </c>
      <c r="DA65" s="241" t="s">
        <v>600</v>
      </c>
      <c r="DB65" s="241">
        <v>2</v>
      </c>
      <c r="DC65" s="241" t="s">
        <v>3427</v>
      </c>
      <c r="DD65" s="241" t="s">
        <v>3426</v>
      </c>
      <c r="DE65" s="243">
        <v>44102</v>
      </c>
      <c r="DF65" s="244" t="s">
        <v>6051</v>
      </c>
      <c r="DG65" s="236">
        <v>7127000</v>
      </c>
      <c r="DH65" s="247" t="s">
        <v>3286</v>
      </c>
      <c r="DI65" s="247" t="s">
        <v>600</v>
      </c>
      <c r="DJ65" s="247">
        <v>2</v>
      </c>
      <c r="DK65" s="247" t="s">
        <v>3427</v>
      </c>
      <c r="DL65" s="247" t="s">
        <v>3426</v>
      </c>
      <c r="DM65" s="237">
        <v>44102</v>
      </c>
      <c r="DN65" s="245" t="s">
        <v>6052</v>
      </c>
      <c r="DO65" s="241">
        <v>735000</v>
      </c>
      <c r="DP65" s="245" t="s">
        <v>3286</v>
      </c>
      <c r="DQ65" s="245" t="s">
        <v>600</v>
      </c>
      <c r="DR65" s="245">
        <v>2</v>
      </c>
      <c r="DS65" s="245" t="s">
        <v>3427</v>
      </c>
      <c r="DT65" s="245" t="s">
        <v>3426</v>
      </c>
      <c r="DU65" s="246">
        <v>44102</v>
      </c>
      <c r="DV65" s="244" t="s">
        <v>6053</v>
      </c>
      <c r="DW65" s="236">
        <v>279000</v>
      </c>
      <c r="DX65" s="247" t="s">
        <v>3286</v>
      </c>
      <c r="DY65" s="247" t="s">
        <v>600</v>
      </c>
      <c r="DZ65" s="247">
        <v>2</v>
      </c>
      <c r="EA65" s="247" t="s">
        <v>3427</v>
      </c>
      <c r="EB65" s="247" t="s">
        <v>3426</v>
      </c>
      <c r="EC65" s="237">
        <v>44102</v>
      </c>
      <c r="ED65" s="245" t="s">
        <v>6054</v>
      </c>
      <c r="EE65" s="241">
        <v>363000</v>
      </c>
      <c r="EF65" s="245" t="s">
        <v>3286</v>
      </c>
      <c r="EG65" s="245" t="s">
        <v>600</v>
      </c>
      <c r="EH65" s="245">
        <v>2</v>
      </c>
      <c r="EI65" s="245" t="s">
        <v>3427</v>
      </c>
      <c r="EJ65" s="245" t="s">
        <v>3426</v>
      </c>
      <c r="EK65" s="246">
        <v>44102</v>
      </c>
      <c r="EL65" s="244" t="s">
        <v>6055</v>
      </c>
      <c r="EM65" s="236">
        <v>0</v>
      </c>
      <c r="EN65" s="247" t="s">
        <v>3286</v>
      </c>
      <c r="EO65" s="247" t="s">
        <v>600</v>
      </c>
      <c r="EP65" s="247">
        <v>2</v>
      </c>
      <c r="EQ65" s="247" t="s">
        <v>3427</v>
      </c>
      <c r="ER65" s="247" t="s">
        <v>3426</v>
      </c>
      <c r="ES65" s="237">
        <v>44102</v>
      </c>
      <c r="ET65" s="245" t="s">
        <v>6056</v>
      </c>
      <c r="EU65" s="245">
        <v>1</v>
      </c>
      <c r="EV65" s="245" t="s">
        <v>3283</v>
      </c>
      <c r="EW65" s="245" t="s">
        <v>600</v>
      </c>
      <c r="EX65" s="245">
        <v>2</v>
      </c>
      <c r="EY65" s="245" t="s">
        <v>2720</v>
      </c>
      <c r="EZ65" s="245" t="s">
        <v>2205</v>
      </c>
      <c r="FA65" s="246">
        <v>44102</v>
      </c>
      <c r="FB65" s="244" t="s">
        <v>6057</v>
      </c>
      <c r="FC65" s="247">
        <v>2</v>
      </c>
      <c r="FD65" s="247" t="s">
        <v>2702</v>
      </c>
      <c r="FE65" s="247" t="s">
        <v>600</v>
      </c>
      <c r="FF65" s="247">
        <v>2</v>
      </c>
      <c r="FG65" s="247" t="s">
        <v>814</v>
      </c>
      <c r="FH65" s="247" t="s">
        <v>2710</v>
      </c>
      <c r="FI65" s="237">
        <v>44015</v>
      </c>
      <c r="FJ65" s="244" t="s">
        <v>6058</v>
      </c>
      <c r="FK65" s="245" t="s">
        <v>393</v>
      </c>
      <c r="FL65" s="245">
        <v>0</v>
      </c>
      <c r="FM65" s="245" t="s">
        <v>393</v>
      </c>
      <c r="FN65" s="245" t="s">
        <v>393</v>
      </c>
      <c r="FO65" s="245" t="s">
        <v>813</v>
      </c>
      <c r="FP65" s="241">
        <v>0</v>
      </c>
      <c r="FQ65" s="242">
        <v>43503</v>
      </c>
      <c r="FR65" s="244" t="s">
        <v>6059</v>
      </c>
      <c r="FS65" s="247" t="s">
        <v>393</v>
      </c>
      <c r="FT65" s="247">
        <v>0</v>
      </c>
      <c r="FU65" s="247" t="s">
        <v>393</v>
      </c>
      <c r="FV65" s="247" t="s">
        <v>393</v>
      </c>
      <c r="FW65" s="247" t="s">
        <v>813</v>
      </c>
      <c r="FX65" s="247">
        <v>0</v>
      </c>
      <c r="FY65" s="237">
        <v>43503</v>
      </c>
      <c r="FZ65" s="245" t="s">
        <v>6060</v>
      </c>
      <c r="GA65" s="245">
        <v>0</v>
      </c>
      <c r="GB65" s="245" t="s">
        <v>1587</v>
      </c>
      <c r="GC65" s="245" t="s">
        <v>600</v>
      </c>
      <c r="GD65" s="245">
        <v>2</v>
      </c>
      <c r="GE65" s="245" t="s">
        <v>1623</v>
      </c>
      <c r="GF65" s="245" t="s">
        <v>1624</v>
      </c>
      <c r="GG65" s="246">
        <v>43770</v>
      </c>
      <c r="GH65" s="244" t="s">
        <v>6061</v>
      </c>
      <c r="GI65" s="247">
        <v>0</v>
      </c>
      <c r="GJ65" s="247" t="s">
        <v>1587</v>
      </c>
      <c r="GK65" s="247" t="s">
        <v>600</v>
      </c>
      <c r="GL65" s="247">
        <v>2</v>
      </c>
      <c r="GM65" s="247" t="s">
        <v>1623</v>
      </c>
      <c r="GN65" s="247" t="s">
        <v>1624</v>
      </c>
      <c r="GO65" s="237">
        <v>43770</v>
      </c>
      <c r="GP65" s="245" t="s">
        <v>6062</v>
      </c>
      <c r="GQ65" s="245">
        <v>0</v>
      </c>
      <c r="GR65" s="245" t="s">
        <v>1587</v>
      </c>
      <c r="GS65" s="245" t="s">
        <v>600</v>
      </c>
      <c r="GT65" s="245">
        <v>2</v>
      </c>
      <c r="GU65" s="245" t="s">
        <v>1623</v>
      </c>
      <c r="GV65" s="245" t="s">
        <v>1624</v>
      </c>
      <c r="GW65" s="246">
        <v>43770</v>
      </c>
      <c r="GX65" s="244" t="s">
        <v>6063</v>
      </c>
      <c r="GY65" s="247">
        <v>0</v>
      </c>
      <c r="GZ65" s="247" t="s">
        <v>1587</v>
      </c>
      <c r="HA65" s="247" t="s">
        <v>600</v>
      </c>
      <c r="HB65" s="247">
        <v>2</v>
      </c>
      <c r="HC65" s="247" t="s">
        <v>1623</v>
      </c>
      <c r="HD65" s="247" t="s">
        <v>1624</v>
      </c>
      <c r="HE65" s="237">
        <v>43770</v>
      </c>
      <c r="HF65" s="245" t="s">
        <v>6064</v>
      </c>
      <c r="HG65" s="245">
        <v>0</v>
      </c>
      <c r="HH65" s="245" t="s">
        <v>1587</v>
      </c>
      <c r="HI65" s="245" t="s">
        <v>600</v>
      </c>
      <c r="HJ65" s="245">
        <v>2</v>
      </c>
      <c r="HK65" s="245" t="s">
        <v>1623</v>
      </c>
      <c r="HL65" s="245" t="s">
        <v>1624</v>
      </c>
      <c r="HM65" s="246">
        <v>43770</v>
      </c>
      <c r="HN65" s="244" t="s">
        <v>6065</v>
      </c>
      <c r="HO65" s="247">
        <v>1</v>
      </c>
      <c r="HP65" s="247" t="s">
        <v>1587</v>
      </c>
      <c r="HQ65" s="247" t="s">
        <v>600</v>
      </c>
      <c r="HR65" s="247">
        <v>2</v>
      </c>
      <c r="HS65" s="247" t="s">
        <v>1623</v>
      </c>
      <c r="HT65" s="247" t="s">
        <v>1624</v>
      </c>
      <c r="HU65" s="237">
        <v>43770</v>
      </c>
      <c r="HV65" s="245" t="s">
        <v>6066</v>
      </c>
      <c r="HW65" s="245">
        <v>0</v>
      </c>
      <c r="HX65" s="245" t="s">
        <v>1587</v>
      </c>
      <c r="HY65" s="245" t="s">
        <v>600</v>
      </c>
      <c r="HZ65" s="245">
        <v>2</v>
      </c>
      <c r="IA65" s="245" t="s">
        <v>1623</v>
      </c>
      <c r="IB65" s="245" t="s">
        <v>1624</v>
      </c>
      <c r="IC65" s="246">
        <v>43770</v>
      </c>
      <c r="ID65" s="244" t="s">
        <v>6067</v>
      </c>
      <c r="IE65" s="247">
        <v>0</v>
      </c>
      <c r="IF65" s="247" t="s">
        <v>1587</v>
      </c>
      <c r="IG65" s="247" t="s">
        <v>600</v>
      </c>
      <c r="IH65" s="247">
        <v>2</v>
      </c>
      <c r="II65" s="247" t="s">
        <v>1623</v>
      </c>
      <c r="IJ65" s="247" t="s">
        <v>1624</v>
      </c>
      <c r="IK65" s="237">
        <v>43770</v>
      </c>
      <c r="IL65" s="245" t="s">
        <v>6068</v>
      </c>
      <c r="IM65" s="245">
        <v>0</v>
      </c>
      <c r="IN65" s="245" t="s">
        <v>1587</v>
      </c>
      <c r="IO65" s="245" t="s">
        <v>600</v>
      </c>
      <c r="IP65" s="245">
        <v>2</v>
      </c>
      <c r="IQ65" s="245" t="s">
        <v>1623</v>
      </c>
      <c r="IR65" s="245" t="s">
        <v>1624</v>
      </c>
      <c r="IS65" s="246">
        <v>43770</v>
      </c>
    </row>
    <row r="66" spans="1:253" s="11" customFormat="1" ht="13.2" x14ac:dyDescent="0.25">
      <c r="A66" s="11" t="s">
        <v>1386</v>
      </c>
      <c r="B66" s="11" t="s">
        <v>3258</v>
      </c>
      <c r="C66" s="11" t="s">
        <v>1387</v>
      </c>
      <c r="D66" s="11" t="s">
        <v>163</v>
      </c>
      <c r="E66" s="11" t="s">
        <v>162</v>
      </c>
      <c r="F66" s="11" t="s">
        <v>6069</v>
      </c>
      <c r="G66" s="235">
        <v>51393000</v>
      </c>
      <c r="H66" s="236" t="s">
        <v>2658</v>
      </c>
      <c r="I66" s="236" t="s">
        <v>601</v>
      </c>
      <c r="J66" s="236">
        <v>1</v>
      </c>
      <c r="K66" s="236" t="s">
        <v>2675</v>
      </c>
      <c r="L66" s="236" t="s">
        <v>2661</v>
      </c>
      <c r="M66" s="237">
        <v>44014</v>
      </c>
      <c r="N66" s="244" t="s">
        <v>6070</v>
      </c>
      <c r="O66" s="239">
        <v>569140</v>
      </c>
      <c r="P66" s="239" t="s">
        <v>3295</v>
      </c>
      <c r="Q66" s="239" t="s">
        <v>600</v>
      </c>
      <c r="R66" s="239">
        <v>2</v>
      </c>
      <c r="S66" s="239" t="s">
        <v>3641</v>
      </c>
      <c r="T66" s="239" t="s">
        <v>3645</v>
      </c>
      <c r="U66" s="240">
        <v>44111</v>
      </c>
      <c r="V66" s="244" t="s">
        <v>6071</v>
      </c>
      <c r="W66" s="236">
        <v>51393000</v>
      </c>
      <c r="X66" s="236" t="s">
        <v>2658</v>
      </c>
      <c r="Y66" s="236" t="s">
        <v>601</v>
      </c>
      <c r="Z66" s="236">
        <v>1</v>
      </c>
      <c r="AA66" s="236" t="s">
        <v>1380</v>
      </c>
      <c r="AB66" s="236" t="s">
        <v>2661</v>
      </c>
      <c r="AC66" s="237">
        <v>44014</v>
      </c>
      <c r="AD66" s="244" t="s">
        <v>6072</v>
      </c>
      <c r="AE66" s="241">
        <v>11193000</v>
      </c>
      <c r="AF66" s="241" t="s">
        <v>2659</v>
      </c>
      <c r="AG66" s="241" t="s">
        <v>600</v>
      </c>
      <c r="AH66" s="241">
        <v>2</v>
      </c>
      <c r="AI66" s="241" t="s">
        <v>2203</v>
      </c>
      <c r="AJ66" s="241" t="s">
        <v>2661</v>
      </c>
      <c r="AK66" s="242">
        <v>44014</v>
      </c>
      <c r="AL66" s="244" t="s">
        <v>6073</v>
      </c>
      <c r="AM66" s="236">
        <v>611000</v>
      </c>
      <c r="AN66" s="236" t="s">
        <v>2272</v>
      </c>
      <c r="AO66" s="236" t="s">
        <v>600</v>
      </c>
      <c r="AP66" s="236">
        <v>2</v>
      </c>
      <c r="AQ66" s="236" t="s">
        <v>1705</v>
      </c>
      <c r="AR66" s="236" t="s">
        <v>2661</v>
      </c>
      <c r="AS66" s="237">
        <v>44014</v>
      </c>
      <c r="AT66" s="245" t="s">
        <v>6074</v>
      </c>
      <c r="AU66" s="241">
        <v>0</v>
      </c>
      <c r="AV66" s="241" t="s">
        <v>393</v>
      </c>
      <c r="AW66" s="241" t="s">
        <v>600</v>
      </c>
      <c r="AX66" s="241">
        <v>2</v>
      </c>
      <c r="AY66" s="241" t="s">
        <v>1371</v>
      </c>
      <c r="AZ66" s="241" t="s">
        <v>393</v>
      </c>
      <c r="BA66" s="242">
        <v>43641</v>
      </c>
      <c r="BB66" s="244" t="s">
        <v>6075</v>
      </c>
      <c r="BC66" s="236">
        <v>113000</v>
      </c>
      <c r="BD66" s="236" t="s">
        <v>1370</v>
      </c>
      <c r="BE66" s="236" t="s">
        <v>600</v>
      </c>
      <c r="BF66" s="236">
        <v>2</v>
      </c>
      <c r="BG66" s="236" t="s">
        <v>1374</v>
      </c>
      <c r="BH66" s="236" t="s">
        <v>1373</v>
      </c>
      <c r="BI66" s="237">
        <v>43641</v>
      </c>
      <c r="BJ66" s="245" t="s">
        <v>6076</v>
      </c>
      <c r="BK66" s="245">
        <v>120</v>
      </c>
      <c r="BL66" s="245" t="s">
        <v>4099</v>
      </c>
      <c r="BM66" s="245" t="s">
        <v>600</v>
      </c>
      <c r="BN66" s="245">
        <v>2</v>
      </c>
      <c r="BO66" s="245" t="s">
        <v>4096</v>
      </c>
      <c r="BP66" s="241" t="s">
        <v>4094</v>
      </c>
      <c r="BQ66" s="246">
        <v>44140</v>
      </c>
      <c r="BR66" s="244" t="s">
        <v>6077</v>
      </c>
      <c r="BS66" s="247">
        <v>0</v>
      </c>
      <c r="BT66" s="247" t="s">
        <v>393</v>
      </c>
      <c r="BU66" s="247" t="s">
        <v>600</v>
      </c>
      <c r="BV66" s="247">
        <v>2</v>
      </c>
      <c r="BW66" s="247" t="s">
        <v>1381</v>
      </c>
      <c r="BX66" s="247" t="s">
        <v>393</v>
      </c>
      <c r="BY66" s="237">
        <v>43641</v>
      </c>
      <c r="BZ66" s="245" t="s">
        <v>6078</v>
      </c>
      <c r="CA66" s="245">
        <v>0</v>
      </c>
      <c r="CB66" s="245" t="s">
        <v>393</v>
      </c>
      <c r="CC66" s="245" t="s">
        <v>600</v>
      </c>
      <c r="CD66" s="245">
        <v>2</v>
      </c>
      <c r="CE66" s="245" t="s">
        <v>1381</v>
      </c>
      <c r="CF66" s="245" t="s">
        <v>393</v>
      </c>
      <c r="CG66" s="246">
        <v>43641</v>
      </c>
      <c r="CH66" s="244" t="s">
        <v>6079</v>
      </c>
      <c r="CI66" s="245" t="e">
        <v>#N/A</v>
      </c>
      <c r="CJ66" s="245" t="e">
        <v>#N/A</v>
      </c>
      <c r="CK66" s="245" t="e">
        <v>#N/A</v>
      </c>
      <c r="CL66" s="245" t="e">
        <v>#N/A</v>
      </c>
      <c r="CM66" s="245" t="e">
        <v>#N/A</v>
      </c>
      <c r="CN66" s="245" t="e">
        <v>#N/A</v>
      </c>
      <c r="CO66" s="248" t="e">
        <v>#N/A</v>
      </c>
      <c r="CP66" s="245" t="s">
        <v>6080</v>
      </c>
      <c r="CQ66" s="247" t="s">
        <v>393</v>
      </c>
      <c r="CR66" s="247" t="s">
        <v>393</v>
      </c>
      <c r="CS66" s="247" t="s">
        <v>393</v>
      </c>
      <c r="CT66" s="247" t="s">
        <v>393</v>
      </c>
      <c r="CU66" s="247" t="s">
        <v>1372</v>
      </c>
      <c r="CV66" s="247" t="s">
        <v>393</v>
      </c>
      <c r="CW66" s="237">
        <v>43641</v>
      </c>
      <c r="CX66" s="245" t="s">
        <v>6081</v>
      </c>
      <c r="CY66" s="241">
        <v>1480000</v>
      </c>
      <c r="CZ66" s="241" t="s">
        <v>2662</v>
      </c>
      <c r="DA66" s="241" t="s">
        <v>600</v>
      </c>
      <c r="DB66" s="241">
        <v>2</v>
      </c>
      <c r="DC66" s="241" t="s">
        <v>2664</v>
      </c>
      <c r="DD66" s="241" t="s">
        <v>2663</v>
      </c>
      <c r="DE66" s="243">
        <v>44014</v>
      </c>
      <c r="DF66" s="244" t="s">
        <v>6082</v>
      </c>
      <c r="DG66" s="236">
        <v>40200000</v>
      </c>
      <c r="DH66" s="247" t="s">
        <v>2662</v>
      </c>
      <c r="DI66" s="247" t="s">
        <v>600</v>
      </c>
      <c r="DJ66" s="247">
        <v>2</v>
      </c>
      <c r="DK66" s="247" t="s">
        <v>2664</v>
      </c>
      <c r="DL66" s="247" t="s">
        <v>2663</v>
      </c>
      <c r="DM66" s="237">
        <v>44014</v>
      </c>
      <c r="DN66" s="245" t="s">
        <v>6083</v>
      </c>
      <c r="DO66" s="241">
        <v>9714000</v>
      </c>
      <c r="DP66" s="245" t="s">
        <v>2662</v>
      </c>
      <c r="DQ66" s="245" t="s">
        <v>600</v>
      </c>
      <c r="DR66" s="245">
        <v>2</v>
      </c>
      <c r="DS66" s="245" t="s">
        <v>2664</v>
      </c>
      <c r="DT66" s="245" t="s">
        <v>2663</v>
      </c>
      <c r="DU66" s="246">
        <v>44014</v>
      </c>
      <c r="DV66" s="244" t="s">
        <v>6084</v>
      </c>
      <c r="DW66" s="236">
        <v>1367000</v>
      </c>
      <c r="DX66" s="247" t="s">
        <v>2662</v>
      </c>
      <c r="DY66" s="247" t="s">
        <v>600</v>
      </c>
      <c r="DZ66" s="247">
        <v>2</v>
      </c>
      <c r="EA66" s="247" t="s">
        <v>2664</v>
      </c>
      <c r="EB66" s="247" t="s">
        <v>2663</v>
      </c>
      <c r="EC66" s="237">
        <v>44014</v>
      </c>
      <c r="ED66" s="245" t="s">
        <v>6085</v>
      </c>
      <c r="EE66" s="241">
        <v>113000</v>
      </c>
      <c r="EF66" s="245" t="s">
        <v>2662</v>
      </c>
      <c r="EG66" s="245" t="s">
        <v>600</v>
      </c>
      <c r="EH66" s="245">
        <v>2</v>
      </c>
      <c r="EI66" s="245" t="s">
        <v>2664</v>
      </c>
      <c r="EJ66" s="245" t="s">
        <v>2663</v>
      </c>
      <c r="EK66" s="246">
        <v>44014</v>
      </c>
      <c r="EL66" s="244" t="s">
        <v>6086</v>
      </c>
      <c r="EM66" s="236">
        <v>0</v>
      </c>
      <c r="EN66" s="247" t="s">
        <v>2662</v>
      </c>
      <c r="EO66" s="247" t="s">
        <v>600</v>
      </c>
      <c r="EP66" s="247">
        <v>2</v>
      </c>
      <c r="EQ66" s="247" t="s">
        <v>2664</v>
      </c>
      <c r="ER66" s="247" t="s">
        <v>2663</v>
      </c>
      <c r="ES66" s="237">
        <v>44014</v>
      </c>
      <c r="ET66" s="245" t="s">
        <v>6087</v>
      </c>
      <c r="EU66" s="245">
        <v>237</v>
      </c>
      <c r="EV66" s="245" t="s">
        <v>2439</v>
      </c>
      <c r="EW66" s="245" t="s">
        <v>600</v>
      </c>
      <c r="EX66" s="245">
        <v>2</v>
      </c>
      <c r="EY66" s="245" t="s">
        <v>2284</v>
      </c>
      <c r="EZ66" s="245" t="s">
        <v>2476</v>
      </c>
      <c r="FA66" s="246">
        <v>44014</v>
      </c>
      <c r="FB66" s="244" t="s">
        <v>6088</v>
      </c>
      <c r="FC66" s="247">
        <v>3</v>
      </c>
      <c r="FD66" s="247" t="s">
        <v>1382</v>
      </c>
      <c r="FE66" s="247" t="s">
        <v>600</v>
      </c>
      <c r="FF66" s="247">
        <v>2</v>
      </c>
      <c r="FG66" s="247" t="s">
        <v>1384</v>
      </c>
      <c r="FH66" s="247" t="s">
        <v>1383</v>
      </c>
      <c r="FI66" s="237">
        <v>43641</v>
      </c>
      <c r="FJ66" s="244" t="s">
        <v>6089</v>
      </c>
      <c r="FK66" s="245" t="s">
        <v>393</v>
      </c>
      <c r="FL66" s="245" t="s">
        <v>393</v>
      </c>
      <c r="FM66" s="245" t="s">
        <v>393</v>
      </c>
      <c r="FN66" s="245" t="s">
        <v>393</v>
      </c>
      <c r="FO66" s="245" t="s">
        <v>393</v>
      </c>
      <c r="FP66" s="241" t="s">
        <v>393</v>
      </c>
      <c r="FQ66" s="242">
        <v>43641</v>
      </c>
      <c r="FR66" s="244" t="s">
        <v>6090</v>
      </c>
      <c r="FS66" s="247" t="s">
        <v>393</v>
      </c>
      <c r="FT66" s="247" t="s">
        <v>393</v>
      </c>
      <c r="FU66" s="247" t="s">
        <v>393</v>
      </c>
      <c r="FV66" s="247" t="s">
        <v>393</v>
      </c>
      <c r="FW66" s="247" t="s">
        <v>393</v>
      </c>
      <c r="FX66" s="247" t="s">
        <v>393</v>
      </c>
      <c r="FY66" s="237">
        <v>43641</v>
      </c>
      <c r="FZ66" s="245" t="s">
        <v>6091</v>
      </c>
      <c r="GA66" s="245">
        <v>0</v>
      </c>
      <c r="GB66" s="245" t="s">
        <v>1587</v>
      </c>
      <c r="GC66" s="245" t="s">
        <v>601</v>
      </c>
      <c r="GD66" s="245">
        <v>1</v>
      </c>
      <c r="GE66" s="245" t="s">
        <v>1623</v>
      </c>
      <c r="GF66" s="245" t="s">
        <v>1624</v>
      </c>
      <c r="GG66" s="246">
        <v>43767</v>
      </c>
      <c r="GH66" s="244" t="s">
        <v>6092</v>
      </c>
      <c r="GI66" s="247">
        <v>0</v>
      </c>
      <c r="GJ66" s="247" t="s">
        <v>1587</v>
      </c>
      <c r="GK66" s="247" t="s">
        <v>601</v>
      </c>
      <c r="GL66" s="247">
        <v>1</v>
      </c>
      <c r="GM66" s="247" t="s">
        <v>1623</v>
      </c>
      <c r="GN66" s="247" t="s">
        <v>1624</v>
      </c>
      <c r="GO66" s="237">
        <v>43767</v>
      </c>
      <c r="GP66" s="245" t="s">
        <v>6093</v>
      </c>
      <c r="GQ66" s="245">
        <v>0</v>
      </c>
      <c r="GR66" s="245" t="s">
        <v>1587</v>
      </c>
      <c r="GS66" s="245" t="s">
        <v>601</v>
      </c>
      <c r="GT66" s="245">
        <v>1</v>
      </c>
      <c r="GU66" s="245" t="s">
        <v>1623</v>
      </c>
      <c r="GV66" s="245" t="s">
        <v>1624</v>
      </c>
      <c r="GW66" s="246">
        <v>43767</v>
      </c>
      <c r="GX66" s="244" t="s">
        <v>6094</v>
      </c>
      <c r="GY66" s="247">
        <v>0</v>
      </c>
      <c r="GZ66" s="247" t="s">
        <v>1587</v>
      </c>
      <c r="HA66" s="247" t="s">
        <v>601</v>
      </c>
      <c r="HB66" s="247">
        <v>1</v>
      </c>
      <c r="HC66" s="247" t="s">
        <v>1623</v>
      </c>
      <c r="HD66" s="247" t="s">
        <v>1624</v>
      </c>
      <c r="HE66" s="237">
        <v>43767</v>
      </c>
      <c r="HF66" s="245" t="s">
        <v>6095</v>
      </c>
      <c r="HG66" s="245">
        <v>0</v>
      </c>
      <c r="HH66" s="245" t="s">
        <v>1587</v>
      </c>
      <c r="HI66" s="245" t="s">
        <v>601</v>
      </c>
      <c r="HJ66" s="245">
        <v>1</v>
      </c>
      <c r="HK66" s="245" t="s">
        <v>1623</v>
      </c>
      <c r="HL66" s="245" t="s">
        <v>1624</v>
      </c>
      <c r="HM66" s="246">
        <v>43767</v>
      </c>
      <c r="HN66" s="244" t="s">
        <v>6096</v>
      </c>
      <c r="HO66" s="247">
        <v>1</v>
      </c>
      <c r="HP66" s="247" t="s">
        <v>1587</v>
      </c>
      <c r="HQ66" s="247" t="s">
        <v>601</v>
      </c>
      <c r="HR66" s="247">
        <v>1</v>
      </c>
      <c r="HS66" s="247" t="s">
        <v>1623</v>
      </c>
      <c r="HT66" s="247" t="s">
        <v>1624</v>
      </c>
      <c r="HU66" s="237">
        <v>43767</v>
      </c>
      <c r="HV66" s="245" t="s">
        <v>6097</v>
      </c>
      <c r="HW66" s="245">
        <v>0</v>
      </c>
      <c r="HX66" s="245" t="s">
        <v>1587</v>
      </c>
      <c r="HY66" s="245" t="s">
        <v>601</v>
      </c>
      <c r="HZ66" s="245">
        <v>1</v>
      </c>
      <c r="IA66" s="245" t="s">
        <v>1623</v>
      </c>
      <c r="IB66" s="245" t="s">
        <v>1624</v>
      </c>
      <c r="IC66" s="246">
        <v>43767</v>
      </c>
      <c r="ID66" s="244" t="s">
        <v>6098</v>
      </c>
      <c r="IE66" s="247">
        <v>1</v>
      </c>
      <c r="IF66" s="247" t="s">
        <v>1587</v>
      </c>
      <c r="IG66" s="247" t="s">
        <v>601</v>
      </c>
      <c r="IH66" s="247">
        <v>1</v>
      </c>
      <c r="II66" s="247" t="s">
        <v>1623</v>
      </c>
      <c r="IJ66" s="247" t="s">
        <v>1624</v>
      </c>
      <c r="IK66" s="237">
        <v>43767</v>
      </c>
      <c r="IL66" s="245" t="s">
        <v>6099</v>
      </c>
      <c r="IM66" s="245">
        <v>1</v>
      </c>
      <c r="IN66" s="245" t="s">
        <v>1587</v>
      </c>
      <c r="IO66" s="245" t="s">
        <v>601</v>
      </c>
      <c r="IP66" s="245">
        <v>1</v>
      </c>
      <c r="IQ66" s="245" t="s">
        <v>1623</v>
      </c>
      <c r="IR66" s="245" t="s">
        <v>1624</v>
      </c>
      <c r="IS66" s="246">
        <v>43767</v>
      </c>
    </row>
    <row r="67" spans="1:253" s="11" customFormat="1" ht="13.2" x14ac:dyDescent="0.25">
      <c r="A67" s="11" t="s">
        <v>1090</v>
      </c>
      <c r="B67" s="11" t="s">
        <v>1280</v>
      </c>
      <c r="C67" s="11" t="s">
        <v>690</v>
      </c>
      <c r="D67" s="11" t="s">
        <v>163</v>
      </c>
      <c r="E67" s="11" t="s">
        <v>162</v>
      </c>
      <c r="F67" s="11" t="s">
        <v>6100</v>
      </c>
      <c r="G67" s="235">
        <v>51393000</v>
      </c>
      <c r="H67" s="236" t="s">
        <v>2658</v>
      </c>
      <c r="I67" s="236" t="s">
        <v>601</v>
      </c>
      <c r="J67" s="236">
        <v>1</v>
      </c>
      <c r="K67" s="236" t="s">
        <v>2675</v>
      </c>
      <c r="L67" s="236" t="s">
        <v>2661</v>
      </c>
      <c r="M67" s="237">
        <v>44014</v>
      </c>
      <c r="N67" s="244" t="s">
        <v>6101</v>
      </c>
      <c r="O67" s="239">
        <v>123000</v>
      </c>
      <c r="P67" s="239" t="s">
        <v>982</v>
      </c>
      <c r="Q67" s="239" t="s">
        <v>600</v>
      </c>
      <c r="R67" s="239">
        <v>2</v>
      </c>
      <c r="S67" s="239" t="s">
        <v>986</v>
      </c>
      <c r="T67" s="239" t="s">
        <v>984</v>
      </c>
      <c r="U67" s="240">
        <v>43511</v>
      </c>
      <c r="V67" s="244" t="s">
        <v>6102</v>
      </c>
      <c r="W67" s="236">
        <v>5216000</v>
      </c>
      <c r="X67" s="236" t="s">
        <v>2669</v>
      </c>
      <c r="Y67" s="236" t="s">
        <v>600</v>
      </c>
      <c r="Z67" s="236">
        <v>2</v>
      </c>
      <c r="AA67" s="236" t="s">
        <v>986</v>
      </c>
      <c r="AB67" s="236" t="s">
        <v>2672</v>
      </c>
      <c r="AC67" s="237">
        <v>44014</v>
      </c>
      <c r="AD67" s="244" t="s">
        <v>6103</v>
      </c>
      <c r="AE67" s="241">
        <v>495000</v>
      </c>
      <c r="AF67" s="241" t="s">
        <v>2670</v>
      </c>
      <c r="AG67" s="241" t="s">
        <v>600</v>
      </c>
      <c r="AH67" s="241">
        <v>2</v>
      </c>
      <c r="AI67" s="241" t="s">
        <v>1704</v>
      </c>
      <c r="AJ67" s="241" t="s">
        <v>2673</v>
      </c>
      <c r="AK67" s="242">
        <v>44014</v>
      </c>
      <c r="AL67" s="244" t="s">
        <v>6104</v>
      </c>
      <c r="AM67" s="236">
        <v>495000</v>
      </c>
      <c r="AN67" s="236" t="s">
        <v>2670</v>
      </c>
      <c r="AO67" s="236" t="s">
        <v>600</v>
      </c>
      <c r="AP67" s="236">
        <v>2</v>
      </c>
      <c r="AQ67" s="236" t="s">
        <v>1704</v>
      </c>
      <c r="AR67" s="236" t="s">
        <v>2673</v>
      </c>
      <c r="AS67" s="237">
        <v>44014</v>
      </c>
      <c r="AT67" s="245" t="s">
        <v>6105</v>
      </c>
      <c r="AU67" s="241">
        <v>0</v>
      </c>
      <c r="AV67" s="241" t="s">
        <v>393</v>
      </c>
      <c r="AW67" s="241" t="s">
        <v>600</v>
      </c>
      <c r="AX67" s="241">
        <v>2</v>
      </c>
      <c r="AY67" s="241" t="s">
        <v>1371</v>
      </c>
      <c r="AZ67" s="241" t="s">
        <v>393</v>
      </c>
      <c r="BA67" s="242">
        <v>43641</v>
      </c>
      <c r="BB67" s="244" t="s">
        <v>6106</v>
      </c>
      <c r="BC67" s="236" t="s">
        <v>393</v>
      </c>
      <c r="BD67" s="236">
        <v>0</v>
      </c>
      <c r="BE67" s="236" t="s">
        <v>393</v>
      </c>
      <c r="BF67" s="236" t="s">
        <v>393</v>
      </c>
      <c r="BG67" s="236" t="s">
        <v>811</v>
      </c>
      <c r="BH67" s="236">
        <v>0</v>
      </c>
      <c r="BI67" s="237">
        <v>43511</v>
      </c>
      <c r="BJ67" s="245" t="s">
        <v>6107</v>
      </c>
      <c r="BK67" s="245" t="s">
        <v>393</v>
      </c>
      <c r="BL67" s="245">
        <v>0</v>
      </c>
      <c r="BM67" s="245" t="s">
        <v>393</v>
      </c>
      <c r="BN67" s="245" t="s">
        <v>393</v>
      </c>
      <c r="BO67" s="245" t="s">
        <v>811</v>
      </c>
      <c r="BP67" s="241">
        <v>0</v>
      </c>
      <c r="BQ67" s="246">
        <v>43511</v>
      </c>
      <c r="BR67" s="244" t="s">
        <v>6108</v>
      </c>
      <c r="BS67" s="247">
        <v>0</v>
      </c>
      <c r="BT67" s="247" t="s">
        <v>393</v>
      </c>
      <c r="BU67" s="247" t="s">
        <v>600</v>
      </c>
      <c r="BV67" s="247">
        <v>2</v>
      </c>
      <c r="BW67" s="247" t="s">
        <v>1375</v>
      </c>
      <c r="BX67" s="247" t="s">
        <v>393</v>
      </c>
      <c r="BY67" s="237">
        <v>43641</v>
      </c>
      <c r="BZ67" s="245" t="s">
        <v>6109</v>
      </c>
      <c r="CA67" s="245">
        <v>0</v>
      </c>
      <c r="CB67" s="245" t="s">
        <v>393</v>
      </c>
      <c r="CC67" s="245" t="s">
        <v>600</v>
      </c>
      <c r="CD67" s="245">
        <v>2</v>
      </c>
      <c r="CE67" s="245" t="s">
        <v>1375</v>
      </c>
      <c r="CF67" s="245" t="s">
        <v>393</v>
      </c>
      <c r="CG67" s="246">
        <v>43641</v>
      </c>
      <c r="CH67" s="244" t="s">
        <v>6110</v>
      </c>
      <c r="CI67" s="245" t="e">
        <v>#N/A</v>
      </c>
      <c r="CJ67" s="245" t="e">
        <v>#N/A</v>
      </c>
      <c r="CK67" s="245" t="e">
        <v>#N/A</v>
      </c>
      <c r="CL67" s="245" t="e">
        <v>#N/A</v>
      </c>
      <c r="CM67" s="245" t="e">
        <v>#N/A</v>
      </c>
      <c r="CN67" s="245" t="e">
        <v>#N/A</v>
      </c>
      <c r="CO67" s="248" t="e">
        <v>#N/A</v>
      </c>
      <c r="CP67" s="245" t="s">
        <v>6111</v>
      </c>
      <c r="CQ67" s="247" t="s">
        <v>393</v>
      </c>
      <c r="CR67" s="247">
        <v>0</v>
      </c>
      <c r="CS67" s="247" t="s">
        <v>393</v>
      </c>
      <c r="CT67" s="247" t="s">
        <v>393</v>
      </c>
      <c r="CU67" s="247" t="s">
        <v>811</v>
      </c>
      <c r="CV67" s="247">
        <v>0</v>
      </c>
      <c r="CW67" s="237">
        <v>43511</v>
      </c>
      <c r="CX67" s="245" t="s">
        <v>6112</v>
      </c>
      <c r="CY67" s="241">
        <v>495000</v>
      </c>
      <c r="CZ67" s="241" t="s">
        <v>2671</v>
      </c>
      <c r="DA67" s="241" t="s">
        <v>600</v>
      </c>
      <c r="DB67" s="241">
        <v>2</v>
      </c>
      <c r="DC67" s="241" t="s">
        <v>1610</v>
      </c>
      <c r="DD67" s="241" t="s">
        <v>2674</v>
      </c>
      <c r="DE67" s="243">
        <v>44014</v>
      </c>
      <c r="DF67" s="244" t="s">
        <v>6113</v>
      </c>
      <c r="DG67" s="236">
        <v>4721000</v>
      </c>
      <c r="DH67" s="247" t="s">
        <v>2187</v>
      </c>
      <c r="DI67" s="247" t="s">
        <v>600</v>
      </c>
      <c r="DJ67" s="247">
        <v>2</v>
      </c>
      <c r="DK67" s="247" t="s">
        <v>1610</v>
      </c>
      <c r="DL67" s="247" t="s">
        <v>2202</v>
      </c>
      <c r="DM67" s="237">
        <v>43920</v>
      </c>
      <c r="DN67" s="245" t="s">
        <v>6114</v>
      </c>
      <c r="DO67" s="241">
        <v>0</v>
      </c>
      <c r="DP67" s="245" t="s">
        <v>2187</v>
      </c>
      <c r="DQ67" s="245" t="s">
        <v>600</v>
      </c>
      <c r="DR67" s="245">
        <v>2</v>
      </c>
      <c r="DS67" s="245" t="s">
        <v>1610</v>
      </c>
      <c r="DT67" s="245" t="s">
        <v>2202</v>
      </c>
      <c r="DU67" s="246">
        <v>43920</v>
      </c>
      <c r="DV67" s="244" t="s">
        <v>6115</v>
      </c>
      <c r="DW67" s="236">
        <v>495000</v>
      </c>
      <c r="DX67" s="247" t="s">
        <v>2671</v>
      </c>
      <c r="DY67" s="247" t="s">
        <v>600</v>
      </c>
      <c r="DZ67" s="247">
        <v>2</v>
      </c>
      <c r="EA67" s="247" t="s">
        <v>1610</v>
      </c>
      <c r="EB67" s="247" t="s">
        <v>2674</v>
      </c>
      <c r="EC67" s="237">
        <v>44014</v>
      </c>
      <c r="ED67" s="245" t="s">
        <v>6116</v>
      </c>
      <c r="EE67" s="241">
        <v>0</v>
      </c>
      <c r="EF67" s="245" t="s">
        <v>2187</v>
      </c>
      <c r="EG67" s="245" t="s">
        <v>600</v>
      </c>
      <c r="EH67" s="245">
        <v>2</v>
      </c>
      <c r="EI67" s="245" t="s">
        <v>1610</v>
      </c>
      <c r="EJ67" s="245" t="s">
        <v>2202</v>
      </c>
      <c r="EK67" s="246">
        <v>43920</v>
      </c>
      <c r="EL67" s="244" t="s">
        <v>6117</v>
      </c>
      <c r="EM67" s="236">
        <v>0</v>
      </c>
      <c r="EN67" s="247" t="s">
        <v>2187</v>
      </c>
      <c r="EO67" s="247" t="s">
        <v>600</v>
      </c>
      <c r="EP67" s="247">
        <v>2</v>
      </c>
      <c r="EQ67" s="247" t="s">
        <v>1610</v>
      </c>
      <c r="ER67" s="247" t="s">
        <v>2202</v>
      </c>
      <c r="ES67" s="237">
        <v>43920</v>
      </c>
      <c r="ET67" s="245" t="s">
        <v>6118</v>
      </c>
      <c r="EU67" s="245">
        <v>237</v>
      </c>
      <c r="EV67" s="245" t="s">
        <v>2439</v>
      </c>
      <c r="EW67" s="245" t="s">
        <v>600</v>
      </c>
      <c r="EX67" s="245">
        <v>2</v>
      </c>
      <c r="EY67" s="245" t="s">
        <v>2284</v>
      </c>
      <c r="EZ67" s="245" t="s">
        <v>2476</v>
      </c>
      <c r="FA67" s="246">
        <v>44014</v>
      </c>
      <c r="FB67" s="244" t="s">
        <v>6119</v>
      </c>
      <c r="FC67" s="247">
        <v>2</v>
      </c>
      <c r="FD67" s="247" t="s">
        <v>983</v>
      </c>
      <c r="FE67" s="247" t="s">
        <v>600</v>
      </c>
      <c r="FF67" s="247">
        <v>2</v>
      </c>
      <c r="FG67" s="247" t="s">
        <v>987</v>
      </c>
      <c r="FH67" s="247" t="s">
        <v>985</v>
      </c>
      <c r="FI67" s="237">
        <v>43511</v>
      </c>
      <c r="FJ67" s="244" t="s">
        <v>6120</v>
      </c>
      <c r="FK67" s="245" t="s">
        <v>393</v>
      </c>
      <c r="FL67" s="245">
        <v>0</v>
      </c>
      <c r="FM67" s="245" t="s">
        <v>393</v>
      </c>
      <c r="FN67" s="245" t="s">
        <v>393</v>
      </c>
      <c r="FO67" s="245" t="s">
        <v>811</v>
      </c>
      <c r="FP67" s="241">
        <v>0</v>
      </c>
      <c r="FQ67" s="242">
        <v>43511</v>
      </c>
      <c r="FR67" s="244" t="s">
        <v>6121</v>
      </c>
      <c r="FS67" s="247" t="s">
        <v>393</v>
      </c>
      <c r="FT67" s="247">
        <v>0</v>
      </c>
      <c r="FU67" s="247" t="s">
        <v>393</v>
      </c>
      <c r="FV67" s="247" t="s">
        <v>393</v>
      </c>
      <c r="FW67" s="247" t="s">
        <v>811</v>
      </c>
      <c r="FX67" s="247">
        <v>0</v>
      </c>
      <c r="FY67" s="237">
        <v>43511</v>
      </c>
      <c r="FZ67" s="245" t="s">
        <v>6122</v>
      </c>
      <c r="GA67" s="245">
        <v>0</v>
      </c>
      <c r="GB67" s="245" t="s">
        <v>1587</v>
      </c>
      <c r="GC67" s="245" t="s">
        <v>601</v>
      </c>
      <c r="GD67" s="245">
        <v>1</v>
      </c>
      <c r="GE67" s="245" t="s">
        <v>1623</v>
      </c>
      <c r="GF67" s="245" t="s">
        <v>1624</v>
      </c>
      <c r="GG67" s="246">
        <v>43767</v>
      </c>
      <c r="GH67" s="244" t="s">
        <v>6123</v>
      </c>
      <c r="GI67" s="247">
        <v>0</v>
      </c>
      <c r="GJ67" s="247" t="s">
        <v>1587</v>
      </c>
      <c r="GK67" s="247" t="s">
        <v>601</v>
      </c>
      <c r="GL67" s="247">
        <v>1</v>
      </c>
      <c r="GM67" s="247" t="s">
        <v>1623</v>
      </c>
      <c r="GN67" s="247" t="s">
        <v>1624</v>
      </c>
      <c r="GO67" s="237">
        <v>43767</v>
      </c>
      <c r="GP67" s="245" t="s">
        <v>6124</v>
      </c>
      <c r="GQ67" s="245">
        <v>0</v>
      </c>
      <c r="GR67" s="245" t="s">
        <v>1587</v>
      </c>
      <c r="GS67" s="245" t="s">
        <v>601</v>
      </c>
      <c r="GT67" s="245">
        <v>1</v>
      </c>
      <c r="GU67" s="245" t="s">
        <v>1623</v>
      </c>
      <c r="GV67" s="245" t="s">
        <v>1624</v>
      </c>
      <c r="GW67" s="246">
        <v>43767</v>
      </c>
      <c r="GX67" s="244" t="s">
        <v>6125</v>
      </c>
      <c r="GY67" s="247">
        <v>0</v>
      </c>
      <c r="GZ67" s="247" t="s">
        <v>1587</v>
      </c>
      <c r="HA67" s="247" t="s">
        <v>601</v>
      </c>
      <c r="HB67" s="247">
        <v>1</v>
      </c>
      <c r="HC67" s="247" t="s">
        <v>1623</v>
      </c>
      <c r="HD67" s="247" t="s">
        <v>1624</v>
      </c>
      <c r="HE67" s="237">
        <v>43767</v>
      </c>
      <c r="HF67" s="245" t="s">
        <v>6126</v>
      </c>
      <c r="HG67" s="245">
        <v>0</v>
      </c>
      <c r="HH67" s="245" t="s">
        <v>1587</v>
      </c>
      <c r="HI67" s="245" t="s">
        <v>601</v>
      </c>
      <c r="HJ67" s="245">
        <v>1</v>
      </c>
      <c r="HK67" s="245" t="s">
        <v>1623</v>
      </c>
      <c r="HL67" s="245" t="s">
        <v>1624</v>
      </c>
      <c r="HM67" s="246">
        <v>43767</v>
      </c>
      <c r="HN67" s="244" t="s">
        <v>6127</v>
      </c>
      <c r="HO67" s="247">
        <v>0</v>
      </c>
      <c r="HP67" s="247" t="s">
        <v>1587</v>
      </c>
      <c r="HQ67" s="247" t="s">
        <v>601</v>
      </c>
      <c r="HR67" s="247">
        <v>1</v>
      </c>
      <c r="HS67" s="247" t="s">
        <v>1623</v>
      </c>
      <c r="HT67" s="247" t="s">
        <v>1624</v>
      </c>
      <c r="HU67" s="237">
        <v>43767</v>
      </c>
      <c r="HV67" s="245" t="s">
        <v>6128</v>
      </c>
      <c r="HW67" s="245">
        <v>0</v>
      </c>
      <c r="HX67" s="245" t="s">
        <v>1587</v>
      </c>
      <c r="HY67" s="245" t="s">
        <v>601</v>
      </c>
      <c r="HZ67" s="245">
        <v>1</v>
      </c>
      <c r="IA67" s="245" t="s">
        <v>1623</v>
      </c>
      <c r="IB67" s="245" t="s">
        <v>1624</v>
      </c>
      <c r="IC67" s="246">
        <v>43767</v>
      </c>
      <c r="ID67" s="244" t="s">
        <v>6129</v>
      </c>
      <c r="IE67" s="247">
        <v>1</v>
      </c>
      <c r="IF67" s="247" t="s">
        <v>1587</v>
      </c>
      <c r="IG67" s="247" t="s">
        <v>601</v>
      </c>
      <c r="IH67" s="247">
        <v>1</v>
      </c>
      <c r="II67" s="247" t="s">
        <v>1623</v>
      </c>
      <c r="IJ67" s="247" t="s">
        <v>1624</v>
      </c>
      <c r="IK67" s="237">
        <v>43767</v>
      </c>
      <c r="IL67" s="245" t="s">
        <v>6130</v>
      </c>
      <c r="IM67" s="245">
        <v>0</v>
      </c>
      <c r="IN67" s="245" t="s">
        <v>1587</v>
      </c>
      <c r="IO67" s="245" t="s">
        <v>601</v>
      </c>
      <c r="IP67" s="245">
        <v>1</v>
      </c>
      <c r="IQ67" s="245" t="s">
        <v>1623</v>
      </c>
      <c r="IR67" s="245" t="s">
        <v>1624</v>
      </c>
      <c r="IS67" s="246">
        <v>43767</v>
      </c>
    </row>
    <row r="68" spans="1:253" s="11" customFormat="1" ht="13.2" x14ac:dyDescent="0.25">
      <c r="A68" s="11" t="s">
        <v>1418</v>
      </c>
      <c r="B68" s="11" t="s">
        <v>651</v>
      </c>
      <c r="C68" s="11" t="s">
        <v>1388</v>
      </c>
      <c r="D68" s="11" t="s">
        <v>163</v>
      </c>
      <c r="E68" s="11" t="s">
        <v>162</v>
      </c>
      <c r="F68" s="11" t="s">
        <v>6131</v>
      </c>
      <c r="G68" s="235">
        <v>51393000</v>
      </c>
      <c r="H68" s="236" t="s">
        <v>2658</v>
      </c>
      <c r="I68" s="236" t="s">
        <v>601</v>
      </c>
      <c r="J68" s="236">
        <v>1</v>
      </c>
      <c r="K68" s="236" t="s">
        <v>2675</v>
      </c>
      <c r="L68" s="236" t="s">
        <v>2661</v>
      </c>
      <c r="M68" s="237">
        <v>44014</v>
      </c>
      <c r="N68" s="244" t="s">
        <v>6132</v>
      </c>
      <c r="O68" s="239">
        <v>569140</v>
      </c>
      <c r="P68" s="239" t="s">
        <v>3295</v>
      </c>
      <c r="Q68" s="239" t="s">
        <v>600</v>
      </c>
      <c r="R68" s="239">
        <v>2</v>
      </c>
      <c r="S68" s="239" t="s">
        <v>3641</v>
      </c>
      <c r="T68" s="239" t="s">
        <v>3645</v>
      </c>
      <c r="U68" s="240">
        <v>44111</v>
      </c>
      <c r="V68" s="244" t="s">
        <v>6133</v>
      </c>
      <c r="W68" s="236">
        <v>51393000</v>
      </c>
      <c r="X68" s="236" t="s">
        <v>2658</v>
      </c>
      <c r="Y68" s="236" t="s">
        <v>600</v>
      </c>
      <c r="Z68" s="236">
        <v>2</v>
      </c>
      <c r="AA68" s="236" t="s">
        <v>1703</v>
      </c>
      <c r="AB68" s="236" t="s">
        <v>2661</v>
      </c>
      <c r="AC68" s="237">
        <v>44014</v>
      </c>
      <c r="AD68" s="244" t="s">
        <v>6134</v>
      </c>
      <c r="AE68" s="241">
        <v>10698000</v>
      </c>
      <c r="AF68" s="241" t="s">
        <v>2660</v>
      </c>
      <c r="AG68" s="241" t="s">
        <v>600</v>
      </c>
      <c r="AH68" s="241">
        <v>2</v>
      </c>
      <c r="AI68" s="241" t="s">
        <v>2666</v>
      </c>
      <c r="AJ68" s="241" t="s">
        <v>2665</v>
      </c>
      <c r="AK68" s="242">
        <v>44014</v>
      </c>
      <c r="AL68" s="244" t="s">
        <v>6135</v>
      </c>
      <c r="AM68" s="236" t="s">
        <v>393</v>
      </c>
      <c r="AN68" s="236" t="s">
        <v>393</v>
      </c>
      <c r="AO68" s="236" t="s">
        <v>393</v>
      </c>
      <c r="AP68" s="236" t="s">
        <v>393</v>
      </c>
      <c r="AQ68" s="236" t="s">
        <v>1369</v>
      </c>
      <c r="AR68" s="236" t="s">
        <v>393</v>
      </c>
      <c r="AS68" s="237">
        <v>43641</v>
      </c>
      <c r="AT68" s="245" t="s">
        <v>6136</v>
      </c>
      <c r="AU68" s="241">
        <v>0</v>
      </c>
      <c r="AV68" s="241" t="s">
        <v>393</v>
      </c>
      <c r="AW68" s="241" t="s">
        <v>600</v>
      </c>
      <c r="AX68" s="241">
        <v>2</v>
      </c>
      <c r="AY68" s="241" t="s">
        <v>1371</v>
      </c>
      <c r="AZ68" s="241" t="s">
        <v>393</v>
      </c>
      <c r="BA68" s="242">
        <v>43641</v>
      </c>
      <c r="BB68" s="244" t="s">
        <v>6137</v>
      </c>
      <c r="BC68" s="236">
        <v>113000</v>
      </c>
      <c r="BD68" s="236" t="s">
        <v>1370</v>
      </c>
      <c r="BE68" s="236" t="s">
        <v>600</v>
      </c>
      <c r="BF68" s="236">
        <v>2</v>
      </c>
      <c r="BG68" s="236" t="s">
        <v>1374</v>
      </c>
      <c r="BH68" s="236" t="s">
        <v>1373</v>
      </c>
      <c r="BI68" s="237">
        <v>43641</v>
      </c>
      <c r="BJ68" s="245" t="s">
        <v>6138</v>
      </c>
      <c r="BK68" s="245" t="s">
        <v>393</v>
      </c>
      <c r="BL68" s="245" t="s">
        <v>393</v>
      </c>
      <c r="BM68" s="245" t="s">
        <v>393</v>
      </c>
      <c r="BN68" s="245" t="s">
        <v>393</v>
      </c>
      <c r="BO68" s="245" t="s">
        <v>1372</v>
      </c>
      <c r="BP68" s="241" t="s">
        <v>393</v>
      </c>
      <c r="BQ68" s="246">
        <v>43641</v>
      </c>
      <c r="BR68" s="244" t="s">
        <v>6139</v>
      </c>
      <c r="BS68" s="247">
        <v>0</v>
      </c>
      <c r="BT68" s="247" t="s">
        <v>393</v>
      </c>
      <c r="BU68" s="247" t="s">
        <v>600</v>
      </c>
      <c r="BV68" s="247">
        <v>2</v>
      </c>
      <c r="BW68" s="247" t="s">
        <v>1375</v>
      </c>
      <c r="BX68" s="247" t="s">
        <v>393</v>
      </c>
      <c r="BY68" s="237">
        <v>43641</v>
      </c>
      <c r="BZ68" s="245" t="s">
        <v>6140</v>
      </c>
      <c r="CA68" s="245">
        <v>0</v>
      </c>
      <c r="CB68" s="245" t="s">
        <v>393</v>
      </c>
      <c r="CC68" s="245" t="s">
        <v>600</v>
      </c>
      <c r="CD68" s="245">
        <v>2</v>
      </c>
      <c r="CE68" s="245" t="s">
        <v>1375</v>
      </c>
      <c r="CF68" s="245" t="s">
        <v>393</v>
      </c>
      <c r="CG68" s="246">
        <v>43641</v>
      </c>
      <c r="CH68" s="244" t="s">
        <v>6141</v>
      </c>
      <c r="CI68" s="245" t="e">
        <v>#N/A</v>
      </c>
      <c r="CJ68" s="245" t="e">
        <v>#N/A</v>
      </c>
      <c r="CK68" s="245" t="e">
        <v>#N/A</v>
      </c>
      <c r="CL68" s="245" t="e">
        <v>#N/A</v>
      </c>
      <c r="CM68" s="245" t="e">
        <v>#N/A</v>
      </c>
      <c r="CN68" s="245" t="e">
        <v>#N/A</v>
      </c>
      <c r="CO68" s="248" t="e">
        <v>#N/A</v>
      </c>
      <c r="CP68" s="245" t="s">
        <v>6142</v>
      </c>
      <c r="CQ68" s="247" t="s">
        <v>393</v>
      </c>
      <c r="CR68" s="247" t="s">
        <v>393</v>
      </c>
      <c r="CS68" s="247" t="s">
        <v>393</v>
      </c>
      <c r="CT68" s="247" t="s">
        <v>393</v>
      </c>
      <c r="CU68" s="247" t="s">
        <v>1372</v>
      </c>
      <c r="CV68" s="247" t="s">
        <v>393</v>
      </c>
      <c r="CW68" s="237">
        <v>43641</v>
      </c>
      <c r="CX68" s="245" t="s">
        <v>6143</v>
      </c>
      <c r="CY68" s="241">
        <v>985000</v>
      </c>
      <c r="CZ68" s="241" t="s">
        <v>2667</v>
      </c>
      <c r="DA68" s="241" t="s">
        <v>600</v>
      </c>
      <c r="DB68" s="241">
        <v>2</v>
      </c>
      <c r="DC68" s="241" t="s">
        <v>1609</v>
      </c>
      <c r="DD68" s="241" t="s">
        <v>2668</v>
      </c>
      <c r="DE68" s="243">
        <v>44014</v>
      </c>
      <c r="DF68" s="244" t="s">
        <v>6144</v>
      </c>
      <c r="DG68" s="236">
        <v>40695000</v>
      </c>
      <c r="DH68" s="247" t="s">
        <v>2667</v>
      </c>
      <c r="DI68" s="247" t="s">
        <v>600</v>
      </c>
      <c r="DJ68" s="247">
        <v>2</v>
      </c>
      <c r="DK68" s="247" t="s">
        <v>1609</v>
      </c>
      <c r="DL68" s="247" t="s">
        <v>2668</v>
      </c>
      <c r="DM68" s="237">
        <v>44014</v>
      </c>
      <c r="DN68" s="245" t="s">
        <v>6145</v>
      </c>
      <c r="DO68" s="241">
        <v>9714000</v>
      </c>
      <c r="DP68" s="245" t="s">
        <v>2667</v>
      </c>
      <c r="DQ68" s="245" t="s">
        <v>600</v>
      </c>
      <c r="DR68" s="245">
        <v>2</v>
      </c>
      <c r="DS68" s="245" t="s">
        <v>1609</v>
      </c>
      <c r="DT68" s="245" t="s">
        <v>2668</v>
      </c>
      <c r="DU68" s="246">
        <v>44014</v>
      </c>
      <c r="DV68" s="244" t="s">
        <v>6146</v>
      </c>
      <c r="DW68" s="236">
        <v>872000</v>
      </c>
      <c r="DX68" s="247" t="s">
        <v>2667</v>
      </c>
      <c r="DY68" s="247" t="s">
        <v>600</v>
      </c>
      <c r="DZ68" s="247">
        <v>2</v>
      </c>
      <c r="EA68" s="247" t="s">
        <v>1609</v>
      </c>
      <c r="EB68" s="247" t="s">
        <v>2668</v>
      </c>
      <c r="EC68" s="237">
        <v>44014</v>
      </c>
      <c r="ED68" s="245" t="s">
        <v>6147</v>
      </c>
      <c r="EE68" s="241">
        <v>113000</v>
      </c>
      <c r="EF68" s="245" t="s">
        <v>2667</v>
      </c>
      <c r="EG68" s="245" t="s">
        <v>600</v>
      </c>
      <c r="EH68" s="245">
        <v>2</v>
      </c>
      <c r="EI68" s="245" t="s">
        <v>1609</v>
      </c>
      <c r="EJ68" s="245" t="s">
        <v>2668</v>
      </c>
      <c r="EK68" s="246">
        <v>44014</v>
      </c>
      <c r="EL68" s="244" t="s">
        <v>6148</v>
      </c>
      <c r="EM68" s="236">
        <v>0</v>
      </c>
      <c r="EN68" s="247" t="s">
        <v>393</v>
      </c>
      <c r="EO68" s="247" t="s">
        <v>600</v>
      </c>
      <c r="EP68" s="247">
        <v>2</v>
      </c>
      <c r="EQ68" s="247" t="s">
        <v>1377</v>
      </c>
      <c r="ER68" s="247" t="s">
        <v>393</v>
      </c>
      <c r="ES68" s="237">
        <v>43641</v>
      </c>
      <c r="ET68" s="245" t="s">
        <v>6149</v>
      </c>
      <c r="EU68" s="245">
        <v>237</v>
      </c>
      <c r="EV68" s="245" t="s">
        <v>2439</v>
      </c>
      <c r="EW68" s="245" t="s">
        <v>600</v>
      </c>
      <c r="EX68" s="245">
        <v>2</v>
      </c>
      <c r="EY68" s="245" t="s">
        <v>2284</v>
      </c>
      <c r="EZ68" s="245" t="s">
        <v>2476</v>
      </c>
      <c r="FA68" s="246">
        <v>44014</v>
      </c>
      <c r="FB68" s="244" t="s">
        <v>6150</v>
      </c>
      <c r="FC68" s="247">
        <v>3</v>
      </c>
      <c r="FD68" s="247" t="s">
        <v>1378</v>
      </c>
      <c r="FE68" s="247" t="s">
        <v>600</v>
      </c>
      <c r="FF68" s="247">
        <v>2</v>
      </c>
      <c r="FG68" s="247" t="s">
        <v>1379</v>
      </c>
      <c r="FH68" s="247" t="s">
        <v>1376</v>
      </c>
      <c r="FI68" s="237">
        <v>43641</v>
      </c>
      <c r="FJ68" s="244" t="s">
        <v>6151</v>
      </c>
      <c r="FK68" s="245" t="s">
        <v>393</v>
      </c>
      <c r="FL68" s="245" t="s">
        <v>393</v>
      </c>
      <c r="FM68" s="245" t="s">
        <v>393</v>
      </c>
      <c r="FN68" s="245" t="s">
        <v>393</v>
      </c>
      <c r="FO68" s="245" t="s">
        <v>393</v>
      </c>
      <c r="FP68" s="241" t="s">
        <v>393</v>
      </c>
      <c r="FQ68" s="242">
        <v>43641</v>
      </c>
      <c r="FR68" s="244" t="s">
        <v>6152</v>
      </c>
      <c r="FS68" s="247" t="s">
        <v>393</v>
      </c>
      <c r="FT68" s="247" t="s">
        <v>393</v>
      </c>
      <c r="FU68" s="247" t="s">
        <v>393</v>
      </c>
      <c r="FV68" s="247" t="s">
        <v>393</v>
      </c>
      <c r="FW68" s="247" t="s">
        <v>393</v>
      </c>
      <c r="FX68" s="247" t="s">
        <v>393</v>
      </c>
      <c r="FY68" s="237">
        <v>43641</v>
      </c>
      <c r="FZ68" s="245" t="s">
        <v>6153</v>
      </c>
      <c r="GA68" s="245">
        <v>0</v>
      </c>
      <c r="GB68" s="245" t="s">
        <v>1587</v>
      </c>
      <c r="GC68" s="245" t="s">
        <v>601</v>
      </c>
      <c r="GD68" s="245">
        <v>1</v>
      </c>
      <c r="GE68" s="245" t="s">
        <v>1623</v>
      </c>
      <c r="GF68" s="245" t="s">
        <v>1624</v>
      </c>
      <c r="GG68" s="246">
        <v>43767</v>
      </c>
      <c r="GH68" s="244" t="s">
        <v>6154</v>
      </c>
      <c r="GI68" s="247">
        <v>0</v>
      </c>
      <c r="GJ68" s="247" t="s">
        <v>1587</v>
      </c>
      <c r="GK68" s="247" t="s">
        <v>601</v>
      </c>
      <c r="GL68" s="247">
        <v>1</v>
      </c>
      <c r="GM68" s="247" t="s">
        <v>1623</v>
      </c>
      <c r="GN68" s="247" t="s">
        <v>1624</v>
      </c>
      <c r="GO68" s="237">
        <v>43767</v>
      </c>
      <c r="GP68" s="245" t="s">
        <v>6155</v>
      </c>
      <c r="GQ68" s="245">
        <v>0</v>
      </c>
      <c r="GR68" s="245" t="s">
        <v>1587</v>
      </c>
      <c r="GS68" s="245" t="s">
        <v>601</v>
      </c>
      <c r="GT68" s="245">
        <v>1</v>
      </c>
      <c r="GU68" s="245" t="s">
        <v>1623</v>
      </c>
      <c r="GV68" s="245" t="s">
        <v>1624</v>
      </c>
      <c r="GW68" s="246">
        <v>43767</v>
      </c>
      <c r="GX68" s="244" t="s">
        <v>6156</v>
      </c>
      <c r="GY68" s="247">
        <v>0</v>
      </c>
      <c r="GZ68" s="247" t="s">
        <v>1587</v>
      </c>
      <c r="HA68" s="247" t="s">
        <v>601</v>
      </c>
      <c r="HB68" s="247">
        <v>1</v>
      </c>
      <c r="HC68" s="247" t="s">
        <v>1623</v>
      </c>
      <c r="HD68" s="247" t="s">
        <v>1624</v>
      </c>
      <c r="HE68" s="237">
        <v>43767</v>
      </c>
      <c r="HF68" s="245" t="s">
        <v>6157</v>
      </c>
      <c r="HG68" s="245">
        <v>0</v>
      </c>
      <c r="HH68" s="245" t="s">
        <v>1587</v>
      </c>
      <c r="HI68" s="245" t="s">
        <v>601</v>
      </c>
      <c r="HJ68" s="245">
        <v>1</v>
      </c>
      <c r="HK68" s="245" t="s">
        <v>1623</v>
      </c>
      <c r="HL68" s="245" t="s">
        <v>1624</v>
      </c>
      <c r="HM68" s="246">
        <v>43767</v>
      </c>
      <c r="HN68" s="244" t="s">
        <v>6158</v>
      </c>
      <c r="HO68" s="247">
        <v>0</v>
      </c>
      <c r="HP68" s="247" t="s">
        <v>1587</v>
      </c>
      <c r="HQ68" s="247" t="s">
        <v>601</v>
      </c>
      <c r="HR68" s="247">
        <v>1</v>
      </c>
      <c r="HS68" s="247" t="s">
        <v>1623</v>
      </c>
      <c r="HT68" s="247" t="s">
        <v>1624</v>
      </c>
      <c r="HU68" s="237">
        <v>43767</v>
      </c>
      <c r="HV68" s="245" t="s">
        <v>6159</v>
      </c>
      <c r="HW68" s="245">
        <v>0</v>
      </c>
      <c r="HX68" s="245" t="s">
        <v>1587</v>
      </c>
      <c r="HY68" s="245" t="s">
        <v>601</v>
      </c>
      <c r="HZ68" s="245">
        <v>1</v>
      </c>
      <c r="IA68" s="245" t="s">
        <v>1623</v>
      </c>
      <c r="IB68" s="245" t="s">
        <v>1624</v>
      </c>
      <c r="IC68" s="246">
        <v>43767</v>
      </c>
      <c r="ID68" s="244" t="s">
        <v>6160</v>
      </c>
      <c r="IE68" s="247">
        <v>1</v>
      </c>
      <c r="IF68" s="247" t="s">
        <v>1587</v>
      </c>
      <c r="IG68" s="247" t="s">
        <v>601</v>
      </c>
      <c r="IH68" s="247">
        <v>1</v>
      </c>
      <c r="II68" s="247" t="s">
        <v>1623</v>
      </c>
      <c r="IJ68" s="247" t="s">
        <v>1624</v>
      </c>
      <c r="IK68" s="237">
        <v>43767</v>
      </c>
      <c r="IL68" s="245" t="s">
        <v>6161</v>
      </c>
      <c r="IM68" s="245">
        <v>0</v>
      </c>
      <c r="IN68" s="245" t="s">
        <v>1587</v>
      </c>
      <c r="IO68" s="245" t="s">
        <v>601</v>
      </c>
      <c r="IP68" s="245">
        <v>1</v>
      </c>
      <c r="IQ68" s="245" t="s">
        <v>1623</v>
      </c>
      <c r="IR68" s="245" t="s">
        <v>1624</v>
      </c>
      <c r="IS68" s="246">
        <v>43767</v>
      </c>
    </row>
    <row r="69" spans="1:253" s="11" customFormat="1" ht="13.2" x14ac:dyDescent="0.25">
      <c r="A69" s="11" t="s">
        <v>2263</v>
      </c>
      <c r="B69" s="11" t="s">
        <v>1279</v>
      </c>
      <c r="C69" s="11" t="s">
        <v>2589</v>
      </c>
      <c r="D69" s="11" t="s">
        <v>163</v>
      </c>
      <c r="E69" s="11" t="s">
        <v>162</v>
      </c>
      <c r="F69" s="11" t="s">
        <v>6162</v>
      </c>
      <c r="G69" s="235">
        <v>51393000</v>
      </c>
      <c r="H69" s="236" t="s">
        <v>2658</v>
      </c>
      <c r="I69" s="236" t="s">
        <v>601</v>
      </c>
      <c r="J69" s="236">
        <v>1</v>
      </c>
      <c r="K69" s="236" t="s">
        <v>2675</v>
      </c>
      <c r="L69" s="236" t="s">
        <v>2661</v>
      </c>
      <c r="M69" s="237">
        <v>44014</v>
      </c>
      <c r="N69" s="244" t="s">
        <v>6163</v>
      </c>
      <c r="O69" s="239">
        <v>471098</v>
      </c>
      <c r="P69" s="239" t="s">
        <v>2437</v>
      </c>
      <c r="Q69" s="239" t="s">
        <v>600</v>
      </c>
      <c r="R69" s="239">
        <v>2</v>
      </c>
      <c r="S69" s="239" t="s">
        <v>2471</v>
      </c>
      <c r="T69" s="239" t="s">
        <v>2470</v>
      </c>
      <c r="U69" s="240">
        <v>43987</v>
      </c>
      <c r="V69" s="244" t="s">
        <v>6164</v>
      </c>
      <c r="W69" s="236">
        <v>42513000</v>
      </c>
      <c r="X69" s="236" t="s">
        <v>2437</v>
      </c>
      <c r="Y69" s="236" t="s">
        <v>600</v>
      </c>
      <c r="Z69" s="236">
        <v>2</v>
      </c>
      <c r="AA69" s="236" t="s">
        <v>2472</v>
      </c>
      <c r="AB69" s="236" t="s">
        <v>2470</v>
      </c>
      <c r="AC69" s="237">
        <v>43987</v>
      </c>
      <c r="AD69" s="244" t="s">
        <v>6165</v>
      </c>
      <c r="AE69" s="241">
        <v>233000</v>
      </c>
      <c r="AF69" s="241" t="s">
        <v>2438</v>
      </c>
      <c r="AG69" s="241" t="s">
        <v>599</v>
      </c>
      <c r="AH69" s="241">
        <v>3</v>
      </c>
      <c r="AI69" s="241" t="s">
        <v>2474</v>
      </c>
      <c r="AJ69" s="241" t="s">
        <v>2473</v>
      </c>
      <c r="AK69" s="242">
        <v>43987</v>
      </c>
      <c r="AL69" s="244" t="s">
        <v>6166</v>
      </c>
      <c r="AM69" s="236">
        <v>16000</v>
      </c>
      <c r="AN69" s="236" t="s">
        <v>2438</v>
      </c>
      <c r="AO69" s="236" t="s">
        <v>599</v>
      </c>
      <c r="AP69" s="236">
        <v>3</v>
      </c>
      <c r="AQ69" s="236" t="s">
        <v>2475</v>
      </c>
      <c r="AR69" s="236" t="s">
        <v>2473</v>
      </c>
      <c r="AS69" s="237">
        <v>43987</v>
      </c>
      <c r="AT69" s="245" t="s">
        <v>6167</v>
      </c>
      <c r="AU69" s="241" t="s">
        <v>393</v>
      </c>
      <c r="AV69" s="241" t="s">
        <v>393</v>
      </c>
      <c r="AW69" s="241" t="s">
        <v>393</v>
      </c>
      <c r="AX69" s="241" t="s">
        <v>393</v>
      </c>
      <c r="AY69" s="241" t="s">
        <v>393</v>
      </c>
      <c r="AZ69" s="241" t="s">
        <v>393</v>
      </c>
      <c r="BA69" s="242">
        <v>43950</v>
      </c>
      <c r="BB69" s="244" t="s">
        <v>6168</v>
      </c>
      <c r="BC69" s="236" t="s">
        <v>393</v>
      </c>
      <c r="BD69" s="236" t="s">
        <v>393</v>
      </c>
      <c r="BE69" s="236" t="s">
        <v>393</v>
      </c>
      <c r="BF69" s="236" t="s">
        <v>393</v>
      </c>
      <c r="BG69" s="236" t="s">
        <v>393</v>
      </c>
      <c r="BH69" s="236" t="s">
        <v>393</v>
      </c>
      <c r="BI69" s="237">
        <v>43950</v>
      </c>
      <c r="BJ69" s="245" t="s">
        <v>6169</v>
      </c>
      <c r="BK69" s="245">
        <v>237</v>
      </c>
      <c r="BL69" s="245" t="s">
        <v>2439</v>
      </c>
      <c r="BM69" s="245" t="s">
        <v>600</v>
      </c>
      <c r="BN69" s="245">
        <v>2</v>
      </c>
      <c r="BO69" s="245" t="s">
        <v>2284</v>
      </c>
      <c r="BP69" s="241" t="s">
        <v>2476</v>
      </c>
      <c r="BQ69" s="246">
        <v>43987</v>
      </c>
      <c r="BR69" s="244" t="s">
        <v>6170</v>
      </c>
      <c r="BS69" s="247" t="s">
        <v>393</v>
      </c>
      <c r="BT69" s="247" t="s">
        <v>393</v>
      </c>
      <c r="BU69" s="247" t="s">
        <v>393</v>
      </c>
      <c r="BV69" s="247" t="s">
        <v>393</v>
      </c>
      <c r="BW69" s="247" t="s">
        <v>393</v>
      </c>
      <c r="BX69" s="247" t="s">
        <v>393</v>
      </c>
      <c r="BY69" s="237">
        <v>43950</v>
      </c>
      <c r="BZ69" s="245" t="s">
        <v>6171</v>
      </c>
      <c r="CA69" s="245" t="s">
        <v>393</v>
      </c>
      <c r="CB69" s="245" t="s">
        <v>393</v>
      </c>
      <c r="CC69" s="245" t="s">
        <v>393</v>
      </c>
      <c r="CD69" s="245" t="s">
        <v>393</v>
      </c>
      <c r="CE69" s="245" t="s">
        <v>393</v>
      </c>
      <c r="CF69" s="245" t="s">
        <v>393</v>
      </c>
      <c r="CG69" s="246">
        <v>43950</v>
      </c>
      <c r="CH69" s="244" t="s">
        <v>6172</v>
      </c>
      <c r="CI69" s="245" t="e">
        <v>#N/A</v>
      </c>
      <c r="CJ69" s="245" t="e">
        <v>#N/A</v>
      </c>
      <c r="CK69" s="245" t="e">
        <v>#N/A</v>
      </c>
      <c r="CL69" s="245" t="e">
        <v>#N/A</v>
      </c>
      <c r="CM69" s="245" t="e">
        <v>#N/A</v>
      </c>
      <c r="CN69" s="245" t="e">
        <v>#N/A</v>
      </c>
      <c r="CO69" s="248" t="e">
        <v>#N/A</v>
      </c>
      <c r="CP69" s="245" t="s">
        <v>6173</v>
      </c>
      <c r="CQ69" s="247" t="s">
        <v>393</v>
      </c>
      <c r="CR69" s="247" t="s">
        <v>393</v>
      </c>
      <c r="CS69" s="247" t="s">
        <v>393</v>
      </c>
      <c r="CT69" s="247" t="s">
        <v>393</v>
      </c>
      <c r="CU69" s="247" t="s">
        <v>393</v>
      </c>
      <c r="CV69" s="247" t="s">
        <v>393</v>
      </c>
      <c r="CW69" s="237">
        <v>43950</v>
      </c>
      <c r="CX69" s="245" t="s">
        <v>6174</v>
      </c>
      <c r="CY69" s="241">
        <v>116000</v>
      </c>
      <c r="CZ69" s="241" t="s">
        <v>2440</v>
      </c>
      <c r="DA69" s="241" t="s">
        <v>599</v>
      </c>
      <c r="DB69" s="241">
        <v>3</v>
      </c>
      <c r="DC69" s="241" t="s">
        <v>2478</v>
      </c>
      <c r="DD69" s="241" t="s">
        <v>2477</v>
      </c>
      <c r="DE69" s="243">
        <v>43987</v>
      </c>
      <c r="DF69" s="244" t="s">
        <v>6175</v>
      </c>
      <c r="DG69" s="236">
        <v>42280000</v>
      </c>
      <c r="DH69" s="247" t="s">
        <v>2440</v>
      </c>
      <c r="DI69" s="247" t="s">
        <v>599</v>
      </c>
      <c r="DJ69" s="247">
        <v>3</v>
      </c>
      <c r="DK69" s="247" t="s">
        <v>2478</v>
      </c>
      <c r="DL69" s="247" t="s">
        <v>2477</v>
      </c>
      <c r="DM69" s="237">
        <v>43987</v>
      </c>
      <c r="DN69" s="245" t="s">
        <v>6176</v>
      </c>
      <c r="DO69" s="241">
        <v>117000</v>
      </c>
      <c r="DP69" s="245" t="s">
        <v>2440</v>
      </c>
      <c r="DQ69" s="245" t="s">
        <v>599</v>
      </c>
      <c r="DR69" s="245">
        <v>3</v>
      </c>
      <c r="DS69" s="245" t="s">
        <v>2478</v>
      </c>
      <c r="DT69" s="245" t="s">
        <v>2477</v>
      </c>
      <c r="DU69" s="246">
        <v>43987</v>
      </c>
      <c r="DV69" s="244" t="s">
        <v>6177</v>
      </c>
      <c r="DW69" s="236">
        <v>116000</v>
      </c>
      <c r="DX69" s="247" t="s">
        <v>2440</v>
      </c>
      <c r="DY69" s="247" t="s">
        <v>599</v>
      </c>
      <c r="DZ69" s="247">
        <v>3</v>
      </c>
      <c r="EA69" s="247" t="s">
        <v>2478</v>
      </c>
      <c r="EB69" s="247" t="s">
        <v>2477</v>
      </c>
      <c r="EC69" s="237">
        <v>43987</v>
      </c>
      <c r="ED69" s="245" t="s">
        <v>6178</v>
      </c>
      <c r="EE69" s="241">
        <v>0</v>
      </c>
      <c r="EF69" s="245" t="s">
        <v>2440</v>
      </c>
      <c r="EG69" s="245" t="s">
        <v>599</v>
      </c>
      <c r="EH69" s="245">
        <v>3</v>
      </c>
      <c r="EI69" s="245" t="s">
        <v>2478</v>
      </c>
      <c r="EJ69" s="245" t="s">
        <v>2477</v>
      </c>
      <c r="EK69" s="246">
        <v>43987</v>
      </c>
      <c r="EL69" s="244" t="s">
        <v>6179</v>
      </c>
      <c r="EM69" s="236">
        <v>0</v>
      </c>
      <c r="EN69" s="247" t="s">
        <v>2440</v>
      </c>
      <c r="EO69" s="247" t="s">
        <v>599</v>
      </c>
      <c r="EP69" s="247">
        <v>3</v>
      </c>
      <c r="EQ69" s="247" t="s">
        <v>2478</v>
      </c>
      <c r="ER69" s="247" t="s">
        <v>2477</v>
      </c>
      <c r="ES69" s="237">
        <v>43987</v>
      </c>
      <c r="ET69" s="245" t="s">
        <v>6180</v>
      </c>
      <c r="EU69" s="245">
        <v>237</v>
      </c>
      <c r="EV69" s="245" t="s">
        <v>2439</v>
      </c>
      <c r="EW69" s="245" t="s">
        <v>600</v>
      </c>
      <c r="EX69" s="245">
        <v>2</v>
      </c>
      <c r="EY69" s="245" t="s">
        <v>2284</v>
      </c>
      <c r="EZ69" s="245" t="s">
        <v>2476</v>
      </c>
      <c r="FA69" s="246">
        <v>43987</v>
      </c>
      <c r="FB69" s="244" t="s">
        <v>6181</v>
      </c>
      <c r="FC69" s="247" t="s">
        <v>393</v>
      </c>
      <c r="FD69" s="247" t="s">
        <v>393</v>
      </c>
      <c r="FE69" s="247" t="s">
        <v>393</v>
      </c>
      <c r="FF69" s="247" t="s">
        <v>393</v>
      </c>
      <c r="FG69" s="247" t="s">
        <v>393</v>
      </c>
      <c r="FH69" s="247" t="s">
        <v>393</v>
      </c>
      <c r="FI69" s="237">
        <v>43950</v>
      </c>
      <c r="FJ69" s="244" t="s">
        <v>6182</v>
      </c>
      <c r="FK69" s="245" t="s">
        <v>393</v>
      </c>
      <c r="FL69" s="245" t="s">
        <v>393</v>
      </c>
      <c r="FM69" s="245" t="s">
        <v>393</v>
      </c>
      <c r="FN69" s="245" t="s">
        <v>393</v>
      </c>
      <c r="FO69" s="245" t="s">
        <v>393</v>
      </c>
      <c r="FP69" s="241" t="s">
        <v>393</v>
      </c>
      <c r="FQ69" s="242">
        <v>43950</v>
      </c>
      <c r="FR69" s="244" t="s">
        <v>6183</v>
      </c>
      <c r="FS69" s="247" t="s">
        <v>393</v>
      </c>
      <c r="FT69" s="247" t="s">
        <v>393</v>
      </c>
      <c r="FU69" s="247" t="s">
        <v>393</v>
      </c>
      <c r="FV69" s="247" t="s">
        <v>393</v>
      </c>
      <c r="FW69" s="247" t="s">
        <v>393</v>
      </c>
      <c r="FX69" s="247" t="s">
        <v>393</v>
      </c>
      <c r="FY69" s="237">
        <v>43950</v>
      </c>
      <c r="FZ69" s="245" t="s">
        <v>6184</v>
      </c>
      <c r="GA69" s="245">
        <v>0</v>
      </c>
      <c r="GB69" s="245" t="s">
        <v>2096</v>
      </c>
      <c r="GC69" s="245" t="s">
        <v>600</v>
      </c>
      <c r="GD69" s="245">
        <v>2</v>
      </c>
      <c r="GE69" s="245" t="s">
        <v>393</v>
      </c>
      <c r="GF69" s="245" t="s">
        <v>2097</v>
      </c>
      <c r="GG69" s="246">
        <v>43950</v>
      </c>
      <c r="GH69" s="244" t="s">
        <v>6185</v>
      </c>
      <c r="GI69" s="247">
        <v>1</v>
      </c>
      <c r="GJ69" s="247" t="s">
        <v>2096</v>
      </c>
      <c r="GK69" s="247" t="s">
        <v>600</v>
      </c>
      <c r="GL69" s="247">
        <v>2</v>
      </c>
      <c r="GM69" s="247" t="s">
        <v>2285</v>
      </c>
      <c r="GN69" s="247" t="s">
        <v>2097</v>
      </c>
      <c r="GO69" s="237">
        <v>43950</v>
      </c>
      <c r="GP69" s="245" t="s">
        <v>6186</v>
      </c>
      <c r="GQ69" s="245">
        <v>1</v>
      </c>
      <c r="GR69" s="245" t="s">
        <v>2096</v>
      </c>
      <c r="GS69" s="245" t="s">
        <v>600</v>
      </c>
      <c r="GT69" s="245">
        <v>2</v>
      </c>
      <c r="GU69" s="245" t="s">
        <v>2285</v>
      </c>
      <c r="GV69" s="245" t="s">
        <v>2097</v>
      </c>
      <c r="GW69" s="246">
        <v>43950</v>
      </c>
      <c r="GX69" s="244" t="s">
        <v>6187</v>
      </c>
      <c r="GY69" s="247">
        <v>0</v>
      </c>
      <c r="GZ69" s="247" t="s">
        <v>2096</v>
      </c>
      <c r="HA69" s="247" t="s">
        <v>600</v>
      </c>
      <c r="HB69" s="247">
        <v>2</v>
      </c>
      <c r="HC69" s="247" t="s">
        <v>393</v>
      </c>
      <c r="HD69" s="247" t="s">
        <v>2097</v>
      </c>
      <c r="HE69" s="237">
        <v>43950</v>
      </c>
      <c r="HF69" s="245" t="s">
        <v>6188</v>
      </c>
      <c r="HG69" s="245">
        <v>0</v>
      </c>
      <c r="HH69" s="245" t="s">
        <v>2096</v>
      </c>
      <c r="HI69" s="245" t="s">
        <v>600</v>
      </c>
      <c r="HJ69" s="245">
        <v>2</v>
      </c>
      <c r="HK69" s="245" t="s">
        <v>393</v>
      </c>
      <c r="HL69" s="245" t="s">
        <v>2097</v>
      </c>
      <c r="HM69" s="246">
        <v>43950</v>
      </c>
      <c r="HN69" s="244" t="s">
        <v>6189</v>
      </c>
      <c r="HO69" s="247">
        <v>0</v>
      </c>
      <c r="HP69" s="247" t="s">
        <v>2096</v>
      </c>
      <c r="HQ69" s="247" t="s">
        <v>600</v>
      </c>
      <c r="HR69" s="247">
        <v>2</v>
      </c>
      <c r="HS69" s="247" t="s">
        <v>393</v>
      </c>
      <c r="HT69" s="247" t="s">
        <v>2097</v>
      </c>
      <c r="HU69" s="237">
        <v>43950</v>
      </c>
      <c r="HV69" s="245" t="s">
        <v>6190</v>
      </c>
      <c r="HW69" s="245">
        <v>0</v>
      </c>
      <c r="HX69" s="245" t="s">
        <v>2096</v>
      </c>
      <c r="HY69" s="245" t="s">
        <v>600</v>
      </c>
      <c r="HZ69" s="245">
        <v>2</v>
      </c>
      <c r="IA69" s="245" t="s">
        <v>393</v>
      </c>
      <c r="IB69" s="245" t="s">
        <v>2097</v>
      </c>
      <c r="IC69" s="246">
        <v>43950</v>
      </c>
      <c r="ID69" s="244" t="s">
        <v>6191</v>
      </c>
      <c r="IE69" s="247">
        <v>1</v>
      </c>
      <c r="IF69" s="247" t="s">
        <v>2096</v>
      </c>
      <c r="IG69" s="247" t="s">
        <v>600</v>
      </c>
      <c r="IH69" s="247">
        <v>2</v>
      </c>
      <c r="II69" s="247" t="s">
        <v>393</v>
      </c>
      <c r="IJ69" s="247" t="s">
        <v>2097</v>
      </c>
      <c r="IK69" s="237">
        <v>43950</v>
      </c>
      <c r="IL69" s="245" t="s">
        <v>6192</v>
      </c>
      <c r="IM69" s="245">
        <v>3</v>
      </c>
      <c r="IN69" s="245" t="s">
        <v>2096</v>
      </c>
      <c r="IO69" s="245" t="s">
        <v>600</v>
      </c>
      <c r="IP69" s="245">
        <v>2</v>
      </c>
      <c r="IQ69" s="245" t="s">
        <v>2286</v>
      </c>
      <c r="IR69" s="245" t="s">
        <v>2097</v>
      </c>
      <c r="IS69" s="246">
        <v>43950</v>
      </c>
    </row>
    <row r="70" spans="1:253" s="11" customFormat="1" ht="13.2" x14ac:dyDescent="0.25">
      <c r="A70" s="11" t="s">
        <v>1092</v>
      </c>
      <c r="B70" s="11" t="s">
        <v>1280</v>
      </c>
      <c r="C70" s="11" t="s">
        <v>1746</v>
      </c>
      <c r="D70" s="11" t="s">
        <v>174</v>
      </c>
      <c r="E70" s="11" t="s">
        <v>173</v>
      </c>
      <c r="F70" s="11" t="s">
        <v>6193</v>
      </c>
      <c r="G70" s="235">
        <v>6849000</v>
      </c>
      <c r="H70" s="236" t="s">
        <v>1741</v>
      </c>
      <c r="I70" s="236" t="s">
        <v>600</v>
      </c>
      <c r="J70" s="236">
        <v>2</v>
      </c>
      <c r="K70" s="236" t="s">
        <v>2503</v>
      </c>
      <c r="L70" s="236" t="s">
        <v>1962</v>
      </c>
      <c r="M70" s="237">
        <v>43987</v>
      </c>
      <c r="N70" s="244" t="s">
        <v>6194</v>
      </c>
      <c r="O70" s="239">
        <v>10201.200000000001</v>
      </c>
      <c r="P70" s="239" t="s">
        <v>834</v>
      </c>
      <c r="Q70" s="239" t="s">
        <v>601</v>
      </c>
      <c r="R70" s="239">
        <v>1</v>
      </c>
      <c r="S70" s="239" t="s">
        <v>2504</v>
      </c>
      <c r="T70" s="239" t="s">
        <v>837</v>
      </c>
      <c r="U70" s="240">
        <v>43987</v>
      </c>
      <c r="V70" s="244" t="s">
        <v>6195</v>
      </c>
      <c r="W70" s="236">
        <v>6849000</v>
      </c>
      <c r="X70" s="236" t="s">
        <v>1741</v>
      </c>
      <c r="Y70" s="236" t="s">
        <v>600</v>
      </c>
      <c r="Z70" s="236">
        <v>2</v>
      </c>
      <c r="AA70" s="236" t="s">
        <v>2505</v>
      </c>
      <c r="AB70" s="236" t="s">
        <v>836</v>
      </c>
      <c r="AC70" s="237">
        <v>43987</v>
      </c>
      <c r="AD70" s="244" t="s">
        <v>6196</v>
      </c>
      <c r="AE70" s="241">
        <v>3027000</v>
      </c>
      <c r="AF70" s="241" t="s">
        <v>2499</v>
      </c>
      <c r="AG70" s="241" t="s">
        <v>600</v>
      </c>
      <c r="AH70" s="241">
        <v>2</v>
      </c>
      <c r="AI70" s="241" t="s">
        <v>2506</v>
      </c>
      <c r="AJ70" s="241" t="s">
        <v>2501</v>
      </c>
      <c r="AK70" s="242">
        <v>43987</v>
      </c>
      <c r="AL70" s="244" t="s">
        <v>6197</v>
      </c>
      <c r="AM70" s="236">
        <v>1527000</v>
      </c>
      <c r="AN70" s="236" t="s">
        <v>2499</v>
      </c>
      <c r="AO70" s="236" t="s">
        <v>600</v>
      </c>
      <c r="AP70" s="236">
        <v>2</v>
      </c>
      <c r="AQ70" s="236" t="s">
        <v>2507</v>
      </c>
      <c r="AR70" s="236" t="s">
        <v>2501</v>
      </c>
      <c r="AS70" s="237">
        <v>43987</v>
      </c>
      <c r="AT70" s="245" t="s">
        <v>6198</v>
      </c>
      <c r="AU70" s="241" t="s">
        <v>393</v>
      </c>
      <c r="AV70" s="241" t="s">
        <v>393</v>
      </c>
      <c r="AW70" s="241" t="s">
        <v>393</v>
      </c>
      <c r="AX70" s="241" t="s">
        <v>393</v>
      </c>
      <c r="AY70" s="241" t="s">
        <v>811</v>
      </c>
      <c r="AZ70" s="241" t="s">
        <v>393</v>
      </c>
      <c r="BA70" s="242">
        <v>43987</v>
      </c>
      <c r="BB70" s="244" t="s">
        <v>6199</v>
      </c>
      <c r="BC70" s="236">
        <v>0</v>
      </c>
      <c r="BD70" s="236" t="s">
        <v>1921</v>
      </c>
      <c r="BE70" s="236" t="s">
        <v>599</v>
      </c>
      <c r="BF70" s="236">
        <v>3</v>
      </c>
      <c r="BG70" s="236" t="s">
        <v>1317</v>
      </c>
      <c r="BH70" s="236" t="s">
        <v>812</v>
      </c>
      <c r="BI70" s="237">
        <v>43987</v>
      </c>
      <c r="BJ70" s="245" t="s">
        <v>6200</v>
      </c>
      <c r="BK70" s="245">
        <v>0</v>
      </c>
      <c r="BL70" s="245" t="s">
        <v>3840</v>
      </c>
      <c r="BM70" s="245" t="s">
        <v>599</v>
      </c>
      <c r="BN70" s="245">
        <v>3</v>
      </c>
      <c r="BO70" s="245" t="s">
        <v>2880</v>
      </c>
      <c r="BP70" s="241" t="s">
        <v>812</v>
      </c>
      <c r="BQ70" s="246">
        <v>44132</v>
      </c>
      <c r="BR70" s="244" t="s">
        <v>6201</v>
      </c>
      <c r="BS70" s="247" t="s">
        <v>393</v>
      </c>
      <c r="BT70" s="247" t="s">
        <v>1921</v>
      </c>
      <c r="BU70" s="247" t="s">
        <v>393</v>
      </c>
      <c r="BV70" s="247" t="s">
        <v>393</v>
      </c>
      <c r="BW70" s="247" t="s">
        <v>2508</v>
      </c>
      <c r="BX70" s="247" t="s">
        <v>812</v>
      </c>
      <c r="BY70" s="237">
        <v>43987</v>
      </c>
      <c r="BZ70" s="245" t="s">
        <v>6202</v>
      </c>
      <c r="CA70" s="245" t="s">
        <v>393</v>
      </c>
      <c r="CB70" s="245" t="s">
        <v>1921</v>
      </c>
      <c r="CC70" s="245" t="s">
        <v>393</v>
      </c>
      <c r="CD70" s="245" t="s">
        <v>393</v>
      </c>
      <c r="CE70" s="245" t="s">
        <v>2508</v>
      </c>
      <c r="CF70" s="245" t="s">
        <v>812</v>
      </c>
      <c r="CG70" s="246">
        <v>43987</v>
      </c>
      <c r="CH70" s="244" t="s">
        <v>6203</v>
      </c>
      <c r="CI70" s="245" t="e">
        <v>#N/A</v>
      </c>
      <c r="CJ70" s="245" t="e">
        <v>#N/A</v>
      </c>
      <c r="CK70" s="245" t="e">
        <v>#N/A</v>
      </c>
      <c r="CL70" s="245" t="e">
        <v>#N/A</v>
      </c>
      <c r="CM70" s="245" t="e">
        <v>#N/A</v>
      </c>
      <c r="CN70" s="245" t="e">
        <v>#N/A</v>
      </c>
      <c r="CO70" s="248" t="e">
        <v>#N/A</v>
      </c>
      <c r="CP70" s="245" t="s">
        <v>6204</v>
      </c>
      <c r="CQ70" s="247" t="s">
        <v>393</v>
      </c>
      <c r="CR70" s="247" t="s">
        <v>2500</v>
      </c>
      <c r="CS70" s="247" t="s">
        <v>393</v>
      </c>
      <c r="CT70" s="247" t="s">
        <v>393</v>
      </c>
      <c r="CU70" s="247" t="s">
        <v>2509</v>
      </c>
      <c r="CV70" s="247" t="s">
        <v>2502</v>
      </c>
      <c r="CW70" s="237">
        <v>43987</v>
      </c>
      <c r="CX70" s="245" t="s">
        <v>6205</v>
      </c>
      <c r="CY70" s="241">
        <v>666000</v>
      </c>
      <c r="CZ70" s="241" t="s">
        <v>3842</v>
      </c>
      <c r="DA70" s="241" t="s">
        <v>599</v>
      </c>
      <c r="DB70" s="241">
        <v>3</v>
      </c>
      <c r="DC70" s="241" t="s">
        <v>3449</v>
      </c>
      <c r="DD70" s="241" t="s">
        <v>3448</v>
      </c>
      <c r="DE70" s="243">
        <v>44132</v>
      </c>
      <c r="DF70" s="244" t="s">
        <v>6206</v>
      </c>
      <c r="DG70" s="236">
        <v>3822000</v>
      </c>
      <c r="DH70" s="247" t="s">
        <v>3842</v>
      </c>
      <c r="DI70" s="247" t="s">
        <v>599</v>
      </c>
      <c r="DJ70" s="247">
        <v>3</v>
      </c>
      <c r="DK70" s="247" t="s">
        <v>3449</v>
      </c>
      <c r="DL70" s="247" t="s">
        <v>3448</v>
      </c>
      <c r="DM70" s="237">
        <v>44132</v>
      </c>
      <c r="DN70" s="245" t="s">
        <v>6207</v>
      </c>
      <c r="DO70" s="241">
        <v>2361000</v>
      </c>
      <c r="DP70" s="245" t="s">
        <v>3842</v>
      </c>
      <c r="DQ70" s="245" t="s">
        <v>599</v>
      </c>
      <c r="DR70" s="245">
        <v>3</v>
      </c>
      <c r="DS70" s="245" t="s">
        <v>3449</v>
      </c>
      <c r="DT70" s="245" t="s">
        <v>3448</v>
      </c>
      <c r="DU70" s="246">
        <v>44132</v>
      </c>
      <c r="DV70" s="244" t="s">
        <v>6208</v>
      </c>
      <c r="DW70" s="236">
        <v>180000</v>
      </c>
      <c r="DX70" s="247" t="s">
        <v>3842</v>
      </c>
      <c r="DY70" s="247" t="s">
        <v>599</v>
      </c>
      <c r="DZ70" s="247">
        <v>3</v>
      </c>
      <c r="EA70" s="247" t="s">
        <v>3449</v>
      </c>
      <c r="EB70" s="247" t="s">
        <v>3448</v>
      </c>
      <c r="EC70" s="237">
        <v>44132</v>
      </c>
      <c r="ED70" s="245" t="s">
        <v>6209</v>
      </c>
      <c r="EE70" s="241">
        <v>486000</v>
      </c>
      <c r="EF70" s="245" t="s">
        <v>3842</v>
      </c>
      <c r="EG70" s="245" t="s">
        <v>599</v>
      </c>
      <c r="EH70" s="245">
        <v>3</v>
      </c>
      <c r="EI70" s="245" t="s">
        <v>3449</v>
      </c>
      <c r="EJ70" s="245" t="s">
        <v>3448</v>
      </c>
      <c r="EK70" s="246">
        <v>44132</v>
      </c>
      <c r="EL70" s="244" t="s">
        <v>6210</v>
      </c>
      <c r="EM70" s="236">
        <v>0</v>
      </c>
      <c r="EN70" s="247" t="s">
        <v>3842</v>
      </c>
      <c r="EO70" s="247" t="s">
        <v>599</v>
      </c>
      <c r="EP70" s="247">
        <v>3</v>
      </c>
      <c r="EQ70" s="247" t="s">
        <v>3449</v>
      </c>
      <c r="ER70" s="247" t="s">
        <v>3448</v>
      </c>
      <c r="ES70" s="237">
        <v>44132</v>
      </c>
      <c r="ET70" s="245" t="s">
        <v>6211</v>
      </c>
      <c r="EU70" s="245">
        <v>191</v>
      </c>
      <c r="EV70" s="245" t="s">
        <v>3841</v>
      </c>
      <c r="EW70" s="245" t="s">
        <v>599</v>
      </c>
      <c r="EX70" s="245">
        <v>3</v>
      </c>
      <c r="EY70" s="245" t="s">
        <v>2890</v>
      </c>
      <c r="EZ70" s="245" t="s">
        <v>3845</v>
      </c>
      <c r="FA70" s="246">
        <v>44132</v>
      </c>
      <c r="FB70" s="244" t="s">
        <v>6212</v>
      </c>
      <c r="FC70" s="247">
        <v>2</v>
      </c>
      <c r="FD70" s="247" t="s">
        <v>835</v>
      </c>
      <c r="FE70" s="247" t="s">
        <v>601</v>
      </c>
      <c r="FF70" s="247">
        <v>1</v>
      </c>
      <c r="FG70" s="247" t="s">
        <v>2510</v>
      </c>
      <c r="FH70" s="247" t="s">
        <v>838</v>
      </c>
      <c r="FI70" s="237">
        <v>43987</v>
      </c>
      <c r="FJ70" s="244" t="s">
        <v>6213</v>
      </c>
      <c r="FK70" s="245" t="s">
        <v>393</v>
      </c>
      <c r="FL70" s="245" t="s">
        <v>393</v>
      </c>
      <c r="FM70" s="245" t="s">
        <v>393</v>
      </c>
      <c r="FN70" s="245" t="s">
        <v>393</v>
      </c>
      <c r="FO70" s="245" t="s">
        <v>2315</v>
      </c>
      <c r="FP70" s="241" t="s">
        <v>393</v>
      </c>
      <c r="FQ70" s="242">
        <v>43987</v>
      </c>
      <c r="FR70" s="244" t="s">
        <v>6214</v>
      </c>
      <c r="FS70" s="247" t="s">
        <v>393</v>
      </c>
      <c r="FT70" s="247" t="s">
        <v>393</v>
      </c>
      <c r="FU70" s="247" t="s">
        <v>393</v>
      </c>
      <c r="FV70" s="247" t="s">
        <v>393</v>
      </c>
      <c r="FW70" s="247" t="s">
        <v>2315</v>
      </c>
      <c r="FX70" s="247" t="s">
        <v>393</v>
      </c>
      <c r="FY70" s="237">
        <v>43987</v>
      </c>
      <c r="FZ70" s="245" t="s">
        <v>6215</v>
      </c>
      <c r="GA70" s="245">
        <v>1</v>
      </c>
      <c r="GB70" s="245" t="s">
        <v>1587</v>
      </c>
      <c r="GC70" s="245" t="s">
        <v>1364</v>
      </c>
      <c r="GD70" s="245">
        <v>2</v>
      </c>
      <c r="GE70" s="245" t="s">
        <v>1623</v>
      </c>
      <c r="GF70" s="245" t="s">
        <v>1624</v>
      </c>
      <c r="GG70" s="246">
        <v>43767</v>
      </c>
      <c r="GH70" s="244" t="s">
        <v>6216</v>
      </c>
      <c r="GI70" s="247">
        <v>0</v>
      </c>
      <c r="GJ70" s="247" t="s">
        <v>1587</v>
      </c>
      <c r="GK70" s="247" t="s">
        <v>1364</v>
      </c>
      <c r="GL70" s="247">
        <v>2</v>
      </c>
      <c r="GM70" s="247" t="s">
        <v>1623</v>
      </c>
      <c r="GN70" s="247" t="s">
        <v>1624</v>
      </c>
      <c r="GO70" s="237">
        <v>43767</v>
      </c>
      <c r="GP70" s="245" t="s">
        <v>6217</v>
      </c>
      <c r="GQ70" s="245">
        <v>1</v>
      </c>
      <c r="GR70" s="245" t="s">
        <v>1587</v>
      </c>
      <c r="GS70" s="245" t="s">
        <v>1364</v>
      </c>
      <c r="GT70" s="245">
        <v>2</v>
      </c>
      <c r="GU70" s="245" t="s">
        <v>1623</v>
      </c>
      <c r="GV70" s="245" t="s">
        <v>1624</v>
      </c>
      <c r="GW70" s="246">
        <v>43767</v>
      </c>
      <c r="GX70" s="244" t="s">
        <v>6218</v>
      </c>
      <c r="GY70" s="247">
        <v>0</v>
      </c>
      <c r="GZ70" s="247" t="s">
        <v>1587</v>
      </c>
      <c r="HA70" s="247" t="s">
        <v>1364</v>
      </c>
      <c r="HB70" s="247">
        <v>2</v>
      </c>
      <c r="HC70" s="247" t="s">
        <v>1623</v>
      </c>
      <c r="HD70" s="247" t="s">
        <v>1624</v>
      </c>
      <c r="HE70" s="237">
        <v>43767</v>
      </c>
      <c r="HF70" s="245" t="s">
        <v>6219</v>
      </c>
      <c r="HG70" s="245">
        <v>1</v>
      </c>
      <c r="HH70" s="245" t="s">
        <v>1587</v>
      </c>
      <c r="HI70" s="245" t="s">
        <v>1364</v>
      </c>
      <c r="HJ70" s="245">
        <v>2</v>
      </c>
      <c r="HK70" s="245" t="s">
        <v>1623</v>
      </c>
      <c r="HL70" s="245" t="s">
        <v>1624</v>
      </c>
      <c r="HM70" s="246">
        <v>43767</v>
      </c>
      <c r="HN70" s="244" t="s">
        <v>6220</v>
      </c>
      <c r="HO70" s="247">
        <v>2</v>
      </c>
      <c r="HP70" s="247" t="s">
        <v>1587</v>
      </c>
      <c r="HQ70" s="247" t="s">
        <v>1364</v>
      </c>
      <c r="HR70" s="247">
        <v>2</v>
      </c>
      <c r="HS70" s="247" t="s">
        <v>1623</v>
      </c>
      <c r="HT70" s="247" t="s">
        <v>1624</v>
      </c>
      <c r="HU70" s="237">
        <v>43767</v>
      </c>
      <c r="HV70" s="245" t="s">
        <v>6221</v>
      </c>
      <c r="HW70" s="245">
        <v>0</v>
      </c>
      <c r="HX70" s="245" t="s">
        <v>1587</v>
      </c>
      <c r="HY70" s="245" t="s">
        <v>1364</v>
      </c>
      <c r="HZ70" s="245">
        <v>2</v>
      </c>
      <c r="IA70" s="245" t="s">
        <v>1623</v>
      </c>
      <c r="IB70" s="245" t="s">
        <v>1624</v>
      </c>
      <c r="IC70" s="246">
        <v>43767</v>
      </c>
      <c r="ID70" s="244" t="s">
        <v>6222</v>
      </c>
      <c r="IE70" s="247">
        <v>2</v>
      </c>
      <c r="IF70" s="247" t="s">
        <v>1587</v>
      </c>
      <c r="IG70" s="247" t="s">
        <v>1364</v>
      </c>
      <c r="IH70" s="247">
        <v>2</v>
      </c>
      <c r="II70" s="247" t="s">
        <v>1623</v>
      </c>
      <c r="IJ70" s="247" t="s">
        <v>1624</v>
      </c>
      <c r="IK70" s="237">
        <v>43767</v>
      </c>
      <c r="IL70" s="245" t="s">
        <v>6223</v>
      </c>
      <c r="IM70" s="245">
        <v>2</v>
      </c>
      <c r="IN70" s="245" t="s">
        <v>1587</v>
      </c>
      <c r="IO70" s="245" t="s">
        <v>1364</v>
      </c>
      <c r="IP70" s="245">
        <v>2</v>
      </c>
      <c r="IQ70" s="245" t="s">
        <v>1623</v>
      </c>
      <c r="IR70" s="245" t="s">
        <v>1624</v>
      </c>
      <c r="IS70" s="246">
        <v>43767</v>
      </c>
    </row>
    <row r="71" spans="1:253" s="11" customFormat="1" ht="13.2" x14ac:dyDescent="0.25">
      <c r="A71" s="11" t="s">
        <v>2266</v>
      </c>
      <c r="B71" s="11" t="s">
        <v>1282</v>
      </c>
      <c r="C71" s="11" t="s">
        <v>2590</v>
      </c>
      <c r="D71" s="11" t="s">
        <v>174</v>
      </c>
      <c r="E71" s="11" t="s">
        <v>173</v>
      </c>
      <c r="F71" s="11" t="s">
        <v>6224</v>
      </c>
      <c r="G71" s="235">
        <v>6849000</v>
      </c>
      <c r="H71" s="236" t="s">
        <v>1741</v>
      </c>
      <c r="I71" s="236" t="s">
        <v>600</v>
      </c>
      <c r="J71" s="236">
        <v>2</v>
      </c>
      <c r="K71" s="236" t="s">
        <v>2307</v>
      </c>
      <c r="L71" s="236" t="s">
        <v>1962</v>
      </c>
      <c r="M71" s="237">
        <v>43950</v>
      </c>
      <c r="N71" s="244" t="s">
        <v>6225</v>
      </c>
      <c r="O71" s="239">
        <v>10201.200000000001</v>
      </c>
      <c r="P71" s="239" t="s">
        <v>834</v>
      </c>
      <c r="Q71" s="239" t="s">
        <v>601</v>
      </c>
      <c r="R71" s="239">
        <v>1</v>
      </c>
      <c r="S71" s="239" t="s">
        <v>2308</v>
      </c>
      <c r="T71" s="239" t="s">
        <v>837</v>
      </c>
      <c r="U71" s="240">
        <v>43950</v>
      </c>
      <c r="V71" s="244" t="s">
        <v>6226</v>
      </c>
      <c r="W71" s="236">
        <v>6849000</v>
      </c>
      <c r="X71" s="236" t="s">
        <v>1741</v>
      </c>
      <c r="Y71" s="236" t="s">
        <v>1364</v>
      </c>
      <c r="Z71" s="236">
        <v>2</v>
      </c>
      <c r="AA71" s="236" t="s">
        <v>2309</v>
      </c>
      <c r="AB71" s="236" t="s">
        <v>836</v>
      </c>
      <c r="AC71" s="237">
        <v>43950</v>
      </c>
      <c r="AD71" s="244" t="s">
        <v>6227</v>
      </c>
      <c r="AE71" s="241">
        <v>4239000</v>
      </c>
      <c r="AF71" s="241" t="s">
        <v>3294</v>
      </c>
      <c r="AG71" s="241" t="s">
        <v>599</v>
      </c>
      <c r="AH71" s="241">
        <v>3</v>
      </c>
      <c r="AI71" s="241" t="s">
        <v>3451</v>
      </c>
      <c r="AJ71" s="241" t="s">
        <v>3450</v>
      </c>
      <c r="AK71" s="242">
        <v>44104</v>
      </c>
      <c r="AL71" s="244" t="s">
        <v>6228</v>
      </c>
      <c r="AM71" s="236" t="s">
        <v>393</v>
      </c>
      <c r="AN71" s="236" t="s">
        <v>393</v>
      </c>
      <c r="AO71" s="236" t="s">
        <v>393</v>
      </c>
      <c r="AP71" s="236" t="s">
        <v>393</v>
      </c>
      <c r="AQ71" s="236" t="s">
        <v>2310</v>
      </c>
      <c r="AR71" s="236" t="s">
        <v>2298</v>
      </c>
      <c r="AS71" s="237">
        <v>43950</v>
      </c>
      <c r="AT71" s="245" t="s">
        <v>6229</v>
      </c>
      <c r="AU71" s="241" t="s">
        <v>393</v>
      </c>
      <c r="AV71" s="241" t="s">
        <v>3291</v>
      </c>
      <c r="AW71" s="241" t="s">
        <v>393</v>
      </c>
      <c r="AX71" s="241" t="s">
        <v>393</v>
      </c>
      <c r="AY71" s="241" t="s">
        <v>2498</v>
      </c>
      <c r="AZ71" s="241" t="s">
        <v>812</v>
      </c>
      <c r="BA71" s="242">
        <v>44104</v>
      </c>
      <c r="BB71" s="244" t="s">
        <v>6230</v>
      </c>
      <c r="BC71" s="236" t="s">
        <v>393</v>
      </c>
      <c r="BD71" s="236" t="s">
        <v>393</v>
      </c>
      <c r="BE71" s="236" t="s">
        <v>393</v>
      </c>
      <c r="BF71" s="236" t="s">
        <v>393</v>
      </c>
      <c r="BG71" s="236" t="s">
        <v>1041</v>
      </c>
      <c r="BH71" s="236" t="s">
        <v>1041</v>
      </c>
      <c r="BI71" s="237">
        <v>43950</v>
      </c>
      <c r="BJ71" s="245" t="s">
        <v>6231</v>
      </c>
      <c r="BK71" s="245">
        <v>0</v>
      </c>
      <c r="BL71" s="245" t="s">
        <v>3840</v>
      </c>
      <c r="BM71" s="245" t="s">
        <v>599</v>
      </c>
      <c r="BN71" s="245">
        <v>3</v>
      </c>
      <c r="BO71" s="245" t="s">
        <v>2880</v>
      </c>
      <c r="BP71" s="241" t="s">
        <v>812</v>
      </c>
      <c r="BQ71" s="246">
        <v>44132</v>
      </c>
      <c r="BR71" s="244" t="s">
        <v>6232</v>
      </c>
      <c r="BS71" s="247" t="s">
        <v>393</v>
      </c>
      <c r="BT71" s="247" t="s">
        <v>2703</v>
      </c>
      <c r="BU71" s="247" t="s">
        <v>393</v>
      </c>
      <c r="BV71" s="247" t="s">
        <v>393</v>
      </c>
      <c r="BW71" s="247" t="s">
        <v>2311</v>
      </c>
      <c r="BX71" s="247" t="s">
        <v>2299</v>
      </c>
      <c r="BY71" s="237">
        <v>44015</v>
      </c>
      <c r="BZ71" s="245" t="s">
        <v>6233</v>
      </c>
      <c r="CA71" s="245" t="s">
        <v>393</v>
      </c>
      <c r="CB71" s="245" t="s">
        <v>2703</v>
      </c>
      <c r="CC71" s="245" t="s">
        <v>393</v>
      </c>
      <c r="CD71" s="245" t="s">
        <v>393</v>
      </c>
      <c r="CE71" s="245" t="s">
        <v>2312</v>
      </c>
      <c r="CF71" s="245" t="s">
        <v>2299</v>
      </c>
      <c r="CG71" s="246">
        <v>44015</v>
      </c>
      <c r="CH71" s="244" t="s">
        <v>6234</v>
      </c>
      <c r="CI71" s="245" t="e">
        <v>#N/A</v>
      </c>
      <c r="CJ71" s="245" t="e">
        <v>#N/A</v>
      </c>
      <c r="CK71" s="245" t="e">
        <v>#N/A</v>
      </c>
      <c r="CL71" s="245" t="e">
        <v>#N/A</v>
      </c>
      <c r="CM71" s="245" t="e">
        <v>#N/A</v>
      </c>
      <c r="CN71" s="245" t="e">
        <v>#N/A</v>
      </c>
      <c r="CO71" s="248" t="e">
        <v>#N/A</v>
      </c>
      <c r="CP71" s="245" t="s">
        <v>6235</v>
      </c>
      <c r="CQ71" s="247" t="s">
        <v>393</v>
      </c>
      <c r="CR71" s="247" t="s">
        <v>393</v>
      </c>
      <c r="CS71" s="247" t="s">
        <v>393</v>
      </c>
      <c r="CT71" s="247" t="s">
        <v>393</v>
      </c>
      <c r="CU71" s="247" t="s">
        <v>2313</v>
      </c>
      <c r="CV71" s="247" t="s">
        <v>2300</v>
      </c>
      <c r="CW71" s="237">
        <v>43950</v>
      </c>
      <c r="CX71" s="245" t="s">
        <v>6236</v>
      </c>
      <c r="CY71" s="241">
        <v>3767000</v>
      </c>
      <c r="CZ71" s="241" t="s">
        <v>3294</v>
      </c>
      <c r="DA71" s="241" t="s">
        <v>599</v>
      </c>
      <c r="DB71" s="241">
        <v>3</v>
      </c>
      <c r="DC71" s="241" t="s">
        <v>3452</v>
      </c>
      <c r="DD71" s="241" t="s">
        <v>3450</v>
      </c>
      <c r="DE71" s="243">
        <v>44104</v>
      </c>
      <c r="DF71" s="244" t="s">
        <v>6237</v>
      </c>
      <c r="DG71" s="236">
        <v>2609000</v>
      </c>
      <c r="DH71" s="247" t="s">
        <v>3294</v>
      </c>
      <c r="DI71" s="247" t="s">
        <v>599</v>
      </c>
      <c r="DJ71" s="247">
        <v>3</v>
      </c>
      <c r="DK71" s="247" t="s">
        <v>3452</v>
      </c>
      <c r="DL71" s="247" t="s">
        <v>3450</v>
      </c>
      <c r="DM71" s="237">
        <v>44104</v>
      </c>
      <c r="DN71" s="245" t="s">
        <v>6238</v>
      </c>
      <c r="DO71" s="241">
        <v>473000</v>
      </c>
      <c r="DP71" s="245" t="s">
        <v>3294</v>
      </c>
      <c r="DQ71" s="245" t="s">
        <v>599</v>
      </c>
      <c r="DR71" s="245">
        <v>3</v>
      </c>
      <c r="DS71" s="245" t="s">
        <v>3452</v>
      </c>
      <c r="DT71" s="245" t="s">
        <v>3450</v>
      </c>
      <c r="DU71" s="246">
        <v>44104</v>
      </c>
      <c r="DV71" s="244" t="s">
        <v>6239</v>
      </c>
      <c r="DW71" s="236">
        <v>2192000</v>
      </c>
      <c r="DX71" s="247" t="s">
        <v>3294</v>
      </c>
      <c r="DY71" s="247" t="s">
        <v>599</v>
      </c>
      <c r="DZ71" s="247">
        <v>3</v>
      </c>
      <c r="EA71" s="247" t="s">
        <v>3452</v>
      </c>
      <c r="EB71" s="247" t="s">
        <v>3450</v>
      </c>
      <c r="EC71" s="237">
        <v>44104</v>
      </c>
      <c r="ED71" s="245" t="s">
        <v>6240</v>
      </c>
      <c r="EE71" s="241">
        <v>1575000</v>
      </c>
      <c r="EF71" s="245" t="s">
        <v>3294</v>
      </c>
      <c r="EG71" s="245" t="s">
        <v>599</v>
      </c>
      <c r="EH71" s="245">
        <v>3</v>
      </c>
      <c r="EI71" s="245" t="s">
        <v>3452</v>
      </c>
      <c r="EJ71" s="245" t="s">
        <v>3450</v>
      </c>
      <c r="EK71" s="246">
        <v>44104</v>
      </c>
      <c r="EL71" s="244" t="s">
        <v>6241</v>
      </c>
      <c r="EM71" s="236">
        <v>0</v>
      </c>
      <c r="EN71" s="247" t="s">
        <v>3294</v>
      </c>
      <c r="EO71" s="247" t="s">
        <v>599</v>
      </c>
      <c r="EP71" s="247">
        <v>3</v>
      </c>
      <c r="EQ71" s="247" t="s">
        <v>3452</v>
      </c>
      <c r="ER71" s="247" t="s">
        <v>3450</v>
      </c>
      <c r="ES71" s="237">
        <v>44104</v>
      </c>
      <c r="ET71" s="245" t="s">
        <v>6242</v>
      </c>
      <c r="EU71" s="245">
        <v>191</v>
      </c>
      <c r="EV71" s="245" t="s">
        <v>3841</v>
      </c>
      <c r="EW71" s="245" t="s">
        <v>599</v>
      </c>
      <c r="EX71" s="245">
        <v>3</v>
      </c>
      <c r="EY71" s="245" t="s">
        <v>2890</v>
      </c>
      <c r="EZ71" s="245" t="s">
        <v>3845</v>
      </c>
      <c r="FA71" s="246">
        <v>44132</v>
      </c>
      <c r="FB71" s="244" t="s">
        <v>6243</v>
      </c>
      <c r="FC71" s="247">
        <v>3</v>
      </c>
      <c r="FD71" s="247" t="s">
        <v>2291</v>
      </c>
      <c r="FE71" s="247" t="s">
        <v>1547</v>
      </c>
      <c r="FF71" s="247">
        <v>1</v>
      </c>
      <c r="FG71" s="247" t="s">
        <v>2314</v>
      </c>
      <c r="FH71" s="247" t="s">
        <v>2301</v>
      </c>
      <c r="FI71" s="237">
        <v>43950</v>
      </c>
      <c r="FJ71" s="244" t="s">
        <v>6244</v>
      </c>
      <c r="FK71" s="245" t="s">
        <v>393</v>
      </c>
      <c r="FL71" s="245" t="s">
        <v>393</v>
      </c>
      <c r="FM71" s="245" t="s">
        <v>393</v>
      </c>
      <c r="FN71" s="245" t="s">
        <v>393</v>
      </c>
      <c r="FO71" s="245" t="s">
        <v>2315</v>
      </c>
      <c r="FP71" s="241" t="s">
        <v>1041</v>
      </c>
      <c r="FQ71" s="242">
        <v>43950</v>
      </c>
      <c r="FR71" s="244" t="s">
        <v>6245</v>
      </c>
      <c r="FS71" s="247" t="s">
        <v>393</v>
      </c>
      <c r="FT71" s="247" t="s">
        <v>393</v>
      </c>
      <c r="FU71" s="247" t="s">
        <v>393</v>
      </c>
      <c r="FV71" s="247" t="s">
        <v>393</v>
      </c>
      <c r="FW71" s="247" t="s">
        <v>2315</v>
      </c>
      <c r="FX71" s="247" t="s">
        <v>1041</v>
      </c>
      <c r="FY71" s="237">
        <v>43950</v>
      </c>
      <c r="FZ71" s="245" t="s">
        <v>6246</v>
      </c>
      <c r="GA71" s="245">
        <v>1</v>
      </c>
      <c r="GB71" s="245" t="s">
        <v>2292</v>
      </c>
      <c r="GC71" s="245" t="s">
        <v>599</v>
      </c>
      <c r="GD71" s="245">
        <v>3</v>
      </c>
      <c r="GE71" s="245" t="s">
        <v>2398</v>
      </c>
      <c r="GF71" s="245" t="s">
        <v>2302</v>
      </c>
      <c r="GG71" s="246">
        <v>43950</v>
      </c>
      <c r="GH71" s="244" t="s">
        <v>6247</v>
      </c>
      <c r="GI71" s="247">
        <v>2</v>
      </c>
      <c r="GJ71" s="247" t="s">
        <v>2293</v>
      </c>
      <c r="GK71" s="247" t="s">
        <v>601</v>
      </c>
      <c r="GL71" s="247">
        <v>1</v>
      </c>
      <c r="GM71" s="247" t="s">
        <v>2316</v>
      </c>
      <c r="GN71" s="247" t="s">
        <v>2303</v>
      </c>
      <c r="GO71" s="237">
        <v>43950</v>
      </c>
      <c r="GP71" s="245" t="s">
        <v>6248</v>
      </c>
      <c r="GQ71" s="245">
        <v>2</v>
      </c>
      <c r="GR71" s="245" t="s">
        <v>2294</v>
      </c>
      <c r="GS71" s="245" t="s">
        <v>601</v>
      </c>
      <c r="GT71" s="245">
        <v>1</v>
      </c>
      <c r="GU71" s="245" t="s">
        <v>2317</v>
      </c>
      <c r="GV71" s="245" t="s">
        <v>2304</v>
      </c>
      <c r="GW71" s="246">
        <v>43950</v>
      </c>
      <c r="GX71" s="244" t="s">
        <v>6249</v>
      </c>
      <c r="GY71" s="247">
        <v>0</v>
      </c>
      <c r="GZ71" s="247" t="s">
        <v>2295</v>
      </c>
      <c r="HA71" s="247" t="s">
        <v>600</v>
      </c>
      <c r="HB71" s="247">
        <v>2</v>
      </c>
      <c r="HC71" s="247" t="s">
        <v>2318</v>
      </c>
      <c r="HD71" s="247" t="s">
        <v>1791</v>
      </c>
      <c r="HE71" s="237">
        <v>43950</v>
      </c>
      <c r="HF71" s="245" t="s">
        <v>6250</v>
      </c>
      <c r="HG71" s="245">
        <v>2</v>
      </c>
      <c r="HH71" s="245" t="s">
        <v>2296</v>
      </c>
      <c r="HI71" s="245" t="s">
        <v>600</v>
      </c>
      <c r="HJ71" s="245">
        <v>2</v>
      </c>
      <c r="HK71" s="245" t="s">
        <v>2319</v>
      </c>
      <c r="HL71" s="245" t="s">
        <v>2305</v>
      </c>
      <c r="HM71" s="246">
        <v>43950</v>
      </c>
      <c r="HN71" s="244" t="s">
        <v>6251</v>
      </c>
      <c r="HO71" s="247">
        <v>3</v>
      </c>
      <c r="HP71" s="247" t="s">
        <v>2395</v>
      </c>
      <c r="HQ71" s="247" t="s">
        <v>601</v>
      </c>
      <c r="HR71" s="247">
        <v>1</v>
      </c>
      <c r="HS71" s="247" t="s">
        <v>2397</v>
      </c>
      <c r="HT71" s="247" t="s">
        <v>2396</v>
      </c>
      <c r="HU71" s="237">
        <v>43950</v>
      </c>
      <c r="HV71" s="245" t="s">
        <v>6252</v>
      </c>
      <c r="HW71" s="245">
        <v>0</v>
      </c>
      <c r="HX71" s="245" t="s">
        <v>2096</v>
      </c>
      <c r="HY71" s="245" t="s">
        <v>600</v>
      </c>
      <c r="HZ71" s="245">
        <v>2</v>
      </c>
      <c r="IA71" s="245" t="s">
        <v>2320</v>
      </c>
      <c r="IB71" s="245" t="s">
        <v>2097</v>
      </c>
      <c r="IC71" s="246">
        <v>43950</v>
      </c>
      <c r="ID71" s="244" t="s">
        <v>6253</v>
      </c>
      <c r="IE71" s="247">
        <v>3</v>
      </c>
      <c r="IF71" s="247" t="s">
        <v>2297</v>
      </c>
      <c r="IG71" s="247" t="s">
        <v>600</v>
      </c>
      <c r="IH71" s="247">
        <v>2</v>
      </c>
      <c r="II71" s="247" t="s">
        <v>2321</v>
      </c>
      <c r="IJ71" s="247" t="s">
        <v>2306</v>
      </c>
      <c r="IK71" s="237">
        <v>43950</v>
      </c>
      <c r="IL71" s="245" t="s">
        <v>6254</v>
      </c>
      <c r="IM71" s="245">
        <v>0</v>
      </c>
      <c r="IN71" s="245" t="s">
        <v>2096</v>
      </c>
      <c r="IO71" s="245" t="s">
        <v>600</v>
      </c>
      <c r="IP71" s="245">
        <v>2</v>
      </c>
      <c r="IQ71" s="245" t="s">
        <v>2322</v>
      </c>
      <c r="IR71" s="245" t="s">
        <v>2097</v>
      </c>
      <c r="IS71" s="246">
        <v>43950</v>
      </c>
    </row>
    <row r="72" spans="1:253" s="11" customFormat="1" ht="13.2" x14ac:dyDescent="0.25">
      <c r="A72" s="11" t="s">
        <v>3217</v>
      </c>
      <c r="B72" s="11" t="s">
        <v>3268</v>
      </c>
      <c r="C72" s="11" t="s">
        <v>2931</v>
      </c>
      <c r="D72" s="11" t="s">
        <v>174</v>
      </c>
      <c r="E72" s="11" t="s">
        <v>173</v>
      </c>
      <c r="F72" s="11" t="s">
        <v>6255</v>
      </c>
      <c r="G72" s="235">
        <v>6849000</v>
      </c>
      <c r="H72" s="236" t="s">
        <v>1741</v>
      </c>
      <c r="I72" s="236" t="s">
        <v>600</v>
      </c>
      <c r="J72" s="236">
        <v>2</v>
      </c>
      <c r="K72" s="236" t="s">
        <v>2307</v>
      </c>
      <c r="L72" s="236" t="s">
        <v>1962</v>
      </c>
      <c r="M72" s="237">
        <v>44064</v>
      </c>
      <c r="N72" s="244" t="s">
        <v>6256</v>
      </c>
      <c r="O72" s="239">
        <v>1987.6</v>
      </c>
      <c r="P72" s="239" t="s">
        <v>2891</v>
      </c>
      <c r="Q72" s="239" t="s">
        <v>599</v>
      </c>
      <c r="R72" s="239">
        <v>3</v>
      </c>
      <c r="S72" s="239" t="s">
        <v>2901</v>
      </c>
      <c r="T72" s="239" t="s">
        <v>2896</v>
      </c>
      <c r="U72" s="240">
        <v>44064</v>
      </c>
      <c r="V72" s="244" t="s">
        <v>6257</v>
      </c>
      <c r="W72" s="236">
        <v>2200000</v>
      </c>
      <c r="X72" s="236" t="s">
        <v>2892</v>
      </c>
      <c r="Y72" s="236" t="s">
        <v>600</v>
      </c>
      <c r="Z72" s="236">
        <v>2</v>
      </c>
      <c r="AA72" s="236" t="s">
        <v>2902</v>
      </c>
      <c r="AB72" s="236" t="s">
        <v>2897</v>
      </c>
      <c r="AC72" s="237">
        <v>44064</v>
      </c>
      <c r="AD72" s="244" t="s">
        <v>6258</v>
      </c>
      <c r="AE72" s="241">
        <v>2200000</v>
      </c>
      <c r="AF72" s="241" t="s">
        <v>2892</v>
      </c>
      <c r="AG72" s="241" t="s">
        <v>599</v>
      </c>
      <c r="AH72" s="241">
        <v>3</v>
      </c>
      <c r="AI72" s="241" t="s">
        <v>2902</v>
      </c>
      <c r="AJ72" s="241" t="s">
        <v>2897</v>
      </c>
      <c r="AK72" s="242">
        <v>44064</v>
      </c>
      <c r="AL72" s="244" t="s">
        <v>6259</v>
      </c>
      <c r="AM72" s="236">
        <v>300000</v>
      </c>
      <c r="AN72" s="236" t="s">
        <v>2893</v>
      </c>
      <c r="AO72" s="236" t="s">
        <v>600</v>
      </c>
      <c r="AP72" s="236">
        <v>2</v>
      </c>
      <c r="AQ72" s="236" t="s">
        <v>2903</v>
      </c>
      <c r="AR72" s="236" t="s">
        <v>2898</v>
      </c>
      <c r="AS72" s="237">
        <v>44064</v>
      </c>
      <c r="AT72" s="245" t="s">
        <v>6260</v>
      </c>
      <c r="AU72" s="241">
        <v>6500</v>
      </c>
      <c r="AV72" s="241" t="s">
        <v>2894</v>
      </c>
      <c r="AW72" s="241" t="s">
        <v>600</v>
      </c>
      <c r="AX72" s="241">
        <v>2</v>
      </c>
      <c r="AY72" s="241" t="s">
        <v>2904</v>
      </c>
      <c r="AZ72" s="241" t="s">
        <v>2899</v>
      </c>
      <c r="BA72" s="242">
        <v>44064</v>
      </c>
      <c r="BB72" s="244" t="s">
        <v>6261</v>
      </c>
      <c r="BC72" s="236" t="s">
        <v>393</v>
      </c>
      <c r="BD72" s="236" t="s">
        <v>1432</v>
      </c>
      <c r="BE72" s="236" t="s">
        <v>393</v>
      </c>
      <c r="BF72" s="236" t="s">
        <v>393</v>
      </c>
      <c r="BG72" s="236" t="s">
        <v>393</v>
      </c>
      <c r="BH72" s="236" t="s">
        <v>393</v>
      </c>
      <c r="BI72" s="237">
        <v>44064</v>
      </c>
      <c r="BJ72" s="245" t="s">
        <v>6262</v>
      </c>
      <c r="BK72" s="245">
        <v>191</v>
      </c>
      <c r="BL72" s="245" t="s">
        <v>3843</v>
      </c>
      <c r="BM72" s="245" t="s">
        <v>600</v>
      </c>
      <c r="BN72" s="245">
        <v>2</v>
      </c>
      <c r="BO72" s="245" t="s">
        <v>2905</v>
      </c>
      <c r="BP72" s="241" t="s">
        <v>3846</v>
      </c>
      <c r="BQ72" s="246">
        <v>44132</v>
      </c>
      <c r="BR72" s="244" t="s">
        <v>6263</v>
      </c>
      <c r="BS72" s="247" t="s">
        <v>393</v>
      </c>
      <c r="BT72" s="247" t="s">
        <v>393</v>
      </c>
      <c r="BU72" s="247" t="s">
        <v>393</v>
      </c>
      <c r="BV72" s="247" t="s">
        <v>393</v>
      </c>
      <c r="BW72" s="247" t="s">
        <v>393</v>
      </c>
      <c r="BX72" s="247" t="s">
        <v>393</v>
      </c>
      <c r="BY72" s="237">
        <v>44064</v>
      </c>
      <c r="BZ72" s="245" t="s">
        <v>6264</v>
      </c>
      <c r="CA72" s="245" t="s">
        <v>393</v>
      </c>
      <c r="CB72" s="245" t="s">
        <v>393</v>
      </c>
      <c r="CC72" s="245" t="s">
        <v>393</v>
      </c>
      <c r="CD72" s="245" t="s">
        <v>393</v>
      </c>
      <c r="CE72" s="245" t="s">
        <v>393</v>
      </c>
      <c r="CF72" s="245" t="s">
        <v>393</v>
      </c>
      <c r="CG72" s="246">
        <v>44064</v>
      </c>
      <c r="CH72" s="244" t="s">
        <v>6265</v>
      </c>
      <c r="CI72" s="245" t="e">
        <v>#N/A</v>
      </c>
      <c r="CJ72" s="245" t="e">
        <v>#N/A</v>
      </c>
      <c r="CK72" s="245" t="e">
        <v>#N/A</v>
      </c>
      <c r="CL72" s="245" t="e">
        <v>#N/A</v>
      </c>
      <c r="CM72" s="245" t="e">
        <v>#N/A</v>
      </c>
      <c r="CN72" s="245" t="e">
        <v>#N/A</v>
      </c>
      <c r="CO72" s="248" t="e">
        <v>#N/A</v>
      </c>
      <c r="CP72" s="245" t="s">
        <v>6266</v>
      </c>
      <c r="CQ72" s="247" t="s">
        <v>393</v>
      </c>
      <c r="CR72" s="247" t="s">
        <v>2895</v>
      </c>
      <c r="CS72" s="247" t="s">
        <v>393</v>
      </c>
      <c r="CT72" s="247" t="s">
        <v>393</v>
      </c>
      <c r="CU72" s="247" t="s">
        <v>2906</v>
      </c>
      <c r="CV72" s="247" t="s">
        <v>2900</v>
      </c>
      <c r="CW72" s="237">
        <v>44064</v>
      </c>
      <c r="CX72" s="245" t="s">
        <v>6267</v>
      </c>
      <c r="CY72" s="241">
        <v>1000000</v>
      </c>
      <c r="CZ72" s="241" t="s">
        <v>2894</v>
      </c>
      <c r="DA72" s="241" t="s">
        <v>599</v>
      </c>
      <c r="DB72" s="241">
        <v>3</v>
      </c>
      <c r="DC72" s="241" t="s">
        <v>2906</v>
      </c>
      <c r="DD72" s="241" t="s">
        <v>2899</v>
      </c>
      <c r="DE72" s="243">
        <v>44064</v>
      </c>
      <c r="DF72" s="244" t="s">
        <v>6268</v>
      </c>
      <c r="DG72" s="236">
        <v>0</v>
      </c>
      <c r="DH72" s="247" t="s">
        <v>2894</v>
      </c>
      <c r="DI72" s="247" t="s">
        <v>599</v>
      </c>
      <c r="DJ72" s="247">
        <v>3</v>
      </c>
      <c r="DK72" s="247" t="s">
        <v>2906</v>
      </c>
      <c r="DL72" s="247" t="s">
        <v>2899</v>
      </c>
      <c r="DM72" s="237">
        <v>44064</v>
      </c>
      <c r="DN72" s="245" t="s">
        <v>6269</v>
      </c>
      <c r="DO72" s="241">
        <v>1200000</v>
      </c>
      <c r="DP72" s="245" t="s">
        <v>2894</v>
      </c>
      <c r="DQ72" s="245" t="s">
        <v>599</v>
      </c>
      <c r="DR72" s="245">
        <v>3</v>
      </c>
      <c r="DS72" s="245" t="s">
        <v>2906</v>
      </c>
      <c r="DT72" s="245" t="s">
        <v>2899</v>
      </c>
      <c r="DU72" s="246">
        <v>44064</v>
      </c>
      <c r="DV72" s="244" t="s">
        <v>6270</v>
      </c>
      <c r="DW72" s="236">
        <v>1000000</v>
      </c>
      <c r="DX72" s="247" t="s">
        <v>2894</v>
      </c>
      <c r="DY72" s="247" t="s">
        <v>599</v>
      </c>
      <c r="DZ72" s="247">
        <v>3</v>
      </c>
      <c r="EA72" s="247" t="s">
        <v>2906</v>
      </c>
      <c r="EB72" s="247" t="s">
        <v>2899</v>
      </c>
      <c r="EC72" s="237">
        <v>44064</v>
      </c>
      <c r="ED72" s="245" t="s">
        <v>6271</v>
      </c>
      <c r="EE72" s="241">
        <v>0</v>
      </c>
      <c r="EF72" s="245" t="s">
        <v>2894</v>
      </c>
      <c r="EG72" s="245" t="s">
        <v>599</v>
      </c>
      <c r="EH72" s="245">
        <v>3</v>
      </c>
      <c r="EI72" s="245" t="s">
        <v>2906</v>
      </c>
      <c r="EJ72" s="245" t="s">
        <v>2899</v>
      </c>
      <c r="EK72" s="246">
        <v>44064</v>
      </c>
      <c r="EL72" s="244" t="s">
        <v>6272</v>
      </c>
      <c r="EM72" s="236">
        <v>0</v>
      </c>
      <c r="EN72" s="247" t="s">
        <v>2894</v>
      </c>
      <c r="EO72" s="247" t="s">
        <v>599</v>
      </c>
      <c r="EP72" s="247">
        <v>3</v>
      </c>
      <c r="EQ72" s="247" t="s">
        <v>2906</v>
      </c>
      <c r="ER72" s="247" t="s">
        <v>2899</v>
      </c>
      <c r="ES72" s="237">
        <v>44064</v>
      </c>
      <c r="ET72" s="245" t="s">
        <v>6273</v>
      </c>
      <c r="EU72" s="245">
        <v>191</v>
      </c>
      <c r="EV72" s="245" t="s">
        <v>3841</v>
      </c>
      <c r="EW72" s="245" t="s">
        <v>599</v>
      </c>
      <c r="EX72" s="245">
        <v>3</v>
      </c>
      <c r="EY72" s="245" t="s">
        <v>2890</v>
      </c>
      <c r="EZ72" s="245" t="s">
        <v>3845</v>
      </c>
      <c r="FA72" s="246">
        <v>44132</v>
      </c>
      <c r="FB72" s="244" t="s">
        <v>6274</v>
      </c>
      <c r="FC72" s="247">
        <v>4</v>
      </c>
      <c r="FD72" s="247" t="s">
        <v>2894</v>
      </c>
      <c r="FE72" s="247" t="s">
        <v>601</v>
      </c>
      <c r="FF72" s="247">
        <v>1</v>
      </c>
      <c r="FG72" s="247" t="s">
        <v>2907</v>
      </c>
      <c r="FH72" s="247" t="s">
        <v>2899</v>
      </c>
      <c r="FI72" s="237">
        <v>44064</v>
      </c>
      <c r="FJ72" s="244" t="s">
        <v>6275</v>
      </c>
      <c r="FK72" s="245" t="s">
        <v>393</v>
      </c>
      <c r="FL72" s="245" t="s">
        <v>393</v>
      </c>
      <c r="FM72" s="245" t="s">
        <v>393</v>
      </c>
      <c r="FN72" s="245" t="s">
        <v>393</v>
      </c>
      <c r="FO72" s="245" t="s">
        <v>2315</v>
      </c>
      <c r="FP72" s="241" t="s">
        <v>393</v>
      </c>
      <c r="FQ72" s="242">
        <v>44064</v>
      </c>
      <c r="FR72" s="244" t="s">
        <v>6276</v>
      </c>
      <c r="FS72" s="247" t="s">
        <v>393</v>
      </c>
      <c r="FT72" s="247" t="s">
        <v>393</v>
      </c>
      <c r="FU72" s="247" t="s">
        <v>393</v>
      </c>
      <c r="FV72" s="247" t="s">
        <v>393</v>
      </c>
      <c r="FW72" s="247" t="s">
        <v>2315</v>
      </c>
      <c r="FX72" s="247" t="s">
        <v>393</v>
      </c>
      <c r="FY72" s="237">
        <v>44064</v>
      </c>
      <c r="FZ72" s="245" t="s">
        <v>6277</v>
      </c>
      <c r="GA72" s="245">
        <v>1</v>
      </c>
      <c r="GB72" s="245" t="s">
        <v>2096</v>
      </c>
      <c r="GC72" s="245" t="s">
        <v>600</v>
      </c>
      <c r="GD72" s="245">
        <v>2</v>
      </c>
      <c r="GE72" s="245" t="s">
        <v>2096</v>
      </c>
      <c r="GF72" s="245" t="s">
        <v>1314</v>
      </c>
      <c r="GG72" s="246">
        <v>44064</v>
      </c>
      <c r="GH72" s="244" t="s">
        <v>6278</v>
      </c>
      <c r="GI72" s="247">
        <v>2</v>
      </c>
      <c r="GJ72" s="247" t="s">
        <v>2096</v>
      </c>
      <c r="GK72" s="247" t="s">
        <v>600</v>
      </c>
      <c r="GL72" s="247">
        <v>2</v>
      </c>
      <c r="GM72" s="247" t="s">
        <v>2096</v>
      </c>
      <c r="GN72" s="247" t="s">
        <v>1314</v>
      </c>
      <c r="GO72" s="237">
        <v>44064</v>
      </c>
      <c r="GP72" s="245" t="s">
        <v>6279</v>
      </c>
      <c r="GQ72" s="245">
        <v>2</v>
      </c>
      <c r="GR72" s="245" t="s">
        <v>2096</v>
      </c>
      <c r="GS72" s="245" t="s">
        <v>600</v>
      </c>
      <c r="GT72" s="245">
        <v>2</v>
      </c>
      <c r="GU72" s="245" t="s">
        <v>2096</v>
      </c>
      <c r="GV72" s="245" t="s">
        <v>1314</v>
      </c>
      <c r="GW72" s="246">
        <v>44064</v>
      </c>
      <c r="GX72" s="244" t="s">
        <v>6280</v>
      </c>
      <c r="GY72" s="247">
        <v>0</v>
      </c>
      <c r="GZ72" s="247" t="s">
        <v>2096</v>
      </c>
      <c r="HA72" s="247" t="s">
        <v>600</v>
      </c>
      <c r="HB72" s="247">
        <v>2</v>
      </c>
      <c r="HC72" s="247" t="s">
        <v>2096</v>
      </c>
      <c r="HD72" s="247" t="s">
        <v>1314</v>
      </c>
      <c r="HE72" s="237">
        <v>44064</v>
      </c>
      <c r="HF72" s="245" t="s">
        <v>6281</v>
      </c>
      <c r="HG72" s="245">
        <v>2</v>
      </c>
      <c r="HH72" s="245" t="s">
        <v>2096</v>
      </c>
      <c r="HI72" s="245" t="s">
        <v>600</v>
      </c>
      <c r="HJ72" s="245">
        <v>2</v>
      </c>
      <c r="HK72" s="245" t="s">
        <v>2096</v>
      </c>
      <c r="HL72" s="245" t="s">
        <v>1314</v>
      </c>
      <c r="HM72" s="246">
        <v>44064</v>
      </c>
      <c r="HN72" s="244" t="s">
        <v>6282</v>
      </c>
      <c r="HO72" s="247">
        <v>3</v>
      </c>
      <c r="HP72" s="247" t="s">
        <v>2096</v>
      </c>
      <c r="HQ72" s="247" t="s">
        <v>600</v>
      </c>
      <c r="HR72" s="247">
        <v>2</v>
      </c>
      <c r="HS72" s="247" t="s">
        <v>2096</v>
      </c>
      <c r="HT72" s="247" t="s">
        <v>1314</v>
      </c>
      <c r="HU72" s="237">
        <v>44064</v>
      </c>
      <c r="HV72" s="245" t="s">
        <v>6283</v>
      </c>
      <c r="HW72" s="245">
        <v>0</v>
      </c>
      <c r="HX72" s="245" t="s">
        <v>2096</v>
      </c>
      <c r="HY72" s="245" t="s">
        <v>600</v>
      </c>
      <c r="HZ72" s="245">
        <v>2</v>
      </c>
      <c r="IA72" s="245" t="s">
        <v>2096</v>
      </c>
      <c r="IB72" s="245" t="s">
        <v>1314</v>
      </c>
      <c r="IC72" s="246">
        <v>44064</v>
      </c>
      <c r="ID72" s="244" t="s">
        <v>6284</v>
      </c>
      <c r="IE72" s="247">
        <v>0</v>
      </c>
      <c r="IF72" s="247" t="s">
        <v>2096</v>
      </c>
      <c r="IG72" s="247" t="s">
        <v>600</v>
      </c>
      <c r="IH72" s="247">
        <v>2</v>
      </c>
      <c r="II72" s="247" t="s">
        <v>2096</v>
      </c>
      <c r="IJ72" s="247" t="s">
        <v>1314</v>
      </c>
      <c r="IK72" s="237">
        <v>44064</v>
      </c>
      <c r="IL72" s="245" t="s">
        <v>6285</v>
      </c>
      <c r="IM72" s="245">
        <v>1</v>
      </c>
      <c r="IN72" s="245" t="s">
        <v>2096</v>
      </c>
      <c r="IO72" s="245" t="s">
        <v>600</v>
      </c>
      <c r="IP72" s="245">
        <v>2</v>
      </c>
      <c r="IQ72" s="245" t="s">
        <v>2096</v>
      </c>
      <c r="IR72" s="245" t="s">
        <v>1314</v>
      </c>
      <c r="IS72" s="246">
        <v>44064</v>
      </c>
    </row>
    <row r="73" spans="1:253" s="11" customFormat="1" ht="13.2" x14ac:dyDescent="0.25">
      <c r="A73" s="11" t="s">
        <v>792</v>
      </c>
      <c r="B73" s="11" t="s">
        <v>651</v>
      </c>
      <c r="C73" s="11" t="s">
        <v>684</v>
      </c>
      <c r="D73" s="11" t="s">
        <v>176</v>
      </c>
      <c r="E73" s="11" t="s">
        <v>175</v>
      </c>
      <c r="F73" s="11" t="s">
        <v>6286</v>
      </c>
      <c r="G73" s="235">
        <v>2263000</v>
      </c>
      <c r="H73" s="236" t="s">
        <v>738</v>
      </c>
      <c r="I73" s="236" t="s">
        <v>1364</v>
      </c>
      <c r="J73" s="236">
        <v>2</v>
      </c>
      <c r="K73" s="236" t="s">
        <v>737</v>
      </c>
      <c r="L73" s="236" t="s">
        <v>736</v>
      </c>
      <c r="M73" s="237">
        <v>43676</v>
      </c>
      <c r="N73" s="244" t="s">
        <v>6287</v>
      </c>
      <c r="O73" s="239">
        <v>30400</v>
      </c>
      <c r="P73" s="239" t="s">
        <v>1483</v>
      </c>
      <c r="Q73" s="239" t="s">
        <v>1364</v>
      </c>
      <c r="R73" s="239">
        <v>2</v>
      </c>
      <c r="S73" s="239" t="s">
        <v>1488</v>
      </c>
      <c r="T73" s="239" t="s">
        <v>1487</v>
      </c>
      <c r="U73" s="240">
        <v>43676</v>
      </c>
      <c r="V73" s="244" t="s">
        <v>6288</v>
      </c>
      <c r="W73" s="236">
        <v>1467000</v>
      </c>
      <c r="X73" s="236" t="s">
        <v>3367</v>
      </c>
      <c r="Y73" s="236" t="s">
        <v>600</v>
      </c>
      <c r="Z73" s="236">
        <v>2</v>
      </c>
      <c r="AA73" s="236" t="s">
        <v>3927</v>
      </c>
      <c r="AB73" s="236" t="s">
        <v>3480</v>
      </c>
      <c r="AC73" s="237">
        <v>44134</v>
      </c>
      <c r="AD73" s="244" t="s">
        <v>6289</v>
      </c>
      <c r="AE73" s="241">
        <v>1062000</v>
      </c>
      <c r="AF73" s="241" t="s">
        <v>3367</v>
      </c>
      <c r="AG73" s="241" t="s">
        <v>600</v>
      </c>
      <c r="AH73" s="241">
        <v>2</v>
      </c>
      <c r="AI73" s="241" t="s">
        <v>3915</v>
      </c>
      <c r="AJ73" s="241" t="s">
        <v>3480</v>
      </c>
      <c r="AK73" s="242">
        <v>44134</v>
      </c>
      <c r="AL73" s="244" t="s">
        <v>6290</v>
      </c>
      <c r="AM73" s="236" t="s">
        <v>393</v>
      </c>
      <c r="AN73" s="236" t="s">
        <v>813</v>
      </c>
      <c r="AO73" s="236" t="s">
        <v>599</v>
      </c>
      <c r="AP73" s="236">
        <v>3</v>
      </c>
      <c r="AQ73" s="236" t="s">
        <v>813</v>
      </c>
      <c r="AR73" s="236" t="s">
        <v>813</v>
      </c>
      <c r="AS73" s="237">
        <v>44113</v>
      </c>
      <c r="AT73" s="245" t="s">
        <v>6291</v>
      </c>
      <c r="AU73" s="241">
        <v>0</v>
      </c>
      <c r="AV73" s="241">
        <v>0</v>
      </c>
      <c r="AW73" s="241" t="s">
        <v>600</v>
      </c>
      <c r="AX73" s="241">
        <v>2</v>
      </c>
      <c r="AY73" s="241" t="s">
        <v>739</v>
      </c>
      <c r="AZ73" s="241">
        <v>0</v>
      </c>
      <c r="BA73" s="242">
        <v>43495</v>
      </c>
      <c r="BB73" s="244" t="s">
        <v>6292</v>
      </c>
      <c r="BC73" s="236">
        <v>0</v>
      </c>
      <c r="BD73" s="236">
        <v>0</v>
      </c>
      <c r="BE73" s="236" t="s">
        <v>600</v>
      </c>
      <c r="BF73" s="236">
        <v>2</v>
      </c>
      <c r="BG73" s="236" t="s">
        <v>702</v>
      </c>
      <c r="BH73" s="236">
        <v>0</v>
      </c>
      <c r="BI73" s="237">
        <v>43495</v>
      </c>
      <c r="BJ73" s="245" t="s">
        <v>6293</v>
      </c>
      <c r="BK73" s="245">
        <v>0</v>
      </c>
      <c r="BL73" s="245">
        <v>0</v>
      </c>
      <c r="BM73" s="245" t="s">
        <v>600</v>
      </c>
      <c r="BN73" s="245">
        <v>2</v>
      </c>
      <c r="BO73" s="245" t="s">
        <v>740</v>
      </c>
      <c r="BP73" s="241">
        <v>0</v>
      </c>
      <c r="BQ73" s="246">
        <v>43495</v>
      </c>
      <c r="BR73" s="244" t="s">
        <v>6294</v>
      </c>
      <c r="BS73" s="247">
        <v>0</v>
      </c>
      <c r="BT73" s="247">
        <v>0</v>
      </c>
      <c r="BU73" s="247" t="s">
        <v>600</v>
      </c>
      <c r="BV73" s="247">
        <v>2</v>
      </c>
      <c r="BW73" s="247" t="s">
        <v>741</v>
      </c>
      <c r="BX73" s="247">
        <v>0</v>
      </c>
      <c r="BY73" s="237">
        <v>43495</v>
      </c>
      <c r="BZ73" s="245" t="s">
        <v>6295</v>
      </c>
      <c r="CA73" s="245">
        <v>0</v>
      </c>
      <c r="CB73" s="245">
        <v>0</v>
      </c>
      <c r="CC73" s="245" t="s">
        <v>600</v>
      </c>
      <c r="CD73" s="245">
        <v>2</v>
      </c>
      <c r="CE73" s="245" t="s">
        <v>741</v>
      </c>
      <c r="CF73" s="245">
        <v>0</v>
      </c>
      <c r="CG73" s="246">
        <v>43495</v>
      </c>
      <c r="CH73" s="244" t="s">
        <v>6296</v>
      </c>
      <c r="CI73" s="245" t="e">
        <v>#N/A</v>
      </c>
      <c r="CJ73" s="245" t="e">
        <v>#N/A</v>
      </c>
      <c r="CK73" s="245" t="e">
        <v>#N/A</v>
      </c>
      <c r="CL73" s="245" t="e">
        <v>#N/A</v>
      </c>
      <c r="CM73" s="245" t="e">
        <v>#N/A</v>
      </c>
      <c r="CN73" s="245" t="e">
        <v>#N/A</v>
      </c>
      <c r="CO73" s="248" t="e">
        <v>#N/A</v>
      </c>
      <c r="CP73" s="245" t="s">
        <v>6297</v>
      </c>
      <c r="CQ73" s="247" t="s">
        <v>703</v>
      </c>
      <c r="CR73" s="247">
        <v>0</v>
      </c>
      <c r="CS73" s="247" t="s">
        <v>600</v>
      </c>
      <c r="CT73" s="247">
        <v>2</v>
      </c>
      <c r="CU73" s="247" t="s">
        <v>704</v>
      </c>
      <c r="CV73" s="247">
        <v>0</v>
      </c>
      <c r="CW73" s="237">
        <v>43495</v>
      </c>
      <c r="CX73" s="245" t="s">
        <v>6298</v>
      </c>
      <c r="CY73" s="241">
        <v>582000</v>
      </c>
      <c r="CZ73" s="241" t="s">
        <v>3367</v>
      </c>
      <c r="DA73" s="241" t="s">
        <v>600</v>
      </c>
      <c r="DB73" s="241">
        <v>2</v>
      </c>
      <c r="DC73" s="241" t="s">
        <v>3916</v>
      </c>
      <c r="DD73" s="241" t="s">
        <v>3480</v>
      </c>
      <c r="DE73" s="243">
        <v>44134</v>
      </c>
      <c r="DF73" s="244" t="s">
        <v>6299</v>
      </c>
      <c r="DG73" s="236">
        <v>405000</v>
      </c>
      <c r="DH73" s="247" t="s">
        <v>3367</v>
      </c>
      <c r="DI73" s="247" t="s">
        <v>600</v>
      </c>
      <c r="DJ73" s="247">
        <v>2</v>
      </c>
      <c r="DK73" s="247" t="s">
        <v>3916</v>
      </c>
      <c r="DL73" s="247" t="s">
        <v>3480</v>
      </c>
      <c r="DM73" s="237">
        <v>44134</v>
      </c>
      <c r="DN73" s="245" t="s">
        <v>6300</v>
      </c>
      <c r="DO73" s="241">
        <v>480000</v>
      </c>
      <c r="DP73" s="245" t="s">
        <v>3367</v>
      </c>
      <c r="DQ73" s="245" t="s">
        <v>600</v>
      </c>
      <c r="DR73" s="245">
        <v>2</v>
      </c>
      <c r="DS73" s="245" t="s">
        <v>3916</v>
      </c>
      <c r="DT73" s="245" t="s">
        <v>3480</v>
      </c>
      <c r="DU73" s="246">
        <v>44134</v>
      </c>
      <c r="DV73" s="244" t="s">
        <v>6301</v>
      </c>
      <c r="DW73" s="236">
        <v>482000</v>
      </c>
      <c r="DX73" s="247" t="s">
        <v>3367</v>
      </c>
      <c r="DY73" s="247" t="s">
        <v>600</v>
      </c>
      <c r="DZ73" s="247">
        <v>2</v>
      </c>
      <c r="EA73" s="247" t="s">
        <v>3916</v>
      </c>
      <c r="EB73" s="247" t="s">
        <v>3480</v>
      </c>
      <c r="EC73" s="237">
        <v>44134</v>
      </c>
      <c r="ED73" s="245" t="s">
        <v>6302</v>
      </c>
      <c r="EE73" s="241">
        <v>100000</v>
      </c>
      <c r="EF73" s="245" t="s">
        <v>3367</v>
      </c>
      <c r="EG73" s="245" t="s">
        <v>600</v>
      </c>
      <c r="EH73" s="245">
        <v>2</v>
      </c>
      <c r="EI73" s="245" t="s">
        <v>3916</v>
      </c>
      <c r="EJ73" s="245" t="s">
        <v>3480</v>
      </c>
      <c r="EK73" s="246">
        <v>44134</v>
      </c>
      <c r="EL73" s="244" t="s">
        <v>6303</v>
      </c>
      <c r="EM73" s="236">
        <v>0</v>
      </c>
      <c r="EN73" s="247" t="s">
        <v>3367</v>
      </c>
      <c r="EO73" s="247" t="s">
        <v>600</v>
      </c>
      <c r="EP73" s="247">
        <v>2</v>
      </c>
      <c r="EQ73" s="247" t="s">
        <v>3916</v>
      </c>
      <c r="ER73" s="247" t="s">
        <v>3480</v>
      </c>
      <c r="ES73" s="237">
        <v>44134</v>
      </c>
      <c r="ET73" s="245" t="s">
        <v>6304</v>
      </c>
      <c r="EU73" s="245">
        <v>0</v>
      </c>
      <c r="EV73" s="245">
        <v>0</v>
      </c>
      <c r="EW73" s="245" t="s">
        <v>600</v>
      </c>
      <c r="EX73" s="245">
        <v>2</v>
      </c>
      <c r="EY73" s="245" t="s">
        <v>740</v>
      </c>
      <c r="EZ73" s="245">
        <v>0</v>
      </c>
      <c r="FA73" s="246">
        <v>43495</v>
      </c>
      <c r="FB73" s="244" t="s">
        <v>6305</v>
      </c>
      <c r="FC73" s="247">
        <v>1</v>
      </c>
      <c r="FD73" s="247">
        <v>0</v>
      </c>
      <c r="FE73" s="247" t="s">
        <v>600</v>
      </c>
      <c r="FF73" s="247">
        <v>2</v>
      </c>
      <c r="FG73" s="247" t="s">
        <v>742</v>
      </c>
      <c r="FH73" s="247">
        <v>0</v>
      </c>
      <c r="FI73" s="237">
        <v>43495</v>
      </c>
      <c r="FJ73" s="244" t="s">
        <v>6306</v>
      </c>
      <c r="FK73" s="245">
        <v>0</v>
      </c>
      <c r="FL73" s="245">
        <v>0</v>
      </c>
      <c r="FM73" s="245" t="s">
        <v>600</v>
      </c>
      <c r="FN73" s="245">
        <v>2</v>
      </c>
      <c r="FO73" s="245" t="s">
        <v>743</v>
      </c>
      <c r="FP73" s="241">
        <v>0</v>
      </c>
      <c r="FQ73" s="242">
        <v>43495</v>
      </c>
      <c r="FR73" s="244" t="s">
        <v>6307</v>
      </c>
      <c r="FS73" s="247">
        <v>0</v>
      </c>
      <c r="FT73" s="247">
        <v>0</v>
      </c>
      <c r="FU73" s="247" t="s">
        <v>600</v>
      </c>
      <c r="FV73" s="247">
        <v>2</v>
      </c>
      <c r="FW73" s="247" t="s">
        <v>743</v>
      </c>
      <c r="FX73" s="247">
        <v>0</v>
      </c>
      <c r="FY73" s="237">
        <v>43495</v>
      </c>
      <c r="FZ73" s="245" t="s">
        <v>6308</v>
      </c>
      <c r="GA73" s="245">
        <v>0</v>
      </c>
      <c r="GB73" s="245" t="s">
        <v>1587</v>
      </c>
      <c r="GC73" s="245" t="s">
        <v>601</v>
      </c>
      <c r="GD73" s="245">
        <v>1</v>
      </c>
      <c r="GE73" s="245" t="s">
        <v>1623</v>
      </c>
      <c r="GF73" s="245" t="s">
        <v>1624</v>
      </c>
      <c r="GG73" s="246">
        <v>43766</v>
      </c>
      <c r="GH73" s="244" t="s">
        <v>6309</v>
      </c>
      <c r="GI73" s="247">
        <v>0</v>
      </c>
      <c r="GJ73" s="247" t="s">
        <v>1587</v>
      </c>
      <c r="GK73" s="247" t="s">
        <v>601</v>
      </c>
      <c r="GL73" s="247">
        <v>1</v>
      </c>
      <c r="GM73" s="247" t="s">
        <v>1623</v>
      </c>
      <c r="GN73" s="247" t="s">
        <v>1624</v>
      </c>
      <c r="GO73" s="237">
        <v>43766</v>
      </c>
      <c r="GP73" s="245" t="s">
        <v>6310</v>
      </c>
      <c r="GQ73" s="245">
        <v>0</v>
      </c>
      <c r="GR73" s="245" t="s">
        <v>1587</v>
      </c>
      <c r="GS73" s="245" t="s">
        <v>601</v>
      </c>
      <c r="GT73" s="245">
        <v>1</v>
      </c>
      <c r="GU73" s="245" t="s">
        <v>1623</v>
      </c>
      <c r="GV73" s="245" t="s">
        <v>1624</v>
      </c>
      <c r="GW73" s="246">
        <v>43766</v>
      </c>
      <c r="GX73" s="244" t="s">
        <v>6311</v>
      </c>
      <c r="GY73" s="247">
        <v>0</v>
      </c>
      <c r="GZ73" s="247" t="s">
        <v>1587</v>
      </c>
      <c r="HA73" s="247" t="s">
        <v>601</v>
      </c>
      <c r="HB73" s="247">
        <v>1</v>
      </c>
      <c r="HC73" s="247" t="s">
        <v>1623</v>
      </c>
      <c r="HD73" s="247" t="s">
        <v>1624</v>
      </c>
      <c r="HE73" s="237">
        <v>43766</v>
      </c>
      <c r="HF73" s="245" t="s">
        <v>6312</v>
      </c>
      <c r="HG73" s="245">
        <v>0</v>
      </c>
      <c r="HH73" s="245" t="s">
        <v>1587</v>
      </c>
      <c r="HI73" s="245" t="s">
        <v>601</v>
      </c>
      <c r="HJ73" s="245">
        <v>1</v>
      </c>
      <c r="HK73" s="245" t="s">
        <v>1623</v>
      </c>
      <c r="HL73" s="245" t="s">
        <v>1624</v>
      </c>
      <c r="HM73" s="246">
        <v>43766</v>
      </c>
      <c r="HN73" s="244" t="s">
        <v>6313</v>
      </c>
      <c r="HO73" s="247">
        <v>0</v>
      </c>
      <c r="HP73" s="247" t="s">
        <v>1587</v>
      </c>
      <c r="HQ73" s="247" t="s">
        <v>601</v>
      </c>
      <c r="HR73" s="247">
        <v>1</v>
      </c>
      <c r="HS73" s="247" t="s">
        <v>1623</v>
      </c>
      <c r="HT73" s="247" t="s">
        <v>1624</v>
      </c>
      <c r="HU73" s="237">
        <v>43766</v>
      </c>
      <c r="HV73" s="245" t="s">
        <v>6314</v>
      </c>
      <c r="HW73" s="245">
        <v>0</v>
      </c>
      <c r="HX73" s="245" t="s">
        <v>1587</v>
      </c>
      <c r="HY73" s="245" t="s">
        <v>601</v>
      </c>
      <c r="HZ73" s="245">
        <v>1</v>
      </c>
      <c r="IA73" s="245" t="s">
        <v>1623</v>
      </c>
      <c r="IB73" s="245" t="s">
        <v>1624</v>
      </c>
      <c r="IC73" s="246">
        <v>43766</v>
      </c>
      <c r="ID73" s="244" t="s">
        <v>6315</v>
      </c>
      <c r="IE73" s="247">
        <v>0</v>
      </c>
      <c r="IF73" s="247" t="s">
        <v>1587</v>
      </c>
      <c r="IG73" s="247" t="s">
        <v>601</v>
      </c>
      <c r="IH73" s="247">
        <v>1</v>
      </c>
      <c r="II73" s="247" t="s">
        <v>1623</v>
      </c>
      <c r="IJ73" s="247" t="s">
        <v>1624</v>
      </c>
      <c r="IK73" s="237">
        <v>43766</v>
      </c>
      <c r="IL73" s="245" t="s">
        <v>6316</v>
      </c>
      <c r="IM73" s="245">
        <v>1</v>
      </c>
      <c r="IN73" s="245" t="s">
        <v>1587</v>
      </c>
      <c r="IO73" s="245" t="s">
        <v>601</v>
      </c>
      <c r="IP73" s="245">
        <v>1</v>
      </c>
      <c r="IQ73" s="245" t="s">
        <v>1623</v>
      </c>
      <c r="IR73" s="245" t="s">
        <v>1624</v>
      </c>
      <c r="IS73" s="246">
        <v>43766</v>
      </c>
    </row>
    <row r="74" spans="1:253" s="11" customFormat="1" ht="13.2" x14ac:dyDescent="0.25">
      <c r="A74" s="11" t="s">
        <v>2100</v>
      </c>
      <c r="B74" s="11" t="s">
        <v>1281</v>
      </c>
      <c r="C74" s="11" t="s">
        <v>2135</v>
      </c>
      <c r="D74" s="11" t="s">
        <v>2137</v>
      </c>
      <c r="E74" s="11" t="s">
        <v>2136</v>
      </c>
      <c r="F74" s="11" t="s">
        <v>6317</v>
      </c>
      <c r="G74" s="235">
        <v>112526000</v>
      </c>
      <c r="H74" s="236" t="s">
        <v>3313</v>
      </c>
      <c r="I74" s="236" t="s">
        <v>600</v>
      </c>
      <c r="J74" s="236">
        <v>2</v>
      </c>
      <c r="K74" s="236" t="s">
        <v>3619</v>
      </c>
      <c r="L74" s="236" t="s">
        <v>3313</v>
      </c>
      <c r="M74" s="237">
        <v>44110</v>
      </c>
      <c r="N74" s="244" t="s">
        <v>6318</v>
      </c>
      <c r="O74" s="239">
        <v>1821365</v>
      </c>
      <c r="P74" s="239" t="s">
        <v>3313</v>
      </c>
      <c r="Q74" s="239" t="s">
        <v>600</v>
      </c>
      <c r="R74" s="239">
        <v>2</v>
      </c>
      <c r="S74" s="239" t="s">
        <v>3620</v>
      </c>
      <c r="T74" s="239" t="s">
        <v>3313</v>
      </c>
      <c r="U74" s="240">
        <v>44110</v>
      </c>
      <c r="V74" s="244" t="s">
        <v>6319</v>
      </c>
      <c r="W74" s="236">
        <v>52142000</v>
      </c>
      <c r="X74" s="236" t="s">
        <v>3313</v>
      </c>
      <c r="Y74" s="236" t="s">
        <v>600</v>
      </c>
      <c r="Z74" s="236">
        <v>2</v>
      </c>
      <c r="AA74" s="236" t="s">
        <v>3993</v>
      </c>
      <c r="AB74" s="236" t="s">
        <v>3313</v>
      </c>
      <c r="AC74" s="237">
        <v>44136</v>
      </c>
      <c r="AD74" s="244" t="s">
        <v>6320</v>
      </c>
      <c r="AE74" s="241">
        <v>26810000</v>
      </c>
      <c r="AF74" s="241" t="s">
        <v>3313</v>
      </c>
      <c r="AG74" s="241" t="s">
        <v>600</v>
      </c>
      <c r="AH74" s="241">
        <v>2</v>
      </c>
      <c r="AI74" s="241" t="s">
        <v>3994</v>
      </c>
      <c r="AJ74" s="241" t="s">
        <v>3313</v>
      </c>
      <c r="AK74" s="242">
        <v>44136</v>
      </c>
      <c r="AL74" s="244" t="s">
        <v>6321</v>
      </c>
      <c r="AM74" s="236">
        <v>21000</v>
      </c>
      <c r="AN74" s="236" t="s">
        <v>1929</v>
      </c>
      <c r="AO74" s="236" t="s">
        <v>600</v>
      </c>
      <c r="AP74" s="236">
        <v>2</v>
      </c>
      <c r="AQ74" s="236" t="s">
        <v>2114</v>
      </c>
      <c r="AR74" s="236" t="s">
        <v>1937</v>
      </c>
      <c r="AS74" s="237">
        <v>44069</v>
      </c>
      <c r="AT74" s="245" t="s">
        <v>6322</v>
      </c>
      <c r="AU74" s="241">
        <v>0</v>
      </c>
      <c r="AV74" s="241" t="s">
        <v>393</v>
      </c>
      <c r="AW74" s="241" t="s">
        <v>393</v>
      </c>
      <c r="AX74" s="241" t="s">
        <v>393</v>
      </c>
      <c r="AY74" s="241" t="s">
        <v>393</v>
      </c>
      <c r="AZ74" s="241" t="s">
        <v>393</v>
      </c>
      <c r="BA74" s="242">
        <v>43874</v>
      </c>
      <c r="BB74" s="244" t="s">
        <v>6323</v>
      </c>
      <c r="BC74" s="236">
        <v>0</v>
      </c>
      <c r="BD74" s="236" t="s">
        <v>393</v>
      </c>
      <c r="BE74" s="236" t="s">
        <v>393</v>
      </c>
      <c r="BF74" s="236" t="s">
        <v>393</v>
      </c>
      <c r="BG74" s="236" t="s">
        <v>393</v>
      </c>
      <c r="BH74" s="236" t="s">
        <v>393</v>
      </c>
      <c r="BI74" s="237">
        <v>43874</v>
      </c>
      <c r="BJ74" s="245" t="s">
        <v>6324</v>
      </c>
      <c r="BK74" s="245">
        <v>47</v>
      </c>
      <c r="BL74" s="245" t="s">
        <v>3313</v>
      </c>
      <c r="BM74" s="245" t="s">
        <v>600</v>
      </c>
      <c r="BN74" s="245">
        <v>2</v>
      </c>
      <c r="BO74" s="245" t="s">
        <v>4002</v>
      </c>
      <c r="BP74" s="241" t="s">
        <v>3313</v>
      </c>
      <c r="BQ74" s="246">
        <v>44136</v>
      </c>
      <c r="BR74" s="244" t="s">
        <v>6325</v>
      </c>
      <c r="BS74" s="247">
        <v>0</v>
      </c>
      <c r="BT74" s="247" t="s">
        <v>393</v>
      </c>
      <c r="BU74" s="247" t="s">
        <v>393</v>
      </c>
      <c r="BV74" s="247" t="s">
        <v>393</v>
      </c>
      <c r="BW74" s="247" t="s">
        <v>393</v>
      </c>
      <c r="BX74" s="247" t="s">
        <v>393</v>
      </c>
      <c r="BY74" s="237">
        <v>43878</v>
      </c>
      <c r="BZ74" s="245" t="s">
        <v>6326</v>
      </c>
      <c r="CA74" s="245">
        <v>0</v>
      </c>
      <c r="CB74" s="245" t="s">
        <v>393</v>
      </c>
      <c r="CC74" s="245" t="s">
        <v>393</v>
      </c>
      <c r="CD74" s="245" t="s">
        <v>393</v>
      </c>
      <c r="CE74" s="245" t="s">
        <v>393</v>
      </c>
      <c r="CF74" s="245" t="s">
        <v>393</v>
      </c>
      <c r="CG74" s="246">
        <v>43874</v>
      </c>
      <c r="CH74" s="244" t="s">
        <v>6327</v>
      </c>
      <c r="CI74" s="245" t="e">
        <v>#N/A</v>
      </c>
      <c r="CJ74" s="245" t="e">
        <v>#N/A</v>
      </c>
      <c r="CK74" s="245" t="e">
        <v>#N/A</v>
      </c>
      <c r="CL74" s="245" t="e">
        <v>#N/A</v>
      </c>
      <c r="CM74" s="245" t="e">
        <v>#N/A</v>
      </c>
      <c r="CN74" s="245" t="e">
        <v>#N/A</v>
      </c>
      <c r="CO74" s="248" t="e">
        <v>#N/A</v>
      </c>
      <c r="CP74" s="245" t="s">
        <v>6328</v>
      </c>
      <c r="CQ74" s="247">
        <v>0</v>
      </c>
      <c r="CR74" s="247" t="s">
        <v>393</v>
      </c>
      <c r="CS74" s="247" t="s">
        <v>393</v>
      </c>
      <c r="CT74" s="247" t="s">
        <v>393</v>
      </c>
      <c r="CU74" s="247" t="s">
        <v>393</v>
      </c>
      <c r="CV74" s="247" t="s">
        <v>393</v>
      </c>
      <c r="CW74" s="237">
        <v>43874</v>
      </c>
      <c r="CX74" s="245" t="s">
        <v>6329</v>
      </c>
      <c r="CY74" s="241">
        <v>14176000</v>
      </c>
      <c r="CZ74" s="241" t="s">
        <v>3313</v>
      </c>
      <c r="DA74" s="241" t="s">
        <v>600</v>
      </c>
      <c r="DB74" s="241">
        <v>2</v>
      </c>
      <c r="DC74" s="241" t="s">
        <v>3996</v>
      </c>
      <c r="DD74" s="241" t="s">
        <v>3313</v>
      </c>
      <c r="DE74" s="243">
        <v>44136</v>
      </c>
      <c r="DF74" s="244" t="s">
        <v>6330</v>
      </c>
      <c r="DG74" s="236">
        <v>25331000</v>
      </c>
      <c r="DH74" s="247" t="s">
        <v>3313</v>
      </c>
      <c r="DI74" s="247" t="s">
        <v>600</v>
      </c>
      <c r="DJ74" s="247">
        <v>2</v>
      </c>
      <c r="DK74" s="247" t="s">
        <v>3996</v>
      </c>
      <c r="DL74" s="247" t="s">
        <v>3313</v>
      </c>
      <c r="DM74" s="237">
        <v>44136</v>
      </c>
      <c r="DN74" s="245" t="s">
        <v>6331</v>
      </c>
      <c r="DO74" s="241">
        <v>12633000</v>
      </c>
      <c r="DP74" s="245" t="s">
        <v>3313</v>
      </c>
      <c r="DQ74" s="245" t="s">
        <v>600</v>
      </c>
      <c r="DR74" s="245">
        <v>2</v>
      </c>
      <c r="DS74" s="245" t="s">
        <v>3996</v>
      </c>
      <c r="DT74" s="245" t="s">
        <v>3313</v>
      </c>
      <c r="DU74" s="246">
        <v>44136</v>
      </c>
      <c r="DV74" s="244" t="s">
        <v>6332</v>
      </c>
      <c r="DW74" s="236">
        <v>13565000</v>
      </c>
      <c r="DX74" s="247" t="s">
        <v>3313</v>
      </c>
      <c r="DY74" s="247" t="s">
        <v>600</v>
      </c>
      <c r="DZ74" s="247">
        <v>2</v>
      </c>
      <c r="EA74" s="247" t="s">
        <v>3996</v>
      </c>
      <c r="EB74" s="247" t="s">
        <v>3313</v>
      </c>
      <c r="EC74" s="237">
        <v>44136</v>
      </c>
      <c r="ED74" s="245" t="s">
        <v>6333</v>
      </c>
      <c r="EE74" s="241">
        <v>611000</v>
      </c>
      <c r="EF74" s="245" t="s">
        <v>3313</v>
      </c>
      <c r="EG74" s="245" t="s">
        <v>600</v>
      </c>
      <c r="EH74" s="245">
        <v>2</v>
      </c>
      <c r="EI74" s="245" t="s">
        <v>3996</v>
      </c>
      <c r="EJ74" s="245" t="s">
        <v>3313</v>
      </c>
      <c r="EK74" s="246">
        <v>44136</v>
      </c>
      <c r="EL74" s="244" t="s">
        <v>6334</v>
      </c>
      <c r="EM74" s="236">
        <v>0</v>
      </c>
      <c r="EN74" s="247" t="s">
        <v>3313</v>
      </c>
      <c r="EO74" s="247" t="s">
        <v>600</v>
      </c>
      <c r="EP74" s="247">
        <v>2</v>
      </c>
      <c r="EQ74" s="247" t="s">
        <v>3996</v>
      </c>
      <c r="ER74" s="247" t="s">
        <v>3313</v>
      </c>
      <c r="ES74" s="237">
        <v>44136</v>
      </c>
      <c r="ET74" s="245" t="s">
        <v>6335</v>
      </c>
      <c r="EU74" s="245">
        <v>1969</v>
      </c>
      <c r="EV74" s="245" t="s">
        <v>3313</v>
      </c>
      <c r="EW74" s="245" t="s">
        <v>600</v>
      </c>
      <c r="EX74" s="245">
        <v>2</v>
      </c>
      <c r="EY74" s="245" t="s">
        <v>3995</v>
      </c>
      <c r="EZ74" s="245" t="s">
        <v>3313</v>
      </c>
      <c r="FA74" s="246">
        <v>44136</v>
      </c>
      <c r="FB74" s="244" t="s">
        <v>6336</v>
      </c>
      <c r="FC74" s="247">
        <v>5</v>
      </c>
      <c r="FD74" s="247">
        <v>0</v>
      </c>
      <c r="FE74" s="247" t="s">
        <v>601</v>
      </c>
      <c r="FF74" s="247">
        <v>1</v>
      </c>
      <c r="FG74" s="247" t="s">
        <v>2113</v>
      </c>
      <c r="FH74" s="247" t="s">
        <v>393</v>
      </c>
      <c r="FI74" s="237">
        <v>43874</v>
      </c>
      <c r="FJ74" s="244" t="s">
        <v>6337</v>
      </c>
      <c r="FK74" s="245" t="e">
        <v>#N/A</v>
      </c>
      <c r="FL74" s="245" t="e">
        <v>#N/A</v>
      </c>
      <c r="FM74" s="245" t="e">
        <v>#N/A</v>
      </c>
      <c r="FN74" s="245" t="e">
        <v>#N/A</v>
      </c>
      <c r="FO74" s="245" t="e">
        <v>#N/A</v>
      </c>
      <c r="FP74" s="241" t="e">
        <v>#N/A</v>
      </c>
      <c r="FQ74" s="242" t="e">
        <v>#N/A</v>
      </c>
      <c r="FR74" s="244" t="s">
        <v>6338</v>
      </c>
      <c r="FS74" s="247" t="e">
        <v>#N/A</v>
      </c>
      <c r="FT74" s="247" t="e">
        <v>#N/A</v>
      </c>
      <c r="FU74" s="247" t="e">
        <v>#N/A</v>
      </c>
      <c r="FV74" s="247" t="e">
        <v>#N/A</v>
      </c>
      <c r="FW74" s="247" t="e">
        <v>#N/A</v>
      </c>
      <c r="FX74" s="247" t="e">
        <v>#N/A</v>
      </c>
      <c r="FY74" s="237" t="e">
        <v>#N/A</v>
      </c>
      <c r="FZ74" s="245" t="s">
        <v>6339</v>
      </c>
      <c r="GA74" s="245">
        <v>0</v>
      </c>
      <c r="GB74" s="245" t="s">
        <v>2112</v>
      </c>
      <c r="GC74" s="245" t="s">
        <v>600</v>
      </c>
      <c r="GD74" s="245">
        <v>2</v>
      </c>
      <c r="GE74" s="245" t="s">
        <v>393</v>
      </c>
      <c r="GF74" s="245" t="s">
        <v>1723</v>
      </c>
      <c r="GG74" s="246">
        <v>43874</v>
      </c>
      <c r="GH74" s="244" t="s">
        <v>6340</v>
      </c>
      <c r="GI74" s="247">
        <v>0</v>
      </c>
      <c r="GJ74" s="247" t="s">
        <v>2112</v>
      </c>
      <c r="GK74" s="247" t="s">
        <v>600</v>
      </c>
      <c r="GL74" s="247">
        <v>2</v>
      </c>
      <c r="GM74" s="247" t="s">
        <v>393</v>
      </c>
      <c r="GN74" s="247" t="s">
        <v>1723</v>
      </c>
      <c r="GO74" s="237">
        <v>43874</v>
      </c>
      <c r="GP74" s="245" t="s">
        <v>6341</v>
      </c>
      <c r="GQ74" s="245">
        <v>0</v>
      </c>
      <c r="GR74" s="245" t="s">
        <v>2112</v>
      </c>
      <c r="GS74" s="245" t="s">
        <v>600</v>
      </c>
      <c r="GT74" s="245">
        <v>2</v>
      </c>
      <c r="GU74" s="245" t="s">
        <v>393</v>
      </c>
      <c r="GV74" s="245" t="s">
        <v>1723</v>
      </c>
      <c r="GW74" s="246">
        <v>43874</v>
      </c>
      <c r="GX74" s="244" t="s">
        <v>6342</v>
      </c>
      <c r="GY74" s="247">
        <v>0</v>
      </c>
      <c r="GZ74" s="247" t="s">
        <v>2112</v>
      </c>
      <c r="HA74" s="247" t="s">
        <v>600</v>
      </c>
      <c r="HB74" s="247">
        <v>2</v>
      </c>
      <c r="HC74" s="247" t="s">
        <v>393</v>
      </c>
      <c r="HD74" s="247" t="s">
        <v>1723</v>
      </c>
      <c r="HE74" s="237">
        <v>43874</v>
      </c>
      <c r="HF74" s="245" t="s">
        <v>6343</v>
      </c>
      <c r="HG74" s="245">
        <v>0</v>
      </c>
      <c r="HH74" s="245" t="s">
        <v>2112</v>
      </c>
      <c r="HI74" s="245" t="s">
        <v>600</v>
      </c>
      <c r="HJ74" s="245">
        <v>2</v>
      </c>
      <c r="HK74" s="245" t="s">
        <v>393</v>
      </c>
      <c r="HL74" s="245" t="s">
        <v>1723</v>
      </c>
      <c r="HM74" s="246">
        <v>43874</v>
      </c>
      <c r="HN74" s="244" t="s">
        <v>6344</v>
      </c>
      <c r="HO74" s="247">
        <v>0</v>
      </c>
      <c r="HP74" s="247" t="s">
        <v>2112</v>
      </c>
      <c r="HQ74" s="247" t="s">
        <v>600</v>
      </c>
      <c r="HR74" s="247">
        <v>2</v>
      </c>
      <c r="HS74" s="247" t="s">
        <v>393</v>
      </c>
      <c r="HT74" s="247" t="s">
        <v>1723</v>
      </c>
      <c r="HU74" s="237">
        <v>43874</v>
      </c>
      <c r="HV74" s="245" t="s">
        <v>6345</v>
      </c>
      <c r="HW74" s="245">
        <v>3</v>
      </c>
      <c r="HX74" s="245" t="s">
        <v>2112</v>
      </c>
      <c r="HY74" s="245" t="s">
        <v>600</v>
      </c>
      <c r="HZ74" s="245">
        <v>2</v>
      </c>
      <c r="IA74" s="245" t="s">
        <v>393</v>
      </c>
      <c r="IB74" s="245" t="s">
        <v>1723</v>
      </c>
      <c r="IC74" s="246">
        <v>43874</v>
      </c>
      <c r="ID74" s="244" t="s">
        <v>6346</v>
      </c>
      <c r="IE74" s="247">
        <v>0</v>
      </c>
      <c r="IF74" s="247" t="s">
        <v>2112</v>
      </c>
      <c r="IG74" s="247" t="s">
        <v>600</v>
      </c>
      <c r="IH74" s="247">
        <v>2</v>
      </c>
      <c r="II74" s="247" t="s">
        <v>393</v>
      </c>
      <c r="IJ74" s="247" t="s">
        <v>1723</v>
      </c>
      <c r="IK74" s="237">
        <v>43874</v>
      </c>
      <c r="IL74" s="245" t="s">
        <v>6347</v>
      </c>
      <c r="IM74" s="245">
        <v>2</v>
      </c>
      <c r="IN74" s="245" t="s">
        <v>2112</v>
      </c>
      <c r="IO74" s="245" t="s">
        <v>600</v>
      </c>
      <c r="IP74" s="245">
        <v>2</v>
      </c>
      <c r="IQ74" s="245" t="s">
        <v>393</v>
      </c>
      <c r="IR74" s="245" t="s">
        <v>1723</v>
      </c>
      <c r="IS74" s="246">
        <v>43874</v>
      </c>
    </row>
    <row r="75" spans="1:253" s="11" customFormat="1" ht="13.2" x14ac:dyDescent="0.25">
      <c r="A75" s="11" t="s">
        <v>1094</v>
      </c>
      <c r="B75" s="11" t="s">
        <v>3258</v>
      </c>
      <c r="C75" s="11" t="s">
        <v>587</v>
      </c>
      <c r="D75" s="11" t="s">
        <v>180</v>
      </c>
      <c r="E75" s="11" t="s">
        <v>179</v>
      </c>
      <c r="F75" s="11" t="s">
        <v>6348</v>
      </c>
      <c r="G75" s="235">
        <v>6871000</v>
      </c>
      <c r="H75" s="236" t="s">
        <v>2332</v>
      </c>
      <c r="I75" s="236" t="s">
        <v>600</v>
      </c>
      <c r="J75" s="236">
        <v>2</v>
      </c>
      <c r="K75" s="236" t="s">
        <v>2368</v>
      </c>
      <c r="L75" s="236" t="s">
        <v>2342</v>
      </c>
      <c r="M75" s="237">
        <v>43950</v>
      </c>
      <c r="N75" s="244" t="s">
        <v>6349</v>
      </c>
      <c r="O75" s="239">
        <v>1759540</v>
      </c>
      <c r="P75" s="239" t="s">
        <v>1551</v>
      </c>
      <c r="Q75" s="239" t="s">
        <v>601</v>
      </c>
      <c r="R75" s="239">
        <v>1</v>
      </c>
      <c r="S75" s="239" t="s">
        <v>2369</v>
      </c>
      <c r="T75" s="239" t="s">
        <v>2343</v>
      </c>
      <c r="U75" s="240">
        <v>43950</v>
      </c>
      <c r="V75" s="244" t="s">
        <v>6350</v>
      </c>
      <c r="W75" s="236">
        <v>6871000</v>
      </c>
      <c r="X75" s="236" t="s">
        <v>2332</v>
      </c>
      <c r="Y75" s="236" t="s">
        <v>601</v>
      </c>
      <c r="Z75" s="236">
        <v>1</v>
      </c>
      <c r="AA75" s="236" t="s">
        <v>810</v>
      </c>
      <c r="AB75" s="236" t="s">
        <v>2342</v>
      </c>
      <c r="AC75" s="237">
        <v>43950</v>
      </c>
      <c r="AD75" s="244" t="s">
        <v>6351</v>
      </c>
      <c r="AE75" s="241">
        <v>1800000</v>
      </c>
      <c r="AF75" s="241" t="s">
        <v>2333</v>
      </c>
      <c r="AG75" s="241" t="s">
        <v>600</v>
      </c>
      <c r="AH75" s="241">
        <v>2</v>
      </c>
      <c r="AI75" s="241" t="s">
        <v>2370</v>
      </c>
      <c r="AJ75" s="241" t="s">
        <v>2344</v>
      </c>
      <c r="AK75" s="242">
        <v>43950</v>
      </c>
      <c r="AL75" s="244" t="s">
        <v>6352</v>
      </c>
      <c r="AM75" s="236">
        <v>1466000</v>
      </c>
      <c r="AN75" s="236" t="s">
        <v>3287</v>
      </c>
      <c r="AO75" s="236" t="s">
        <v>600</v>
      </c>
      <c r="AP75" s="236">
        <v>2</v>
      </c>
      <c r="AQ75" s="236" t="s">
        <v>2716</v>
      </c>
      <c r="AR75" s="236" t="s">
        <v>2706</v>
      </c>
      <c r="AS75" s="237">
        <v>44102</v>
      </c>
      <c r="AT75" s="245" t="s">
        <v>6353</v>
      </c>
      <c r="AU75" s="241" t="s">
        <v>393</v>
      </c>
      <c r="AV75" s="241" t="s">
        <v>393</v>
      </c>
      <c r="AW75" s="241" t="s">
        <v>393</v>
      </c>
      <c r="AX75" s="241" t="s">
        <v>393</v>
      </c>
      <c r="AY75" s="241" t="s">
        <v>1589</v>
      </c>
      <c r="AZ75" s="241" t="s">
        <v>393</v>
      </c>
      <c r="BA75" s="242">
        <v>43767</v>
      </c>
      <c r="BB75" s="244" t="s">
        <v>6354</v>
      </c>
      <c r="BC75" s="236" t="s">
        <v>393</v>
      </c>
      <c r="BD75" s="236">
        <v>0</v>
      </c>
      <c r="BE75" s="236" t="s">
        <v>393</v>
      </c>
      <c r="BF75" s="236" t="s">
        <v>393</v>
      </c>
      <c r="BG75" s="236" t="s">
        <v>811</v>
      </c>
      <c r="BH75" s="236">
        <v>0</v>
      </c>
      <c r="BI75" s="237">
        <v>43503</v>
      </c>
      <c r="BJ75" s="245" t="s">
        <v>6355</v>
      </c>
      <c r="BK75" s="245">
        <v>692</v>
      </c>
      <c r="BL75" s="245" t="s">
        <v>3838</v>
      </c>
      <c r="BM75" s="245" t="s">
        <v>599</v>
      </c>
      <c r="BN75" s="245">
        <v>3</v>
      </c>
      <c r="BO75" s="245" t="s">
        <v>3428</v>
      </c>
      <c r="BP75" s="241" t="s">
        <v>1963</v>
      </c>
      <c r="BQ75" s="246">
        <v>44130</v>
      </c>
      <c r="BR75" s="244" t="s">
        <v>6356</v>
      </c>
      <c r="BS75" s="247" t="s">
        <v>393</v>
      </c>
      <c r="BT75" s="247">
        <v>0</v>
      </c>
      <c r="BU75" s="247" t="s">
        <v>393</v>
      </c>
      <c r="BV75" s="247" t="s">
        <v>393</v>
      </c>
      <c r="BW75" s="247" t="s">
        <v>811</v>
      </c>
      <c r="BX75" s="247">
        <v>0</v>
      </c>
      <c r="BY75" s="237">
        <v>43503</v>
      </c>
      <c r="BZ75" s="245" t="s">
        <v>6357</v>
      </c>
      <c r="CA75" s="245" t="s">
        <v>393</v>
      </c>
      <c r="CB75" s="245">
        <v>0</v>
      </c>
      <c r="CC75" s="245" t="s">
        <v>393</v>
      </c>
      <c r="CD75" s="245" t="s">
        <v>393</v>
      </c>
      <c r="CE75" s="245" t="s">
        <v>811</v>
      </c>
      <c r="CF75" s="245">
        <v>0</v>
      </c>
      <c r="CG75" s="246">
        <v>43503</v>
      </c>
      <c r="CH75" s="244" t="s">
        <v>6358</v>
      </c>
      <c r="CI75" s="245" t="e">
        <v>#N/A</v>
      </c>
      <c r="CJ75" s="245" t="e">
        <v>#N/A</v>
      </c>
      <c r="CK75" s="245" t="e">
        <v>#N/A</v>
      </c>
      <c r="CL75" s="245" t="e">
        <v>#N/A</v>
      </c>
      <c r="CM75" s="245" t="e">
        <v>#N/A</v>
      </c>
      <c r="CN75" s="245" t="e">
        <v>#N/A</v>
      </c>
      <c r="CO75" s="248" t="e">
        <v>#N/A</v>
      </c>
      <c r="CP75" s="245" t="s">
        <v>6359</v>
      </c>
      <c r="CQ75" s="247" t="s">
        <v>393</v>
      </c>
      <c r="CR75" s="247">
        <v>0</v>
      </c>
      <c r="CS75" s="247" t="s">
        <v>393</v>
      </c>
      <c r="CT75" s="247" t="s">
        <v>393</v>
      </c>
      <c r="CU75" s="247" t="s">
        <v>811</v>
      </c>
      <c r="CV75" s="247">
        <v>0</v>
      </c>
      <c r="CW75" s="237">
        <v>43503</v>
      </c>
      <c r="CX75" s="245" t="s">
        <v>6360</v>
      </c>
      <c r="CY75" s="241">
        <v>1026000</v>
      </c>
      <c r="CZ75" s="241" t="s">
        <v>2160</v>
      </c>
      <c r="DA75" s="241" t="s">
        <v>1364</v>
      </c>
      <c r="DB75" s="241">
        <v>2</v>
      </c>
      <c r="DC75" s="241" t="s">
        <v>2371</v>
      </c>
      <c r="DD75" s="241" t="s">
        <v>2344</v>
      </c>
      <c r="DE75" s="243">
        <v>43950</v>
      </c>
      <c r="DF75" s="244" t="s">
        <v>6361</v>
      </c>
      <c r="DG75" s="236">
        <v>5071000</v>
      </c>
      <c r="DH75" s="247" t="s">
        <v>2160</v>
      </c>
      <c r="DI75" s="247" t="s">
        <v>1364</v>
      </c>
      <c r="DJ75" s="247">
        <v>2</v>
      </c>
      <c r="DK75" s="247" t="s">
        <v>2371</v>
      </c>
      <c r="DL75" s="247" t="s">
        <v>2344</v>
      </c>
      <c r="DM75" s="237">
        <v>43950</v>
      </c>
      <c r="DN75" s="245" t="s">
        <v>6362</v>
      </c>
      <c r="DO75" s="241">
        <v>774000</v>
      </c>
      <c r="DP75" s="245" t="s">
        <v>2160</v>
      </c>
      <c r="DQ75" s="245" t="s">
        <v>1364</v>
      </c>
      <c r="DR75" s="245">
        <v>2</v>
      </c>
      <c r="DS75" s="245" t="s">
        <v>2371</v>
      </c>
      <c r="DT75" s="245" t="s">
        <v>2344</v>
      </c>
      <c r="DU75" s="246">
        <v>43950</v>
      </c>
      <c r="DV75" s="244" t="s">
        <v>6363</v>
      </c>
      <c r="DW75" s="236">
        <v>108000</v>
      </c>
      <c r="DX75" s="247" t="s">
        <v>2160</v>
      </c>
      <c r="DY75" s="247" t="s">
        <v>1364</v>
      </c>
      <c r="DZ75" s="247">
        <v>2</v>
      </c>
      <c r="EA75" s="247" t="s">
        <v>2371</v>
      </c>
      <c r="EB75" s="247" t="s">
        <v>2344</v>
      </c>
      <c r="EC75" s="237">
        <v>43950</v>
      </c>
      <c r="ED75" s="245" t="s">
        <v>6364</v>
      </c>
      <c r="EE75" s="241">
        <v>558000</v>
      </c>
      <c r="EF75" s="245" t="s">
        <v>2160</v>
      </c>
      <c r="EG75" s="245" t="s">
        <v>1364</v>
      </c>
      <c r="EH75" s="245">
        <v>2</v>
      </c>
      <c r="EI75" s="245" t="s">
        <v>2371</v>
      </c>
      <c r="EJ75" s="245" t="s">
        <v>2344</v>
      </c>
      <c r="EK75" s="246">
        <v>43950</v>
      </c>
      <c r="EL75" s="244" t="s">
        <v>6365</v>
      </c>
      <c r="EM75" s="236">
        <v>360000</v>
      </c>
      <c r="EN75" s="247" t="s">
        <v>2160</v>
      </c>
      <c r="EO75" s="247" t="s">
        <v>1364</v>
      </c>
      <c r="EP75" s="247">
        <v>2</v>
      </c>
      <c r="EQ75" s="247" t="s">
        <v>2371</v>
      </c>
      <c r="ER75" s="247" t="s">
        <v>2344</v>
      </c>
      <c r="ES75" s="237">
        <v>43950</v>
      </c>
      <c r="ET75" s="245" t="s">
        <v>6366</v>
      </c>
      <c r="EU75" s="245">
        <v>692</v>
      </c>
      <c r="EV75" s="245" t="s">
        <v>3838</v>
      </c>
      <c r="EW75" s="245" t="s">
        <v>599</v>
      </c>
      <c r="EX75" s="245">
        <v>3</v>
      </c>
      <c r="EY75" s="245" t="s">
        <v>3428</v>
      </c>
      <c r="EZ75" s="245" t="s">
        <v>1963</v>
      </c>
      <c r="FA75" s="246">
        <v>44130</v>
      </c>
      <c r="FB75" s="244" t="s">
        <v>6367</v>
      </c>
      <c r="FC75" s="247">
        <v>5</v>
      </c>
      <c r="FD75" s="247" t="s">
        <v>2160</v>
      </c>
      <c r="FE75" s="247" t="s">
        <v>1547</v>
      </c>
      <c r="FF75" s="247">
        <v>1</v>
      </c>
      <c r="FG75" s="247" t="s">
        <v>2372</v>
      </c>
      <c r="FH75" s="247" t="s">
        <v>2344</v>
      </c>
      <c r="FI75" s="237">
        <v>43950</v>
      </c>
      <c r="FJ75" s="244" t="s">
        <v>6368</v>
      </c>
      <c r="FK75" s="245">
        <v>198000</v>
      </c>
      <c r="FL75" s="245" t="s">
        <v>2700</v>
      </c>
      <c r="FM75" s="245" t="s">
        <v>599</v>
      </c>
      <c r="FN75" s="245">
        <v>3</v>
      </c>
      <c r="FO75" s="245" t="s">
        <v>2717</v>
      </c>
      <c r="FP75" s="241" t="s">
        <v>2707</v>
      </c>
      <c r="FQ75" s="242">
        <v>44015</v>
      </c>
      <c r="FR75" s="244" t="s">
        <v>6369</v>
      </c>
      <c r="FS75" s="247">
        <v>633000</v>
      </c>
      <c r="FT75" s="247" t="s">
        <v>2700</v>
      </c>
      <c r="FU75" s="247" t="s">
        <v>599</v>
      </c>
      <c r="FV75" s="247">
        <v>3</v>
      </c>
      <c r="FW75" s="247" t="s">
        <v>2717</v>
      </c>
      <c r="FX75" s="247" t="s">
        <v>2707</v>
      </c>
      <c r="FY75" s="237">
        <v>44015</v>
      </c>
      <c r="FZ75" s="245" t="s">
        <v>6370</v>
      </c>
      <c r="GA75" s="245">
        <v>1</v>
      </c>
      <c r="GB75" s="245" t="s">
        <v>1587</v>
      </c>
      <c r="GC75" s="245" t="s">
        <v>1364</v>
      </c>
      <c r="GD75" s="245">
        <v>2</v>
      </c>
      <c r="GE75" s="245" t="s">
        <v>1623</v>
      </c>
      <c r="GF75" s="245" t="s">
        <v>1624</v>
      </c>
      <c r="GG75" s="246">
        <v>43767</v>
      </c>
      <c r="GH75" s="244" t="s">
        <v>6371</v>
      </c>
      <c r="GI75" s="247">
        <v>3</v>
      </c>
      <c r="GJ75" s="247" t="s">
        <v>1587</v>
      </c>
      <c r="GK75" s="247" t="s">
        <v>1364</v>
      </c>
      <c r="GL75" s="247">
        <v>2</v>
      </c>
      <c r="GM75" s="247" t="s">
        <v>1623</v>
      </c>
      <c r="GN75" s="247" t="s">
        <v>1624</v>
      </c>
      <c r="GO75" s="237">
        <v>43767</v>
      </c>
      <c r="GP75" s="245" t="s">
        <v>6372</v>
      </c>
      <c r="GQ75" s="245">
        <v>3</v>
      </c>
      <c r="GR75" s="245" t="s">
        <v>1587</v>
      </c>
      <c r="GS75" s="245" t="s">
        <v>1364</v>
      </c>
      <c r="GT75" s="245">
        <v>2</v>
      </c>
      <c r="GU75" s="245" t="s">
        <v>1623</v>
      </c>
      <c r="GV75" s="245" t="s">
        <v>1624</v>
      </c>
      <c r="GW75" s="246">
        <v>43767</v>
      </c>
      <c r="GX75" s="244" t="s">
        <v>6373</v>
      </c>
      <c r="GY75" s="247">
        <v>1</v>
      </c>
      <c r="GZ75" s="247" t="s">
        <v>1587</v>
      </c>
      <c r="HA75" s="247" t="s">
        <v>1364</v>
      </c>
      <c r="HB75" s="247">
        <v>2</v>
      </c>
      <c r="HC75" s="247" t="s">
        <v>1623</v>
      </c>
      <c r="HD75" s="247" t="s">
        <v>1624</v>
      </c>
      <c r="HE75" s="237">
        <v>43767</v>
      </c>
      <c r="HF75" s="245" t="s">
        <v>6374</v>
      </c>
      <c r="HG75" s="245">
        <v>2</v>
      </c>
      <c r="HH75" s="245" t="s">
        <v>1587</v>
      </c>
      <c r="HI75" s="245" t="s">
        <v>1364</v>
      </c>
      <c r="HJ75" s="245">
        <v>2</v>
      </c>
      <c r="HK75" s="245" t="s">
        <v>1623</v>
      </c>
      <c r="HL75" s="245" t="s">
        <v>1624</v>
      </c>
      <c r="HM75" s="246">
        <v>43767</v>
      </c>
      <c r="HN75" s="244" t="s">
        <v>6375</v>
      </c>
      <c r="HO75" s="247">
        <v>2</v>
      </c>
      <c r="HP75" s="247" t="s">
        <v>1587</v>
      </c>
      <c r="HQ75" s="247" t="s">
        <v>1364</v>
      </c>
      <c r="HR75" s="247">
        <v>2</v>
      </c>
      <c r="HS75" s="247" t="s">
        <v>1623</v>
      </c>
      <c r="HT75" s="247" t="s">
        <v>1624</v>
      </c>
      <c r="HU75" s="237">
        <v>43767</v>
      </c>
      <c r="HV75" s="245" t="s">
        <v>6376</v>
      </c>
      <c r="HW75" s="245">
        <v>3</v>
      </c>
      <c r="HX75" s="245" t="s">
        <v>1587</v>
      </c>
      <c r="HY75" s="245" t="s">
        <v>1364</v>
      </c>
      <c r="HZ75" s="245">
        <v>2</v>
      </c>
      <c r="IA75" s="245" t="s">
        <v>1623</v>
      </c>
      <c r="IB75" s="245" t="s">
        <v>1624</v>
      </c>
      <c r="IC75" s="246">
        <v>43767</v>
      </c>
      <c r="ID75" s="244" t="s">
        <v>6377</v>
      </c>
      <c r="IE75" s="247">
        <v>3</v>
      </c>
      <c r="IF75" s="247" t="s">
        <v>1587</v>
      </c>
      <c r="IG75" s="247" t="s">
        <v>1364</v>
      </c>
      <c r="IH75" s="247">
        <v>2</v>
      </c>
      <c r="II75" s="247" t="s">
        <v>1623</v>
      </c>
      <c r="IJ75" s="247" t="s">
        <v>1624</v>
      </c>
      <c r="IK75" s="237">
        <v>43767</v>
      </c>
      <c r="IL75" s="245" t="s">
        <v>6378</v>
      </c>
      <c r="IM75" s="245">
        <v>3</v>
      </c>
      <c r="IN75" s="245" t="s">
        <v>1587</v>
      </c>
      <c r="IO75" s="245" t="s">
        <v>1364</v>
      </c>
      <c r="IP75" s="245">
        <v>2</v>
      </c>
      <c r="IQ75" s="245" t="s">
        <v>1623</v>
      </c>
      <c r="IR75" s="245" t="s">
        <v>1624</v>
      </c>
      <c r="IS75" s="246">
        <v>43767</v>
      </c>
    </row>
    <row r="76" spans="1:253" s="11" customFormat="1" ht="13.2" x14ac:dyDescent="0.25">
      <c r="A76" s="11" t="s">
        <v>800</v>
      </c>
      <c r="B76" s="11" t="s">
        <v>1280</v>
      </c>
      <c r="C76" s="11" t="s">
        <v>865</v>
      </c>
      <c r="D76" s="11" t="s">
        <v>180</v>
      </c>
      <c r="E76" s="11" t="s">
        <v>179</v>
      </c>
      <c r="F76" s="11" t="s">
        <v>6379</v>
      </c>
      <c r="G76" s="235">
        <v>6871000</v>
      </c>
      <c r="H76" s="236" t="s">
        <v>2332</v>
      </c>
      <c r="I76" s="236" t="s">
        <v>1364</v>
      </c>
      <c r="J76" s="236">
        <v>2</v>
      </c>
      <c r="K76" s="236" t="s">
        <v>2368</v>
      </c>
      <c r="L76" s="236" t="s">
        <v>2342</v>
      </c>
      <c r="M76" s="237">
        <v>43950</v>
      </c>
      <c r="N76" s="244" t="s">
        <v>6380</v>
      </c>
      <c r="O76" s="239">
        <v>1759540</v>
      </c>
      <c r="P76" s="239" t="s">
        <v>3288</v>
      </c>
      <c r="Q76" s="239" t="s">
        <v>601</v>
      </c>
      <c r="R76" s="239">
        <v>1</v>
      </c>
      <c r="S76" s="239" t="s">
        <v>3430</v>
      </c>
      <c r="T76" s="239" t="s">
        <v>3429</v>
      </c>
      <c r="U76" s="240">
        <v>44102</v>
      </c>
      <c r="V76" s="244" t="s">
        <v>6381</v>
      </c>
      <c r="W76" s="236">
        <v>6871000</v>
      </c>
      <c r="X76" s="236" t="s">
        <v>3289</v>
      </c>
      <c r="Y76" s="236" t="s">
        <v>600</v>
      </c>
      <c r="Z76" s="236">
        <v>2</v>
      </c>
      <c r="AA76" s="236" t="s">
        <v>1489</v>
      </c>
      <c r="AB76" s="236" t="s">
        <v>3431</v>
      </c>
      <c r="AC76" s="237">
        <v>44102</v>
      </c>
      <c r="AD76" s="244" t="s">
        <v>6382</v>
      </c>
      <c r="AE76" s="241">
        <v>585000</v>
      </c>
      <c r="AF76" s="241" t="s">
        <v>3289</v>
      </c>
      <c r="AG76" s="241" t="s">
        <v>600</v>
      </c>
      <c r="AH76" s="241">
        <v>2</v>
      </c>
      <c r="AI76" s="241" t="s">
        <v>1489</v>
      </c>
      <c r="AJ76" s="241" t="s">
        <v>3431</v>
      </c>
      <c r="AK76" s="242">
        <v>44113</v>
      </c>
      <c r="AL76" s="244" t="s">
        <v>6383</v>
      </c>
      <c r="AM76" s="236">
        <v>585000</v>
      </c>
      <c r="AN76" s="236" t="s">
        <v>3289</v>
      </c>
      <c r="AO76" s="236" t="s">
        <v>600</v>
      </c>
      <c r="AP76" s="236">
        <v>2</v>
      </c>
      <c r="AQ76" s="236" t="s">
        <v>3432</v>
      </c>
      <c r="AR76" s="236" t="s">
        <v>3431</v>
      </c>
      <c r="AS76" s="237">
        <v>44113</v>
      </c>
      <c r="AT76" s="245" t="s">
        <v>6384</v>
      </c>
      <c r="AU76" s="241" t="s">
        <v>393</v>
      </c>
      <c r="AV76" s="241">
        <v>0</v>
      </c>
      <c r="AW76" s="241" t="s">
        <v>393</v>
      </c>
      <c r="AX76" s="241" t="s">
        <v>393</v>
      </c>
      <c r="AY76" s="241" t="s">
        <v>811</v>
      </c>
      <c r="AZ76" s="241">
        <v>0</v>
      </c>
      <c r="BA76" s="242">
        <v>43503</v>
      </c>
      <c r="BB76" s="244" t="s">
        <v>6385</v>
      </c>
      <c r="BC76" s="236" t="s">
        <v>393</v>
      </c>
      <c r="BD76" s="236">
        <v>0</v>
      </c>
      <c r="BE76" s="236" t="s">
        <v>393</v>
      </c>
      <c r="BF76" s="236" t="s">
        <v>393</v>
      </c>
      <c r="BG76" s="236" t="s">
        <v>811</v>
      </c>
      <c r="BH76" s="236">
        <v>0</v>
      </c>
      <c r="BI76" s="237">
        <v>43503</v>
      </c>
      <c r="BJ76" s="245" t="s">
        <v>6386</v>
      </c>
      <c r="BK76" s="245">
        <v>207</v>
      </c>
      <c r="BL76" s="245" t="s">
        <v>3839</v>
      </c>
      <c r="BM76" s="245" t="s">
        <v>599</v>
      </c>
      <c r="BN76" s="245">
        <v>3</v>
      </c>
      <c r="BO76" s="245" t="s">
        <v>3851</v>
      </c>
      <c r="BP76" s="241" t="s">
        <v>924</v>
      </c>
      <c r="BQ76" s="246">
        <v>44130</v>
      </c>
      <c r="BR76" s="244" t="s">
        <v>6387</v>
      </c>
      <c r="BS76" s="247" t="s">
        <v>393</v>
      </c>
      <c r="BT76" s="247">
        <v>0</v>
      </c>
      <c r="BU76" s="247" t="s">
        <v>393</v>
      </c>
      <c r="BV76" s="247" t="s">
        <v>393</v>
      </c>
      <c r="BW76" s="247" t="s">
        <v>811</v>
      </c>
      <c r="BX76" s="247">
        <v>0</v>
      </c>
      <c r="BY76" s="237">
        <v>43503</v>
      </c>
      <c r="BZ76" s="245" t="s">
        <v>6388</v>
      </c>
      <c r="CA76" s="245" t="s">
        <v>393</v>
      </c>
      <c r="CB76" s="245">
        <v>0</v>
      </c>
      <c r="CC76" s="245" t="s">
        <v>393</v>
      </c>
      <c r="CD76" s="245" t="s">
        <v>393</v>
      </c>
      <c r="CE76" s="245" t="s">
        <v>811</v>
      </c>
      <c r="CF76" s="245">
        <v>0</v>
      </c>
      <c r="CG76" s="246">
        <v>43503</v>
      </c>
      <c r="CH76" s="244" t="s">
        <v>6389</v>
      </c>
      <c r="CI76" s="245" t="e">
        <v>#N/A</v>
      </c>
      <c r="CJ76" s="245" t="e">
        <v>#N/A</v>
      </c>
      <c r="CK76" s="245" t="e">
        <v>#N/A</v>
      </c>
      <c r="CL76" s="245" t="e">
        <v>#N/A</v>
      </c>
      <c r="CM76" s="245" t="e">
        <v>#N/A</v>
      </c>
      <c r="CN76" s="245" t="e">
        <v>#N/A</v>
      </c>
      <c r="CO76" s="248" t="e">
        <v>#N/A</v>
      </c>
      <c r="CP76" s="245" t="s">
        <v>6390</v>
      </c>
      <c r="CQ76" s="247" t="s">
        <v>393</v>
      </c>
      <c r="CR76" s="247">
        <v>0</v>
      </c>
      <c r="CS76" s="247" t="s">
        <v>393</v>
      </c>
      <c r="CT76" s="247" t="s">
        <v>393</v>
      </c>
      <c r="CU76" s="247" t="s">
        <v>811</v>
      </c>
      <c r="CV76" s="247">
        <v>0</v>
      </c>
      <c r="CW76" s="237">
        <v>43503</v>
      </c>
      <c r="CX76" s="245" t="s">
        <v>6391</v>
      </c>
      <c r="CY76" s="241">
        <v>324000</v>
      </c>
      <c r="CZ76" s="241" t="s">
        <v>3290</v>
      </c>
      <c r="DA76" s="241" t="s">
        <v>600</v>
      </c>
      <c r="DB76" s="241">
        <v>2</v>
      </c>
      <c r="DC76" s="241" t="s">
        <v>3433</v>
      </c>
      <c r="DD76" s="241" t="s">
        <v>2345</v>
      </c>
      <c r="DE76" s="243">
        <v>44102</v>
      </c>
      <c r="DF76" s="244" t="s">
        <v>6392</v>
      </c>
      <c r="DG76" s="236">
        <v>6286000</v>
      </c>
      <c r="DH76" s="247" t="s">
        <v>3290</v>
      </c>
      <c r="DI76" s="247" t="s">
        <v>600</v>
      </c>
      <c r="DJ76" s="247">
        <v>2</v>
      </c>
      <c r="DK76" s="247" t="s">
        <v>3433</v>
      </c>
      <c r="DL76" s="247" t="s">
        <v>2345</v>
      </c>
      <c r="DM76" s="237">
        <v>44111</v>
      </c>
      <c r="DN76" s="245" t="s">
        <v>6393</v>
      </c>
      <c r="DO76" s="241">
        <v>261000</v>
      </c>
      <c r="DP76" s="245" t="s">
        <v>3290</v>
      </c>
      <c r="DQ76" s="245" t="s">
        <v>600</v>
      </c>
      <c r="DR76" s="245">
        <v>2</v>
      </c>
      <c r="DS76" s="245" t="s">
        <v>3433</v>
      </c>
      <c r="DT76" s="245" t="s">
        <v>2345</v>
      </c>
      <c r="DU76" s="246">
        <v>44102</v>
      </c>
      <c r="DV76" s="244" t="s">
        <v>6394</v>
      </c>
      <c r="DW76" s="236">
        <v>190000</v>
      </c>
      <c r="DX76" s="247" t="s">
        <v>3290</v>
      </c>
      <c r="DY76" s="247" t="s">
        <v>600</v>
      </c>
      <c r="DZ76" s="247">
        <v>2</v>
      </c>
      <c r="EA76" s="247" t="s">
        <v>3433</v>
      </c>
      <c r="EB76" s="247" t="s">
        <v>2345</v>
      </c>
      <c r="EC76" s="237">
        <v>44102</v>
      </c>
      <c r="ED76" s="245" t="s">
        <v>6395</v>
      </c>
      <c r="EE76" s="241">
        <v>131000</v>
      </c>
      <c r="EF76" s="245" t="s">
        <v>3290</v>
      </c>
      <c r="EG76" s="245" t="s">
        <v>600</v>
      </c>
      <c r="EH76" s="245">
        <v>2</v>
      </c>
      <c r="EI76" s="245" t="s">
        <v>3433</v>
      </c>
      <c r="EJ76" s="245" t="s">
        <v>2345</v>
      </c>
      <c r="EK76" s="246">
        <v>44102</v>
      </c>
      <c r="EL76" s="244" t="s">
        <v>6396</v>
      </c>
      <c r="EM76" s="236">
        <v>3000</v>
      </c>
      <c r="EN76" s="247" t="s">
        <v>3290</v>
      </c>
      <c r="EO76" s="247" t="s">
        <v>600</v>
      </c>
      <c r="EP76" s="247">
        <v>2</v>
      </c>
      <c r="EQ76" s="247" t="s">
        <v>3433</v>
      </c>
      <c r="ER76" s="247" t="s">
        <v>2345</v>
      </c>
      <c r="ES76" s="237">
        <v>44102</v>
      </c>
      <c r="ET76" s="245" t="s">
        <v>6397</v>
      </c>
      <c r="EU76" s="245">
        <v>692</v>
      </c>
      <c r="EV76" s="245" t="s">
        <v>3838</v>
      </c>
      <c r="EW76" s="245" t="s">
        <v>599</v>
      </c>
      <c r="EX76" s="245">
        <v>3</v>
      </c>
      <c r="EY76" s="245" t="s">
        <v>1972</v>
      </c>
      <c r="EZ76" s="245" t="s">
        <v>1963</v>
      </c>
      <c r="FA76" s="246">
        <v>44130</v>
      </c>
      <c r="FB76" s="244" t="s">
        <v>6398</v>
      </c>
      <c r="FC76" s="247">
        <v>2</v>
      </c>
      <c r="FD76" s="247" t="s">
        <v>2160</v>
      </c>
      <c r="FE76" s="247" t="s">
        <v>1547</v>
      </c>
      <c r="FF76" s="247">
        <v>1</v>
      </c>
      <c r="FG76" s="247" t="s">
        <v>2373</v>
      </c>
      <c r="FH76" s="247" t="s">
        <v>2346</v>
      </c>
      <c r="FI76" s="237">
        <v>43950</v>
      </c>
      <c r="FJ76" s="244" t="s">
        <v>6399</v>
      </c>
      <c r="FK76" s="245">
        <v>79000</v>
      </c>
      <c r="FL76" s="245" t="s">
        <v>2700</v>
      </c>
      <c r="FM76" s="245" t="s">
        <v>599</v>
      </c>
      <c r="FN76" s="245">
        <v>3</v>
      </c>
      <c r="FO76" s="245" t="s">
        <v>2718</v>
      </c>
      <c r="FP76" s="241" t="s">
        <v>2707</v>
      </c>
      <c r="FQ76" s="242">
        <v>44015</v>
      </c>
      <c r="FR76" s="244" t="s">
        <v>6400</v>
      </c>
      <c r="FS76" s="247">
        <v>229000</v>
      </c>
      <c r="FT76" s="247" t="s">
        <v>2700</v>
      </c>
      <c r="FU76" s="247" t="s">
        <v>599</v>
      </c>
      <c r="FV76" s="247">
        <v>3</v>
      </c>
      <c r="FW76" s="247" t="s">
        <v>2718</v>
      </c>
      <c r="FX76" s="247" t="s">
        <v>2707</v>
      </c>
      <c r="FY76" s="237">
        <v>44015</v>
      </c>
      <c r="FZ76" s="245" t="s">
        <v>6401</v>
      </c>
      <c r="GA76" s="245">
        <v>1</v>
      </c>
      <c r="GB76" s="245" t="s">
        <v>1587</v>
      </c>
      <c r="GC76" s="245" t="s">
        <v>1364</v>
      </c>
      <c r="GD76" s="245">
        <v>2</v>
      </c>
      <c r="GE76" s="245" t="s">
        <v>1623</v>
      </c>
      <c r="GF76" s="245" t="s">
        <v>1624</v>
      </c>
      <c r="GG76" s="246">
        <v>43767</v>
      </c>
      <c r="GH76" s="244" t="s">
        <v>6402</v>
      </c>
      <c r="GI76" s="247">
        <v>3</v>
      </c>
      <c r="GJ76" s="247" t="s">
        <v>1587</v>
      </c>
      <c r="GK76" s="247" t="s">
        <v>1364</v>
      </c>
      <c r="GL76" s="247">
        <v>2</v>
      </c>
      <c r="GM76" s="247" t="s">
        <v>1623</v>
      </c>
      <c r="GN76" s="247" t="s">
        <v>1624</v>
      </c>
      <c r="GO76" s="237">
        <v>43767</v>
      </c>
      <c r="GP76" s="245" t="s">
        <v>6403</v>
      </c>
      <c r="GQ76" s="245">
        <v>3</v>
      </c>
      <c r="GR76" s="245" t="s">
        <v>1587</v>
      </c>
      <c r="GS76" s="245" t="s">
        <v>1364</v>
      </c>
      <c r="GT76" s="245">
        <v>2</v>
      </c>
      <c r="GU76" s="245" t="s">
        <v>1623</v>
      </c>
      <c r="GV76" s="245" t="s">
        <v>1624</v>
      </c>
      <c r="GW76" s="246">
        <v>43767</v>
      </c>
      <c r="GX76" s="244" t="s">
        <v>6404</v>
      </c>
      <c r="GY76" s="247">
        <v>1</v>
      </c>
      <c r="GZ76" s="247" t="s">
        <v>1587</v>
      </c>
      <c r="HA76" s="247" t="s">
        <v>1364</v>
      </c>
      <c r="HB76" s="247">
        <v>2</v>
      </c>
      <c r="HC76" s="247" t="s">
        <v>1623</v>
      </c>
      <c r="HD76" s="247" t="s">
        <v>1624</v>
      </c>
      <c r="HE76" s="237">
        <v>43767</v>
      </c>
      <c r="HF76" s="245" t="s">
        <v>6405</v>
      </c>
      <c r="HG76" s="245">
        <v>2</v>
      </c>
      <c r="HH76" s="245" t="s">
        <v>1587</v>
      </c>
      <c r="HI76" s="245" t="s">
        <v>1364</v>
      </c>
      <c r="HJ76" s="245">
        <v>2</v>
      </c>
      <c r="HK76" s="245" t="s">
        <v>1623</v>
      </c>
      <c r="HL76" s="245" t="s">
        <v>1624</v>
      </c>
      <c r="HM76" s="246">
        <v>43767</v>
      </c>
      <c r="HN76" s="244" t="s">
        <v>6406</v>
      </c>
      <c r="HO76" s="247">
        <v>2</v>
      </c>
      <c r="HP76" s="247" t="s">
        <v>1587</v>
      </c>
      <c r="HQ76" s="247" t="s">
        <v>1364</v>
      </c>
      <c r="HR76" s="247">
        <v>2</v>
      </c>
      <c r="HS76" s="247" t="s">
        <v>1623</v>
      </c>
      <c r="HT76" s="247" t="s">
        <v>1624</v>
      </c>
      <c r="HU76" s="237">
        <v>43767</v>
      </c>
      <c r="HV76" s="245" t="s">
        <v>6407</v>
      </c>
      <c r="HW76" s="245">
        <v>3</v>
      </c>
      <c r="HX76" s="245" t="s">
        <v>1587</v>
      </c>
      <c r="HY76" s="245" t="s">
        <v>1364</v>
      </c>
      <c r="HZ76" s="245">
        <v>2</v>
      </c>
      <c r="IA76" s="245" t="s">
        <v>1623</v>
      </c>
      <c r="IB76" s="245" t="s">
        <v>1624</v>
      </c>
      <c r="IC76" s="246">
        <v>43767</v>
      </c>
      <c r="ID76" s="244" t="s">
        <v>6408</v>
      </c>
      <c r="IE76" s="247">
        <v>3</v>
      </c>
      <c r="IF76" s="247" t="s">
        <v>1587</v>
      </c>
      <c r="IG76" s="247" t="s">
        <v>1364</v>
      </c>
      <c r="IH76" s="247">
        <v>2</v>
      </c>
      <c r="II76" s="247" t="s">
        <v>1623</v>
      </c>
      <c r="IJ76" s="247" t="s">
        <v>1624</v>
      </c>
      <c r="IK76" s="237">
        <v>43767</v>
      </c>
      <c r="IL76" s="245" t="s">
        <v>6409</v>
      </c>
      <c r="IM76" s="245">
        <v>3</v>
      </c>
      <c r="IN76" s="245" t="s">
        <v>1587</v>
      </c>
      <c r="IO76" s="245" t="s">
        <v>1364</v>
      </c>
      <c r="IP76" s="245">
        <v>2</v>
      </c>
      <c r="IQ76" s="245" t="s">
        <v>1623</v>
      </c>
      <c r="IR76" s="245" t="s">
        <v>1624</v>
      </c>
      <c r="IS76" s="246">
        <v>43767</v>
      </c>
    </row>
    <row r="77" spans="1:253" s="11" customFormat="1" ht="13.2" x14ac:dyDescent="0.25">
      <c r="A77" s="11" t="s">
        <v>789</v>
      </c>
      <c r="B77" s="11" t="s">
        <v>651</v>
      </c>
      <c r="C77" s="11" t="s">
        <v>2924</v>
      </c>
      <c r="D77" s="11" t="s">
        <v>189</v>
      </c>
      <c r="E77" s="11" t="s">
        <v>188</v>
      </c>
      <c r="F77" s="11" t="s">
        <v>6410</v>
      </c>
      <c r="G77" s="235">
        <v>26700000</v>
      </c>
      <c r="H77" s="236" t="s">
        <v>719</v>
      </c>
      <c r="I77" s="236" t="s">
        <v>600</v>
      </c>
      <c r="J77" s="236">
        <v>2</v>
      </c>
      <c r="K77" s="236" t="s">
        <v>1457</v>
      </c>
      <c r="L77" s="236" t="s">
        <v>839</v>
      </c>
      <c r="M77" s="237">
        <v>43650</v>
      </c>
      <c r="N77" s="244" t="s">
        <v>6411</v>
      </c>
      <c r="O77" s="239">
        <v>149752</v>
      </c>
      <c r="P77" s="239" t="s">
        <v>1560</v>
      </c>
      <c r="Q77" s="239" t="s">
        <v>601</v>
      </c>
      <c r="R77" s="239">
        <v>1</v>
      </c>
      <c r="S77" s="239" t="s">
        <v>1562</v>
      </c>
      <c r="T77" s="239" t="s">
        <v>1561</v>
      </c>
      <c r="U77" s="240">
        <v>43733</v>
      </c>
      <c r="V77" s="244" t="s">
        <v>6412</v>
      </c>
      <c r="W77" s="236">
        <v>2276000</v>
      </c>
      <c r="X77" s="236" t="s">
        <v>2402</v>
      </c>
      <c r="Y77" s="236" t="s">
        <v>600</v>
      </c>
      <c r="Z77" s="236">
        <v>2</v>
      </c>
      <c r="AA77" s="236" t="s">
        <v>2119</v>
      </c>
      <c r="AB77" s="236" t="s">
        <v>2403</v>
      </c>
      <c r="AC77" s="237">
        <v>43979</v>
      </c>
      <c r="AD77" s="244" t="s">
        <v>6413</v>
      </c>
      <c r="AE77" s="241">
        <v>1604000</v>
      </c>
      <c r="AF77" s="241" t="s">
        <v>2402</v>
      </c>
      <c r="AG77" s="241" t="s">
        <v>600</v>
      </c>
      <c r="AH77" s="241">
        <v>2</v>
      </c>
      <c r="AI77" s="241" t="s">
        <v>2120</v>
      </c>
      <c r="AJ77" s="241" t="s">
        <v>2403</v>
      </c>
      <c r="AK77" s="242">
        <v>43979</v>
      </c>
      <c r="AL77" s="244" t="s">
        <v>6414</v>
      </c>
      <c r="AM77" s="236" t="s">
        <v>393</v>
      </c>
      <c r="AN77" s="236" t="s">
        <v>813</v>
      </c>
      <c r="AO77" s="236" t="s">
        <v>599</v>
      </c>
      <c r="AP77" s="236">
        <v>3</v>
      </c>
      <c r="AQ77" s="236" t="s">
        <v>813</v>
      </c>
      <c r="AR77" s="236" t="s">
        <v>813</v>
      </c>
      <c r="AS77" s="237">
        <v>44113</v>
      </c>
      <c r="AT77" s="245" t="s">
        <v>6415</v>
      </c>
      <c r="AU77" s="241">
        <v>0</v>
      </c>
      <c r="AV77" s="241" t="s">
        <v>393</v>
      </c>
      <c r="AW77" s="241" t="s">
        <v>601</v>
      </c>
      <c r="AX77" s="241">
        <v>1</v>
      </c>
      <c r="AY77" s="241" t="s">
        <v>1458</v>
      </c>
      <c r="AZ77" s="241" t="s">
        <v>393</v>
      </c>
      <c r="BA77" s="242">
        <v>43650</v>
      </c>
      <c r="BB77" s="244" t="s">
        <v>6416</v>
      </c>
      <c r="BC77" s="236" t="s">
        <v>393</v>
      </c>
      <c r="BD77" s="236" t="s">
        <v>393</v>
      </c>
      <c r="BE77" s="236" t="s">
        <v>393</v>
      </c>
      <c r="BF77" s="236" t="s">
        <v>393</v>
      </c>
      <c r="BG77" s="236" t="s">
        <v>1458</v>
      </c>
      <c r="BH77" s="236" t="s">
        <v>393</v>
      </c>
      <c r="BI77" s="237">
        <v>43650</v>
      </c>
      <c r="BJ77" s="245" t="s">
        <v>6417</v>
      </c>
      <c r="BK77" s="245" t="s">
        <v>393</v>
      </c>
      <c r="BL77" s="245" t="s">
        <v>393</v>
      </c>
      <c r="BM77" s="245" t="s">
        <v>393</v>
      </c>
      <c r="BN77" s="245" t="s">
        <v>393</v>
      </c>
      <c r="BO77" s="245" t="s">
        <v>3917</v>
      </c>
      <c r="BP77" s="241" t="s">
        <v>393</v>
      </c>
      <c r="BQ77" s="246">
        <v>44134</v>
      </c>
      <c r="BR77" s="244" t="s">
        <v>6418</v>
      </c>
      <c r="BS77" s="247" t="s">
        <v>393</v>
      </c>
      <c r="BT77" s="247" t="s">
        <v>393</v>
      </c>
      <c r="BU77" s="247" t="s">
        <v>393</v>
      </c>
      <c r="BV77" s="247" t="s">
        <v>393</v>
      </c>
      <c r="BW77" s="247" t="s">
        <v>1458</v>
      </c>
      <c r="BX77" s="247" t="s">
        <v>393</v>
      </c>
      <c r="BY77" s="237">
        <v>43650</v>
      </c>
      <c r="BZ77" s="245" t="s">
        <v>6419</v>
      </c>
      <c r="CA77" s="245" t="s">
        <v>393</v>
      </c>
      <c r="CB77" s="245" t="s">
        <v>393</v>
      </c>
      <c r="CC77" s="245" t="s">
        <v>393</v>
      </c>
      <c r="CD77" s="245" t="s">
        <v>393</v>
      </c>
      <c r="CE77" s="245" t="s">
        <v>1458</v>
      </c>
      <c r="CF77" s="245" t="s">
        <v>393</v>
      </c>
      <c r="CG77" s="246">
        <v>43650</v>
      </c>
      <c r="CH77" s="244" t="s">
        <v>6420</v>
      </c>
      <c r="CI77" s="245" t="e">
        <v>#N/A</v>
      </c>
      <c r="CJ77" s="245" t="e">
        <v>#N/A</v>
      </c>
      <c r="CK77" s="245" t="e">
        <v>#N/A</v>
      </c>
      <c r="CL77" s="245" t="e">
        <v>#N/A</v>
      </c>
      <c r="CM77" s="245" t="e">
        <v>#N/A</v>
      </c>
      <c r="CN77" s="245" t="e">
        <v>#N/A</v>
      </c>
      <c r="CO77" s="248" t="e">
        <v>#N/A</v>
      </c>
      <c r="CP77" s="245" t="s">
        <v>6421</v>
      </c>
      <c r="CQ77" s="247" t="s">
        <v>393</v>
      </c>
      <c r="CR77" s="247" t="s">
        <v>393</v>
      </c>
      <c r="CS77" s="247" t="s">
        <v>393</v>
      </c>
      <c r="CT77" s="247" t="s">
        <v>393</v>
      </c>
      <c r="CU77" s="247" t="s">
        <v>1458</v>
      </c>
      <c r="CV77" s="247" t="s">
        <v>393</v>
      </c>
      <c r="CW77" s="237">
        <v>43650</v>
      </c>
      <c r="CX77" s="245" t="s">
        <v>6422</v>
      </c>
      <c r="CY77" s="241">
        <v>554000</v>
      </c>
      <c r="CZ77" s="241" t="s">
        <v>2402</v>
      </c>
      <c r="DA77" s="241" t="s">
        <v>600</v>
      </c>
      <c r="DB77" s="241">
        <v>2</v>
      </c>
      <c r="DC77" s="241" t="s">
        <v>2122</v>
      </c>
      <c r="DD77" s="241" t="s">
        <v>2403</v>
      </c>
      <c r="DE77" s="243">
        <v>43979</v>
      </c>
      <c r="DF77" s="244" t="s">
        <v>6423</v>
      </c>
      <c r="DG77" s="236">
        <v>672000</v>
      </c>
      <c r="DH77" s="247" t="s">
        <v>2402</v>
      </c>
      <c r="DI77" s="247" t="s">
        <v>600</v>
      </c>
      <c r="DJ77" s="247">
        <v>2</v>
      </c>
      <c r="DK77" s="247" t="s">
        <v>2122</v>
      </c>
      <c r="DL77" s="247" t="s">
        <v>2403</v>
      </c>
      <c r="DM77" s="237">
        <v>43979</v>
      </c>
      <c r="DN77" s="245" t="s">
        <v>6424</v>
      </c>
      <c r="DO77" s="241">
        <v>1050000</v>
      </c>
      <c r="DP77" s="245" t="s">
        <v>2402</v>
      </c>
      <c r="DQ77" s="245" t="s">
        <v>600</v>
      </c>
      <c r="DR77" s="245">
        <v>2</v>
      </c>
      <c r="DS77" s="245" t="s">
        <v>2122</v>
      </c>
      <c r="DT77" s="245" t="s">
        <v>2403</v>
      </c>
      <c r="DU77" s="246">
        <v>43979</v>
      </c>
      <c r="DV77" s="244" t="s">
        <v>6425</v>
      </c>
      <c r="DW77" s="236">
        <v>527000</v>
      </c>
      <c r="DX77" s="247" t="s">
        <v>2402</v>
      </c>
      <c r="DY77" s="247" t="s">
        <v>600</v>
      </c>
      <c r="DZ77" s="247">
        <v>2</v>
      </c>
      <c r="EA77" s="247" t="s">
        <v>2122</v>
      </c>
      <c r="EB77" s="247" t="s">
        <v>2403</v>
      </c>
      <c r="EC77" s="237">
        <v>43979</v>
      </c>
      <c r="ED77" s="245" t="s">
        <v>6426</v>
      </c>
      <c r="EE77" s="241">
        <v>27000</v>
      </c>
      <c r="EF77" s="245" t="s">
        <v>2402</v>
      </c>
      <c r="EG77" s="245" t="s">
        <v>600</v>
      </c>
      <c r="EH77" s="245">
        <v>2</v>
      </c>
      <c r="EI77" s="245" t="s">
        <v>2122</v>
      </c>
      <c r="EJ77" s="245" t="s">
        <v>2403</v>
      </c>
      <c r="EK77" s="246">
        <v>43979</v>
      </c>
      <c r="EL77" s="244" t="s">
        <v>6427</v>
      </c>
      <c r="EM77" s="236">
        <v>0</v>
      </c>
      <c r="EN77" s="247" t="s">
        <v>2402</v>
      </c>
      <c r="EO77" s="247" t="s">
        <v>600</v>
      </c>
      <c r="EP77" s="247">
        <v>2</v>
      </c>
      <c r="EQ77" s="247" t="s">
        <v>2122</v>
      </c>
      <c r="ER77" s="247" t="s">
        <v>2403</v>
      </c>
      <c r="ES77" s="237">
        <v>43979</v>
      </c>
      <c r="ET77" s="245" t="s">
        <v>6428</v>
      </c>
      <c r="EU77" s="245">
        <v>347</v>
      </c>
      <c r="EV77" s="245" t="s">
        <v>3932</v>
      </c>
      <c r="EW77" s="245" t="s">
        <v>599</v>
      </c>
      <c r="EX77" s="245">
        <v>3</v>
      </c>
      <c r="EY77" s="245" t="s">
        <v>3933</v>
      </c>
      <c r="EZ77" s="245" t="s">
        <v>2615</v>
      </c>
      <c r="FA77" s="246">
        <v>44134</v>
      </c>
      <c r="FB77" s="244" t="s">
        <v>6429</v>
      </c>
      <c r="FC77" s="247">
        <v>1</v>
      </c>
      <c r="FD77" s="247" t="s">
        <v>393</v>
      </c>
      <c r="FE77" s="247" t="s">
        <v>601</v>
      </c>
      <c r="FF77" s="247">
        <v>1</v>
      </c>
      <c r="FG77" s="247" t="s">
        <v>840</v>
      </c>
      <c r="FH77" s="247" t="s">
        <v>393</v>
      </c>
      <c r="FI77" s="237">
        <v>43650</v>
      </c>
      <c r="FJ77" s="244" t="s">
        <v>6430</v>
      </c>
      <c r="FK77" s="245" t="s">
        <v>393</v>
      </c>
      <c r="FL77" s="245" t="s">
        <v>393</v>
      </c>
      <c r="FM77" s="245" t="s">
        <v>393</v>
      </c>
      <c r="FN77" s="245" t="s">
        <v>393</v>
      </c>
      <c r="FO77" s="245" t="s">
        <v>1458</v>
      </c>
      <c r="FP77" s="241" t="s">
        <v>393</v>
      </c>
      <c r="FQ77" s="242">
        <v>43650</v>
      </c>
      <c r="FR77" s="244" t="s">
        <v>6431</v>
      </c>
      <c r="FS77" s="247" t="s">
        <v>393</v>
      </c>
      <c r="FT77" s="247" t="s">
        <v>393</v>
      </c>
      <c r="FU77" s="247" t="s">
        <v>393</v>
      </c>
      <c r="FV77" s="247" t="s">
        <v>393</v>
      </c>
      <c r="FW77" s="247" t="s">
        <v>1458</v>
      </c>
      <c r="FX77" s="247" t="s">
        <v>393</v>
      </c>
      <c r="FY77" s="237">
        <v>43650</v>
      </c>
      <c r="FZ77" s="245" t="s">
        <v>6432</v>
      </c>
      <c r="GA77" s="245">
        <v>0</v>
      </c>
      <c r="GB77" s="245" t="s">
        <v>1587</v>
      </c>
      <c r="GC77" s="245" t="s">
        <v>601</v>
      </c>
      <c r="GD77" s="245">
        <v>1</v>
      </c>
      <c r="GE77" s="245" t="s">
        <v>1623</v>
      </c>
      <c r="GF77" s="245" t="s">
        <v>1624</v>
      </c>
      <c r="GG77" s="246">
        <v>43766</v>
      </c>
      <c r="GH77" s="244" t="s">
        <v>6433</v>
      </c>
      <c r="GI77" s="247">
        <v>0</v>
      </c>
      <c r="GJ77" s="247" t="s">
        <v>1587</v>
      </c>
      <c r="GK77" s="247" t="s">
        <v>601</v>
      </c>
      <c r="GL77" s="247">
        <v>1</v>
      </c>
      <c r="GM77" s="247" t="s">
        <v>1623</v>
      </c>
      <c r="GN77" s="247" t="s">
        <v>1624</v>
      </c>
      <c r="GO77" s="237">
        <v>43766</v>
      </c>
      <c r="GP77" s="245" t="s">
        <v>6434</v>
      </c>
      <c r="GQ77" s="245">
        <v>0</v>
      </c>
      <c r="GR77" s="245" t="s">
        <v>1587</v>
      </c>
      <c r="GS77" s="245" t="s">
        <v>601</v>
      </c>
      <c r="GT77" s="245">
        <v>1</v>
      </c>
      <c r="GU77" s="245" t="s">
        <v>1623</v>
      </c>
      <c r="GV77" s="245" t="s">
        <v>1624</v>
      </c>
      <c r="GW77" s="246">
        <v>43766</v>
      </c>
      <c r="GX77" s="244" t="s">
        <v>6435</v>
      </c>
      <c r="GY77" s="247">
        <v>0</v>
      </c>
      <c r="GZ77" s="247" t="s">
        <v>1587</v>
      </c>
      <c r="HA77" s="247" t="s">
        <v>601</v>
      </c>
      <c r="HB77" s="247">
        <v>1</v>
      </c>
      <c r="HC77" s="247" t="s">
        <v>1623</v>
      </c>
      <c r="HD77" s="247" t="s">
        <v>1624</v>
      </c>
      <c r="HE77" s="237">
        <v>43766</v>
      </c>
      <c r="HF77" s="245" t="s">
        <v>6436</v>
      </c>
      <c r="HG77" s="245">
        <v>0</v>
      </c>
      <c r="HH77" s="245" t="s">
        <v>1587</v>
      </c>
      <c r="HI77" s="245" t="s">
        <v>601</v>
      </c>
      <c r="HJ77" s="245">
        <v>1</v>
      </c>
      <c r="HK77" s="245" t="s">
        <v>1623</v>
      </c>
      <c r="HL77" s="245" t="s">
        <v>1624</v>
      </c>
      <c r="HM77" s="246">
        <v>43766</v>
      </c>
      <c r="HN77" s="244" t="s">
        <v>6437</v>
      </c>
      <c r="HO77" s="247">
        <v>0</v>
      </c>
      <c r="HP77" s="247" t="s">
        <v>1587</v>
      </c>
      <c r="HQ77" s="247" t="s">
        <v>601</v>
      </c>
      <c r="HR77" s="247">
        <v>1</v>
      </c>
      <c r="HS77" s="247" t="s">
        <v>1623</v>
      </c>
      <c r="HT77" s="247" t="s">
        <v>1624</v>
      </c>
      <c r="HU77" s="237">
        <v>43766</v>
      </c>
      <c r="HV77" s="245" t="s">
        <v>6438</v>
      </c>
      <c r="HW77" s="245">
        <v>0</v>
      </c>
      <c r="HX77" s="245" t="s">
        <v>1587</v>
      </c>
      <c r="HY77" s="245" t="s">
        <v>601</v>
      </c>
      <c r="HZ77" s="245">
        <v>1</v>
      </c>
      <c r="IA77" s="245" t="s">
        <v>1623</v>
      </c>
      <c r="IB77" s="245" t="s">
        <v>1624</v>
      </c>
      <c r="IC77" s="246">
        <v>43766</v>
      </c>
      <c r="ID77" s="244" t="s">
        <v>6439</v>
      </c>
      <c r="IE77" s="247">
        <v>0</v>
      </c>
      <c r="IF77" s="247" t="s">
        <v>1587</v>
      </c>
      <c r="IG77" s="247" t="s">
        <v>601</v>
      </c>
      <c r="IH77" s="247">
        <v>1</v>
      </c>
      <c r="II77" s="247" t="s">
        <v>1623</v>
      </c>
      <c r="IJ77" s="247" t="s">
        <v>1624</v>
      </c>
      <c r="IK77" s="237">
        <v>43766</v>
      </c>
      <c r="IL77" s="245" t="s">
        <v>6440</v>
      </c>
      <c r="IM77" s="245">
        <v>1</v>
      </c>
      <c r="IN77" s="245" t="s">
        <v>1587</v>
      </c>
      <c r="IO77" s="245" t="s">
        <v>601</v>
      </c>
      <c r="IP77" s="245">
        <v>1</v>
      </c>
      <c r="IQ77" s="245" t="s">
        <v>1623</v>
      </c>
      <c r="IR77" s="245" t="s">
        <v>1624</v>
      </c>
      <c r="IS77" s="246">
        <v>43766</v>
      </c>
    </row>
    <row r="78" spans="1:253" s="11" customFormat="1" ht="13.2" x14ac:dyDescent="0.25">
      <c r="A78" s="11" t="s">
        <v>2026</v>
      </c>
      <c r="B78" s="11" t="s">
        <v>1279</v>
      </c>
      <c r="C78" s="11" t="s">
        <v>2101</v>
      </c>
      <c r="D78" s="11" t="s">
        <v>189</v>
      </c>
      <c r="E78" s="11" t="s">
        <v>188</v>
      </c>
      <c r="F78" s="11" t="s">
        <v>6441</v>
      </c>
      <c r="G78" s="235">
        <v>26700000</v>
      </c>
      <c r="H78" s="236" t="s">
        <v>719</v>
      </c>
      <c r="I78" s="236" t="s">
        <v>601</v>
      </c>
      <c r="J78" s="236">
        <v>1</v>
      </c>
      <c r="K78" s="236" t="s">
        <v>1457</v>
      </c>
      <c r="L78" s="236" t="s">
        <v>839</v>
      </c>
      <c r="M78" s="237">
        <v>43868</v>
      </c>
      <c r="N78" s="244" t="s">
        <v>6442</v>
      </c>
      <c r="O78" s="239">
        <v>76177</v>
      </c>
      <c r="P78" s="239" t="s">
        <v>2027</v>
      </c>
      <c r="Q78" s="239" t="s">
        <v>601</v>
      </c>
      <c r="R78" s="239">
        <v>1</v>
      </c>
      <c r="S78" s="239" t="s">
        <v>2070</v>
      </c>
      <c r="T78" s="239" t="s">
        <v>2028</v>
      </c>
      <c r="U78" s="240">
        <v>43868</v>
      </c>
      <c r="V78" s="244" t="s">
        <v>6443</v>
      </c>
      <c r="W78" s="236">
        <v>4345000</v>
      </c>
      <c r="X78" s="236" t="s">
        <v>2029</v>
      </c>
      <c r="Y78" s="236" t="s">
        <v>600</v>
      </c>
      <c r="Z78" s="236">
        <v>2</v>
      </c>
      <c r="AA78" s="236" t="s">
        <v>2046</v>
      </c>
      <c r="AB78" s="236" t="s">
        <v>2030</v>
      </c>
      <c r="AC78" s="237">
        <v>43868</v>
      </c>
      <c r="AD78" s="244" t="s">
        <v>6444</v>
      </c>
      <c r="AE78" s="241">
        <v>117000</v>
      </c>
      <c r="AF78" s="241" t="s">
        <v>2031</v>
      </c>
      <c r="AG78" s="241" t="s">
        <v>600</v>
      </c>
      <c r="AH78" s="241">
        <v>2</v>
      </c>
      <c r="AI78" s="241" t="s">
        <v>2047</v>
      </c>
      <c r="AJ78" s="241" t="s">
        <v>2032</v>
      </c>
      <c r="AK78" s="242">
        <v>43868</v>
      </c>
      <c r="AL78" s="244" t="s">
        <v>6445</v>
      </c>
      <c r="AM78" s="236">
        <v>16000</v>
      </c>
      <c r="AN78" s="236" t="s">
        <v>2033</v>
      </c>
      <c r="AO78" s="236" t="s">
        <v>600</v>
      </c>
      <c r="AP78" s="236">
        <v>2</v>
      </c>
      <c r="AQ78" s="236" t="s">
        <v>2048</v>
      </c>
      <c r="AR78" s="236" t="s">
        <v>2034</v>
      </c>
      <c r="AS78" s="237">
        <v>43868</v>
      </c>
      <c r="AT78" s="245" t="s">
        <v>6446</v>
      </c>
      <c r="AU78" s="241">
        <v>0</v>
      </c>
      <c r="AV78" s="241" t="s">
        <v>393</v>
      </c>
      <c r="AW78" s="241" t="s">
        <v>393</v>
      </c>
      <c r="AX78" s="241" t="s">
        <v>393</v>
      </c>
      <c r="AY78" s="241" t="s">
        <v>393</v>
      </c>
      <c r="AZ78" s="241" t="s">
        <v>393</v>
      </c>
      <c r="BA78" s="242">
        <v>43874</v>
      </c>
      <c r="BB78" s="244" t="s">
        <v>6447</v>
      </c>
      <c r="BC78" s="236">
        <v>0</v>
      </c>
      <c r="BD78" s="236" t="s">
        <v>393</v>
      </c>
      <c r="BE78" s="236" t="s">
        <v>393</v>
      </c>
      <c r="BF78" s="236" t="s">
        <v>393</v>
      </c>
      <c r="BG78" s="236" t="s">
        <v>393</v>
      </c>
      <c r="BH78" s="236" t="s">
        <v>393</v>
      </c>
      <c r="BI78" s="237">
        <v>43874</v>
      </c>
      <c r="BJ78" s="245" t="s">
        <v>6448</v>
      </c>
      <c r="BK78" s="245">
        <v>170</v>
      </c>
      <c r="BL78" s="245" t="s">
        <v>2035</v>
      </c>
      <c r="BM78" s="245" t="s">
        <v>600</v>
      </c>
      <c r="BN78" s="245">
        <v>2</v>
      </c>
      <c r="BO78" s="245" t="s">
        <v>2037</v>
      </c>
      <c r="BP78" s="241" t="s">
        <v>2036</v>
      </c>
      <c r="BQ78" s="246">
        <v>43868</v>
      </c>
      <c r="BR78" s="244" t="s">
        <v>6449</v>
      </c>
      <c r="BS78" s="247" t="e">
        <v>#N/A</v>
      </c>
      <c r="BT78" s="247" t="e">
        <v>#N/A</v>
      </c>
      <c r="BU78" s="247" t="e">
        <v>#N/A</v>
      </c>
      <c r="BV78" s="247" t="e">
        <v>#N/A</v>
      </c>
      <c r="BW78" s="247" t="e">
        <v>#N/A</v>
      </c>
      <c r="BX78" s="247" t="e">
        <v>#N/A</v>
      </c>
      <c r="BY78" s="237" t="e">
        <v>#N/A</v>
      </c>
      <c r="BZ78" s="245" t="s">
        <v>6450</v>
      </c>
      <c r="CA78" s="245" t="e">
        <v>#N/A</v>
      </c>
      <c r="CB78" s="245" t="e">
        <v>#N/A</v>
      </c>
      <c r="CC78" s="245" t="e">
        <v>#N/A</v>
      </c>
      <c r="CD78" s="245" t="e">
        <v>#N/A</v>
      </c>
      <c r="CE78" s="245" t="e">
        <v>#N/A</v>
      </c>
      <c r="CF78" s="245" t="e">
        <v>#N/A</v>
      </c>
      <c r="CG78" s="246" t="e">
        <v>#N/A</v>
      </c>
      <c r="CH78" s="244" t="s">
        <v>6451</v>
      </c>
      <c r="CI78" s="245" t="e">
        <v>#N/A</v>
      </c>
      <c r="CJ78" s="245" t="e">
        <v>#N/A</v>
      </c>
      <c r="CK78" s="245" t="e">
        <v>#N/A</v>
      </c>
      <c r="CL78" s="245" t="e">
        <v>#N/A</v>
      </c>
      <c r="CM78" s="245" t="e">
        <v>#N/A</v>
      </c>
      <c r="CN78" s="245" t="e">
        <v>#N/A</v>
      </c>
      <c r="CO78" s="248" t="e">
        <v>#N/A</v>
      </c>
      <c r="CP78" s="245" t="s">
        <v>6452</v>
      </c>
      <c r="CQ78" s="247" t="e">
        <v>#N/A</v>
      </c>
      <c r="CR78" s="247" t="e">
        <v>#N/A</v>
      </c>
      <c r="CS78" s="247" t="e">
        <v>#N/A</v>
      </c>
      <c r="CT78" s="247" t="e">
        <v>#N/A</v>
      </c>
      <c r="CU78" s="247" t="e">
        <v>#N/A</v>
      </c>
      <c r="CV78" s="247" t="e">
        <v>#N/A</v>
      </c>
      <c r="CW78" s="237" t="e">
        <v>#N/A</v>
      </c>
      <c r="CX78" s="245" t="s">
        <v>6453</v>
      </c>
      <c r="CY78" s="241">
        <v>0</v>
      </c>
      <c r="CZ78" s="241" t="s">
        <v>2038</v>
      </c>
      <c r="DA78" s="241" t="s">
        <v>600</v>
      </c>
      <c r="DB78" s="241">
        <v>2</v>
      </c>
      <c r="DC78" s="241" t="s">
        <v>2039</v>
      </c>
      <c r="DD78" s="241" t="s">
        <v>2042</v>
      </c>
      <c r="DE78" s="243">
        <v>43868</v>
      </c>
      <c r="DF78" s="244" t="s">
        <v>6454</v>
      </c>
      <c r="DG78" s="236">
        <v>4228000</v>
      </c>
      <c r="DH78" s="247" t="s">
        <v>2038</v>
      </c>
      <c r="DI78" s="247" t="s">
        <v>600</v>
      </c>
      <c r="DJ78" s="247">
        <v>2</v>
      </c>
      <c r="DK78" s="247" t="s">
        <v>2039</v>
      </c>
      <c r="DL78" s="247" t="s">
        <v>2040</v>
      </c>
      <c r="DM78" s="237">
        <v>43868</v>
      </c>
      <c r="DN78" s="245" t="s">
        <v>6455</v>
      </c>
      <c r="DO78" s="241">
        <v>117000</v>
      </c>
      <c r="DP78" s="245" t="s">
        <v>2038</v>
      </c>
      <c r="DQ78" s="245" t="s">
        <v>600</v>
      </c>
      <c r="DR78" s="245">
        <v>2</v>
      </c>
      <c r="DS78" s="245" t="s">
        <v>2039</v>
      </c>
      <c r="DT78" s="245" t="s">
        <v>2041</v>
      </c>
      <c r="DU78" s="246">
        <v>43868</v>
      </c>
      <c r="DV78" s="244" t="s">
        <v>6456</v>
      </c>
      <c r="DW78" s="236">
        <v>0</v>
      </c>
      <c r="DX78" s="247" t="s">
        <v>2038</v>
      </c>
      <c r="DY78" s="247" t="s">
        <v>600</v>
      </c>
      <c r="DZ78" s="247">
        <v>2</v>
      </c>
      <c r="EA78" s="247" t="s">
        <v>2039</v>
      </c>
      <c r="EB78" s="247" t="s">
        <v>2042</v>
      </c>
      <c r="EC78" s="237">
        <v>43868</v>
      </c>
      <c r="ED78" s="245" t="s">
        <v>6457</v>
      </c>
      <c r="EE78" s="241">
        <v>0</v>
      </c>
      <c r="EF78" s="245" t="s">
        <v>2038</v>
      </c>
      <c r="EG78" s="245" t="s">
        <v>600</v>
      </c>
      <c r="EH78" s="245">
        <v>2</v>
      </c>
      <c r="EI78" s="245" t="s">
        <v>2039</v>
      </c>
      <c r="EJ78" s="245" t="s">
        <v>2043</v>
      </c>
      <c r="EK78" s="246">
        <v>43868</v>
      </c>
      <c r="EL78" s="244" t="s">
        <v>6458</v>
      </c>
      <c r="EM78" s="236">
        <v>0</v>
      </c>
      <c r="EN78" s="247" t="s">
        <v>2038</v>
      </c>
      <c r="EO78" s="247" t="s">
        <v>600</v>
      </c>
      <c r="EP78" s="247">
        <v>2</v>
      </c>
      <c r="EQ78" s="247" t="s">
        <v>2039</v>
      </c>
      <c r="ER78" s="247" t="s">
        <v>2044</v>
      </c>
      <c r="ES78" s="237">
        <v>43868</v>
      </c>
      <c r="ET78" s="245" t="s">
        <v>6459</v>
      </c>
      <c r="EU78" s="245">
        <v>347</v>
      </c>
      <c r="EV78" s="245" t="s">
        <v>3932</v>
      </c>
      <c r="EW78" s="245" t="s">
        <v>599</v>
      </c>
      <c r="EX78" s="245">
        <v>3</v>
      </c>
      <c r="EY78" s="245" t="s">
        <v>3933</v>
      </c>
      <c r="EZ78" s="245" t="s">
        <v>2615</v>
      </c>
      <c r="FA78" s="246">
        <v>44134</v>
      </c>
      <c r="FB78" s="244" t="s">
        <v>6460</v>
      </c>
      <c r="FC78" s="247">
        <v>2</v>
      </c>
      <c r="FD78" s="247" t="s">
        <v>2038</v>
      </c>
      <c r="FE78" s="247" t="s">
        <v>600</v>
      </c>
      <c r="FF78" s="247">
        <v>2</v>
      </c>
      <c r="FG78" s="247" t="s">
        <v>2109</v>
      </c>
      <c r="FH78" s="247" t="s">
        <v>2044</v>
      </c>
      <c r="FI78" s="237">
        <v>43868</v>
      </c>
      <c r="FJ78" s="244" t="s">
        <v>6461</v>
      </c>
      <c r="FK78" s="245" t="e">
        <v>#N/A</v>
      </c>
      <c r="FL78" s="245" t="e">
        <v>#N/A</v>
      </c>
      <c r="FM78" s="245" t="e">
        <v>#N/A</v>
      </c>
      <c r="FN78" s="245" t="e">
        <v>#N/A</v>
      </c>
      <c r="FO78" s="245" t="e">
        <v>#N/A</v>
      </c>
      <c r="FP78" s="241" t="e">
        <v>#N/A</v>
      </c>
      <c r="FQ78" s="242" t="e">
        <v>#N/A</v>
      </c>
      <c r="FR78" s="244" t="s">
        <v>6462</v>
      </c>
      <c r="FS78" s="247" t="e">
        <v>#N/A</v>
      </c>
      <c r="FT78" s="247" t="e">
        <v>#N/A</v>
      </c>
      <c r="FU78" s="247" t="e">
        <v>#N/A</v>
      </c>
      <c r="FV78" s="247" t="e">
        <v>#N/A</v>
      </c>
      <c r="FW78" s="247" t="e">
        <v>#N/A</v>
      </c>
      <c r="FX78" s="247" t="e">
        <v>#N/A</v>
      </c>
      <c r="FY78" s="237" t="e">
        <v>#N/A</v>
      </c>
      <c r="FZ78" s="245" t="s">
        <v>6463</v>
      </c>
      <c r="GA78" s="245">
        <v>0</v>
      </c>
      <c r="GB78" s="245" t="s">
        <v>2112</v>
      </c>
      <c r="GC78" s="245" t="s">
        <v>600</v>
      </c>
      <c r="GD78" s="245">
        <v>2</v>
      </c>
      <c r="GE78" s="245" t="s">
        <v>393</v>
      </c>
      <c r="GF78" s="245" t="s">
        <v>1723</v>
      </c>
      <c r="GG78" s="246">
        <v>43868</v>
      </c>
      <c r="GH78" s="244" t="s">
        <v>6464</v>
      </c>
      <c r="GI78" s="247">
        <v>0</v>
      </c>
      <c r="GJ78" s="247" t="s">
        <v>2112</v>
      </c>
      <c r="GK78" s="247" t="s">
        <v>600</v>
      </c>
      <c r="GL78" s="247">
        <v>2</v>
      </c>
      <c r="GM78" s="247" t="s">
        <v>393</v>
      </c>
      <c r="GN78" s="247" t="s">
        <v>1723</v>
      </c>
      <c r="GO78" s="237">
        <v>43868</v>
      </c>
      <c r="GP78" s="245" t="s">
        <v>6465</v>
      </c>
      <c r="GQ78" s="245">
        <v>0</v>
      </c>
      <c r="GR78" s="245" t="s">
        <v>2112</v>
      </c>
      <c r="GS78" s="245" t="s">
        <v>600</v>
      </c>
      <c r="GT78" s="245">
        <v>2</v>
      </c>
      <c r="GU78" s="245" t="s">
        <v>393</v>
      </c>
      <c r="GV78" s="245" t="s">
        <v>1723</v>
      </c>
      <c r="GW78" s="246">
        <v>43868</v>
      </c>
      <c r="GX78" s="244" t="s">
        <v>6466</v>
      </c>
      <c r="GY78" s="247">
        <v>0</v>
      </c>
      <c r="GZ78" s="247" t="s">
        <v>2112</v>
      </c>
      <c r="HA78" s="247" t="s">
        <v>600</v>
      </c>
      <c r="HB78" s="247">
        <v>2</v>
      </c>
      <c r="HC78" s="247" t="s">
        <v>393</v>
      </c>
      <c r="HD78" s="247" t="s">
        <v>1723</v>
      </c>
      <c r="HE78" s="237">
        <v>43868</v>
      </c>
      <c r="HF78" s="245" t="s">
        <v>6467</v>
      </c>
      <c r="HG78" s="245">
        <v>0</v>
      </c>
      <c r="HH78" s="245" t="s">
        <v>2112</v>
      </c>
      <c r="HI78" s="245" t="s">
        <v>600</v>
      </c>
      <c r="HJ78" s="245">
        <v>2</v>
      </c>
      <c r="HK78" s="245" t="s">
        <v>393</v>
      </c>
      <c r="HL78" s="245" t="s">
        <v>1723</v>
      </c>
      <c r="HM78" s="246">
        <v>43868</v>
      </c>
      <c r="HN78" s="244" t="s">
        <v>6468</v>
      </c>
      <c r="HO78" s="247">
        <v>0</v>
      </c>
      <c r="HP78" s="247" t="s">
        <v>2112</v>
      </c>
      <c r="HQ78" s="247" t="s">
        <v>600</v>
      </c>
      <c r="HR78" s="247">
        <v>2</v>
      </c>
      <c r="HS78" s="247" t="s">
        <v>393</v>
      </c>
      <c r="HT78" s="247" t="s">
        <v>1723</v>
      </c>
      <c r="HU78" s="237">
        <v>43868</v>
      </c>
      <c r="HV78" s="245" t="s">
        <v>6469</v>
      </c>
      <c r="HW78" s="245">
        <v>0</v>
      </c>
      <c r="HX78" s="245" t="s">
        <v>2112</v>
      </c>
      <c r="HY78" s="245" t="s">
        <v>600</v>
      </c>
      <c r="HZ78" s="245">
        <v>2</v>
      </c>
      <c r="IA78" s="245" t="s">
        <v>393</v>
      </c>
      <c r="IB78" s="245" t="s">
        <v>1723</v>
      </c>
      <c r="IC78" s="246">
        <v>43868</v>
      </c>
      <c r="ID78" s="244" t="s">
        <v>6470</v>
      </c>
      <c r="IE78" s="247">
        <v>0</v>
      </c>
      <c r="IF78" s="247" t="s">
        <v>2112</v>
      </c>
      <c r="IG78" s="247" t="s">
        <v>600</v>
      </c>
      <c r="IH78" s="247">
        <v>2</v>
      </c>
      <c r="II78" s="247" t="s">
        <v>393</v>
      </c>
      <c r="IJ78" s="247" t="s">
        <v>1723</v>
      </c>
      <c r="IK78" s="237">
        <v>43868</v>
      </c>
      <c r="IL78" s="245" t="s">
        <v>6471</v>
      </c>
      <c r="IM78" s="245">
        <v>1</v>
      </c>
      <c r="IN78" s="245" t="s">
        <v>2112</v>
      </c>
      <c r="IO78" s="245" t="s">
        <v>600</v>
      </c>
      <c r="IP78" s="245">
        <v>2</v>
      </c>
      <c r="IQ78" s="245" t="s">
        <v>393</v>
      </c>
      <c r="IR78" s="245" t="s">
        <v>1723</v>
      </c>
      <c r="IS78" s="246">
        <v>43868</v>
      </c>
    </row>
    <row r="79" spans="1:253" s="11" customFormat="1" ht="13.2" x14ac:dyDescent="0.25">
      <c r="A79" s="11" t="s">
        <v>2045</v>
      </c>
      <c r="B79" s="11" t="s">
        <v>691</v>
      </c>
      <c r="C79" s="11" t="s">
        <v>2102</v>
      </c>
      <c r="D79" s="11" t="s">
        <v>189</v>
      </c>
      <c r="E79" s="11" t="s">
        <v>188</v>
      </c>
      <c r="F79" s="11" t="s">
        <v>6472</v>
      </c>
      <c r="G79" s="235">
        <v>26700000</v>
      </c>
      <c r="H79" s="236" t="s">
        <v>719</v>
      </c>
      <c r="I79" s="236" t="s">
        <v>601</v>
      </c>
      <c r="J79" s="236">
        <v>1</v>
      </c>
      <c r="K79" s="236" t="s">
        <v>1457</v>
      </c>
      <c r="L79" s="236" t="s">
        <v>839</v>
      </c>
      <c r="M79" s="237">
        <v>43868</v>
      </c>
      <c r="N79" s="244" t="s">
        <v>6473</v>
      </c>
      <c r="O79" s="239">
        <v>76177</v>
      </c>
      <c r="P79" s="239" t="s">
        <v>2027</v>
      </c>
      <c r="Q79" s="239" t="s">
        <v>601</v>
      </c>
      <c r="R79" s="239">
        <v>1</v>
      </c>
      <c r="S79" s="239" t="s">
        <v>2070</v>
      </c>
      <c r="T79" s="239" t="s">
        <v>2028</v>
      </c>
      <c r="U79" s="240">
        <v>43868</v>
      </c>
      <c r="V79" s="244" t="s">
        <v>6474</v>
      </c>
      <c r="W79" s="236">
        <v>6621000</v>
      </c>
      <c r="X79" s="236" t="s">
        <v>2400</v>
      </c>
      <c r="Y79" s="236" t="s">
        <v>600</v>
      </c>
      <c r="Z79" s="236">
        <v>2</v>
      </c>
      <c r="AA79" s="236" t="s">
        <v>2046</v>
      </c>
      <c r="AB79" s="236" t="s">
        <v>2121</v>
      </c>
      <c r="AC79" s="237">
        <v>43979</v>
      </c>
      <c r="AD79" s="244" t="s">
        <v>6475</v>
      </c>
      <c r="AE79" s="241">
        <v>1732000</v>
      </c>
      <c r="AF79" s="241" t="s">
        <v>2400</v>
      </c>
      <c r="AG79" s="241" t="s">
        <v>600</v>
      </c>
      <c r="AH79" s="241">
        <v>2</v>
      </c>
      <c r="AI79" s="241" t="s">
        <v>2047</v>
      </c>
      <c r="AJ79" s="241" t="s">
        <v>2121</v>
      </c>
      <c r="AK79" s="242">
        <v>43979</v>
      </c>
      <c r="AL79" s="244" t="s">
        <v>6476</v>
      </c>
      <c r="AM79" s="236">
        <v>16000</v>
      </c>
      <c r="AN79" s="236" t="s">
        <v>2033</v>
      </c>
      <c r="AO79" s="236" t="s">
        <v>599</v>
      </c>
      <c r="AP79" s="236">
        <v>3</v>
      </c>
      <c r="AQ79" s="236" t="s">
        <v>3931</v>
      </c>
      <c r="AR79" s="236" t="s">
        <v>2034</v>
      </c>
      <c r="AS79" s="237">
        <v>44134</v>
      </c>
      <c r="AT79" s="245" t="s">
        <v>6477</v>
      </c>
      <c r="AU79" s="241">
        <v>0</v>
      </c>
      <c r="AV79" s="241" t="s">
        <v>393</v>
      </c>
      <c r="AW79" s="241" t="s">
        <v>393</v>
      </c>
      <c r="AX79" s="241" t="s">
        <v>393</v>
      </c>
      <c r="AY79" s="241" t="s">
        <v>393</v>
      </c>
      <c r="AZ79" s="241" t="s">
        <v>393</v>
      </c>
      <c r="BA79" s="242">
        <v>43874</v>
      </c>
      <c r="BB79" s="244" t="s">
        <v>6478</v>
      </c>
      <c r="BC79" s="236">
        <v>0</v>
      </c>
      <c r="BD79" s="236" t="s">
        <v>393</v>
      </c>
      <c r="BE79" s="236" t="s">
        <v>393</v>
      </c>
      <c r="BF79" s="236" t="s">
        <v>393</v>
      </c>
      <c r="BG79" s="236" t="s">
        <v>393</v>
      </c>
      <c r="BH79" s="236" t="s">
        <v>393</v>
      </c>
      <c r="BI79" s="237">
        <v>43874</v>
      </c>
      <c r="BJ79" s="245" t="s">
        <v>6479</v>
      </c>
      <c r="BK79" s="245">
        <v>169</v>
      </c>
      <c r="BL79" s="245" t="s">
        <v>3929</v>
      </c>
      <c r="BM79" s="245" t="s">
        <v>600</v>
      </c>
      <c r="BN79" s="245">
        <v>2</v>
      </c>
      <c r="BO79" s="245" t="s">
        <v>3934</v>
      </c>
      <c r="BP79" s="241" t="s">
        <v>2205</v>
      </c>
      <c r="BQ79" s="246">
        <v>44134</v>
      </c>
      <c r="BR79" s="244" t="s">
        <v>6480</v>
      </c>
      <c r="BS79" s="247" t="e">
        <v>#N/A</v>
      </c>
      <c r="BT79" s="247" t="e">
        <v>#N/A</v>
      </c>
      <c r="BU79" s="247" t="e">
        <v>#N/A</v>
      </c>
      <c r="BV79" s="247" t="e">
        <v>#N/A</v>
      </c>
      <c r="BW79" s="247" t="e">
        <v>#N/A</v>
      </c>
      <c r="BX79" s="247" t="e">
        <v>#N/A</v>
      </c>
      <c r="BY79" s="237" t="e">
        <v>#N/A</v>
      </c>
      <c r="BZ79" s="245" t="s">
        <v>6481</v>
      </c>
      <c r="CA79" s="245" t="e">
        <v>#N/A</v>
      </c>
      <c r="CB79" s="245" t="e">
        <v>#N/A</v>
      </c>
      <c r="CC79" s="245" t="e">
        <v>#N/A</v>
      </c>
      <c r="CD79" s="245" t="e">
        <v>#N/A</v>
      </c>
      <c r="CE79" s="245" t="e">
        <v>#N/A</v>
      </c>
      <c r="CF79" s="245" t="e">
        <v>#N/A</v>
      </c>
      <c r="CG79" s="246" t="e">
        <v>#N/A</v>
      </c>
      <c r="CH79" s="244" t="s">
        <v>6482</v>
      </c>
      <c r="CI79" s="245" t="e">
        <v>#N/A</v>
      </c>
      <c r="CJ79" s="245" t="e">
        <v>#N/A</v>
      </c>
      <c r="CK79" s="245" t="e">
        <v>#N/A</v>
      </c>
      <c r="CL79" s="245" t="e">
        <v>#N/A</v>
      </c>
      <c r="CM79" s="245" t="e">
        <v>#N/A</v>
      </c>
      <c r="CN79" s="245" t="e">
        <v>#N/A</v>
      </c>
      <c r="CO79" s="248" t="e">
        <v>#N/A</v>
      </c>
      <c r="CP79" s="245" t="s">
        <v>6483</v>
      </c>
      <c r="CQ79" s="247" t="e">
        <v>#N/A</v>
      </c>
      <c r="CR79" s="247" t="e">
        <v>#N/A</v>
      </c>
      <c r="CS79" s="247" t="e">
        <v>#N/A</v>
      </c>
      <c r="CT79" s="247" t="e">
        <v>#N/A</v>
      </c>
      <c r="CU79" s="247" t="e">
        <v>#N/A</v>
      </c>
      <c r="CV79" s="247" t="e">
        <v>#N/A</v>
      </c>
      <c r="CW79" s="237" t="e">
        <v>#N/A</v>
      </c>
      <c r="CX79" s="245" t="s">
        <v>6484</v>
      </c>
      <c r="CY79" s="241">
        <v>682000</v>
      </c>
      <c r="CZ79" s="241" t="s">
        <v>2400</v>
      </c>
      <c r="DA79" s="241" t="s">
        <v>600</v>
      </c>
      <c r="DB79" s="241">
        <v>2</v>
      </c>
      <c r="DC79" s="241" t="s">
        <v>2401</v>
      </c>
      <c r="DD79" s="241" t="s">
        <v>2121</v>
      </c>
      <c r="DE79" s="243">
        <v>43979</v>
      </c>
      <c r="DF79" s="244" t="s">
        <v>6485</v>
      </c>
      <c r="DG79" s="236">
        <v>4889000</v>
      </c>
      <c r="DH79" s="247" t="s">
        <v>2400</v>
      </c>
      <c r="DI79" s="247" t="s">
        <v>600</v>
      </c>
      <c r="DJ79" s="247">
        <v>2</v>
      </c>
      <c r="DK79" s="247" t="s">
        <v>2401</v>
      </c>
      <c r="DL79" s="247" t="s">
        <v>2121</v>
      </c>
      <c r="DM79" s="237">
        <v>43979</v>
      </c>
      <c r="DN79" s="245" t="s">
        <v>6486</v>
      </c>
      <c r="DO79" s="241">
        <v>1050000</v>
      </c>
      <c r="DP79" s="245" t="s">
        <v>2400</v>
      </c>
      <c r="DQ79" s="245" t="s">
        <v>600</v>
      </c>
      <c r="DR79" s="245">
        <v>2</v>
      </c>
      <c r="DS79" s="245" t="s">
        <v>2401</v>
      </c>
      <c r="DT79" s="245" t="s">
        <v>2121</v>
      </c>
      <c r="DU79" s="246">
        <v>43979</v>
      </c>
      <c r="DV79" s="244" t="s">
        <v>6487</v>
      </c>
      <c r="DW79" s="236">
        <v>655000</v>
      </c>
      <c r="DX79" s="247" t="s">
        <v>2400</v>
      </c>
      <c r="DY79" s="247" t="s">
        <v>600</v>
      </c>
      <c r="DZ79" s="247">
        <v>2</v>
      </c>
      <c r="EA79" s="247" t="s">
        <v>2401</v>
      </c>
      <c r="EB79" s="247" t="s">
        <v>2121</v>
      </c>
      <c r="EC79" s="237">
        <v>43979</v>
      </c>
      <c r="ED79" s="245" t="s">
        <v>6488</v>
      </c>
      <c r="EE79" s="241">
        <v>27000</v>
      </c>
      <c r="EF79" s="245" t="s">
        <v>2400</v>
      </c>
      <c r="EG79" s="245" t="s">
        <v>600</v>
      </c>
      <c r="EH79" s="245">
        <v>2</v>
      </c>
      <c r="EI79" s="245" t="s">
        <v>2401</v>
      </c>
      <c r="EJ79" s="245" t="s">
        <v>2121</v>
      </c>
      <c r="EK79" s="246">
        <v>43979</v>
      </c>
      <c r="EL79" s="244" t="s">
        <v>6489</v>
      </c>
      <c r="EM79" s="236">
        <v>0</v>
      </c>
      <c r="EN79" s="247" t="s">
        <v>2400</v>
      </c>
      <c r="EO79" s="247" t="s">
        <v>600</v>
      </c>
      <c r="EP79" s="247">
        <v>2</v>
      </c>
      <c r="EQ79" s="247" t="s">
        <v>2401</v>
      </c>
      <c r="ER79" s="247" t="s">
        <v>2121</v>
      </c>
      <c r="ES79" s="237">
        <v>43979</v>
      </c>
      <c r="ET79" s="245" t="s">
        <v>6490</v>
      </c>
      <c r="EU79" s="245">
        <v>347</v>
      </c>
      <c r="EV79" s="245" t="s">
        <v>3932</v>
      </c>
      <c r="EW79" s="245" t="s">
        <v>599</v>
      </c>
      <c r="EX79" s="245">
        <v>3</v>
      </c>
      <c r="EY79" s="245" t="s">
        <v>3933</v>
      </c>
      <c r="EZ79" s="245" t="s">
        <v>2615</v>
      </c>
      <c r="FA79" s="246">
        <v>44134</v>
      </c>
      <c r="FB79" s="244" t="s">
        <v>6491</v>
      </c>
      <c r="FC79" s="247">
        <v>2</v>
      </c>
      <c r="FD79" s="247" t="s">
        <v>2049</v>
      </c>
      <c r="FE79" s="247" t="s">
        <v>600</v>
      </c>
      <c r="FF79" s="247">
        <v>2</v>
      </c>
      <c r="FG79" s="247" t="s">
        <v>2109</v>
      </c>
      <c r="FH79" s="247" t="s">
        <v>2050</v>
      </c>
      <c r="FI79" s="237">
        <v>43868</v>
      </c>
      <c r="FJ79" s="244" t="s">
        <v>6492</v>
      </c>
      <c r="FK79" s="245" t="e">
        <v>#N/A</v>
      </c>
      <c r="FL79" s="245" t="e">
        <v>#N/A</v>
      </c>
      <c r="FM79" s="245" t="e">
        <v>#N/A</v>
      </c>
      <c r="FN79" s="245" t="e">
        <v>#N/A</v>
      </c>
      <c r="FO79" s="245" t="e">
        <v>#N/A</v>
      </c>
      <c r="FP79" s="241" t="e">
        <v>#N/A</v>
      </c>
      <c r="FQ79" s="242" t="e">
        <v>#N/A</v>
      </c>
      <c r="FR79" s="244" t="s">
        <v>6493</v>
      </c>
      <c r="FS79" s="247" t="e">
        <v>#N/A</v>
      </c>
      <c r="FT79" s="247" t="e">
        <v>#N/A</v>
      </c>
      <c r="FU79" s="247" t="e">
        <v>#N/A</v>
      </c>
      <c r="FV79" s="247" t="e">
        <v>#N/A</v>
      </c>
      <c r="FW79" s="247" t="e">
        <v>#N/A</v>
      </c>
      <c r="FX79" s="247" t="e">
        <v>#N/A</v>
      </c>
      <c r="FY79" s="237" t="e">
        <v>#N/A</v>
      </c>
      <c r="FZ79" s="245" t="s">
        <v>6494</v>
      </c>
      <c r="GA79" s="245">
        <v>0</v>
      </c>
      <c r="GB79" s="245" t="s">
        <v>2112</v>
      </c>
      <c r="GC79" s="245" t="s">
        <v>600</v>
      </c>
      <c r="GD79" s="245">
        <v>2</v>
      </c>
      <c r="GE79" s="245" t="s">
        <v>393</v>
      </c>
      <c r="GF79" s="245" t="s">
        <v>1723</v>
      </c>
      <c r="GG79" s="246">
        <v>43868</v>
      </c>
      <c r="GH79" s="244" t="s">
        <v>6495</v>
      </c>
      <c r="GI79" s="247">
        <v>0</v>
      </c>
      <c r="GJ79" s="247" t="s">
        <v>2112</v>
      </c>
      <c r="GK79" s="247" t="s">
        <v>600</v>
      </c>
      <c r="GL79" s="247">
        <v>2</v>
      </c>
      <c r="GM79" s="247" t="s">
        <v>393</v>
      </c>
      <c r="GN79" s="247" t="s">
        <v>1723</v>
      </c>
      <c r="GO79" s="237">
        <v>43868</v>
      </c>
      <c r="GP79" s="245" t="s">
        <v>6496</v>
      </c>
      <c r="GQ79" s="245">
        <v>0</v>
      </c>
      <c r="GR79" s="245" t="s">
        <v>2112</v>
      </c>
      <c r="GS79" s="245" t="s">
        <v>600</v>
      </c>
      <c r="GT79" s="245">
        <v>2</v>
      </c>
      <c r="GU79" s="245" t="s">
        <v>393</v>
      </c>
      <c r="GV79" s="245" t="s">
        <v>1723</v>
      </c>
      <c r="GW79" s="246">
        <v>43868</v>
      </c>
      <c r="GX79" s="244" t="s">
        <v>6497</v>
      </c>
      <c r="GY79" s="247">
        <v>0</v>
      </c>
      <c r="GZ79" s="247" t="s">
        <v>2112</v>
      </c>
      <c r="HA79" s="247" t="s">
        <v>600</v>
      </c>
      <c r="HB79" s="247">
        <v>2</v>
      </c>
      <c r="HC79" s="247" t="s">
        <v>393</v>
      </c>
      <c r="HD79" s="247" t="s">
        <v>1723</v>
      </c>
      <c r="HE79" s="237">
        <v>43868</v>
      </c>
      <c r="HF79" s="245" t="s">
        <v>6498</v>
      </c>
      <c r="HG79" s="245">
        <v>0</v>
      </c>
      <c r="HH79" s="245" t="s">
        <v>2112</v>
      </c>
      <c r="HI79" s="245" t="s">
        <v>600</v>
      </c>
      <c r="HJ79" s="245">
        <v>2</v>
      </c>
      <c r="HK79" s="245" t="s">
        <v>393</v>
      </c>
      <c r="HL79" s="245" t="s">
        <v>1723</v>
      </c>
      <c r="HM79" s="246">
        <v>43868</v>
      </c>
      <c r="HN79" s="244" t="s">
        <v>6499</v>
      </c>
      <c r="HO79" s="247">
        <v>0</v>
      </c>
      <c r="HP79" s="247" t="s">
        <v>2112</v>
      </c>
      <c r="HQ79" s="247" t="s">
        <v>600</v>
      </c>
      <c r="HR79" s="247">
        <v>2</v>
      </c>
      <c r="HS79" s="247" t="s">
        <v>393</v>
      </c>
      <c r="HT79" s="247" t="s">
        <v>1723</v>
      </c>
      <c r="HU79" s="237">
        <v>43868</v>
      </c>
      <c r="HV79" s="245" t="s">
        <v>6500</v>
      </c>
      <c r="HW79" s="245">
        <v>1</v>
      </c>
      <c r="HX79" s="245" t="s">
        <v>2112</v>
      </c>
      <c r="HY79" s="245" t="s">
        <v>600</v>
      </c>
      <c r="HZ79" s="245">
        <v>2</v>
      </c>
      <c r="IA79" s="245" t="s">
        <v>393</v>
      </c>
      <c r="IB79" s="245" t="s">
        <v>1723</v>
      </c>
      <c r="IC79" s="246">
        <v>43868</v>
      </c>
      <c r="ID79" s="244" t="s">
        <v>6501</v>
      </c>
      <c r="IE79" s="247">
        <v>0</v>
      </c>
      <c r="IF79" s="247" t="s">
        <v>2112</v>
      </c>
      <c r="IG79" s="247" t="s">
        <v>600</v>
      </c>
      <c r="IH79" s="247">
        <v>2</v>
      </c>
      <c r="II79" s="247" t="s">
        <v>393</v>
      </c>
      <c r="IJ79" s="247" t="s">
        <v>1723</v>
      </c>
      <c r="IK79" s="237">
        <v>43868</v>
      </c>
      <c r="IL79" s="245" t="s">
        <v>6502</v>
      </c>
      <c r="IM79" s="245">
        <v>1</v>
      </c>
      <c r="IN79" s="245" t="s">
        <v>2112</v>
      </c>
      <c r="IO79" s="245" t="s">
        <v>600</v>
      </c>
      <c r="IP79" s="245">
        <v>2</v>
      </c>
      <c r="IQ79" s="245" t="s">
        <v>393</v>
      </c>
      <c r="IR79" s="245" t="s">
        <v>1723</v>
      </c>
      <c r="IS79" s="246">
        <v>43868</v>
      </c>
    </row>
    <row r="80" spans="1:253" s="11" customFormat="1" ht="13.2" x14ac:dyDescent="0.25">
      <c r="A80" s="11" t="s">
        <v>1456</v>
      </c>
      <c r="B80" s="11" t="s">
        <v>691</v>
      </c>
      <c r="C80" s="11" t="s">
        <v>2925</v>
      </c>
      <c r="D80" s="11" t="s">
        <v>191</v>
      </c>
      <c r="E80" s="11" t="s">
        <v>190</v>
      </c>
      <c r="F80" s="11" t="s">
        <v>6503</v>
      </c>
      <c r="G80" s="235">
        <v>19130000</v>
      </c>
      <c r="H80" s="236" t="s">
        <v>3367</v>
      </c>
      <c r="I80" s="236" t="s">
        <v>600</v>
      </c>
      <c r="J80" s="236">
        <v>2</v>
      </c>
      <c r="K80" s="236" t="s">
        <v>3602</v>
      </c>
      <c r="L80" s="236" t="s">
        <v>3603</v>
      </c>
      <c r="M80" s="237">
        <v>44110</v>
      </c>
      <c r="N80" s="244" t="s">
        <v>6504</v>
      </c>
      <c r="O80" s="239">
        <v>94276</v>
      </c>
      <c r="P80" s="239" t="s">
        <v>1181</v>
      </c>
      <c r="Q80" s="239" t="s">
        <v>601</v>
      </c>
      <c r="R80" s="239">
        <v>1</v>
      </c>
      <c r="S80" s="239" t="s">
        <v>1187</v>
      </c>
      <c r="T80" s="239" t="s">
        <v>1182</v>
      </c>
      <c r="U80" s="240">
        <v>43549</v>
      </c>
      <c r="V80" s="244" t="s">
        <v>6505</v>
      </c>
      <c r="W80" s="236">
        <v>17678000</v>
      </c>
      <c r="X80" s="236" t="s">
        <v>3928</v>
      </c>
      <c r="Y80" s="236" t="s">
        <v>600</v>
      </c>
      <c r="Z80" s="236">
        <v>2</v>
      </c>
      <c r="AA80" s="236" t="s">
        <v>3927</v>
      </c>
      <c r="AB80" s="236" t="s">
        <v>3482</v>
      </c>
      <c r="AC80" s="237">
        <v>44134</v>
      </c>
      <c r="AD80" s="244" t="s">
        <v>6506</v>
      </c>
      <c r="AE80" s="241">
        <v>8837000</v>
      </c>
      <c r="AF80" s="241" t="s">
        <v>3928</v>
      </c>
      <c r="AG80" s="241" t="s">
        <v>600</v>
      </c>
      <c r="AH80" s="241">
        <v>2</v>
      </c>
      <c r="AI80" s="241" t="s">
        <v>3915</v>
      </c>
      <c r="AJ80" s="241" t="s">
        <v>3482</v>
      </c>
      <c r="AK80" s="242">
        <v>44134</v>
      </c>
      <c r="AL80" s="244" t="s">
        <v>6507</v>
      </c>
      <c r="AM80" s="236">
        <v>0</v>
      </c>
      <c r="AN80" s="236" t="s">
        <v>1529</v>
      </c>
      <c r="AO80" s="236" t="s">
        <v>600</v>
      </c>
      <c r="AP80" s="236">
        <v>2</v>
      </c>
      <c r="AQ80" s="236" t="s">
        <v>1531</v>
      </c>
      <c r="AR80" s="236" t="s">
        <v>1530</v>
      </c>
      <c r="AS80" s="237">
        <v>43706</v>
      </c>
      <c r="AT80" s="245" t="s">
        <v>6508</v>
      </c>
      <c r="AU80" s="241">
        <v>0</v>
      </c>
      <c r="AV80" s="241" t="s">
        <v>1183</v>
      </c>
      <c r="AW80" s="241" t="s">
        <v>601</v>
      </c>
      <c r="AX80" s="241">
        <v>1</v>
      </c>
      <c r="AY80" s="241" t="s">
        <v>1572</v>
      </c>
      <c r="AZ80" s="241" t="s">
        <v>1184</v>
      </c>
      <c r="BA80" s="242">
        <v>43763</v>
      </c>
      <c r="BB80" s="244" t="s">
        <v>6509</v>
      </c>
      <c r="BC80" s="236">
        <v>0</v>
      </c>
      <c r="BD80" s="236" t="s">
        <v>393</v>
      </c>
      <c r="BE80" s="236" t="s">
        <v>600</v>
      </c>
      <c r="BF80" s="236">
        <v>2</v>
      </c>
      <c r="BG80" s="236" t="s">
        <v>1572</v>
      </c>
      <c r="BH80" s="236" t="s">
        <v>393</v>
      </c>
      <c r="BI80" s="237">
        <v>43742</v>
      </c>
      <c r="BJ80" s="245" t="s">
        <v>6510</v>
      </c>
      <c r="BK80" s="245">
        <v>33</v>
      </c>
      <c r="BL80" s="245" t="s">
        <v>3929</v>
      </c>
      <c r="BM80" s="245" t="s">
        <v>600</v>
      </c>
      <c r="BN80" s="245">
        <v>2</v>
      </c>
      <c r="BO80" s="245" t="s">
        <v>3930</v>
      </c>
      <c r="BP80" s="241" t="s">
        <v>2205</v>
      </c>
      <c r="BQ80" s="246">
        <v>44134</v>
      </c>
      <c r="BR80" s="244" t="s">
        <v>6511</v>
      </c>
      <c r="BS80" s="247" t="s">
        <v>393</v>
      </c>
      <c r="BT80" s="247" t="s">
        <v>393</v>
      </c>
      <c r="BU80" s="247" t="s">
        <v>393</v>
      </c>
      <c r="BV80" s="247" t="s">
        <v>393</v>
      </c>
      <c r="BW80" s="247" t="s">
        <v>1498</v>
      </c>
      <c r="BX80" s="247" t="s">
        <v>393</v>
      </c>
      <c r="BY80" s="237">
        <v>43676</v>
      </c>
      <c r="BZ80" s="245" t="s">
        <v>6512</v>
      </c>
      <c r="CA80" s="245" t="s">
        <v>393</v>
      </c>
      <c r="CB80" s="245" t="s">
        <v>393</v>
      </c>
      <c r="CC80" s="245" t="s">
        <v>393</v>
      </c>
      <c r="CD80" s="245" t="s">
        <v>393</v>
      </c>
      <c r="CE80" s="245" t="s">
        <v>1185</v>
      </c>
      <c r="CF80" s="245" t="s">
        <v>393</v>
      </c>
      <c r="CG80" s="246">
        <v>43676</v>
      </c>
      <c r="CH80" s="244" t="s">
        <v>6513</v>
      </c>
      <c r="CI80" s="245" t="e">
        <v>#N/A</v>
      </c>
      <c r="CJ80" s="245" t="e">
        <v>#N/A</v>
      </c>
      <c r="CK80" s="245" t="e">
        <v>#N/A</v>
      </c>
      <c r="CL80" s="245" t="e">
        <v>#N/A</v>
      </c>
      <c r="CM80" s="245" t="e">
        <v>#N/A</v>
      </c>
      <c r="CN80" s="245" t="e">
        <v>#N/A</v>
      </c>
      <c r="CO80" s="248" t="e">
        <v>#N/A</v>
      </c>
      <c r="CP80" s="245" t="s">
        <v>6514</v>
      </c>
      <c r="CQ80" s="247" t="s">
        <v>393</v>
      </c>
      <c r="CR80" s="247" t="s">
        <v>393</v>
      </c>
      <c r="CS80" s="247" t="s">
        <v>393</v>
      </c>
      <c r="CT80" s="247" t="s">
        <v>393</v>
      </c>
      <c r="CU80" s="247" t="s">
        <v>1186</v>
      </c>
      <c r="CV80" s="247" t="s">
        <v>393</v>
      </c>
      <c r="CW80" s="237">
        <v>43676</v>
      </c>
      <c r="CX80" s="245" t="s">
        <v>6515</v>
      </c>
      <c r="CY80" s="241">
        <v>2618000</v>
      </c>
      <c r="CZ80" s="241" t="s">
        <v>3928</v>
      </c>
      <c r="DA80" s="241" t="s">
        <v>600</v>
      </c>
      <c r="DB80" s="241">
        <v>2</v>
      </c>
      <c r="DC80" s="241" t="s">
        <v>3916</v>
      </c>
      <c r="DD80" s="241" t="s">
        <v>3482</v>
      </c>
      <c r="DE80" s="243">
        <v>44134</v>
      </c>
      <c r="DF80" s="244" t="s">
        <v>6516</v>
      </c>
      <c r="DG80" s="236">
        <v>8841000</v>
      </c>
      <c r="DH80" s="247" t="s">
        <v>3928</v>
      </c>
      <c r="DI80" s="247" t="s">
        <v>600</v>
      </c>
      <c r="DJ80" s="247">
        <v>2</v>
      </c>
      <c r="DK80" s="247" t="s">
        <v>3916</v>
      </c>
      <c r="DL80" s="247" t="s">
        <v>3482</v>
      </c>
      <c r="DM80" s="237">
        <v>44134</v>
      </c>
      <c r="DN80" s="245" t="s">
        <v>6517</v>
      </c>
      <c r="DO80" s="241">
        <v>6219000</v>
      </c>
      <c r="DP80" s="245" t="s">
        <v>3928</v>
      </c>
      <c r="DQ80" s="245" t="s">
        <v>600</v>
      </c>
      <c r="DR80" s="245">
        <v>2</v>
      </c>
      <c r="DS80" s="245" t="s">
        <v>3916</v>
      </c>
      <c r="DT80" s="245" t="s">
        <v>3482</v>
      </c>
      <c r="DU80" s="246">
        <v>44134</v>
      </c>
      <c r="DV80" s="244" t="s">
        <v>6518</v>
      </c>
      <c r="DW80" s="236">
        <v>2618000</v>
      </c>
      <c r="DX80" s="247" t="s">
        <v>3928</v>
      </c>
      <c r="DY80" s="247" t="s">
        <v>600</v>
      </c>
      <c r="DZ80" s="247">
        <v>2</v>
      </c>
      <c r="EA80" s="247" t="s">
        <v>3916</v>
      </c>
      <c r="EB80" s="247" t="s">
        <v>3482</v>
      </c>
      <c r="EC80" s="237">
        <v>44134</v>
      </c>
      <c r="ED80" s="245" t="s">
        <v>6519</v>
      </c>
      <c r="EE80" s="241">
        <v>0</v>
      </c>
      <c r="EF80" s="245" t="s">
        <v>3928</v>
      </c>
      <c r="EG80" s="245" t="s">
        <v>600</v>
      </c>
      <c r="EH80" s="245">
        <v>2</v>
      </c>
      <c r="EI80" s="245" t="s">
        <v>3916</v>
      </c>
      <c r="EJ80" s="245" t="s">
        <v>3482</v>
      </c>
      <c r="EK80" s="246">
        <v>44134</v>
      </c>
      <c r="EL80" s="244" t="s">
        <v>6520</v>
      </c>
      <c r="EM80" s="236">
        <v>0</v>
      </c>
      <c r="EN80" s="247" t="s">
        <v>3928</v>
      </c>
      <c r="EO80" s="247" t="s">
        <v>600</v>
      </c>
      <c r="EP80" s="247">
        <v>2</v>
      </c>
      <c r="EQ80" s="247" t="s">
        <v>3916</v>
      </c>
      <c r="ER80" s="247" t="s">
        <v>3482</v>
      </c>
      <c r="ES80" s="237">
        <v>44134</v>
      </c>
      <c r="ET80" s="245" t="s">
        <v>6521</v>
      </c>
      <c r="EU80" s="245">
        <v>33</v>
      </c>
      <c r="EV80" s="245" t="s">
        <v>3929</v>
      </c>
      <c r="EW80" s="245" t="s">
        <v>600</v>
      </c>
      <c r="EX80" s="245">
        <v>2</v>
      </c>
      <c r="EY80" s="245" t="s">
        <v>3930</v>
      </c>
      <c r="EZ80" s="245" t="s">
        <v>2205</v>
      </c>
      <c r="FA80" s="246">
        <v>44134</v>
      </c>
      <c r="FB80" s="244" t="s">
        <v>6522</v>
      </c>
      <c r="FC80" s="247">
        <v>1</v>
      </c>
      <c r="FD80" s="247" t="s">
        <v>393</v>
      </c>
      <c r="FE80" s="247" t="s">
        <v>393</v>
      </c>
      <c r="FF80" s="247" t="s">
        <v>393</v>
      </c>
      <c r="FG80" s="247" t="s">
        <v>1536</v>
      </c>
      <c r="FH80" s="247" t="s">
        <v>393</v>
      </c>
      <c r="FI80" s="237">
        <v>43707</v>
      </c>
      <c r="FJ80" s="244" t="s">
        <v>6523</v>
      </c>
      <c r="FK80" s="245" t="s">
        <v>393</v>
      </c>
      <c r="FL80" s="245">
        <v>0</v>
      </c>
      <c r="FM80" s="245" t="s">
        <v>600</v>
      </c>
      <c r="FN80" s="245">
        <v>2</v>
      </c>
      <c r="FO80" s="245">
        <v>0</v>
      </c>
      <c r="FP80" s="241">
        <v>0</v>
      </c>
      <c r="FQ80" s="242">
        <v>43511</v>
      </c>
      <c r="FR80" s="244" t="s">
        <v>6524</v>
      </c>
      <c r="FS80" s="247" t="s">
        <v>393</v>
      </c>
      <c r="FT80" s="247">
        <v>0</v>
      </c>
      <c r="FU80" s="247" t="s">
        <v>600</v>
      </c>
      <c r="FV80" s="247">
        <v>2</v>
      </c>
      <c r="FW80" s="247">
        <v>0</v>
      </c>
      <c r="FX80" s="247">
        <v>0</v>
      </c>
      <c r="FY80" s="237">
        <v>43511</v>
      </c>
      <c r="FZ80" s="245" t="s">
        <v>6525</v>
      </c>
      <c r="GA80" s="245">
        <v>0</v>
      </c>
      <c r="GB80" s="245" t="s">
        <v>1587</v>
      </c>
      <c r="GC80" s="245" t="s">
        <v>601</v>
      </c>
      <c r="GD80" s="245">
        <v>1</v>
      </c>
      <c r="GE80" s="245" t="s">
        <v>1623</v>
      </c>
      <c r="GF80" s="245" t="s">
        <v>1624</v>
      </c>
      <c r="GG80" s="246">
        <v>43767</v>
      </c>
      <c r="GH80" s="244" t="s">
        <v>6526</v>
      </c>
      <c r="GI80" s="247">
        <v>0</v>
      </c>
      <c r="GJ80" s="247" t="s">
        <v>1587</v>
      </c>
      <c r="GK80" s="247" t="s">
        <v>601</v>
      </c>
      <c r="GL80" s="247">
        <v>1</v>
      </c>
      <c r="GM80" s="247" t="s">
        <v>1623</v>
      </c>
      <c r="GN80" s="247" t="s">
        <v>1624</v>
      </c>
      <c r="GO80" s="237">
        <v>43767</v>
      </c>
      <c r="GP80" s="245" t="s">
        <v>6527</v>
      </c>
      <c r="GQ80" s="245">
        <v>0</v>
      </c>
      <c r="GR80" s="245" t="s">
        <v>1587</v>
      </c>
      <c r="GS80" s="245" t="s">
        <v>601</v>
      </c>
      <c r="GT80" s="245">
        <v>1</v>
      </c>
      <c r="GU80" s="245" t="s">
        <v>1623</v>
      </c>
      <c r="GV80" s="245" t="s">
        <v>1624</v>
      </c>
      <c r="GW80" s="246">
        <v>43767</v>
      </c>
      <c r="GX80" s="244" t="s">
        <v>6528</v>
      </c>
      <c r="GY80" s="247">
        <v>0</v>
      </c>
      <c r="GZ80" s="247" t="s">
        <v>1587</v>
      </c>
      <c r="HA80" s="247" t="s">
        <v>601</v>
      </c>
      <c r="HB80" s="247">
        <v>1</v>
      </c>
      <c r="HC80" s="247" t="s">
        <v>1623</v>
      </c>
      <c r="HD80" s="247" t="s">
        <v>1624</v>
      </c>
      <c r="HE80" s="237">
        <v>43767</v>
      </c>
      <c r="HF80" s="245" t="s">
        <v>6529</v>
      </c>
      <c r="HG80" s="245">
        <v>0</v>
      </c>
      <c r="HH80" s="245" t="s">
        <v>1587</v>
      </c>
      <c r="HI80" s="245" t="s">
        <v>600</v>
      </c>
      <c r="HJ80" s="245">
        <v>2</v>
      </c>
      <c r="HK80" s="245" t="s">
        <v>1623</v>
      </c>
      <c r="HL80" s="245" t="s">
        <v>1624</v>
      </c>
      <c r="HM80" s="246">
        <v>43767</v>
      </c>
      <c r="HN80" s="244" t="s">
        <v>6530</v>
      </c>
      <c r="HO80" s="247">
        <v>0</v>
      </c>
      <c r="HP80" s="247" t="s">
        <v>1587</v>
      </c>
      <c r="HQ80" s="247" t="s">
        <v>600</v>
      </c>
      <c r="HR80" s="247">
        <v>2</v>
      </c>
      <c r="HS80" s="247" t="s">
        <v>1623</v>
      </c>
      <c r="HT80" s="247" t="s">
        <v>1624</v>
      </c>
      <c r="HU80" s="237">
        <v>43767</v>
      </c>
      <c r="HV80" s="245" t="s">
        <v>6531</v>
      </c>
      <c r="HW80" s="245">
        <v>0</v>
      </c>
      <c r="HX80" s="245" t="s">
        <v>1587</v>
      </c>
      <c r="HY80" s="245" t="s">
        <v>601</v>
      </c>
      <c r="HZ80" s="245">
        <v>1</v>
      </c>
      <c r="IA80" s="245" t="s">
        <v>1623</v>
      </c>
      <c r="IB80" s="245" t="s">
        <v>1624</v>
      </c>
      <c r="IC80" s="246">
        <v>43767</v>
      </c>
      <c r="ID80" s="244" t="s">
        <v>6532</v>
      </c>
      <c r="IE80" s="247">
        <v>0</v>
      </c>
      <c r="IF80" s="247" t="s">
        <v>1587</v>
      </c>
      <c r="IG80" s="247" t="s">
        <v>600</v>
      </c>
      <c r="IH80" s="247">
        <v>2</v>
      </c>
      <c r="II80" s="247" t="s">
        <v>1623</v>
      </c>
      <c r="IJ80" s="247" t="s">
        <v>1624</v>
      </c>
      <c r="IK80" s="237">
        <v>43767</v>
      </c>
      <c r="IL80" s="245" t="s">
        <v>6533</v>
      </c>
      <c r="IM80" s="245">
        <v>1</v>
      </c>
      <c r="IN80" s="245" t="s">
        <v>1587</v>
      </c>
      <c r="IO80" s="245" t="s">
        <v>600</v>
      </c>
      <c r="IP80" s="245">
        <v>2</v>
      </c>
      <c r="IQ80" s="245" t="s">
        <v>1623</v>
      </c>
      <c r="IR80" s="245" t="s">
        <v>1624</v>
      </c>
      <c r="IS80" s="246">
        <v>43767</v>
      </c>
    </row>
    <row r="81" spans="1:253" s="11" customFormat="1" ht="13.2" x14ac:dyDescent="0.25">
      <c r="A81" s="11" t="s">
        <v>1096</v>
      </c>
      <c r="B81" s="11" t="s">
        <v>691</v>
      </c>
      <c r="C81" s="11" t="s">
        <v>588</v>
      </c>
      <c r="D81" s="11" t="s">
        <v>197</v>
      </c>
      <c r="E81" s="11" t="s">
        <v>196</v>
      </c>
      <c r="F81" s="11" t="s">
        <v>6534</v>
      </c>
      <c r="G81" s="235">
        <v>19801000</v>
      </c>
      <c r="H81" s="236" t="s">
        <v>3318</v>
      </c>
      <c r="I81" s="236" t="s">
        <v>600</v>
      </c>
      <c r="J81" s="236">
        <v>2</v>
      </c>
      <c r="K81" s="236" t="s">
        <v>1496</v>
      </c>
      <c r="L81" s="236" t="s">
        <v>3492</v>
      </c>
      <c r="M81" s="237">
        <v>44140</v>
      </c>
      <c r="N81" s="244" t="s">
        <v>6535</v>
      </c>
      <c r="O81" s="239">
        <v>1220190</v>
      </c>
      <c r="P81" s="239" t="s">
        <v>3295</v>
      </c>
      <c r="Q81" s="239" t="s">
        <v>601</v>
      </c>
      <c r="R81" s="239">
        <v>1</v>
      </c>
      <c r="S81" s="239" t="s">
        <v>3494</v>
      </c>
      <c r="T81" s="239" t="s">
        <v>3493</v>
      </c>
      <c r="U81" s="240">
        <v>44109</v>
      </c>
      <c r="V81" s="244" t="s">
        <v>6536</v>
      </c>
      <c r="W81" s="236">
        <v>19806000</v>
      </c>
      <c r="X81" s="236" t="s">
        <v>2676</v>
      </c>
      <c r="Y81" s="236" t="s">
        <v>600</v>
      </c>
      <c r="Z81" s="236">
        <v>2</v>
      </c>
      <c r="AA81" s="236" t="s">
        <v>1497</v>
      </c>
      <c r="AB81" s="236" t="s">
        <v>2677</v>
      </c>
      <c r="AC81" s="237">
        <v>44015</v>
      </c>
      <c r="AD81" s="244" t="s">
        <v>6537</v>
      </c>
      <c r="AE81" s="241">
        <v>8200000</v>
      </c>
      <c r="AF81" s="241" t="s">
        <v>2678</v>
      </c>
      <c r="AG81" s="241" t="s">
        <v>600</v>
      </c>
      <c r="AH81" s="241">
        <v>2</v>
      </c>
      <c r="AI81" s="241" t="s">
        <v>2680</v>
      </c>
      <c r="AJ81" s="241" t="s">
        <v>2679</v>
      </c>
      <c r="AK81" s="242">
        <v>44015</v>
      </c>
      <c r="AL81" s="244" t="s">
        <v>6538</v>
      </c>
      <c r="AM81" s="236">
        <v>430000</v>
      </c>
      <c r="AN81" s="236" t="s">
        <v>3319</v>
      </c>
      <c r="AO81" s="236" t="s">
        <v>600</v>
      </c>
      <c r="AP81" s="236">
        <v>2</v>
      </c>
      <c r="AQ81" s="236" t="s">
        <v>1652</v>
      </c>
      <c r="AR81" s="236" t="s">
        <v>2811</v>
      </c>
      <c r="AS81" s="237">
        <v>44140</v>
      </c>
      <c r="AT81" s="245" t="s">
        <v>6539</v>
      </c>
      <c r="AU81" s="241" t="s">
        <v>393</v>
      </c>
      <c r="AV81" s="241" t="s">
        <v>393</v>
      </c>
      <c r="AW81" s="241" t="s">
        <v>393</v>
      </c>
      <c r="AX81" s="241" t="s">
        <v>393</v>
      </c>
      <c r="AY81" s="241" t="s">
        <v>1533</v>
      </c>
      <c r="AZ81" s="241" t="s">
        <v>393</v>
      </c>
      <c r="BA81" s="242">
        <v>43707</v>
      </c>
      <c r="BB81" s="244" t="s">
        <v>6540</v>
      </c>
      <c r="BC81" s="236">
        <v>44056</v>
      </c>
      <c r="BD81" s="236" t="s">
        <v>1411</v>
      </c>
      <c r="BE81" s="236" t="s">
        <v>599</v>
      </c>
      <c r="BF81" s="236">
        <v>3</v>
      </c>
      <c r="BG81" s="236">
        <v>0</v>
      </c>
      <c r="BH81" s="236" t="s">
        <v>1412</v>
      </c>
      <c r="BI81" s="237">
        <v>43642</v>
      </c>
      <c r="BJ81" s="245" t="s">
        <v>6541</v>
      </c>
      <c r="BK81" s="245">
        <v>1607</v>
      </c>
      <c r="BL81" s="245" t="s">
        <v>3281</v>
      </c>
      <c r="BM81" s="245" t="s">
        <v>600</v>
      </c>
      <c r="BN81" s="245">
        <v>2</v>
      </c>
      <c r="BO81" s="245" t="s">
        <v>3495</v>
      </c>
      <c r="BP81" s="241" t="s">
        <v>812</v>
      </c>
      <c r="BQ81" s="246">
        <v>44140</v>
      </c>
      <c r="BR81" s="244" t="s">
        <v>6542</v>
      </c>
      <c r="BS81" s="247" t="s">
        <v>703</v>
      </c>
      <c r="BT81" s="247">
        <v>0</v>
      </c>
      <c r="BU81" s="247" t="s">
        <v>393</v>
      </c>
      <c r="BV81" s="247" t="s">
        <v>393</v>
      </c>
      <c r="BW81" s="247" t="s">
        <v>704</v>
      </c>
      <c r="BX81" s="247">
        <v>0</v>
      </c>
      <c r="BY81" s="237">
        <v>43489</v>
      </c>
      <c r="BZ81" s="245" t="s">
        <v>6543</v>
      </c>
      <c r="CA81" s="245" t="s">
        <v>703</v>
      </c>
      <c r="CB81" s="245">
        <v>0</v>
      </c>
      <c r="CC81" s="245" t="s">
        <v>393</v>
      </c>
      <c r="CD81" s="245" t="s">
        <v>393</v>
      </c>
      <c r="CE81" s="245" t="s">
        <v>704</v>
      </c>
      <c r="CF81" s="245">
        <v>0</v>
      </c>
      <c r="CG81" s="246">
        <v>43489</v>
      </c>
      <c r="CH81" s="244" t="s">
        <v>6544</v>
      </c>
      <c r="CI81" s="245" t="e">
        <v>#N/A</v>
      </c>
      <c r="CJ81" s="245" t="e">
        <v>#N/A</v>
      </c>
      <c r="CK81" s="245" t="e">
        <v>#N/A</v>
      </c>
      <c r="CL81" s="245" t="e">
        <v>#N/A</v>
      </c>
      <c r="CM81" s="245" t="e">
        <v>#N/A</v>
      </c>
      <c r="CN81" s="245" t="e">
        <v>#N/A</v>
      </c>
      <c r="CO81" s="248" t="e">
        <v>#N/A</v>
      </c>
      <c r="CP81" s="245" t="s">
        <v>6545</v>
      </c>
      <c r="CQ81" s="247" t="s">
        <v>703</v>
      </c>
      <c r="CR81" s="247">
        <v>0</v>
      </c>
      <c r="CS81" s="247" t="s">
        <v>393</v>
      </c>
      <c r="CT81" s="247" t="s">
        <v>393</v>
      </c>
      <c r="CU81" s="247" t="s">
        <v>704</v>
      </c>
      <c r="CV81" s="247">
        <v>0</v>
      </c>
      <c r="CW81" s="237">
        <v>43489</v>
      </c>
      <c r="CX81" s="245" t="s">
        <v>6546</v>
      </c>
      <c r="CY81" s="241">
        <v>4300000</v>
      </c>
      <c r="CZ81" s="241" t="s">
        <v>2681</v>
      </c>
      <c r="DA81" s="241" t="s">
        <v>600</v>
      </c>
      <c r="DB81" s="241">
        <v>2</v>
      </c>
      <c r="DC81" s="241" t="s">
        <v>2682</v>
      </c>
      <c r="DD81" s="241" t="s">
        <v>1535</v>
      </c>
      <c r="DE81" s="243">
        <v>44015</v>
      </c>
      <c r="DF81" s="244" t="s">
        <v>6547</v>
      </c>
      <c r="DG81" s="236">
        <v>11606000</v>
      </c>
      <c r="DH81" s="247" t="s">
        <v>2681</v>
      </c>
      <c r="DI81" s="247" t="s">
        <v>600</v>
      </c>
      <c r="DJ81" s="247">
        <v>2</v>
      </c>
      <c r="DK81" s="247" t="s">
        <v>2682</v>
      </c>
      <c r="DL81" s="247" t="s">
        <v>1535</v>
      </c>
      <c r="DM81" s="237">
        <v>44015</v>
      </c>
      <c r="DN81" s="245" t="s">
        <v>6548</v>
      </c>
      <c r="DO81" s="241">
        <v>3900000</v>
      </c>
      <c r="DP81" s="245" t="s">
        <v>2681</v>
      </c>
      <c r="DQ81" s="245" t="s">
        <v>600</v>
      </c>
      <c r="DR81" s="245">
        <v>2</v>
      </c>
      <c r="DS81" s="245" t="s">
        <v>2682</v>
      </c>
      <c r="DT81" s="245" t="s">
        <v>1535</v>
      </c>
      <c r="DU81" s="246">
        <v>44015</v>
      </c>
      <c r="DV81" s="244" t="s">
        <v>6549</v>
      </c>
      <c r="DW81" s="236">
        <v>3818000</v>
      </c>
      <c r="DX81" s="247" t="s">
        <v>2681</v>
      </c>
      <c r="DY81" s="247" t="s">
        <v>600</v>
      </c>
      <c r="DZ81" s="247">
        <v>2</v>
      </c>
      <c r="EA81" s="247" t="s">
        <v>2682</v>
      </c>
      <c r="EB81" s="247" t="s">
        <v>1535</v>
      </c>
      <c r="EC81" s="237">
        <v>44015</v>
      </c>
      <c r="ED81" s="245" t="s">
        <v>6550</v>
      </c>
      <c r="EE81" s="241">
        <v>482000</v>
      </c>
      <c r="EF81" s="245" t="s">
        <v>2681</v>
      </c>
      <c r="EG81" s="245" t="s">
        <v>600</v>
      </c>
      <c r="EH81" s="245">
        <v>2</v>
      </c>
      <c r="EI81" s="245" t="s">
        <v>2682</v>
      </c>
      <c r="EJ81" s="245" t="s">
        <v>1535</v>
      </c>
      <c r="EK81" s="246">
        <v>44015</v>
      </c>
      <c r="EL81" s="244" t="s">
        <v>6551</v>
      </c>
      <c r="EM81" s="236">
        <v>0</v>
      </c>
      <c r="EN81" s="247" t="s">
        <v>1532</v>
      </c>
      <c r="EO81" s="247" t="s">
        <v>600</v>
      </c>
      <c r="EP81" s="247">
        <v>2</v>
      </c>
      <c r="EQ81" s="247" t="s">
        <v>1534</v>
      </c>
      <c r="ER81" s="247" t="s">
        <v>1535</v>
      </c>
      <c r="ES81" s="237">
        <v>43707</v>
      </c>
      <c r="ET81" s="245" t="s">
        <v>6552</v>
      </c>
      <c r="EU81" s="245">
        <v>1607</v>
      </c>
      <c r="EV81" s="245" t="s">
        <v>3281</v>
      </c>
      <c r="EW81" s="245" t="s">
        <v>600</v>
      </c>
      <c r="EX81" s="245">
        <v>2</v>
      </c>
      <c r="EY81" s="245" t="s">
        <v>3495</v>
      </c>
      <c r="EZ81" s="245" t="s">
        <v>812</v>
      </c>
      <c r="FA81" s="246">
        <v>44140</v>
      </c>
      <c r="FB81" s="244" t="s">
        <v>6553</v>
      </c>
      <c r="FC81" s="247">
        <v>5</v>
      </c>
      <c r="FD81" s="247">
        <v>0</v>
      </c>
      <c r="FE81" s="247" t="s">
        <v>600</v>
      </c>
      <c r="FF81" s="247">
        <v>2</v>
      </c>
      <c r="FG81" s="247" t="s">
        <v>705</v>
      </c>
      <c r="FH81" s="247">
        <v>0</v>
      </c>
      <c r="FI81" s="237">
        <v>43489</v>
      </c>
      <c r="FJ81" s="244" t="s">
        <v>6554</v>
      </c>
      <c r="FK81" s="245" t="s">
        <v>703</v>
      </c>
      <c r="FL81" s="245">
        <v>0</v>
      </c>
      <c r="FM81" s="245" t="s">
        <v>393</v>
      </c>
      <c r="FN81" s="245" t="s">
        <v>393</v>
      </c>
      <c r="FO81" s="245" t="s">
        <v>704</v>
      </c>
      <c r="FP81" s="241">
        <v>0</v>
      </c>
      <c r="FQ81" s="242">
        <v>43489</v>
      </c>
      <c r="FR81" s="244" t="s">
        <v>6555</v>
      </c>
      <c r="FS81" s="247" t="s">
        <v>703</v>
      </c>
      <c r="FT81" s="247">
        <v>0</v>
      </c>
      <c r="FU81" s="247" t="s">
        <v>393</v>
      </c>
      <c r="FV81" s="247" t="s">
        <v>393</v>
      </c>
      <c r="FW81" s="247" t="s">
        <v>704</v>
      </c>
      <c r="FX81" s="247">
        <v>0</v>
      </c>
      <c r="FY81" s="237">
        <v>43489</v>
      </c>
      <c r="FZ81" s="245" t="s">
        <v>6556</v>
      </c>
      <c r="GA81" s="245">
        <v>0</v>
      </c>
      <c r="GB81" s="245" t="s">
        <v>1587</v>
      </c>
      <c r="GC81" s="245" t="s">
        <v>601</v>
      </c>
      <c r="GD81" s="245">
        <v>1</v>
      </c>
      <c r="GE81" s="245" t="s">
        <v>1623</v>
      </c>
      <c r="GF81" s="245" t="s">
        <v>1624</v>
      </c>
      <c r="GG81" s="246">
        <v>43769</v>
      </c>
      <c r="GH81" s="244" t="s">
        <v>6557</v>
      </c>
      <c r="GI81" s="247">
        <v>2</v>
      </c>
      <c r="GJ81" s="247" t="s">
        <v>1587</v>
      </c>
      <c r="GK81" s="247" t="s">
        <v>601</v>
      </c>
      <c r="GL81" s="247">
        <v>1</v>
      </c>
      <c r="GM81" s="247" t="s">
        <v>1623</v>
      </c>
      <c r="GN81" s="247" t="s">
        <v>1624</v>
      </c>
      <c r="GO81" s="237">
        <v>43769</v>
      </c>
      <c r="GP81" s="245" t="s">
        <v>6558</v>
      </c>
      <c r="GQ81" s="245">
        <v>1</v>
      </c>
      <c r="GR81" s="245" t="s">
        <v>1587</v>
      </c>
      <c r="GS81" s="245" t="s">
        <v>601</v>
      </c>
      <c r="GT81" s="245">
        <v>1</v>
      </c>
      <c r="GU81" s="245" t="s">
        <v>1623</v>
      </c>
      <c r="GV81" s="245" t="s">
        <v>1624</v>
      </c>
      <c r="GW81" s="246">
        <v>43769</v>
      </c>
      <c r="GX81" s="244" t="s">
        <v>6559</v>
      </c>
      <c r="GY81" s="247">
        <v>3</v>
      </c>
      <c r="GZ81" s="247" t="s">
        <v>1587</v>
      </c>
      <c r="HA81" s="247" t="s">
        <v>601</v>
      </c>
      <c r="HB81" s="247">
        <v>1</v>
      </c>
      <c r="HC81" s="247" t="s">
        <v>1623</v>
      </c>
      <c r="HD81" s="247" t="s">
        <v>1624</v>
      </c>
      <c r="HE81" s="237">
        <v>43769</v>
      </c>
      <c r="HF81" s="245" t="s">
        <v>6560</v>
      </c>
      <c r="HG81" s="245">
        <v>2</v>
      </c>
      <c r="HH81" s="245" t="s">
        <v>1587</v>
      </c>
      <c r="HI81" s="245" t="s">
        <v>601</v>
      </c>
      <c r="HJ81" s="245">
        <v>1</v>
      </c>
      <c r="HK81" s="245" t="s">
        <v>1623</v>
      </c>
      <c r="HL81" s="245" t="s">
        <v>1624</v>
      </c>
      <c r="HM81" s="246">
        <v>43769</v>
      </c>
      <c r="HN81" s="244" t="s">
        <v>6561</v>
      </c>
      <c r="HO81" s="247">
        <v>2</v>
      </c>
      <c r="HP81" s="247" t="s">
        <v>1587</v>
      </c>
      <c r="HQ81" s="247" t="s">
        <v>601</v>
      </c>
      <c r="HR81" s="247">
        <v>1</v>
      </c>
      <c r="HS81" s="247" t="s">
        <v>1623</v>
      </c>
      <c r="HT81" s="247" t="s">
        <v>1624</v>
      </c>
      <c r="HU81" s="237">
        <v>43769</v>
      </c>
      <c r="HV81" s="245" t="s">
        <v>6562</v>
      </c>
      <c r="HW81" s="245">
        <v>3</v>
      </c>
      <c r="HX81" s="245" t="s">
        <v>1587</v>
      </c>
      <c r="HY81" s="245" t="s">
        <v>601</v>
      </c>
      <c r="HZ81" s="245">
        <v>1</v>
      </c>
      <c r="IA81" s="245" t="s">
        <v>1623</v>
      </c>
      <c r="IB81" s="245" t="s">
        <v>1624</v>
      </c>
      <c r="IC81" s="246">
        <v>43769</v>
      </c>
      <c r="ID81" s="244" t="s">
        <v>6563</v>
      </c>
      <c r="IE81" s="247">
        <v>3</v>
      </c>
      <c r="IF81" s="247" t="s">
        <v>1587</v>
      </c>
      <c r="IG81" s="247" t="s">
        <v>601</v>
      </c>
      <c r="IH81" s="247">
        <v>1</v>
      </c>
      <c r="II81" s="247" t="s">
        <v>1623</v>
      </c>
      <c r="IJ81" s="247" t="s">
        <v>1624</v>
      </c>
      <c r="IK81" s="237">
        <v>43769</v>
      </c>
      <c r="IL81" s="245" t="s">
        <v>6564</v>
      </c>
      <c r="IM81" s="245">
        <v>3</v>
      </c>
      <c r="IN81" s="245" t="s">
        <v>1587</v>
      </c>
      <c r="IO81" s="245" t="s">
        <v>601</v>
      </c>
      <c r="IP81" s="245">
        <v>1</v>
      </c>
      <c r="IQ81" s="245" t="s">
        <v>1623</v>
      </c>
      <c r="IR81" s="245" t="s">
        <v>1624</v>
      </c>
      <c r="IS81" s="246">
        <v>43769</v>
      </c>
    </row>
    <row r="82" spans="1:253" s="11" customFormat="1" ht="13.2" x14ac:dyDescent="0.25">
      <c r="A82" s="11" t="s">
        <v>1069</v>
      </c>
      <c r="B82" s="11" t="s">
        <v>1280</v>
      </c>
      <c r="C82" s="11" t="s">
        <v>676</v>
      </c>
      <c r="D82" s="11" t="s">
        <v>203</v>
      </c>
      <c r="E82" s="11" t="s">
        <v>202</v>
      </c>
      <c r="F82" s="11" t="s">
        <v>6565</v>
      </c>
      <c r="G82" s="235">
        <v>4145000</v>
      </c>
      <c r="H82" s="236" t="s">
        <v>3826</v>
      </c>
      <c r="I82" s="236" t="s">
        <v>600</v>
      </c>
      <c r="J82" s="236">
        <v>2</v>
      </c>
      <c r="K82" s="236" t="s">
        <v>2391</v>
      </c>
      <c r="L82" s="236" t="s">
        <v>1811</v>
      </c>
      <c r="M82" s="237">
        <v>44130</v>
      </c>
      <c r="N82" s="244" t="s">
        <v>6566</v>
      </c>
      <c r="O82" s="239">
        <v>75</v>
      </c>
      <c r="P82" s="239" t="s">
        <v>909</v>
      </c>
      <c r="Q82" s="239" t="s">
        <v>600</v>
      </c>
      <c r="R82" s="239">
        <v>2</v>
      </c>
      <c r="S82" s="239" t="s">
        <v>910</v>
      </c>
      <c r="T82" s="239">
        <v>0</v>
      </c>
      <c r="U82" s="240">
        <v>43510</v>
      </c>
      <c r="V82" s="244" t="s">
        <v>6567</v>
      </c>
      <c r="W82" s="236">
        <v>72000</v>
      </c>
      <c r="X82" s="236" t="s">
        <v>3827</v>
      </c>
      <c r="Y82" s="236" t="s">
        <v>599</v>
      </c>
      <c r="Z82" s="236">
        <v>3</v>
      </c>
      <c r="AA82" s="236" t="s">
        <v>2769</v>
      </c>
      <c r="AB82" s="236" t="s">
        <v>2768</v>
      </c>
      <c r="AC82" s="237">
        <v>44130</v>
      </c>
      <c r="AD82" s="244" t="s">
        <v>6568</v>
      </c>
      <c r="AE82" s="241">
        <v>61000</v>
      </c>
      <c r="AF82" s="241" t="s">
        <v>1612</v>
      </c>
      <c r="AG82" s="241" t="s">
        <v>600</v>
      </c>
      <c r="AH82" s="241">
        <v>2</v>
      </c>
      <c r="AI82" s="241" t="s">
        <v>1812</v>
      </c>
      <c r="AJ82" s="241" t="s">
        <v>2770</v>
      </c>
      <c r="AK82" s="242">
        <v>44130</v>
      </c>
      <c r="AL82" s="244" t="s">
        <v>6569</v>
      </c>
      <c r="AM82" s="236">
        <v>61000</v>
      </c>
      <c r="AN82" s="236" t="s">
        <v>1612</v>
      </c>
      <c r="AO82" s="236" t="s">
        <v>600</v>
      </c>
      <c r="AP82" s="236">
        <v>2</v>
      </c>
      <c r="AQ82" s="236" t="s">
        <v>1812</v>
      </c>
      <c r="AR82" s="236" t="s">
        <v>2770</v>
      </c>
      <c r="AS82" s="237">
        <v>44130</v>
      </c>
      <c r="AT82" s="245" t="s">
        <v>6570</v>
      </c>
      <c r="AU82" s="241">
        <v>0</v>
      </c>
      <c r="AV82" s="241" t="s">
        <v>1149</v>
      </c>
      <c r="AW82" s="241" t="s">
        <v>601</v>
      </c>
      <c r="AX82" s="241">
        <v>1</v>
      </c>
      <c r="AY82" s="241">
        <v>0</v>
      </c>
      <c r="AZ82" s="241" t="s">
        <v>393</v>
      </c>
      <c r="BA82" s="242">
        <v>43644</v>
      </c>
      <c r="BB82" s="244" t="s">
        <v>6571</v>
      </c>
      <c r="BC82" s="236" t="s">
        <v>393</v>
      </c>
      <c r="BD82" s="236">
        <v>0</v>
      </c>
      <c r="BE82" s="236" t="s">
        <v>600</v>
      </c>
      <c r="BF82" s="236">
        <v>2</v>
      </c>
      <c r="BG82" s="236">
        <v>0</v>
      </c>
      <c r="BH82" s="236">
        <v>0</v>
      </c>
      <c r="BI82" s="237">
        <v>43510</v>
      </c>
      <c r="BJ82" s="245" t="s">
        <v>6572</v>
      </c>
      <c r="BK82" s="245" t="s">
        <v>393</v>
      </c>
      <c r="BL82" s="245" t="s">
        <v>393</v>
      </c>
      <c r="BM82" s="245" t="s">
        <v>393</v>
      </c>
      <c r="BN82" s="245" t="s">
        <v>393</v>
      </c>
      <c r="BO82" s="245">
        <v>0</v>
      </c>
      <c r="BP82" s="241" t="s">
        <v>393</v>
      </c>
      <c r="BQ82" s="246">
        <v>43644</v>
      </c>
      <c r="BR82" s="244" t="s">
        <v>6573</v>
      </c>
      <c r="BS82" s="247">
        <v>0</v>
      </c>
      <c r="BT82" s="247" t="s">
        <v>393</v>
      </c>
      <c r="BU82" s="247" t="s">
        <v>601</v>
      </c>
      <c r="BV82" s="247">
        <v>1</v>
      </c>
      <c r="BW82" s="247">
        <v>0</v>
      </c>
      <c r="BX82" s="247" t="s">
        <v>393</v>
      </c>
      <c r="BY82" s="237">
        <v>43644</v>
      </c>
      <c r="BZ82" s="245" t="s">
        <v>6574</v>
      </c>
      <c r="CA82" s="245">
        <v>0</v>
      </c>
      <c r="CB82" s="245" t="s">
        <v>393</v>
      </c>
      <c r="CC82" s="245" t="s">
        <v>601</v>
      </c>
      <c r="CD82" s="245">
        <v>1</v>
      </c>
      <c r="CE82" s="245">
        <v>0</v>
      </c>
      <c r="CF82" s="245" t="s">
        <v>393</v>
      </c>
      <c r="CG82" s="246">
        <v>43644</v>
      </c>
      <c r="CH82" s="244" t="s">
        <v>6575</v>
      </c>
      <c r="CI82" s="245" t="e">
        <v>#N/A</v>
      </c>
      <c r="CJ82" s="245" t="e">
        <v>#N/A</v>
      </c>
      <c r="CK82" s="245" t="e">
        <v>#N/A</v>
      </c>
      <c r="CL82" s="245" t="e">
        <v>#N/A</v>
      </c>
      <c r="CM82" s="245" t="e">
        <v>#N/A</v>
      </c>
      <c r="CN82" s="245" t="e">
        <v>#N/A</v>
      </c>
      <c r="CO82" s="248" t="e">
        <v>#N/A</v>
      </c>
      <c r="CP82" s="245" t="s">
        <v>6576</v>
      </c>
      <c r="CQ82" s="247" t="s">
        <v>393</v>
      </c>
      <c r="CR82" s="247">
        <v>0</v>
      </c>
      <c r="CS82" s="247" t="s">
        <v>600</v>
      </c>
      <c r="CT82" s="247">
        <v>2</v>
      </c>
      <c r="CU82" s="247">
        <v>0</v>
      </c>
      <c r="CV82" s="247">
        <v>0</v>
      </c>
      <c r="CW82" s="237">
        <v>43510</v>
      </c>
      <c r="CX82" s="245" t="s">
        <v>6577</v>
      </c>
      <c r="CY82" s="241">
        <v>61000</v>
      </c>
      <c r="CZ82" s="241" t="s">
        <v>3828</v>
      </c>
      <c r="DA82" s="241" t="s">
        <v>600</v>
      </c>
      <c r="DB82" s="241">
        <v>2</v>
      </c>
      <c r="DC82" s="241" t="s">
        <v>1798</v>
      </c>
      <c r="DD82" s="241" t="s">
        <v>1796</v>
      </c>
      <c r="DE82" s="243">
        <v>44130</v>
      </c>
      <c r="DF82" s="244" t="s">
        <v>6578</v>
      </c>
      <c r="DG82" s="236">
        <v>11000</v>
      </c>
      <c r="DH82" s="247" t="s">
        <v>3828</v>
      </c>
      <c r="DI82" s="247" t="s">
        <v>600</v>
      </c>
      <c r="DJ82" s="247">
        <v>2</v>
      </c>
      <c r="DK82" s="247" t="s">
        <v>1798</v>
      </c>
      <c r="DL82" s="247" t="s">
        <v>1796</v>
      </c>
      <c r="DM82" s="237">
        <v>44130</v>
      </c>
      <c r="DN82" s="245" t="s">
        <v>6579</v>
      </c>
      <c r="DO82" s="241">
        <v>0</v>
      </c>
      <c r="DP82" s="245" t="s">
        <v>3828</v>
      </c>
      <c r="DQ82" s="245" t="s">
        <v>600</v>
      </c>
      <c r="DR82" s="245">
        <v>2</v>
      </c>
      <c r="DS82" s="245" t="s">
        <v>1798</v>
      </c>
      <c r="DT82" s="245" t="s">
        <v>1796</v>
      </c>
      <c r="DU82" s="246">
        <v>44130</v>
      </c>
      <c r="DV82" s="244" t="s">
        <v>6580</v>
      </c>
      <c r="DW82" s="236">
        <v>61000</v>
      </c>
      <c r="DX82" s="247" t="s">
        <v>3828</v>
      </c>
      <c r="DY82" s="247" t="s">
        <v>600</v>
      </c>
      <c r="DZ82" s="247">
        <v>2</v>
      </c>
      <c r="EA82" s="247" t="s">
        <v>1798</v>
      </c>
      <c r="EB82" s="247" t="s">
        <v>1796</v>
      </c>
      <c r="EC82" s="237">
        <v>44130</v>
      </c>
      <c r="ED82" s="245" t="s">
        <v>6581</v>
      </c>
      <c r="EE82" s="241">
        <v>0</v>
      </c>
      <c r="EF82" s="245" t="s">
        <v>3828</v>
      </c>
      <c r="EG82" s="245" t="s">
        <v>600</v>
      </c>
      <c r="EH82" s="245">
        <v>2</v>
      </c>
      <c r="EI82" s="245" t="s">
        <v>1798</v>
      </c>
      <c r="EJ82" s="245" t="s">
        <v>1796</v>
      </c>
      <c r="EK82" s="246">
        <v>44130</v>
      </c>
      <c r="EL82" s="244" t="s">
        <v>6582</v>
      </c>
      <c r="EM82" s="236">
        <v>0</v>
      </c>
      <c r="EN82" s="247" t="s">
        <v>3828</v>
      </c>
      <c r="EO82" s="247" t="s">
        <v>600</v>
      </c>
      <c r="EP82" s="247">
        <v>2</v>
      </c>
      <c r="EQ82" s="247" t="s">
        <v>1798</v>
      </c>
      <c r="ER82" s="247" t="s">
        <v>1796</v>
      </c>
      <c r="ES82" s="237">
        <v>44130</v>
      </c>
      <c r="ET82" s="245" t="s">
        <v>6583</v>
      </c>
      <c r="EU82" s="245" t="s">
        <v>393</v>
      </c>
      <c r="EV82" s="245" t="s">
        <v>393</v>
      </c>
      <c r="EW82" s="245" t="s">
        <v>393</v>
      </c>
      <c r="EX82" s="245" t="s">
        <v>393</v>
      </c>
      <c r="EY82" s="245">
        <v>0</v>
      </c>
      <c r="EZ82" s="245" t="s">
        <v>393</v>
      </c>
      <c r="FA82" s="246">
        <v>43644</v>
      </c>
      <c r="FB82" s="244" t="s">
        <v>6584</v>
      </c>
      <c r="FC82" s="247">
        <v>2</v>
      </c>
      <c r="FD82" s="247">
        <v>0</v>
      </c>
      <c r="FE82" s="247" t="s">
        <v>600</v>
      </c>
      <c r="FF82" s="247">
        <v>2</v>
      </c>
      <c r="FG82" s="247" t="s">
        <v>911</v>
      </c>
      <c r="FH82" s="247">
        <v>0</v>
      </c>
      <c r="FI82" s="237">
        <v>43510</v>
      </c>
      <c r="FJ82" s="244" t="s">
        <v>6585</v>
      </c>
      <c r="FK82" s="245" t="s">
        <v>393</v>
      </c>
      <c r="FL82" s="245">
        <v>0</v>
      </c>
      <c r="FM82" s="245" t="s">
        <v>600</v>
      </c>
      <c r="FN82" s="245">
        <v>2</v>
      </c>
      <c r="FO82" s="245">
        <v>0</v>
      </c>
      <c r="FP82" s="241">
        <v>0</v>
      </c>
      <c r="FQ82" s="242">
        <v>43510</v>
      </c>
      <c r="FR82" s="244" t="s">
        <v>6586</v>
      </c>
      <c r="FS82" s="247" t="s">
        <v>393</v>
      </c>
      <c r="FT82" s="247">
        <v>0</v>
      </c>
      <c r="FU82" s="247" t="s">
        <v>600</v>
      </c>
      <c r="FV82" s="247">
        <v>2</v>
      </c>
      <c r="FW82" s="247">
        <v>0</v>
      </c>
      <c r="FX82" s="247">
        <v>0</v>
      </c>
      <c r="FY82" s="237">
        <v>43510</v>
      </c>
      <c r="FZ82" s="245" t="s">
        <v>6587</v>
      </c>
      <c r="GA82" s="245">
        <v>0</v>
      </c>
      <c r="GB82" s="245" t="s">
        <v>1587</v>
      </c>
      <c r="GC82" s="245" t="s">
        <v>601</v>
      </c>
      <c r="GD82" s="245">
        <v>1</v>
      </c>
      <c r="GE82" s="245" t="s">
        <v>1623</v>
      </c>
      <c r="GF82" s="245" t="s">
        <v>1624</v>
      </c>
      <c r="GG82" s="246">
        <v>43769</v>
      </c>
      <c r="GH82" s="244" t="s">
        <v>6588</v>
      </c>
      <c r="GI82" s="247">
        <v>0</v>
      </c>
      <c r="GJ82" s="247" t="s">
        <v>1587</v>
      </c>
      <c r="GK82" s="247" t="s">
        <v>601</v>
      </c>
      <c r="GL82" s="247">
        <v>1</v>
      </c>
      <c r="GM82" s="247" t="s">
        <v>1623</v>
      </c>
      <c r="GN82" s="247" t="s">
        <v>1624</v>
      </c>
      <c r="GO82" s="237">
        <v>43769</v>
      </c>
      <c r="GP82" s="245" t="s">
        <v>6589</v>
      </c>
      <c r="GQ82" s="245">
        <v>0</v>
      </c>
      <c r="GR82" s="245" t="s">
        <v>1587</v>
      </c>
      <c r="GS82" s="245" t="s">
        <v>601</v>
      </c>
      <c r="GT82" s="245">
        <v>1</v>
      </c>
      <c r="GU82" s="245" t="s">
        <v>1623</v>
      </c>
      <c r="GV82" s="245" t="s">
        <v>1624</v>
      </c>
      <c r="GW82" s="246">
        <v>43769</v>
      </c>
      <c r="GX82" s="244" t="s">
        <v>6590</v>
      </c>
      <c r="GY82" s="247">
        <v>0</v>
      </c>
      <c r="GZ82" s="247" t="s">
        <v>1587</v>
      </c>
      <c r="HA82" s="247" t="s">
        <v>601</v>
      </c>
      <c r="HB82" s="247">
        <v>1</v>
      </c>
      <c r="HC82" s="247" t="s">
        <v>1623</v>
      </c>
      <c r="HD82" s="247" t="s">
        <v>1624</v>
      </c>
      <c r="HE82" s="237">
        <v>43769</v>
      </c>
      <c r="HF82" s="245" t="s">
        <v>6591</v>
      </c>
      <c r="HG82" s="245">
        <v>0</v>
      </c>
      <c r="HH82" s="245" t="s">
        <v>1587</v>
      </c>
      <c r="HI82" s="245" t="s">
        <v>601</v>
      </c>
      <c r="HJ82" s="245">
        <v>1</v>
      </c>
      <c r="HK82" s="245" t="s">
        <v>1623</v>
      </c>
      <c r="HL82" s="245" t="s">
        <v>1624</v>
      </c>
      <c r="HM82" s="246">
        <v>43769</v>
      </c>
      <c r="HN82" s="244" t="s">
        <v>6592</v>
      </c>
      <c r="HO82" s="247">
        <v>0</v>
      </c>
      <c r="HP82" s="247" t="s">
        <v>1587</v>
      </c>
      <c r="HQ82" s="247" t="s">
        <v>601</v>
      </c>
      <c r="HR82" s="247">
        <v>1</v>
      </c>
      <c r="HS82" s="247" t="s">
        <v>1623</v>
      </c>
      <c r="HT82" s="247" t="s">
        <v>1624</v>
      </c>
      <c r="HU82" s="237">
        <v>43769</v>
      </c>
      <c r="HV82" s="245" t="s">
        <v>6593</v>
      </c>
      <c r="HW82" s="245">
        <v>0</v>
      </c>
      <c r="HX82" s="245" t="s">
        <v>1587</v>
      </c>
      <c r="HY82" s="245" t="s">
        <v>601</v>
      </c>
      <c r="HZ82" s="245">
        <v>1</v>
      </c>
      <c r="IA82" s="245" t="s">
        <v>1623</v>
      </c>
      <c r="IB82" s="245" t="s">
        <v>1624</v>
      </c>
      <c r="IC82" s="246">
        <v>43769</v>
      </c>
      <c r="ID82" s="244" t="s">
        <v>6594</v>
      </c>
      <c r="IE82" s="247">
        <v>0</v>
      </c>
      <c r="IF82" s="247" t="s">
        <v>1587</v>
      </c>
      <c r="IG82" s="247" t="s">
        <v>601</v>
      </c>
      <c r="IH82" s="247">
        <v>1</v>
      </c>
      <c r="II82" s="247" t="s">
        <v>1623</v>
      </c>
      <c r="IJ82" s="247" t="s">
        <v>1624</v>
      </c>
      <c r="IK82" s="237">
        <v>43769</v>
      </c>
      <c r="IL82" s="245" t="s">
        <v>6595</v>
      </c>
      <c r="IM82" s="245">
        <v>2</v>
      </c>
      <c r="IN82" s="245" t="s">
        <v>1587</v>
      </c>
      <c r="IO82" s="245" t="s">
        <v>601</v>
      </c>
      <c r="IP82" s="245">
        <v>1</v>
      </c>
      <c r="IQ82" s="245" t="s">
        <v>1623</v>
      </c>
      <c r="IR82" s="245" t="s">
        <v>1624</v>
      </c>
      <c r="IS82" s="246">
        <v>43769</v>
      </c>
    </row>
    <row r="83" spans="1:253" s="11" customFormat="1" ht="13.2" x14ac:dyDescent="0.25">
      <c r="A83" s="11" t="s">
        <v>2859</v>
      </c>
      <c r="B83" s="11" t="s">
        <v>651</v>
      </c>
      <c r="C83" s="11" t="s">
        <v>677</v>
      </c>
      <c r="D83" s="11" t="s">
        <v>203</v>
      </c>
      <c r="E83" s="11" t="s">
        <v>202</v>
      </c>
      <c r="F83" s="11" t="s">
        <v>6596</v>
      </c>
      <c r="G83" s="235">
        <v>4145000</v>
      </c>
      <c r="H83" s="236" t="s">
        <v>3826</v>
      </c>
      <c r="I83" s="236" t="s">
        <v>600</v>
      </c>
      <c r="J83" s="236">
        <v>2</v>
      </c>
      <c r="K83" s="236" t="s">
        <v>2391</v>
      </c>
      <c r="L83" s="236" t="s">
        <v>2881</v>
      </c>
      <c r="M83" s="237">
        <v>44130</v>
      </c>
      <c r="N83" s="244" t="s">
        <v>6597</v>
      </c>
      <c r="O83" s="239">
        <v>1030700</v>
      </c>
      <c r="P83" s="239" t="s">
        <v>1551</v>
      </c>
      <c r="Q83" s="239" t="s">
        <v>600</v>
      </c>
      <c r="R83" s="239">
        <v>2</v>
      </c>
      <c r="S83" s="239" t="s">
        <v>2888</v>
      </c>
      <c r="T83" s="239" t="s">
        <v>3414</v>
      </c>
      <c r="U83" s="240">
        <v>44102</v>
      </c>
      <c r="V83" s="244" t="s">
        <v>6598</v>
      </c>
      <c r="W83" s="236">
        <v>4145000</v>
      </c>
      <c r="X83" s="236" t="s">
        <v>3826</v>
      </c>
      <c r="Y83" s="236" t="s">
        <v>600</v>
      </c>
      <c r="Z83" s="236">
        <v>2</v>
      </c>
      <c r="AA83" s="236" t="s">
        <v>2391</v>
      </c>
      <c r="AB83" s="236" t="s">
        <v>2881</v>
      </c>
      <c r="AC83" s="237">
        <v>44130</v>
      </c>
      <c r="AD83" s="244" t="s">
        <v>6599</v>
      </c>
      <c r="AE83" s="241">
        <v>1476000</v>
      </c>
      <c r="AF83" s="241" t="s">
        <v>3826</v>
      </c>
      <c r="AG83" s="241" t="s">
        <v>600</v>
      </c>
      <c r="AH83" s="241">
        <v>2</v>
      </c>
      <c r="AI83" s="241" t="s">
        <v>3849</v>
      </c>
      <c r="AJ83" s="241" t="s">
        <v>1795</v>
      </c>
      <c r="AK83" s="242">
        <v>44130</v>
      </c>
      <c r="AL83" s="244" t="s">
        <v>6600</v>
      </c>
      <c r="AM83" s="236" t="s">
        <v>393</v>
      </c>
      <c r="AN83" s="236" t="s">
        <v>1319</v>
      </c>
      <c r="AO83" s="236" t="s">
        <v>393</v>
      </c>
      <c r="AP83" s="236" t="s">
        <v>393</v>
      </c>
      <c r="AQ83" s="236" t="s">
        <v>1797</v>
      </c>
      <c r="AR83" s="236" t="s">
        <v>1358</v>
      </c>
      <c r="AS83" s="237">
        <v>44069</v>
      </c>
      <c r="AT83" s="245" t="s">
        <v>6601</v>
      </c>
      <c r="AU83" s="241" t="s">
        <v>393</v>
      </c>
      <c r="AV83" s="241" t="s">
        <v>393</v>
      </c>
      <c r="AW83" s="241" t="s">
        <v>393</v>
      </c>
      <c r="AX83" s="241" t="s">
        <v>393</v>
      </c>
      <c r="AY83" s="241" t="s">
        <v>393</v>
      </c>
      <c r="AZ83" s="241" t="s">
        <v>393</v>
      </c>
      <c r="BA83" s="242">
        <v>44069</v>
      </c>
      <c r="BB83" s="244" t="s">
        <v>6602</v>
      </c>
      <c r="BC83" s="236" t="s">
        <v>393</v>
      </c>
      <c r="BD83" s="236" t="s">
        <v>393</v>
      </c>
      <c r="BE83" s="236" t="s">
        <v>393</v>
      </c>
      <c r="BF83" s="236" t="s">
        <v>393</v>
      </c>
      <c r="BG83" s="236" t="s">
        <v>393</v>
      </c>
      <c r="BH83" s="236" t="s">
        <v>393</v>
      </c>
      <c r="BI83" s="237">
        <v>44069</v>
      </c>
      <c r="BJ83" s="245" t="s">
        <v>6603</v>
      </c>
      <c r="BK83" s="245" t="s">
        <v>393</v>
      </c>
      <c r="BL83" s="245" t="s">
        <v>393</v>
      </c>
      <c r="BM83" s="245" t="s">
        <v>393</v>
      </c>
      <c r="BN83" s="245" t="s">
        <v>393</v>
      </c>
      <c r="BO83" s="245" t="s">
        <v>393</v>
      </c>
      <c r="BP83" s="241" t="s">
        <v>393</v>
      </c>
      <c r="BQ83" s="246">
        <v>44069</v>
      </c>
      <c r="BR83" s="244" t="s">
        <v>6604</v>
      </c>
      <c r="BS83" s="247" t="s">
        <v>393</v>
      </c>
      <c r="BT83" s="247" t="s">
        <v>393</v>
      </c>
      <c r="BU83" s="247" t="s">
        <v>393</v>
      </c>
      <c r="BV83" s="247" t="s">
        <v>393</v>
      </c>
      <c r="BW83" s="247" t="s">
        <v>393</v>
      </c>
      <c r="BX83" s="247" t="s">
        <v>393</v>
      </c>
      <c r="BY83" s="237">
        <v>44069</v>
      </c>
      <c r="BZ83" s="245" t="s">
        <v>6605</v>
      </c>
      <c r="CA83" s="245" t="s">
        <v>393</v>
      </c>
      <c r="CB83" s="245" t="s">
        <v>393</v>
      </c>
      <c r="CC83" s="245" t="s">
        <v>393</v>
      </c>
      <c r="CD83" s="245" t="s">
        <v>393</v>
      </c>
      <c r="CE83" s="245" t="s">
        <v>393</v>
      </c>
      <c r="CF83" s="245" t="s">
        <v>393</v>
      </c>
      <c r="CG83" s="246">
        <v>44069</v>
      </c>
      <c r="CH83" s="244" t="s">
        <v>6606</v>
      </c>
      <c r="CI83" s="245" t="e">
        <v>#N/A</v>
      </c>
      <c r="CJ83" s="245" t="e">
        <v>#N/A</v>
      </c>
      <c r="CK83" s="245" t="e">
        <v>#N/A</v>
      </c>
      <c r="CL83" s="245" t="e">
        <v>#N/A</v>
      </c>
      <c r="CM83" s="245" t="e">
        <v>#N/A</v>
      </c>
      <c r="CN83" s="245" t="e">
        <v>#N/A</v>
      </c>
      <c r="CO83" s="248" t="e">
        <v>#N/A</v>
      </c>
      <c r="CP83" s="245" t="s">
        <v>6607</v>
      </c>
      <c r="CQ83" s="247" t="s">
        <v>393</v>
      </c>
      <c r="CR83" s="247" t="s">
        <v>393</v>
      </c>
      <c r="CS83" s="247" t="s">
        <v>393</v>
      </c>
      <c r="CT83" s="247" t="s">
        <v>393</v>
      </c>
      <c r="CU83" s="247" t="s">
        <v>393</v>
      </c>
      <c r="CV83" s="247" t="s">
        <v>393</v>
      </c>
      <c r="CW83" s="237">
        <v>44069</v>
      </c>
      <c r="CX83" s="245" t="s">
        <v>6608</v>
      </c>
      <c r="CY83" s="241">
        <v>675000</v>
      </c>
      <c r="CZ83" s="241" t="s">
        <v>3826</v>
      </c>
      <c r="DA83" s="241" t="s">
        <v>600</v>
      </c>
      <c r="DB83" s="241">
        <v>2</v>
      </c>
      <c r="DC83" s="241" t="s">
        <v>2889</v>
      </c>
      <c r="DD83" s="241" t="s">
        <v>1795</v>
      </c>
      <c r="DE83" s="243">
        <v>44130</v>
      </c>
      <c r="DF83" s="244" t="s">
        <v>6609</v>
      </c>
      <c r="DG83" s="236">
        <v>2669000</v>
      </c>
      <c r="DH83" s="247" t="s">
        <v>3826</v>
      </c>
      <c r="DI83" s="247" t="s">
        <v>600</v>
      </c>
      <c r="DJ83" s="247">
        <v>2</v>
      </c>
      <c r="DK83" s="247" t="s">
        <v>2889</v>
      </c>
      <c r="DL83" s="247" t="s">
        <v>1795</v>
      </c>
      <c r="DM83" s="237">
        <v>44130</v>
      </c>
      <c r="DN83" s="245" t="s">
        <v>6610</v>
      </c>
      <c r="DO83" s="241">
        <v>800000</v>
      </c>
      <c r="DP83" s="245" t="s">
        <v>3826</v>
      </c>
      <c r="DQ83" s="245" t="s">
        <v>600</v>
      </c>
      <c r="DR83" s="245">
        <v>2</v>
      </c>
      <c r="DS83" s="245" t="s">
        <v>2889</v>
      </c>
      <c r="DT83" s="245" t="s">
        <v>1795</v>
      </c>
      <c r="DU83" s="246">
        <v>44130</v>
      </c>
      <c r="DV83" s="244" t="s">
        <v>6611</v>
      </c>
      <c r="DW83" s="236">
        <v>609000</v>
      </c>
      <c r="DX83" s="247" t="s">
        <v>3826</v>
      </c>
      <c r="DY83" s="247" t="s">
        <v>600</v>
      </c>
      <c r="DZ83" s="247">
        <v>2</v>
      </c>
      <c r="EA83" s="247" t="s">
        <v>2889</v>
      </c>
      <c r="EB83" s="247" t="s">
        <v>1795</v>
      </c>
      <c r="EC83" s="237">
        <v>44130</v>
      </c>
      <c r="ED83" s="245" t="s">
        <v>6612</v>
      </c>
      <c r="EE83" s="241">
        <v>66000</v>
      </c>
      <c r="EF83" s="245" t="s">
        <v>3826</v>
      </c>
      <c r="EG83" s="245" t="s">
        <v>600</v>
      </c>
      <c r="EH83" s="245">
        <v>2</v>
      </c>
      <c r="EI83" s="245" t="s">
        <v>2889</v>
      </c>
      <c r="EJ83" s="245" t="s">
        <v>1795</v>
      </c>
      <c r="EK83" s="246">
        <v>44130</v>
      </c>
      <c r="EL83" s="244" t="s">
        <v>6613</v>
      </c>
      <c r="EM83" s="236">
        <v>0</v>
      </c>
      <c r="EN83" s="247" t="s">
        <v>3826</v>
      </c>
      <c r="EO83" s="247" t="s">
        <v>600</v>
      </c>
      <c r="EP83" s="247">
        <v>2</v>
      </c>
      <c r="EQ83" s="247" t="s">
        <v>2889</v>
      </c>
      <c r="ER83" s="247" t="s">
        <v>1795</v>
      </c>
      <c r="ES83" s="237">
        <v>44130</v>
      </c>
      <c r="ET83" s="245" t="s">
        <v>6614</v>
      </c>
      <c r="EU83" s="245" t="s">
        <v>393</v>
      </c>
      <c r="EV83" s="245" t="s">
        <v>393</v>
      </c>
      <c r="EW83" s="245" t="s">
        <v>393</v>
      </c>
      <c r="EX83" s="245" t="s">
        <v>393</v>
      </c>
      <c r="EY83" s="245" t="s">
        <v>393</v>
      </c>
      <c r="EZ83" s="245" t="s">
        <v>393</v>
      </c>
      <c r="FA83" s="246">
        <v>44069</v>
      </c>
      <c r="FB83" s="244" t="s">
        <v>6615</v>
      </c>
      <c r="FC83" s="247">
        <v>3</v>
      </c>
      <c r="FD83" s="247" t="s">
        <v>393</v>
      </c>
      <c r="FE83" s="247" t="s">
        <v>393</v>
      </c>
      <c r="FF83" s="247" t="s">
        <v>393</v>
      </c>
      <c r="FG83" s="247" t="s">
        <v>1495</v>
      </c>
      <c r="FH83" s="247" t="s">
        <v>393</v>
      </c>
      <c r="FI83" s="237">
        <v>44069</v>
      </c>
      <c r="FJ83" s="244" t="s">
        <v>6616</v>
      </c>
      <c r="FK83" s="245" t="s">
        <v>393</v>
      </c>
      <c r="FL83" s="245" t="s">
        <v>393</v>
      </c>
      <c r="FM83" s="245" t="s">
        <v>393</v>
      </c>
      <c r="FN83" s="245" t="s">
        <v>393</v>
      </c>
      <c r="FO83" s="245" t="s">
        <v>393</v>
      </c>
      <c r="FP83" s="241" t="s">
        <v>393</v>
      </c>
      <c r="FQ83" s="242">
        <v>44069</v>
      </c>
      <c r="FR83" s="244" t="s">
        <v>6617</v>
      </c>
      <c r="FS83" s="247" t="s">
        <v>393</v>
      </c>
      <c r="FT83" s="247" t="s">
        <v>393</v>
      </c>
      <c r="FU83" s="247" t="s">
        <v>393</v>
      </c>
      <c r="FV83" s="247" t="s">
        <v>393</v>
      </c>
      <c r="FW83" s="247" t="s">
        <v>393</v>
      </c>
      <c r="FX83" s="247" t="s">
        <v>393</v>
      </c>
      <c r="FY83" s="237">
        <v>44069</v>
      </c>
      <c r="FZ83" s="245" t="s">
        <v>6618</v>
      </c>
      <c r="GA83" s="245">
        <v>0</v>
      </c>
      <c r="GB83" s="245" t="s">
        <v>2096</v>
      </c>
      <c r="GC83" s="245" t="s">
        <v>600</v>
      </c>
      <c r="GD83" s="245">
        <v>2</v>
      </c>
      <c r="GE83" s="245" t="s">
        <v>2096</v>
      </c>
      <c r="GF83" s="245" t="s">
        <v>1314</v>
      </c>
      <c r="GG83" s="246">
        <v>44069</v>
      </c>
      <c r="GH83" s="244" t="s">
        <v>6619</v>
      </c>
      <c r="GI83" s="247">
        <v>0</v>
      </c>
      <c r="GJ83" s="247" t="s">
        <v>2096</v>
      </c>
      <c r="GK83" s="247" t="s">
        <v>600</v>
      </c>
      <c r="GL83" s="247">
        <v>2</v>
      </c>
      <c r="GM83" s="247" t="s">
        <v>2096</v>
      </c>
      <c r="GN83" s="247" t="s">
        <v>1314</v>
      </c>
      <c r="GO83" s="237">
        <v>44069</v>
      </c>
      <c r="GP83" s="245" t="s">
        <v>6620</v>
      </c>
      <c r="GQ83" s="245">
        <v>0</v>
      </c>
      <c r="GR83" s="245" t="s">
        <v>2096</v>
      </c>
      <c r="GS83" s="245" t="s">
        <v>600</v>
      </c>
      <c r="GT83" s="245">
        <v>2</v>
      </c>
      <c r="GU83" s="245" t="s">
        <v>2096</v>
      </c>
      <c r="GV83" s="245" t="s">
        <v>1314</v>
      </c>
      <c r="GW83" s="246">
        <v>44069</v>
      </c>
      <c r="GX83" s="244" t="s">
        <v>6621</v>
      </c>
      <c r="GY83" s="247">
        <v>0</v>
      </c>
      <c r="GZ83" s="247" t="s">
        <v>2096</v>
      </c>
      <c r="HA83" s="247" t="s">
        <v>600</v>
      </c>
      <c r="HB83" s="247">
        <v>2</v>
      </c>
      <c r="HC83" s="247" t="s">
        <v>2096</v>
      </c>
      <c r="HD83" s="247" t="s">
        <v>1314</v>
      </c>
      <c r="HE83" s="237">
        <v>44069</v>
      </c>
      <c r="HF83" s="245" t="s">
        <v>6622</v>
      </c>
      <c r="HG83" s="245">
        <v>0</v>
      </c>
      <c r="HH83" s="245" t="s">
        <v>2096</v>
      </c>
      <c r="HI83" s="245" t="s">
        <v>600</v>
      </c>
      <c r="HJ83" s="245">
        <v>2</v>
      </c>
      <c r="HK83" s="245" t="s">
        <v>2096</v>
      </c>
      <c r="HL83" s="245" t="s">
        <v>1314</v>
      </c>
      <c r="HM83" s="246">
        <v>44069</v>
      </c>
      <c r="HN83" s="244" t="s">
        <v>6623</v>
      </c>
      <c r="HO83" s="247">
        <v>2</v>
      </c>
      <c r="HP83" s="247" t="s">
        <v>2096</v>
      </c>
      <c r="HQ83" s="247" t="s">
        <v>600</v>
      </c>
      <c r="HR83" s="247">
        <v>2</v>
      </c>
      <c r="HS83" s="247" t="s">
        <v>2096</v>
      </c>
      <c r="HT83" s="247" t="s">
        <v>1314</v>
      </c>
      <c r="HU83" s="237">
        <v>44069</v>
      </c>
      <c r="HV83" s="245" t="s">
        <v>6624</v>
      </c>
      <c r="HW83" s="245">
        <v>0</v>
      </c>
      <c r="HX83" s="245" t="s">
        <v>2096</v>
      </c>
      <c r="HY83" s="245" t="s">
        <v>600</v>
      </c>
      <c r="HZ83" s="245">
        <v>2</v>
      </c>
      <c r="IA83" s="245" t="s">
        <v>2096</v>
      </c>
      <c r="IB83" s="245" t="s">
        <v>1314</v>
      </c>
      <c r="IC83" s="246">
        <v>44069</v>
      </c>
      <c r="ID83" s="244" t="s">
        <v>6625</v>
      </c>
      <c r="IE83" s="247">
        <v>1</v>
      </c>
      <c r="IF83" s="247" t="s">
        <v>2096</v>
      </c>
      <c r="IG83" s="247" t="s">
        <v>600</v>
      </c>
      <c r="IH83" s="247">
        <v>2</v>
      </c>
      <c r="II83" s="247" t="s">
        <v>2096</v>
      </c>
      <c r="IJ83" s="247" t="s">
        <v>1314</v>
      </c>
      <c r="IK83" s="237">
        <v>44069</v>
      </c>
      <c r="IL83" s="245" t="s">
        <v>6626</v>
      </c>
      <c r="IM83" s="245">
        <v>2</v>
      </c>
      <c r="IN83" s="245" t="s">
        <v>2096</v>
      </c>
      <c r="IO83" s="245" t="s">
        <v>600</v>
      </c>
      <c r="IP83" s="245">
        <v>2</v>
      </c>
      <c r="IQ83" s="245" t="s">
        <v>2096</v>
      </c>
      <c r="IR83" s="245" t="s">
        <v>1314</v>
      </c>
      <c r="IS83" s="246">
        <v>44069</v>
      </c>
    </row>
    <row r="84" spans="1:253" s="11" customFormat="1" ht="13.2" x14ac:dyDescent="0.25">
      <c r="A84" s="11" t="s">
        <v>1747</v>
      </c>
      <c r="B84" s="11" t="s">
        <v>3258</v>
      </c>
      <c r="C84" s="11" t="s">
        <v>1748</v>
      </c>
      <c r="D84" s="11" t="s">
        <v>207</v>
      </c>
      <c r="E84" s="11" t="s">
        <v>206</v>
      </c>
      <c r="F84" s="11" t="s">
        <v>6627</v>
      </c>
      <c r="G84" s="235">
        <v>114329000</v>
      </c>
      <c r="H84" s="236" t="s">
        <v>1653</v>
      </c>
      <c r="I84" s="236" t="s">
        <v>600</v>
      </c>
      <c r="J84" s="236">
        <v>2</v>
      </c>
      <c r="K84" s="236" t="s">
        <v>1758</v>
      </c>
      <c r="L84" s="236" t="s">
        <v>1656</v>
      </c>
      <c r="M84" s="237">
        <v>43798</v>
      </c>
      <c r="N84" s="244" t="s">
        <v>6628</v>
      </c>
      <c r="O84" s="239">
        <v>1635481</v>
      </c>
      <c r="P84" s="239" t="s">
        <v>1759</v>
      </c>
      <c r="Q84" s="239" t="s">
        <v>600</v>
      </c>
      <c r="R84" s="239">
        <v>2</v>
      </c>
      <c r="S84" s="239" t="s">
        <v>1760</v>
      </c>
      <c r="T84" s="239" t="s">
        <v>1657</v>
      </c>
      <c r="U84" s="240">
        <v>43798</v>
      </c>
      <c r="V84" s="244" t="s">
        <v>6629</v>
      </c>
      <c r="W84" s="236">
        <v>92033000</v>
      </c>
      <c r="X84" s="236" t="s">
        <v>1801</v>
      </c>
      <c r="Y84" s="236" t="s">
        <v>600</v>
      </c>
      <c r="Z84" s="236">
        <v>2</v>
      </c>
      <c r="AA84" s="236" t="s">
        <v>1803</v>
      </c>
      <c r="AB84" s="236" t="s">
        <v>1658</v>
      </c>
      <c r="AC84" s="237">
        <v>43811</v>
      </c>
      <c r="AD84" s="244" t="s">
        <v>6630</v>
      </c>
      <c r="AE84" s="241" t="s">
        <v>393</v>
      </c>
      <c r="AF84" s="241" t="s">
        <v>393</v>
      </c>
      <c r="AG84" s="241" t="s">
        <v>393</v>
      </c>
      <c r="AH84" s="241" t="s">
        <v>393</v>
      </c>
      <c r="AI84" s="241" t="s">
        <v>1761</v>
      </c>
      <c r="AJ84" s="241" t="s">
        <v>393</v>
      </c>
      <c r="AK84" s="242">
        <v>43798</v>
      </c>
      <c r="AL84" s="244" t="s">
        <v>6631</v>
      </c>
      <c r="AM84" s="236">
        <v>584000</v>
      </c>
      <c r="AN84" s="236" t="s">
        <v>2639</v>
      </c>
      <c r="AO84" s="236" t="s">
        <v>599</v>
      </c>
      <c r="AP84" s="236">
        <v>3</v>
      </c>
      <c r="AQ84" s="236" t="s">
        <v>1804</v>
      </c>
      <c r="AR84" s="236" t="s">
        <v>2642</v>
      </c>
      <c r="AS84" s="237">
        <v>44012</v>
      </c>
      <c r="AT84" s="245" t="s">
        <v>6632</v>
      </c>
      <c r="AU84" s="241" t="s">
        <v>393</v>
      </c>
      <c r="AV84" s="241" t="s">
        <v>393</v>
      </c>
      <c r="AW84" s="241" t="s">
        <v>393</v>
      </c>
      <c r="AX84" s="241" t="s">
        <v>393</v>
      </c>
      <c r="AY84" s="241" t="s">
        <v>1762</v>
      </c>
      <c r="AZ84" s="241" t="s">
        <v>393</v>
      </c>
      <c r="BA84" s="242">
        <v>43798</v>
      </c>
      <c r="BB84" s="244" t="s">
        <v>6633</v>
      </c>
      <c r="BC84" s="236">
        <v>45472</v>
      </c>
      <c r="BD84" s="236" t="s">
        <v>3338</v>
      </c>
      <c r="BE84" s="236" t="s">
        <v>601</v>
      </c>
      <c r="BF84" s="236">
        <v>1</v>
      </c>
      <c r="BG84" s="236" t="s">
        <v>3558</v>
      </c>
      <c r="BH84" s="236" t="s">
        <v>1598</v>
      </c>
      <c r="BI84" s="237">
        <v>44110</v>
      </c>
      <c r="BJ84" s="245" t="s">
        <v>6634</v>
      </c>
      <c r="BK84" s="245" t="s">
        <v>393</v>
      </c>
      <c r="BL84" s="245" t="s">
        <v>393</v>
      </c>
      <c r="BM84" s="245" t="s">
        <v>393</v>
      </c>
      <c r="BN84" s="245" t="s">
        <v>393</v>
      </c>
      <c r="BO84" s="245" t="s">
        <v>1763</v>
      </c>
      <c r="BP84" s="241" t="s">
        <v>393</v>
      </c>
      <c r="BQ84" s="246">
        <v>43798</v>
      </c>
      <c r="BR84" s="244" t="s">
        <v>6635</v>
      </c>
      <c r="BS84" s="247" t="s">
        <v>703</v>
      </c>
      <c r="BT84" s="247" t="s">
        <v>703</v>
      </c>
      <c r="BU84" s="247" t="s">
        <v>703</v>
      </c>
      <c r="BV84" s="247" t="s">
        <v>393</v>
      </c>
      <c r="BW84" s="247" t="s">
        <v>1762</v>
      </c>
      <c r="BX84" s="247" t="s">
        <v>703</v>
      </c>
      <c r="BY84" s="237">
        <v>43798</v>
      </c>
      <c r="BZ84" s="245" t="s">
        <v>6636</v>
      </c>
      <c r="CA84" s="245" t="s">
        <v>703</v>
      </c>
      <c r="CB84" s="245" t="s">
        <v>703</v>
      </c>
      <c r="CC84" s="245" t="s">
        <v>703</v>
      </c>
      <c r="CD84" s="245" t="s">
        <v>393</v>
      </c>
      <c r="CE84" s="245" t="s">
        <v>1762</v>
      </c>
      <c r="CF84" s="245" t="s">
        <v>703</v>
      </c>
      <c r="CG84" s="246">
        <v>43798</v>
      </c>
      <c r="CH84" s="244" t="s">
        <v>6637</v>
      </c>
      <c r="CI84" s="245" t="e">
        <v>#N/A</v>
      </c>
      <c r="CJ84" s="245" t="e">
        <v>#N/A</v>
      </c>
      <c r="CK84" s="245" t="e">
        <v>#N/A</v>
      </c>
      <c r="CL84" s="245" t="e">
        <v>#N/A</v>
      </c>
      <c r="CM84" s="245" t="e">
        <v>#N/A</v>
      </c>
      <c r="CN84" s="245" t="e">
        <v>#N/A</v>
      </c>
      <c r="CO84" s="248" t="e">
        <v>#N/A</v>
      </c>
      <c r="CP84" s="245" t="s">
        <v>6638</v>
      </c>
      <c r="CQ84" s="247" t="s">
        <v>393</v>
      </c>
      <c r="CR84" s="247" t="s">
        <v>393</v>
      </c>
      <c r="CS84" s="247" t="s">
        <v>393</v>
      </c>
      <c r="CT84" s="247" t="s">
        <v>393</v>
      </c>
      <c r="CU84" s="247" t="s">
        <v>1764</v>
      </c>
      <c r="CV84" s="247" t="s">
        <v>393</v>
      </c>
      <c r="CW84" s="237">
        <v>43798</v>
      </c>
      <c r="CX84" s="245" t="s">
        <v>6639</v>
      </c>
      <c r="CY84" s="241" t="s">
        <v>393</v>
      </c>
      <c r="CZ84" s="241" t="s">
        <v>393</v>
      </c>
      <c r="DA84" s="241" t="s">
        <v>393</v>
      </c>
      <c r="DB84" s="241" t="s">
        <v>393</v>
      </c>
      <c r="DC84" s="241" t="s">
        <v>1665</v>
      </c>
      <c r="DD84" s="241" t="s">
        <v>393</v>
      </c>
      <c r="DE84" s="243">
        <v>43811</v>
      </c>
      <c r="DF84" s="244" t="s">
        <v>6640</v>
      </c>
      <c r="DG84" s="236" t="s">
        <v>393</v>
      </c>
      <c r="DH84" s="247" t="s">
        <v>393</v>
      </c>
      <c r="DI84" s="247" t="s">
        <v>393</v>
      </c>
      <c r="DJ84" s="247" t="s">
        <v>393</v>
      </c>
      <c r="DK84" s="247" t="s">
        <v>1665</v>
      </c>
      <c r="DL84" s="247" t="s">
        <v>393</v>
      </c>
      <c r="DM84" s="237">
        <v>43811</v>
      </c>
      <c r="DN84" s="245" t="s">
        <v>6641</v>
      </c>
      <c r="DO84" s="241" t="s">
        <v>393</v>
      </c>
      <c r="DP84" s="245" t="s">
        <v>393</v>
      </c>
      <c r="DQ84" s="245" t="s">
        <v>393</v>
      </c>
      <c r="DR84" s="245" t="s">
        <v>393</v>
      </c>
      <c r="DS84" s="245" t="s">
        <v>1765</v>
      </c>
      <c r="DT84" s="245" t="s">
        <v>393</v>
      </c>
      <c r="DU84" s="246">
        <v>43798</v>
      </c>
      <c r="DV84" s="244" t="s">
        <v>6642</v>
      </c>
      <c r="DW84" s="236" t="s">
        <v>393</v>
      </c>
      <c r="DX84" s="247" t="s">
        <v>393</v>
      </c>
      <c r="DY84" s="247" t="s">
        <v>393</v>
      </c>
      <c r="DZ84" s="247" t="s">
        <v>393</v>
      </c>
      <c r="EA84" s="247" t="s">
        <v>1665</v>
      </c>
      <c r="EB84" s="247" t="s">
        <v>393</v>
      </c>
      <c r="EC84" s="237">
        <v>43811</v>
      </c>
      <c r="ED84" s="245" t="s">
        <v>6643</v>
      </c>
      <c r="EE84" s="241" t="s">
        <v>393</v>
      </c>
      <c r="EF84" s="245" t="s">
        <v>393</v>
      </c>
      <c r="EG84" s="245" t="s">
        <v>393</v>
      </c>
      <c r="EH84" s="245" t="s">
        <v>393</v>
      </c>
      <c r="EI84" s="245" t="s">
        <v>1765</v>
      </c>
      <c r="EJ84" s="245" t="s">
        <v>393</v>
      </c>
      <c r="EK84" s="246">
        <v>43798</v>
      </c>
      <c r="EL84" s="244" t="s">
        <v>6644</v>
      </c>
      <c r="EM84" s="236" t="s">
        <v>393</v>
      </c>
      <c r="EN84" s="247" t="s">
        <v>393</v>
      </c>
      <c r="EO84" s="247" t="s">
        <v>393</v>
      </c>
      <c r="EP84" s="247" t="s">
        <v>393</v>
      </c>
      <c r="EQ84" s="247" t="s">
        <v>1765</v>
      </c>
      <c r="ER84" s="247" t="s">
        <v>393</v>
      </c>
      <c r="ES84" s="237">
        <v>43798</v>
      </c>
      <c r="ET84" s="245" t="s">
        <v>6645</v>
      </c>
      <c r="EU84" s="245">
        <v>173</v>
      </c>
      <c r="EV84" s="245" t="s">
        <v>2225</v>
      </c>
      <c r="EW84" s="245" t="s">
        <v>599</v>
      </c>
      <c r="EX84" s="245">
        <v>3</v>
      </c>
      <c r="EY84" s="245" t="s">
        <v>1664</v>
      </c>
      <c r="EZ84" s="245" t="s">
        <v>1802</v>
      </c>
      <c r="FA84" s="246">
        <v>44110</v>
      </c>
      <c r="FB84" s="244" t="s">
        <v>6646</v>
      </c>
      <c r="FC84" s="247">
        <v>5</v>
      </c>
      <c r="FD84" s="247" t="s">
        <v>1787</v>
      </c>
      <c r="FE84" s="247" t="s">
        <v>600</v>
      </c>
      <c r="FF84" s="247">
        <v>2</v>
      </c>
      <c r="FG84" s="247" t="s">
        <v>1666</v>
      </c>
      <c r="FH84" s="247" t="s">
        <v>1788</v>
      </c>
      <c r="FI84" s="237">
        <v>43798</v>
      </c>
      <c r="FJ84" s="244" t="s">
        <v>6647</v>
      </c>
      <c r="FK84" s="245" t="s">
        <v>393</v>
      </c>
      <c r="FL84" s="245" t="s">
        <v>393</v>
      </c>
      <c r="FM84" s="245" t="s">
        <v>393</v>
      </c>
      <c r="FN84" s="245" t="s">
        <v>393</v>
      </c>
      <c r="FO84" s="245" t="s">
        <v>1762</v>
      </c>
      <c r="FP84" s="241" t="s">
        <v>393</v>
      </c>
      <c r="FQ84" s="242">
        <v>43798</v>
      </c>
      <c r="FR84" s="244" t="s">
        <v>6648</v>
      </c>
      <c r="FS84" s="247" t="s">
        <v>393</v>
      </c>
      <c r="FT84" s="247" t="s">
        <v>393</v>
      </c>
      <c r="FU84" s="247" t="s">
        <v>393</v>
      </c>
      <c r="FV84" s="247" t="s">
        <v>393</v>
      </c>
      <c r="FW84" s="247" t="s">
        <v>1762</v>
      </c>
      <c r="FX84" s="247" t="s">
        <v>393</v>
      </c>
      <c r="FY84" s="237">
        <v>43798</v>
      </c>
      <c r="FZ84" s="245" t="s">
        <v>6649</v>
      </c>
      <c r="GA84" s="245" t="s">
        <v>703</v>
      </c>
      <c r="GB84" s="245" t="s">
        <v>703</v>
      </c>
      <c r="GC84" s="245" t="s">
        <v>703</v>
      </c>
      <c r="GD84" s="245" t="s">
        <v>393</v>
      </c>
      <c r="GE84" s="245" t="s">
        <v>1623</v>
      </c>
      <c r="GF84" s="245" t="s">
        <v>703</v>
      </c>
      <c r="GG84" s="246">
        <v>43798</v>
      </c>
      <c r="GH84" s="244" t="s">
        <v>6650</v>
      </c>
      <c r="GI84" s="247">
        <v>1</v>
      </c>
      <c r="GJ84" s="247" t="s">
        <v>1838</v>
      </c>
      <c r="GK84" s="247" t="s">
        <v>599</v>
      </c>
      <c r="GL84" s="247">
        <v>3</v>
      </c>
      <c r="GM84" s="247" t="s">
        <v>1623</v>
      </c>
      <c r="GN84" s="247" t="s">
        <v>1789</v>
      </c>
      <c r="GO84" s="237">
        <v>43798</v>
      </c>
      <c r="GP84" s="245" t="s">
        <v>6651</v>
      </c>
      <c r="GQ84" s="245">
        <v>1</v>
      </c>
      <c r="GR84" s="245" t="s">
        <v>1773</v>
      </c>
      <c r="GS84" s="245" t="s">
        <v>600</v>
      </c>
      <c r="GT84" s="245">
        <v>2</v>
      </c>
      <c r="GU84" s="245" t="s">
        <v>1623</v>
      </c>
      <c r="GV84" s="245" t="s">
        <v>1772</v>
      </c>
      <c r="GW84" s="246">
        <v>43798</v>
      </c>
      <c r="GX84" s="244" t="s">
        <v>6652</v>
      </c>
      <c r="GY84" s="247">
        <v>0</v>
      </c>
      <c r="GZ84" s="247" t="s">
        <v>1774</v>
      </c>
      <c r="HA84" s="247" t="s">
        <v>599</v>
      </c>
      <c r="HB84" s="247">
        <v>3</v>
      </c>
      <c r="HC84" s="247" t="s">
        <v>1623</v>
      </c>
      <c r="HD84" s="247" t="s">
        <v>1775</v>
      </c>
      <c r="HE84" s="237">
        <v>43798</v>
      </c>
      <c r="HF84" s="245" t="s">
        <v>6653</v>
      </c>
      <c r="HG84" s="245">
        <v>0</v>
      </c>
      <c r="HH84" s="245" t="s">
        <v>1778</v>
      </c>
      <c r="HI84" s="245" t="s">
        <v>600</v>
      </c>
      <c r="HJ84" s="245">
        <v>2</v>
      </c>
      <c r="HK84" s="245" t="s">
        <v>1623</v>
      </c>
      <c r="HL84" s="245" t="s">
        <v>1780</v>
      </c>
      <c r="HM84" s="246">
        <v>43798</v>
      </c>
      <c r="HN84" s="244" t="s">
        <v>6654</v>
      </c>
      <c r="HO84" s="247">
        <v>1</v>
      </c>
      <c r="HP84" s="247" t="s">
        <v>1838</v>
      </c>
      <c r="HQ84" s="247" t="s">
        <v>599</v>
      </c>
      <c r="HR84" s="247">
        <v>3</v>
      </c>
      <c r="HS84" s="247" t="s">
        <v>1623</v>
      </c>
      <c r="HT84" s="247" t="s">
        <v>1789</v>
      </c>
      <c r="HU84" s="237">
        <v>43798</v>
      </c>
      <c r="HV84" s="245" t="s">
        <v>6655</v>
      </c>
      <c r="HW84" s="245">
        <v>1</v>
      </c>
      <c r="HX84" s="245" t="s">
        <v>1784</v>
      </c>
      <c r="HY84" s="245" t="s">
        <v>600</v>
      </c>
      <c r="HZ84" s="245">
        <v>2</v>
      </c>
      <c r="IA84" s="245" t="s">
        <v>1623</v>
      </c>
      <c r="IB84" s="245" t="s">
        <v>1785</v>
      </c>
      <c r="IC84" s="246">
        <v>43798</v>
      </c>
      <c r="ID84" s="244" t="s">
        <v>6656</v>
      </c>
      <c r="IE84" s="247" t="s">
        <v>393</v>
      </c>
      <c r="IF84" s="247" t="s">
        <v>393</v>
      </c>
      <c r="IG84" s="247" t="s">
        <v>393</v>
      </c>
      <c r="IH84" s="247" t="s">
        <v>393</v>
      </c>
      <c r="II84" s="247" t="s">
        <v>1623</v>
      </c>
      <c r="IJ84" s="247" t="s">
        <v>393</v>
      </c>
      <c r="IK84" s="237">
        <v>43798</v>
      </c>
      <c r="IL84" s="245" t="s">
        <v>6657</v>
      </c>
      <c r="IM84" s="245" t="s">
        <v>703</v>
      </c>
      <c r="IN84" s="245" t="s">
        <v>393</v>
      </c>
      <c r="IO84" s="245" t="s">
        <v>703</v>
      </c>
      <c r="IP84" s="245" t="s">
        <v>393</v>
      </c>
      <c r="IQ84" s="245" t="s">
        <v>1623</v>
      </c>
      <c r="IR84" s="245" t="s">
        <v>393</v>
      </c>
      <c r="IS84" s="246">
        <v>43798</v>
      </c>
    </row>
    <row r="85" spans="1:253" s="11" customFormat="1" ht="13.2" x14ac:dyDescent="0.25">
      <c r="A85" s="11" t="s">
        <v>1750</v>
      </c>
      <c r="B85" s="11" t="s">
        <v>1284</v>
      </c>
      <c r="C85" s="11" t="s">
        <v>1638</v>
      </c>
      <c r="D85" s="11" t="s">
        <v>207</v>
      </c>
      <c r="E85" s="11" t="s">
        <v>206</v>
      </c>
      <c r="F85" s="11" t="s">
        <v>6658</v>
      </c>
      <c r="G85" s="235">
        <v>114329000</v>
      </c>
      <c r="H85" s="236" t="s">
        <v>1653</v>
      </c>
      <c r="I85" s="236" t="s">
        <v>600</v>
      </c>
      <c r="J85" s="236">
        <v>2</v>
      </c>
      <c r="K85" s="236" t="s">
        <v>1660</v>
      </c>
      <c r="L85" s="236" t="s">
        <v>1656</v>
      </c>
      <c r="M85" s="237">
        <v>43798</v>
      </c>
      <c r="N85" s="244" t="s">
        <v>6659</v>
      </c>
      <c r="O85" s="239">
        <v>1078234</v>
      </c>
      <c r="P85" s="239" t="s">
        <v>1654</v>
      </c>
      <c r="Q85" s="239" t="s">
        <v>600</v>
      </c>
      <c r="R85" s="239">
        <v>2</v>
      </c>
      <c r="S85" s="239" t="s">
        <v>1661</v>
      </c>
      <c r="T85" s="239" t="s">
        <v>1657</v>
      </c>
      <c r="U85" s="240">
        <v>43798</v>
      </c>
      <c r="V85" s="244" t="s">
        <v>6660</v>
      </c>
      <c r="W85" s="236">
        <v>70024000</v>
      </c>
      <c r="X85" s="236" t="s">
        <v>1805</v>
      </c>
      <c r="Y85" s="236" t="s">
        <v>599</v>
      </c>
      <c r="Z85" s="236">
        <v>3</v>
      </c>
      <c r="AA85" s="236" t="s">
        <v>1806</v>
      </c>
      <c r="AB85" s="236" t="s">
        <v>1658</v>
      </c>
      <c r="AC85" s="237">
        <v>43811</v>
      </c>
      <c r="AD85" s="244" t="s">
        <v>6661</v>
      </c>
      <c r="AE85" s="241" t="s">
        <v>393</v>
      </c>
      <c r="AF85" s="241" t="s">
        <v>393</v>
      </c>
      <c r="AG85" s="241" t="s">
        <v>599</v>
      </c>
      <c r="AH85" s="241">
        <v>3</v>
      </c>
      <c r="AI85" s="241" t="s">
        <v>1807</v>
      </c>
      <c r="AJ85" s="241" t="s">
        <v>393</v>
      </c>
      <c r="AK85" s="242">
        <v>43811</v>
      </c>
      <c r="AL85" s="244" t="s">
        <v>6662</v>
      </c>
      <c r="AM85" s="236">
        <v>351000</v>
      </c>
      <c r="AN85" s="236" t="s">
        <v>1655</v>
      </c>
      <c r="AO85" s="236" t="s">
        <v>600</v>
      </c>
      <c r="AP85" s="236">
        <v>2</v>
      </c>
      <c r="AQ85" s="236" t="s">
        <v>1662</v>
      </c>
      <c r="AR85" s="236" t="s">
        <v>1659</v>
      </c>
      <c r="AS85" s="237">
        <v>43798</v>
      </c>
      <c r="AT85" s="245" t="s">
        <v>6663</v>
      </c>
      <c r="AU85" s="241" t="s">
        <v>393</v>
      </c>
      <c r="AV85" s="241" t="s">
        <v>393</v>
      </c>
      <c r="AW85" s="241" t="s">
        <v>393</v>
      </c>
      <c r="AX85" s="241" t="s">
        <v>393</v>
      </c>
      <c r="AY85" s="241" t="s">
        <v>1663</v>
      </c>
      <c r="AZ85" s="241" t="s">
        <v>393</v>
      </c>
      <c r="BA85" s="242">
        <v>43798</v>
      </c>
      <c r="BB85" s="244" t="s">
        <v>6664</v>
      </c>
      <c r="BC85" s="236" t="s">
        <v>393</v>
      </c>
      <c r="BD85" s="236" t="s">
        <v>393</v>
      </c>
      <c r="BE85" s="236" t="s">
        <v>393</v>
      </c>
      <c r="BF85" s="236" t="s">
        <v>393</v>
      </c>
      <c r="BG85" s="236" t="s">
        <v>393</v>
      </c>
      <c r="BH85" s="236" t="s">
        <v>393</v>
      </c>
      <c r="BI85" s="237">
        <v>43798</v>
      </c>
      <c r="BJ85" s="245" t="s">
        <v>6665</v>
      </c>
      <c r="BK85" s="245" t="s">
        <v>393</v>
      </c>
      <c r="BL85" s="245" t="s">
        <v>393</v>
      </c>
      <c r="BM85" s="245" t="s">
        <v>393</v>
      </c>
      <c r="BN85" s="245" t="s">
        <v>393</v>
      </c>
      <c r="BO85" s="245" t="s">
        <v>2025</v>
      </c>
      <c r="BP85" s="241" t="s">
        <v>2024</v>
      </c>
      <c r="BQ85" s="246">
        <v>43867</v>
      </c>
      <c r="BR85" s="244" t="s">
        <v>6666</v>
      </c>
      <c r="BS85" s="247" t="s">
        <v>393</v>
      </c>
      <c r="BT85" s="247" t="s">
        <v>393</v>
      </c>
      <c r="BU85" s="247" t="s">
        <v>393</v>
      </c>
      <c r="BV85" s="247" t="s">
        <v>393</v>
      </c>
      <c r="BW85" s="247" t="s">
        <v>993</v>
      </c>
      <c r="BX85" s="247" t="s">
        <v>393</v>
      </c>
      <c r="BY85" s="237">
        <v>43798</v>
      </c>
      <c r="BZ85" s="245" t="s">
        <v>6667</v>
      </c>
      <c r="CA85" s="245" t="s">
        <v>393</v>
      </c>
      <c r="CB85" s="245" t="s">
        <v>393</v>
      </c>
      <c r="CC85" s="245" t="s">
        <v>393</v>
      </c>
      <c r="CD85" s="245" t="s">
        <v>393</v>
      </c>
      <c r="CE85" s="245" t="s">
        <v>993</v>
      </c>
      <c r="CF85" s="245" t="s">
        <v>393</v>
      </c>
      <c r="CG85" s="246">
        <v>43798</v>
      </c>
      <c r="CH85" s="244" t="s">
        <v>6668</v>
      </c>
      <c r="CI85" s="245" t="e">
        <v>#N/A</v>
      </c>
      <c r="CJ85" s="245" t="e">
        <v>#N/A</v>
      </c>
      <c r="CK85" s="245" t="e">
        <v>#N/A</v>
      </c>
      <c r="CL85" s="245" t="e">
        <v>#N/A</v>
      </c>
      <c r="CM85" s="245" t="e">
        <v>#N/A</v>
      </c>
      <c r="CN85" s="245" t="e">
        <v>#N/A</v>
      </c>
      <c r="CO85" s="248" t="e">
        <v>#N/A</v>
      </c>
      <c r="CP85" s="245" t="s">
        <v>6669</v>
      </c>
      <c r="CQ85" s="247" t="s">
        <v>393</v>
      </c>
      <c r="CR85" s="247" t="s">
        <v>393</v>
      </c>
      <c r="CS85" s="247" t="s">
        <v>393</v>
      </c>
      <c r="CT85" s="247" t="s">
        <v>393</v>
      </c>
      <c r="CU85" s="247" t="s">
        <v>993</v>
      </c>
      <c r="CV85" s="247" t="s">
        <v>393</v>
      </c>
      <c r="CW85" s="237">
        <v>43798</v>
      </c>
      <c r="CX85" s="245" t="s">
        <v>6670</v>
      </c>
      <c r="CY85" s="241" t="s">
        <v>393</v>
      </c>
      <c r="CZ85" s="241" t="s">
        <v>393</v>
      </c>
      <c r="DA85" s="241" t="s">
        <v>393</v>
      </c>
      <c r="DB85" s="241" t="s">
        <v>393</v>
      </c>
      <c r="DC85" s="241" t="s">
        <v>1665</v>
      </c>
      <c r="DD85" s="241" t="s">
        <v>393</v>
      </c>
      <c r="DE85" s="243">
        <v>43811</v>
      </c>
      <c r="DF85" s="244" t="s">
        <v>6671</v>
      </c>
      <c r="DG85" s="236" t="s">
        <v>393</v>
      </c>
      <c r="DH85" s="247" t="s">
        <v>393</v>
      </c>
      <c r="DI85" s="247" t="s">
        <v>393</v>
      </c>
      <c r="DJ85" s="247" t="s">
        <v>393</v>
      </c>
      <c r="DK85" s="247" t="s">
        <v>1665</v>
      </c>
      <c r="DL85" s="247" t="s">
        <v>393</v>
      </c>
      <c r="DM85" s="237">
        <v>43811</v>
      </c>
      <c r="DN85" s="245" t="s">
        <v>6672</v>
      </c>
      <c r="DO85" s="241" t="s">
        <v>393</v>
      </c>
      <c r="DP85" s="245" t="s">
        <v>393</v>
      </c>
      <c r="DQ85" s="245" t="s">
        <v>393</v>
      </c>
      <c r="DR85" s="245" t="s">
        <v>393</v>
      </c>
      <c r="DS85" s="245" t="s">
        <v>1665</v>
      </c>
      <c r="DT85" s="245" t="s">
        <v>393</v>
      </c>
      <c r="DU85" s="246">
        <v>43798</v>
      </c>
      <c r="DV85" s="244" t="s">
        <v>6673</v>
      </c>
      <c r="DW85" s="236" t="s">
        <v>393</v>
      </c>
      <c r="DX85" s="247" t="s">
        <v>393</v>
      </c>
      <c r="DY85" s="247" t="s">
        <v>393</v>
      </c>
      <c r="DZ85" s="247" t="s">
        <v>393</v>
      </c>
      <c r="EA85" s="247" t="s">
        <v>1665</v>
      </c>
      <c r="EB85" s="247" t="s">
        <v>393</v>
      </c>
      <c r="EC85" s="237">
        <v>43811</v>
      </c>
      <c r="ED85" s="245" t="s">
        <v>6674</v>
      </c>
      <c r="EE85" s="241" t="s">
        <v>393</v>
      </c>
      <c r="EF85" s="245" t="s">
        <v>393</v>
      </c>
      <c r="EG85" s="245" t="s">
        <v>393</v>
      </c>
      <c r="EH85" s="245" t="s">
        <v>393</v>
      </c>
      <c r="EI85" s="245" t="s">
        <v>1665</v>
      </c>
      <c r="EJ85" s="245" t="s">
        <v>393</v>
      </c>
      <c r="EK85" s="246">
        <v>43798</v>
      </c>
      <c r="EL85" s="244" t="s">
        <v>6675</v>
      </c>
      <c r="EM85" s="236" t="s">
        <v>393</v>
      </c>
      <c r="EN85" s="247" t="s">
        <v>393</v>
      </c>
      <c r="EO85" s="247" t="s">
        <v>393</v>
      </c>
      <c r="EP85" s="247" t="s">
        <v>393</v>
      </c>
      <c r="EQ85" s="247" t="s">
        <v>1665</v>
      </c>
      <c r="ER85" s="247" t="s">
        <v>393</v>
      </c>
      <c r="ES85" s="237">
        <v>43798</v>
      </c>
      <c r="ET85" s="245" t="s">
        <v>6676</v>
      </c>
      <c r="EU85" s="245">
        <v>173</v>
      </c>
      <c r="EV85" s="245" t="s">
        <v>2225</v>
      </c>
      <c r="EW85" s="245" t="s">
        <v>599</v>
      </c>
      <c r="EX85" s="245">
        <v>3</v>
      </c>
      <c r="EY85" s="245" t="s">
        <v>1664</v>
      </c>
      <c r="EZ85" s="245" t="s">
        <v>1802</v>
      </c>
      <c r="FA85" s="246">
        <v>44110</v>
      </c>
      <c r="FB85" s="244" t="s">
        <v>6677</v>
      </c>
      <c r="FC85" s="247">
        <v>4</v>
      </c>
      <c r="FD85" s="247" t="s">
        <v>393</v>
      </c>
      <c r="FE85" s="247" t="s">
        <v>393</v>
      </c>
      <c r="FF85" s="247" t="s">
        <v>393</v>
      </c>
      <c r="FG85" s="247" t="s">
        <v>1666</v>
      </c>
      <c r="FH85" s="247" t="s">
        <v>393</v>
      </c>
      <c r="FI85" s="237">
        <v>43798</v>
      </c>
      <c r="FJ85" s="244" t="s">
        <v>6678</v>
      </c>
      <c r="FK85" s="245" t="s">
        <v>393</v>
      </c>
      <c r="FL85" s="245" t="s">
        <v>393</v>
      </c>
      <c r="FM85" s="245" t="s">
        <v>393</v>
      </c>
      <c r="FN85" s="245" t="s">
        <v>393</v>
      </c>
      <c r="FO85" s="245" t="s">
        <v>393</v>
      </c>
      <c r="FP85" s="241" t="s">
        <v>393</v>
      </c>
      <c r="FQ85" s="242">
        <v>43798</v>
      </c>
      <c r="FR85" s="244" t="s">
        <v>6679</v>
      </c>
      <c r="FS85" s="247" t="s">
        <v>393</v>
      </c>
      <c r="FT85" s="247" t="s">
        <v>393</v>
      </c>
      <c r="FU85" s="247" t="s">
        <v>393</v>
      </c>
      <c r="FV85" s="247" t="s">
        <v>393</v>
      </c>
      <c r="FW85" s="247" t="s">
        <v>393</v>
      </c>
      <c r="FX85" s="247" t="s">
        <v>393</v>
      </c>
      <c r="FY85" s="237">
        <v>43798</v>
      </c>
      <c r="FZ85" s="245" t="s">
        <v>6680</v>
      </c>
      <c r="GA85" s="245" t="s">
        <v>393</v>
      </c>
      <c r="GB85" s="245" t="s">
        <v>393</v>
      </c>
      <c r="GC85" s="245" t="s">
        <v>393</v>
      </c>
      <c r="GD85" s="245" t="s">
        <v>393</v>
      </c>
      <c r="GE85" s="245" t="s">
        <v>393</v>
      </c>
      <c r="GF85" s="245" t="s">
        <v>393</v>
      </c>
      <c r="GG85" s="246">
        <v>43798</v>
      </c>
      <c r="GH85" s="244" t="s">
        <v>6681</v>
      </c>
      <c r="GI85" s="247">
        <v>1</v>
      </c>
      <c r="GJ85" s="247" t="s">
        <v>1790</v>
      </c>
      <c r="GK85" s="247" t="s">
        <v>599</v>
      </c>
      <c r="GL85" s="247">
        <v>3</v>
      </c>
      <c r="GM85" s="247" t="s">
        <v>1771</v>
      </c>
      <c r="GN85" s="247" t="s">
        <v>1789</v>
      </c>
      <c r="GO85" s="237">
        <v>43798</v>
      </c>
      <c r="GP85" s="245" t="s">
        <v>6682</v>
      </c>
      <c r="GQ85" s="245">
        <v>1</v>
      </c>
      <c r="GR85" s="245" t="s">
        <v>1773</v>
      </c>
      <c r="GS85" s="245" t="s">
        <v>600</v>
      </c>
      <c r="GT85" s="245">
        <v>2</v>
      </c>
      <c r="GU85" s="245" t="s">
        <v>1777</v>
      </c>
      <c r="GV85" s="245" t="s">
        <v>1772</v>
      </c>
      <c r="GW85" s="246">
        <v>43798</v>
      </c>
      <c r="GX85" s="244" t="s">
        <v>6683</v>
      </c>
      <c r="GY85" s="247">
        <v>0</v>
      </c>
      <c r="GZ85" s="247" t="s">
        <v>1774</v>
      </c>
      <c r="HA85" s="247" t="s">
        <v>599</v>
      </c>
      <c r="HB85" s="247">
        <v>3</v>
      </c>
      <c r="HC85" s="247" t="s">
        <v>1776</v>
      </c>
      <c r="HD85" s="247" t="s">
        <v>1775</v>
      </c>
      <c r="HE85" s="237">
        <v>43798</v>
      </c>
      <c r="HF85" s="245" t="s">
        <v>6684</v>
      </c>
      <c r="HG85" s="245" t="s">
        <v>393</v>
      </c>
      <c r="HH85" s="245" t="s">
        <v>393</v>
      </c>
      <c r="HI85" s="245" t="s">
        <v>393</v>
      </c>
      <c r="HJ85" s="245" t="s">
        <v>393</v>
      </c>
      <c r="HK85" s="245" t="s">
        <v>393</v>
      </c>
      <c r="HL85" s="245" t="s">
        <v>393</v>
      </c>
      <c r="HM85" s="246">
        <v>43798</v>
      </c>
      <c r="HN85" s="244" t="s">
        <v>6685</v>
      </c>
      <c r="HO85" s="247">
        <v>1</v>
      </c>
      <c r="HP85" s="247" t="s">
        <v>1790</v>
      </c>
      <c r="HQ85" s="247" t="s">
        <v>599</v>
      </c>
      <c r="HR85" s="247">
        <v>3</v>
      </c>
      <c r="HS85" s="247" t="s">
        <v>1770</v>
      </c>
      <c r="HT85" s="247" t="s">
        <v>1789</v>
      </c>
      <c r="HU85" s="237">
        <v>43798</v>
      </c>
      <c r="HV85" s="245" t="s">
        <v>6686</v>
      </c>
      <c r="HW85" s="245" t="s">
        <v>393</v>
      </c>
      <c r="HX85" s="245" t="s">
        <v>393</v>
      </c>
      <c r="HY85" s="245" t="s">
        <v>393</v>
      </c>
      <c r="HZ85" s="245" t="s">
        <v>393</v>
      </c>
      <c r="IA85" s="245" t="s">
        <v>393</v>
      </c>
      <c r="IB85" s="245" t="s">
        <v>393</v>
      </c>
      <c r="IC85" s="246">
        <v>43798</v>
      </c>
      <c r="ID85" s="244" t="s">
        <v>6687</v>
      </c>
      <c r="IE85" s="247" t="s">
        <v>393</v>
      </c>
      <c r="IF85" s="247" t="s">
        <v>393</v>
      </c>
      <c r="IG85" s="247" t="s">
        <v>393</v>
      </c>
      <c r="IH85" s="247" t="s">
        <v>393</v>
      </c>
      <c r="II85" s="247" t="s">
        <v>393</v>
      </c>
      <c r="IJ85" s="247" t="s">
        <v>393</v>
      </c>
      <c r="IK85" s="237">
        <v>43798</v>
      </c>
      <c r="IL85" s="245" t="s">
        <v>6688</v>
      </c>
      <c r="IM85" s="245" t="s">
        <v>393</v>
      </c>
      <c r="IN85" s="245" t="s">
        <v>393</v>
      </c>
      <c r="IO85" s="245" t="s">
        <v>393</v>
      </c>
      <c r="IP85" s="245" t="s">
        <v>393</v>
      </c>
      <c r="IQ85" s="245" t="s">
        <v>393</v>
      </c>
      <c r="IR85" s="245" t="s">
        <v>393</v>
      </c>
      <c r="IS85" s="246">
        <v>43798</v>
      </c>
    </row>
    <row r="86" spans="1:253" s="11" customFormat="1" ht="13.2" x14ac:dyDescent="0.25">
      <c r="A86" s="11" t="s">
        <v>1751</v>
      </c>
      <c r="B86" s="11" t="s">
        <v>1280</v>
      </c>
      <c r="C86" s="11" t="s">
        <v>1640</v>
      </c>
      <c r="D86" s="11" t="s">
        <v>207</v>
      </c>
      <c r="E86" s="11" t="s">
        <v>206</v>
      </c>
      <c r="F86" s="11" t="s">
        <v>6689</v>
      </c>
      <c r="G86" s="235">
        <v>114329000</v>
      </c>
      <c r="H86" s="236" t="s">
        <v>1667</v>
      </c>
      <c r="I86" s="236" t="s">
        <v>600</v>
      </c>
      <c r="J86" s="236">
        <v>2</v>
      </c>
      <c r="K86" s="236" t="s">
        <v>1682</v>
      </c>
      <c r="L86" s="236" t="s">
        <v>1656</v>
      </c>
      <c r="M86" s="237">
        <v>43798</v>
      </c>
      <c r="N86" s="244" t="s">
        <v>6690</v>
      </c>
      <c r="O86" s="239">
        <v>1437306</v>
      </c>
      <c r="P86" s="239" t="s">
        <v>1551</v>
      </c>
      <c r="Q86" s="239" t="s">
        <v>600</v>
      </c>
      <c r="R86" s="239">
        <v>2</v>
      </c>
      <c r="S86" s="239" t="s">
        <v>1683</v>
      </c>
      <c r="T86" s="239" t="s">
        <v>1668</v>
      </c>
      <c r="U86" s="240">
        <v>43798</v>
      </c>
      <c r="V86" s="244" t="s">
        <v>6691</v>
      </c>
      <c r="W86" s="236">
        <v>70840000</v>
      </c>
      <c r="X86" s="236" t="s">
        <v>1808</v>
      </c>
      <c r="Y86" s="236" t="s">
        <v>599</v>
      </c>
      <c r="Z86" s="236">
        <v>3</v>
      </c>
      <c r="AA86" s="236" t="s">
        <v>1809</v>
      </c>
      <c r="AB86" s="236" t="s">
        <v>1669</v>
      </c>
      <c r="AC86" s="237">
        <v>43811</v>
      </c>
      <c r="AD86" s="244" t="s">
        <v>6692</v>
      </c>
      <c r="AE86" s="241">
        <v>275000</v>
      </c>
      <c r="AF86" s="241" t="s">
        <v>983</v>
      </c>
      <c r="AG86" s="241" t="s">
        <v>599</v>
      </c>
      <c r="AH86" s="241">
        <v>3</v>
      </c>
      <c r="AI86" s="241" t="s">
        <v>1684</v>
      </c>
      <c r="AJ86" s="241" t="s">
        <v>1670</v>
      </c>
      <c r="AK86" s="242">
        <v>43811</v>
      </c>
      <c r="AL86" s="244" t="s">
        <v>6693</v>
      </c>
      <c r="AM86" s="236">
        <v>275000</v>
      </c>
      <c r="AN86" s="236" t="s">
        <v>983</v>
      </c>
      <c r="AO86" s="236" t="s">
        <v>599</v>
      </c>
      <c r="AP86" s="236">
        <v>3</v>
      </c>
      <c r="AQ86" s="236" t="s">
        <v>1684</v>
      </c>
      <c r="AR86" s="236" t="s">
        <v>1670</v>
      </c>
      <c r="AS86" s="237">
        <v>43811</v>
      </c>
      <c r="AT86" s="245" t="s">
        <v>6694</v>
      </c>
      <c r="AU86" s="241" t="s">
        <v>393</v>
      </c>
      <c r="AV86" s="241" t="s">
        <v>393</v>
      </c>
      <c r="AW86" s="241" t="s">
        <v>393</v>
      </c>
      <c r="AX86" s="241" t="s">
        <v>393</v>
      </c>
      <c r="AY86" s="241" t="s">
        <v>1685</v>
      </c>
      <c r="AZ86" s="241" t="s">
        <v>1671</v>
      </c>
      <c r="BA86" s="242">
        <v>43798</v>
      </c>
      <c r="BB86" s="244" t="s">
        <v>6695</v>
      </c>
      <c r="BC86" s="236" t="s">
        <v>393</v>
      </c>
      <c r="BD86" s="236" t="s">
        <v>393</v>
      </c>
      <c r="BE86" s="236" t="s">
        <v>393</v>
      </c>
      <c r="BF86" s="236" t="s">
        <v>393</v>
      </c>
      <c r="BG86" s="236" t="s">
        <v>1685</v>
      </c>
      <c r="BH86" s="236" t="s">
        <v>1671</v>
      </c>
      <c r="BI86" s="237">
        <v>43798</v>
      </c>
      <c r="BJ86" s="245" t="s">
        <v>6696</v>
      </c>
      <c r="BK86" s="245">
        <v>173</v>
      </c>
      <c r="BL86" s="245" t="s">
        <v>2225</v>
      </c>
      <c r="BM86" s="245" t="s">
        <v>599</v>
      </c>
      <c r="BN86" s="245">
        <v>3</v>
      </c>
      <c r="BO86" s="245" t="s">
        <v>1664</v>
      </c>
      <c r="BP86" s="241" t="s">
        <v>1802</v>
      </c>
      <c r="BQ86" s="246">
        <v>44110</v>
      </c>
      <c r="BR86" s="244" t="s">
        <v>6697</v>
      </c>
      <c r="BS86" s="247" t="s">
        <v>393</v>
      </c>
      <c r="BT86" s="247" t="s">
        <v>393</v>
      </c>
      <c r="BU86" s="247" t="s">
        <v>393</v>
      </c>
      <c r="BV86" s="247" t="s">
        <v>393</v>
      </c>
      <c r="BW86" s="247" t="s">
        <v>393</v>
      </c>
      <c r="BX86" s="247" t="s">
        <v>393</v>
      </c>
      <c r="BY86" s="237">
        <v>43798</v>
      </c>
      <c r="BZ86" s="245" t="s">
        <v>6698</v>
      </c>
      <c r="CA86" s="245" t="s">
        <v>393</v>
      </c>
      <c r="CB86" s="245" t="s">
        <v>393</v>
      </c>
      <c r="CC86" s="245" t="s">
        <v>393</v>
      </c>
      <c r="CD86" s="245" t="s">
        <v>393</v>
      </c>
      <c r="CE86" s="245" t="s">
        <v>393</v>
      </c>
      <c r="CF86" s="245" t="s">
        <v>393</v>
      </c>
      <c r="CG86" s="246">
        <v>43798</v>
      </c>
      <c r="CH86" s="244" t="s">
        <v>6699</v>
      </c>
      <c r="CI86" s="245" t="e">
        <v>#N/A</v>
      </c>
      <c r="CJ86" s="245" t="e">
        <v>#N/A</v>
      </c>
      <c r="CK86" s="245" t="e">
        <v>#N/A</v>
      </c>
      <c r="CL86" s="245" t="e">
        <v>#N/A</v>
      </c>
      <c r="CM86" s="245" t="e">
        <v>#N/A</v>
      </c>
      <c r="CN86" s="245" t="e">
        <v>#N/A</v>
      </c>
      <c r="CO86" s="248" t="e">
        <v>#N/A</v>
      </c>
      <c r="CP86" s="245" t="s">
        <v>6700</v>
      </c>
      <c r="CQ86" s="247" t="s">
        <v>393</v>
      </c>
      <c r="CR86" s="247" t="s">
        <v>393</v>
      </c>
      <c r="CS86" s="247" t="s">
        <v>393</v>
      </c>
      <c r="CT86" s="247" t="s">
        <v>393</v>
      </c>
      <c r="CU86" s="247" t="s">
        <v>393</v>
      </c>
      <c r="CV86" s="247" t="s">
        <v>393</v>
      </c>
      <c r="CW86" s="237">
        <v>43798</v>
      </c>
      <c r="CX86" s="245" t="s">
        <v>6701</v>
      </c>
      <c r="CY86" s="241" t="s">
        <v>393</v>
      </c>
      <c r="CZ86" s="241" t="s">
        <v>703</v>
      </c>
      <c r="DA86" s="241" t="s">
        <v>703</v>
      </c>
      <c r="DB86" s="241" t="s">
        <v>393</v>
      </c>
      <c r="DC86" s="241" t="s">
        <v>1810</v>
      </c>
      <c r="DD86" s="241" t="s">
        <v>703</v>
      </c>
      <c r="DE86" s="243">
        <v>43811</v>
      </c>
      <c r="DF86" s="244" t="s">
        <v>6702</v>
      </c>
      <c r="DG86" s="236" t="s">
        <v>393</v>
      </c>
      <c r="DH86" s="247" t="s">
        <v>703</v>
      </c>
      <c r="DI86" s="247" t="s">
        <v>393</v>
      </c>
      <c r="DJ86" s="247" t="s">
        <v>393</v>
      </c>
      <c r="DK86" s="247" t="s">
        <v>1810</v>
      </c>
      <c r="DL86" s="247" t="s">
        <v>703</v>
      </c>
      <c r="DM86" s="237">
        <v>43811</v>
      </c>
      <c r="DN86" s="245" t="s">
        <v>6703</v>
      </c>
      <c r="DO86" s="241" t="s">
        <v>393</v>
      </c>
      <c r="DP86" s="245" t="s">
        <v>703</v>
      </c>
      <c r="DQ86" s="245" t="s">
        <v>703</v>
      </c>
      <c r="DR86" s="245" t="s">
        <v>393</v>
      </c>
      <c r="DS86" s="245" t="s">
        <v>1810</v>
      </c>
      <c r="DT86" s="245" t="s">
        <v>703</v>
      </c>
      <c r="DU86" s="246">
        <v>43811</v>
      </c>
      <c r="DV86" s="244" t="s">
        <v>6704</v>
      </c>
      <c r="DW86" s="236" t="s">
        <v>393</v>
      </c>
      <c r="DX86" s="247" t="s">
        <v>703</v>
      </c>
      <c r="DY86" s="247" t="s">
        <v>703</v>
      </c>
      <c r="DZ86" s="247" t="s">
        <v>393</v>
      </c>
      <c r="EA86" s="247" t="s">
        <v>1810</v>
      </c>
      <c r="EB86" s="247" t="s">
        <v>703</v>
      </c>
      <c r="EC86" s="237">
        <v>43811</v>
      </c>
      <c r="ED86" s="245" t="s">
        <v>6705</v>
      </c>
      <c r="EE86" s="241" t="s">
        <v>393</v>
      </c>
      <c r="EF86" s="245" t="s">
        <v>393</v>
      </c>
      <c r="EG86" s="245" t="s">
        <v>393</v>
      </c>
      <c r="EH86" s="245" t="s">
        <v>393</v>
      </c>
      <c r="EI86" s="245" t="s">
        <v>1686</v>
      </c>
      <c r="EJ86" s="245" t="s">
        <v>393</v>
      </c>
      <c r="EK86" s="246">
        <v>43798</v>
      </c>
      <c r="EL86" s="244" t="s">
        <v>6706</v>
      </c>
      <c r="EM86" s="236" t="s">
        <v>393</v>
      </c>
      <c r="EN86" s="247" t="s">
        <v>393</v>
      </c>
      <c r="EO86" s="247" t="s">
        <v>393</v>
      </c>
      <c r="EP86" s="247" t="s">
        <v>393</v>
      </c>
      <c r="EQ86" s="247" t="s">
        <v>1686</v>
      </c>
      <c r="ER86" s="247" t="s">
        <v>393</v>
      </c>
      <c r="ES86" s="237">
        <v>43798</v>
      </c>
      <c r="ET86" s="245" t="s">
        <v>6707</v>
      </c>
      <c r="EU86" s="245">
        <v>173</v>
      </c>
      <c r="EV86" s="245" t="s">
        <v>2225</v>
      </c>
      <c r="EW86" s="245" t="s">
        <v>599</v>
      </c>
      <c r="EX86" s="245">
        <v>3</v>
      </c>
      <c r="EY86" s="245" t="s">
        <v>1664</v>
      </c>
      <c r="EZ86" s="245" t="s">
        <v>1802</v>
      </c>
      <c r="FA86" s="246">
        <v>44110</v>
      </c>
      <c r="FB86" s="244" t="s">
        <v>6708</v>
      </c>
      <c r="FC86" s="247">
        <v>3</v>
      </c>
      <c r="FD86" s="247" t="s">
        <v>1768</v>
      </c>
      <c r="FE86" s="247" t="s">
        <v>601</v>
      </c>
      <c r="FF86" s="247">
        <v>1</v>
      </c>
      <c r="FG86" s="247" t="s">
        <v>1687</v>
      </c>
      <c r="FH86" s="247" t="s">
        <v>1769</v>
      </c>
      <c r="FI86" s="237">
        <v>43798</v>
      </c>
      <c r="FJ86" s="244" t="s">
        <v>6709</v>
      </c>
      <c r="FK86" s="245" t="s">
        <v>393</v>
      </c>
      <c r="FL86" s="245" t="s">
        <v>393</v>
      </c>
      <c r="FM86" s="245" t="s">
        <v>393</v>
      </c>
      <c r="FN86" s="245" t="s">
        <v>393</v>
      </c>
      <c r="FO86" s="245" t="s">
        <v>393</v>
      </c>
      <c r="FP86" s="241" t="s">
        <v>393</v>
      </c>
      <c r="FQ86" s="242">
        <v>43798</v>
      </c>
      <c r="FR86" s="244" t="s">
        <v>6710</v>
      </c>
      <c r="FS86" s="247" t="s">
        <v>393</v>
      </c>
      <c r="FT86" s="247" t="s">
        <v>393</v>
      </c>
      <c r="FU86" s="247" t="s">
        <v>393</v>
      </c>
      <c r="FV86" s="247" t="s">
        <v>393</v>
      </c>
      <c r="FW86" s="247" t="s">
        <v>393</v>
      </c>
      <c r="FX86" s="247" t="s">
        <v>393</v>
      </c>
      <c r="FY86" s="237">
        <v>43798</v>
      </c>
      <c r="FZ86" s="245" t="s">
        <v>6711</v>
      </c>
      <c r="GA86" s="245" t="s">
        <v>393</v>
      </c>
      <c r="GB86" s="245" t="s">
        <v>393</v>
      </c>
      <c r="GC86" s="245" t="s">
        <v>393</v>
      </c>
      <c r="GD86" s="245" t="s">
        <v>393</v>
      </c>
      <c r="GE86" s="245" t="s">
        <v>393</v>
      </c>
      <c r="GF86" s="245" t="s">
        <v>393</v>
      </c>
      <c r="GG86" s="246">
        <v>43798</v>
      </c>
      <c r="GH86" s="244" t="s">
        <v>6712</v>
      </c>
      <c r="GI86" s="247">
        <v>1</v>
      </c>
      <c r="GJ86" s="247" t="s">
        <v>1790</v>
      </c>
      <c r="GK86" s="247" t="s">
        <v>599</v>
      </c>
      <c r="GL86" s="247">
        <v>3</v>
      </c>
      <c r="GM86" s="247" t="s">
        <v>1771</v>
      </c>
      <c r="GN86" s="247" t="s">
        <v>1789</v>
      </c>
      <c r="GO86" s="237">
        <v>43798</v>
      </c>
      <c r="GP86" s="245" t="s">
        <v>6713</v>
      </c>
      <c r="GQ86" s="245">
        <v>1</v>
      </c>
      <c r="GR86" s="245" t="s">
        <v>1773</v>
      </c>
      <c r="GS86" s="245" t="s">
        <v>600</v>
      </c>
      <c r="GT86" s="245">
        <v>2</v>
      </c>
      <c r="GU86" s="245" t="s">
        <v>1777</v>
      </c>
      <c r="GV86" s="245" t="s">
        <v>1772</v>
      </c>
      <c r="GW86" s="246">
        <v>43798</v>
      </c>
      <c r="GX86" s="244" t="s">
        <v>6714</v>
      </c>
      <c r="GY86" s="247">
        <v>0</v>
      </c>
      <c r="GZ86" s="247" t="s">
        <v>1774</v>
      </c>
      <c r="HA86" s="247" t="s">
        <v>599</v>
      </c>
      <c r="HB86" s="247">
        <v>3</v>
      </c>
      <c r="HC86" s="247" t="s">
        <v>1776</v>
      </c>
      <c r="HD86" s="247" t="s">
        <v>1775</v>
      </c>
      <c r="HE86" s="237">
        <v>43798</v>
      </c>
      <c r="HF86" s="245" t="s">
        <v>6715</v>
      </c>
      <c r="HG86" s="245">
        <v>1</v>
      </c>
      <c r="HH86" s="245" t="s">
        <v>1778</v>
      </c>
      <c r="HI86" s="245" t="s">
        <v>600</v>
      </c>
      <c r="HJ86" s="245">
        <v>2</v>
      </c>
      <c r="HK86" s="245" t="s">
        <v>1779</v>
      </c>
      <c r="HL86" s="245" t="s">
        <v>1780</v>
      </c>
      <c r="HM86" s="246">
        <v>43798</v>
      </c>
      <c r="HN86" s="244" t="s">
        <v>6716</v>
      </c>
      <c r="HO86" s="247">
        <v>1</v>
      </c>
      <c r="HP86" s="247" t="s">
        <v>1781</v>
      </c>
      <c r="HQ86" s="247" t="s">
        <v>601</v>
      </c>
      <c r="HR86" s="247">
        <v>1</v>
      </c>
      <c r="HS86" s="247" t="s">
        <v>1783</v>
      </c>
      <c r="HT86" s="247" t="s">
        <v>1782</v>
      </c>
      <c r="HU86" s="237">
        <v>43798</v>
      </c>
      <c r="HV86" s="245" t="s">
        <v>6717</v>
      </c>
      <c r="HW86" s="245">
        <v>1</v>
      </c>
      <c r="HX86" s="245" t="s">
        <v>1784</v>
      </c>
      <c r="HY86" s="245" t="s">
        <v>600</v>
      </c>
      <c r="HZ86" s="245">
        <v>2</v>
      </c>
      <c r="IA86" s="245" t="s">
        <v>1786</v>
      </c>
      <c r="IB86" s="245" t="s">
        <v>1785</v>
      </c>
      <c r="IC86" s="246">
        <v>43798</v>
      </c>
      <c r="ID86" s="244" t="s">
        <v>6718</v>
      </c>
      <c r="IE86" s="247" t="s">
        <v>393</v>
      </c>
      <c r="IF86" s="247" t="s">
        <v>393</v>
      </c>
      <c r="IG86" s="247" t="s">
        <v>393</v>
      </c>
      <c r="IH86" s="247" t="s">
        <v>393</v>
      </c>
      <c r="II86" s="247" t="s">
        <v>393</v>
      </c>
      <c r="IJ86" s="247" t="s">
        <v>393</v>
      </c>
      <c r="IK86" s="237">
        <v>43798</v>
      </c>
      <c r="IL86" s="245" t="s">
        <v>6719</v>
      </c>
      <c r="IM86" s="245" t="s">
        <v>393</v>
      </c>
      <c r="IN86" s="245" t="s">
        <v>393</v>
      </c>
      <c r="IO86" s="245" t="s">
        <v>393</v>
      </c>
      <c r="IP86" s="245" t="s">
        <v>393</v>
      </c>
      <c r="IQ86" s="245" t="s">
        <v>393</v>
      </c>
      <c r="IR86" s="245" t="s">
        <v>393</v>
      </c>
      <c r="IS86" s="246">
        <v>43798</v>
      </c>
    </row>
    <row r="87" spans="1:253" s="11" customFormat="1" ht="13.2" x14ac:dyDescent="0.25">
      <c r="A87" s="11" t="s">
        <v>794</v>
      </c>
      <c r="B87" s="11" t="s">
        <v>1280</v>
      </c>
      <c r="C87" s="11" t="s">
        <v>686</v>
      </c>
      <c r="D87" s="11" t="s">
        <v>215</v>
      </c>
      <c r="E87" s="11" t="s">
        <v>214</v>
      </c>
      <c r="F87" s="11" t="s">
        <v>6720</v>
      </c>
      <c r="G87" s="235">
        <v>36472000</v>
      </c>
      <c r="H87" s="236" t="s">
        <v>2332</v>
      </c>
      <c r="I87" s="236" t="s">
        <v>600</v>
      </c>
      <c r="J87" s="236">
        <v>2</v>
      </c>
      <c r="K87" s="236" t="s">
        <v>2568</v>
      </c>
      <c r="L87" s="236" t="s">
        <v>2342</v>
      </c>
      <c r="M87" s="237">
        <v>43993</v>
      </c>
      <c r="N87" s="244" t="s">
        <v>6721</v>
      </c>
      <c r="O87" s="239">
        <v>446300</v>
      </c>
      <c r="P87" s="239" t="s">
        <v>1551</v>
      </c>
      <c r="Q87" s="239" t="s">
        <v>601</v>
      </c>
      <c r="R87" s="239">
        <v>1</v>
      </c>
      <c r="S87" s="239" t="s">
        <v>2566</v>
      </c>
      <c r="T87" s="239" t="s">
        <v>3439</v>
      </c>
      <c r="U87" s="240">
        <v>44103</v>
      </c>
      <c r="V87" s="244" t="s">
        <v>6722</v>
      </c>
      <c r="W87" s="236">
        <v>35587000</v>
      </c>
      <c r="X87" s="236" t="s">
        <v>1957</v>
      </c>
      <c r="Y87" s="236" t="s">
        <v>599</v>
      </c>
      <c r="Z87" s="236">
        <v>3</v>
      </c>
      <c r="AA87" s="236" t="s">
        <v>2567</v>
      </c>
      <c r="AB87" s="236" t="s">
        <v>1964</v>
      </c>
      <c r="AC87" s="237">
        <v>43992</v>
      </c>
      <c r="AD87" s="244" t="s">
        <v>6723</v>
      </c>
      <c r="AE87" s="241" t="s">
        <v>393</v>
      </c>
      <c r="AF87" s="241" t="s">
        <v>2569</v>
      </c>
      <c r="AG87" s="241" t="s">
        <v>393</v>
      </c>
      <c r="AH87" s="241" t="s">
        <v>393</v>
      </c>
      <c r="AI87" s="241" t="s">
        <v>2571</v>
      </c>
      <c r="AJ87" s="241" t="s">
        <v>2573</v>
      </c>
      <c r="AK87" s="242">
        <v>43992</v>
      </c>
      <c r="AL87" s="244" t="s">
        <v>6724</v>
      </c>
      <c r="AM87" s="236" t="s">
        <v>393</v>
      </c>
      <c r="AN87" s="236" t="s">
        <v>2570</v>
      </c>
      <c r="AO87" s="236" t="s">
        <v>393</v>
      </c>
      <c r="AP87" s="236" t="s">
        <v>393</v>
      </c>
      <c r="AQ87" s="236" t="s">
        <v>2572</v>
      </c>
      <c r="AR87" s="236" t="s">
        <v>2573</v>
      </c>
      <c r="AS87" s="237">
        <v>43992</v>
      </c>
      <c r="AT87" s="245" t="s">
        <v>6725</v>
      </c>
      <c r="AU87" s="241" t="s">
        <v>393</v>
      </c>
      <c r="AV87" s="241" t="s">
        <v>393</v>
      </c>
      <c r="AW87" s="241" t="s">
        <v>393</v>
      </c>
      <c r="AX87" s="241" t="s">
        <v>393</v>
      </c>
      <c r="AY87" s="241" t="s">
        <v>393</v>
      </c>
      <c r="AZ87" s="241" t="s">
        <v>393</v>
      </c>
      <c r="BA87" s="242">
        <v>43798</v>
      </c>
      <c r="BB87" s="244" t="s">
        <v>6726</v>
      </c>
      <c r="BC87" s="236" t="s">
        <v>393</v>
      </c>
      <c r="BD87" s="236" t="s">
        <v>393</v>
      </c>
      <c r="BE87" s="236" t="s">
        <v>393</v>
      </c>
      <c r="BF87" s="236" t="s">
        <v>393</v>
      </c>
      <c r="BG87" s="236" t="s">
        <v>393</v>
      </c>
      <c r="BH87" s="236" t="s">
        <v>393</v>
      </c>
      <c r="BI87" s="237">
        <v>43798</v>
      </c>
      <c r="BJ87" s="245" t="s">
        <v>6727</v>
      </c>
      <c r="BK87" s="245">
        <v>56</v>
      </c>
      <c r="BL87" s="245" t="s">
        <v>4004</v>
      </c>
      <c r="BM87" s="245" t="s">
        <v>599</v>
      </c>
      <c r="BN87" s="245">
        <v>3</v>
      </c>
      <c r="BO87" s="245" t="s">
        <v>2208</v>
      </c>
      <c r="BP87" s="241" t="s">
        <v>1033</v>
      </c>
      <c r="BQ87" s="246">
        <v>44137</v>
      </c>
      <c r="BR87" s="244" t="s">
        <v>6728</v>
      </c>
      <c r="BS87" s="247">
        <v>0</v>
      </c>
      <c r="BT87" s="247">
        <v>0</v>
      </c>
      <c r="BU87" s="247" t="s">
        <v>600</v>
      </c>
      <c r="BV87" s="247">
        <v>2</v>
      </c>
      <c r="BW87" s="247" t="s">
        <v>953</v>
      </c>
      <c r="BX87" s="247">
        <v>0</v>
      </c>
      <c r="BY87" s="237">
        <v>43511</v>
      </c>
      <c r="BZ87" s="245" t="s">
        <v>6729</v>
      </c>
      <c r="CA87" s="245">
        <v>0</v>
      </c>
      <c r="CB87" s="245">
        <v>0</v>
      </c>
      <c r="CC87" s="245" t="s">
        <v>600</v>
      </c>
      <c r="CD87" s="245">
        <v>2</v>
      </c>
      <c r="CE87" s="245" t="s">
        <v>953</v>
      </c>
      <c r="CF87" s="245">
        <v>0</v>
      </c>
      <c r="CG87" s="246">
        <v>43511</v>
      </c>
      <c r="CH87" s="244" t="s">
        <v>6730</v>
      </c>
      <c r="CI87" s="245" t="e">
        <v>#N/A</v>
      </c>
      <c r="CJ87" s="245" t="e">
        <v>#N/A</v>
      </c>
      <c r="CK87" s="245" t="e">
        <v>#N/A</v>
      </c>
      <c r="CL87" s="245" t="e">
        <v>#N/A</v>
      </c>
      <c r="CM87" s="245" t="e">
        <v>#N/A</v>
      </c>
      <c r="CN87" s="245" t="e">
        <v>#N/A</v>
      </c>
      <c r="CO87" s="248" t="e">
        <v>#N/A</v>
      </c>
      <c r="CP87" s="245" t="s">
        <v>6731</v>
      </c>
      <c r="CQ87" s="247">
        <v>0</v>
      </c>
      <c r="CR87" s="247">
        <v>0</v>
      </c>
      <c r="CS87" s="247" t="s">
        <v>600</v>
      </c>
      <c r="CT87" s="247">
        <v>2</v>
      </c>
      <c r="CU87" s="247" t="s">
        <v>952</v>
      </c>
      <c r="CV87" s="247">
        <v>0</v>
      </c>
      <c r="CW87" s="237">
        <v>43511</v>
      </c>
      <c r="CX87" s="245" t="s">
        <v>6732</v>
      </c>
      <c r="CY87" s="241" t="s">
        <v>393</v>
      </c>
      <c r="CZ87" s="241" t="s">
        <v>393</v>
      </c>
      <c r="DA87" s="241" t="s">
        <v>393</v>
      </c>
      <c r="DB87" s="241" t="s">
        <v>393</v>
      </c>
      <c r="DC87" s="241" t="s">
        <v>393</v>
      </c>
      <c r="DD87" s="241" t="s">
        <v>393</v>
      </c>
      <c r="DE87" s="243">
        <v>43798</v>
      </c>
      <c r="DF87" s="244" t="s">
        <v>6733</v>
      </c>
      <c r="DG87" s="236" t="s">
        <v>393</v>
      </c>
      <c r="DH87" s="247" t="s">
        <v>393</v>
      </c>
      <c r="DI87" s="247" t="s">
        <v>393</v>
      </c>
      <c r="DJ87" s="247" t="s">
        <v>393</v>
      </c>
      <c r="DK87" s="247" t="s">
        <v>393</v>
      </c>
      <c r="DL87" s="247" t="s">
        <v>393</v>
      </c>
      <c r="DM87" s="237">
        <v>43798</v>
      </c>
      <c r="DN87" s="245" t="s">
        <v>6734</v>
      </c>
      <c r="DO87" s="241" t="s">
        <v>393</v>
      </c>
      <c r="DP87" s="245" t="s">
        <v>393</v>
      </c>
      <c r="DQ87" s="245" t="s">
        <v>393</v>
      </c>
      <c r="DR87" s="245" t="s">
        <v>393</v>
      </c>
      <c r="DS87" s="245" t="s">
        <v>393</v>
      </c>
      <c r="DT87" s="245" t="s">
        <v>393</v>
      </c>
      <c r="DU87" s="246">
        <v>43798</v>
      </c>
      <c r="DV87" s="244" t="s">
        <v>6735</v>
      </c>
      <c r="DW87" s="236" t="s">
        <v>393</v>
      </c>
      <c r="DX87" s="247" t="s">
        <v>393</v>
      </c>
      <c r="DY87" s="247" t="s">
        <v>393</v>
      </c>
      <c r="DZ87" s="247" t="s">
        <v>393</v>
      </c>
      <c r="EA87" s="247" t="s">
        <v>393</v>
      </c>
      <c r="EB87" s="247" t="s">
        <v>393</v>
      </c>
      <c r="EC87" s="237">
        <v>43798</v>
      </c>
      <c r="ED87" s="245" t="s">
        <v>6736</v>
      </c>
      <c r="EE87" s="241" t="s">
        <v>393</v>
      </c>
      <c r="EF87" s="245" t="s">
        <v>393</v>
      </c>
      <c r="EG87" s="245" t="s">
        <v>393</v>
      </c>
      <c r="EH87" s="245" t="s">
        <v>393</v>
      </c>
      <c r="EI87" s="245" t="s">
        <v>393</v>
      </c>
      <c r="EJ87" s="245" t="s">
        <v>393</v>
      </c>
      <c r="EK87" s="246">
        <v>43798</v>
      </c>
      <c r="EL87" s="244" t="s">
        <v>6737</v>
      </c>
      <c r="EM87" s="236" t="s">
        <v>393</v>
      </c>
      <c r="EN87" s="247" t="s">
        <v>393</v>
      </c>
      <c r="EO87" s="247" t="s">
        <v>393</v>
      </c>
      <c r="EP87" s="247" t="s">
        <v>393</v>
      </c>
      <c r="EQ87" s="247" t="s">
        <v>393</v>
      </c>
      <c r="ER87" s="247" t="s">
        <v>393</v>
      </c>
      <c r="ES87" s="237">
        <v>43798</v>
      </c>
      <c r="ET87" s="245" t="s">
        <v>6738</v>
      </c>
      <c r="EU87" s="245">
        <v>56</v>
      </c>
      <c r="EV87" s="245" t="s">
        <v>4004</v>
      </c>
      <c r="EW87" s="245" t="s">
        <v>599</v>
      </c>
      <c r="EX87" s="245">
        <v>3</v>
      </c>
      <c r="EY87" s="245" t="s">
        <v>2208</v>
      </c>
      <c r="EZ87" s="245" t="s">
        <v>1033</v>
      </c>
      <c r="FA87" s="246">
        <v>44137</v>
      </c>
      <c r="FB87" s="244" t="s">
        <v>6739</v>
      </c>
      <c r="FC87" s="247">
        <v>1</v>
      </c>
      <c r="FD87" s="247">
        <v>0</v>
      </c>
      <c r="FE87" s="247" t="s">
        <v>600</v>
      </c>
      <c r="FF87" s="247">
        <v>2</v>
      </c>
      <c r="FG87" s="247">
        <v>0</v>
      </c>
      <c r="FH87" s="247">
        <v>0</v>
      </c>
      <c r="FI87" s="237">
        <v>43511</v>
      </c>
      <c r="FJ87" s="244" t="s">
        <v>6740</v>
      </c>
      <c r="FK87" s="245">
        <v>0</v>
      </c>
      <c r="FL87" s="245">
        <v>0</v>
      </c>
      <c r="FM87" s="245" t="s">
        <v>600</v>
      </c>
      <c r="FN87" s="245">
        <v>2</v>
      </c>
      <c r="FO87" s="245" t="s">
        <v>951</v>
      </c>
      <c r="FP87" s="241">
        <v>0</v>
      </c>
      <c r="FQ87" s="242">
        <v>43511</v>
      </c>
      <c r="FR87" s="244" t="s">
        <v>6741</v>
      </c>
      <c r="FS87" s="247">
        <v>0</v>
      </c>
      <c r="FT87" s="247">
        <v>0</v>
      </c>
      <c r="FU87" s="247" t="s">
        <v>600</v>
      </c>
      <c r="FV87" s="247">
        <v>2</v>
      </c>
      <c r="FW87" s="247" t="s">
        <v>951</v>
      </c>
      <c r="FX87" s="247">
        <v>0</v>
      </c>
      <c r="FY87" s="237">
        <v>43511</v>
      </c>
      <c r="FZ87" s="245" t="s">
        <v>6742</v>
      </c>
      <c r="GA87" s="245">
        <v>0</v>
      </c>
      <c r="GB87" s="245" t="s">
        <v>1587</v>
      </c>
      <c r="GC87" s="245" t="s">
        <v>1364</v>
      </c>
      <c r="GD87" s="245">
        <v>2</v>
      </c>
      <c r="GE87" s="245" t="s">
        <v>1623</v>
      </c>
      <c r="GF87" s="245" t="s">
        <v>1624</v>
      </c>
      <c r="GG87" s="246">
        <v>43767</v>
      </c>
      <c r="GH87" s="244" t="s">
        <v>6743</v>
      </c>
      <c r="GI87" s="247">
        <v>0</v>
      </c>
      <c r="GJ87" s="247" t="s">
        <v>1587</v>
      </c>
      <c r="GK87" s="247" t="s">
        <v>1364</v>
      </c>
      <c r="GL87" s="247">
        <v>2</v>
      </c>
      <c r="GM87" s="247" t="s">
        <v>1623</v>
      </c>
      <c r="GN87" s="247" t="s">
        <v>1624</v>
      </c>
      <c r="GO87" s="237">
        <v>43767</v>
      </c>
      <c r="GP87" s="245" t="s">
        <v>6744</v>
      </c>
      <c r="GQ87" s="245">
        <v>1</v>
      </c>
      <c r="GR87" s="245" t="s">
        <v>1587</v>
      </c>
      <c r="GS87" s="245" t="s">
        <v>1364</v>
      </c>
      <c r="GT87" s="245">
        <v>2</v>
      </c>
      <c r="GU87" s="245" t="s">
        <v>1623</v>
      </c>
      <c r="GV87" s="245" t="s">
        <v>1624</v>
      </c>
      <c r="GW87" s="246">
        <v>43767</v>
      </c>
      <c r="GX87" s="244" t="s">
        <v>6745</v>
      </c>
      <c r="GY87" s="247">
        <v>0</v>
      </c>
      <c r="GZ87" s="247" t="s">
        <v>1587</v>
      </c>
      <c r="HA87" s="247" t="s">
        <v>1364</v>
      </c>
      <c r="HB87" s="247">
        <v>2</v>
      </c>
      <c r="HC87" s="247" t="s">
        <v>1623</v>
      </c>
      <c r="HD87" s="247" t="s">
        <v>1624</v>
      </c>
      <c r="HE87" s="237">
        <v>43767</v>
      </c>
      <c r="HF87" s="245" t="s">
        <v>6746</v>
      </c>
      <c r="HG87" s="245">
        <v>0</v>
      </c>
      <c r="HH87" s="245" t="s">
        <v>1587</v>
      </c>
      <c r="HI87" s="245" t="s">
        <v>1364</v>
      </c>
      <c r="HJ87" s="245">
        <v>2</v>
      </c>
      <c r="HK87" s="245" t="s">
        <v>1623</v>
      </c>
      <c r="HL87" s="245" t="s">
        <v>1624</v>
      </c>
      <c r="HM87" s="246">
        <v>43767</v>
      </c>
      <c r="HN87" s="244" t="s">
        <v>6747</v>
      </c>
      <c r="HO87" s="247">
        <v>1</v>
      </c>
      <c r="HP87" s="247" t="s">
        <v>1587</v>
      </c>
      <c r="HQ87" s="247" t="s">
        <v>1364</v>
      </c>
      <c r="HR87" s="247">
        <v>2</v>
      </c>
      <c r="HS87" s="247" t="s">
        <v>1623</v>
      </c>
      <c r="HT87" s="247" t="s">
        <v>1624</v>
      </c>
      <c r="HU87" s="237">
        <v>43767</v>
      </c>
      <c r="HV87" s="245" t="s">
        <v>6748</v>
      </c>
      <c r="HW87" s="245">
        <v>0</v>
      </c>
      <c r="HX87" s="245" t="s">
        <v>1587</v>
      </c>
      <c r="HY87" s="245" t="s">
        <v>1364</v>
      </c>
      <c r="HZ87" s="245">
        <v>2</v>
      </c>
      <c r="IA87" s="245" t="s">
        <v>1623</v>
      </c>
      <c r="IB87" s="245" t="s">
        <v>1624</v>
      </c>
      <c r="IC87" s="246">
        <v>43767</v>
      </c>
      <c r="ID87" s="244" t="s">
        <v>6749</v>
      </c>
      <c r="IE87" s="247">
        <v>0</v>
      </c>
      <c r="IF87" s="247" t="s">
        <v>1587</v>
      </c>
      <c r="IG87" s="247" t="s">
        <v>1364</v>
      </c>
      <c r="IH87" s="247">
        <v>2</v>
      </c>
      <c r="II87" s="247" t="s">
        <v>1623</v>
      </c>
      <c r="IJ87" s="247" t="s">
        <v>1624</v>
      </c>
      <c r="IK87" s="237">
        <v>43767</v>
      </c>
      <c r="IL87" s="245" t="s">
        <v>6750</v>
      </c>
      <c r="IM87" s="245">
        <v>0</v>
      </c>
      <c r="IN87" s="245" t="s">
        <v>1587</v>
      </c>
      <c r="IO87" s="245" t="s">
        <v>1364</v>
      </c>
      <c r="IP87" s="245">
        <v>2</v>
      </c>
      <c r="IQ87" s="245" t="s">
        <v>1623</v>
      </c>
      <c r="IR87" s="245" t="s">
        <v>1624</v>
      </c>
      <c r="IS87" s="246">
        <v>43767</v>
      </c>
    </row>
    <row r="88" spans="1:253" s="251" customFormat="1" ht="13.2" x14ac:dyDescent="0.25">
      <c r="A88" s="251" t="s">
        <v>1482</v>
      </c>
      <c r="B88" s="251" t="s">
        <v>691</v>
      </c>
      <c r="C88" s="251" t="s">
        <v>2917</v>
      </c>
      <c r="D88" s="251" t="s">
        <v>217</v>
      </c>
      <c r="E88" s="251" t="s">
        <v>216</v>
      </c>
      <c r="F88" s="251" t="s">
        <v>6751</v>
      </c>
      <c r="G88" s="252">
        <v>28862000</v>
      </c>
      <c r="H88" s="253" t="s">
        <v>919</v>
      </c>
      <c r="I88" s="253" t="s">
        <v>601</v>
      </c>
      <c r="J88" s="253">
        <v>1</v>
      </c>
      <c r="K88" s="253" t="s">
        <v>1308</v>
      </c>
      <c r="L88" s="253" t="s">
        <v>927</v>
      </c>
      <c r="M88" s="254">
        <v>43585</v>
      </c>
      <c r="N88" s="255" t="s">
        <v>6752</v>
      </c>
      <c r="O88" s="253">
        <v>344602</v>
      </c>
      <c r="P88" s="253" t="s">
        <v>920</v>
      </c>
      <c r="Q88" s="253" t="s">
        <v>599</v>
      </c>
      <c r="R88" s="253">
        <v>3</v>
      </c>
      <c r="S88" s="253" t="s">
        <v>1499</v>
      </c>
      <c r="T88" s="253" t="s">
        <v>928</v>
      </c>
      <c r="U88" s="254">
        <v>43676</v>
      </c>
      <c r="V88" s="255" t="s">
        <v>6753</v>
      </c>
      <c r="W88" s="253">
        <v>5175000</v>
      </c>
      <c r="X88" s="253" t="s">
        <v>3666</v>
      </c>
      <c r="Y88" s="253" t="s">
        <v>600</v>
      </c>
      <c r="Z88" s="253">
        <v>2</v>
      </c>
      <c r="AA88" s="253" t="s">
        <v>3679</v>
      </c>
      <c r="AB88" s="253" t="s">
        <v>3678</v>
      </c>
      <c r="AC88" s="254">
        <v>44120</v>
      </c>
      <c r="AD88" s="255" t="s">
        <v>6754</v>
      </c>
      <c r="AE88" s="253">
        <v>4002000</v>
      </c>
      <c r="AF88" s="253" t="s">
        <v>2759</v>
      </c>
      <c r="AG88" s="253" t="s">
        <v>599</v>
      </c>
      <c r="AH88" s="253">
        <v>3</v>
      </c>
      <c r="AI88" s="253" t="s">
        <v>1930</v>
      </c>
      <c r="AJ88" s="253" t="s">
        <v>2123</v>
      </c>
      <c r="AK88" s="254">
        <v>44039</v>
      </c>
      <c r="AL88" s="255" t="s">
        <v>6755</v>
      </c>
      <c r="AM88" s="253">
        <v>344000</v>
      </c>
      <c r="AN88" s="253" t="s">
        <v>2759</v>
      </c>
      <c r="AO88" s="253" t="s">
        <v>600</v>
      </c>
      <c r="AP88" s="253">
        <v>2</v>
      </c>
      <c r="AQ88" s="253" t="s">
        <v>1931</v>
      </c>
      <c r="AR88" s="253" t="s">
        <v>2616</v>
      </c>
      <c r="AS88" s="254">
        <v>44039</v>
      </c>
      <c r="AT88" s="256" t="s">
        <v>6756</v>
      </c>
      <c r="AU88" s="253">
        <v>26</v>
      </c>
      <c r="AV88" s="253" t="s">
        <v>1569</v>
      </c>
      <c r="AW88" s="253" t="s">
        <v>599</v>
      </c>
      <c r="AX88" s="253">
        <v>3</v>
      </c>
      <c r="AY88" s="253" t="s">
        <v>1586</v>
      </c>
      <c r="AZ88" s="253" t="s">
        <v>812</v>
      </c>
      <c r="BA88" s="254">
        <v>43767</v>
      </c>
      <c r="BB88" s="255" t="s">
        <v>6757</v>
      </c>
      <c r="BC88" s="253">
        <v>277460</v>
      </c>
      <c r="BD88" s="253" t="s">
        <v>1522</v>
      </c>
      <c r="BE88" s="253" t="s">
        <v>600</v>
      </c>
      <c r="BF88" s="253">
        <v>2</v>
      </c>
      <c r="BG88" s="253" t="s">
        <v>1637</v>
      </c>
      <c r="BH88" s="253" t="s">
        <v>1523</v>
      </c>
      <c r="BI88" s="254">
        <v>43742</v>
      </c>
      <c r="BJ88" s="256" t="s">
        <v>6758</v>
      </c>
      <c r="BK88" s="256">
        <v>1110</v>
      </c>
      <c r="BL88" s="256" t="s">
        <v>4100</v>
      </c>
      <c r="BM88" s="256" t="s">
        <v>599</v>
      </c>
      <c r="BN88" s="256">
        <v>3</v>
      </c>
      <c r="BO88" s="256" t="s">
        <v>4107</v>
      </c>
      <c r="BP88" s="253" t="s">
        <v>4094</v>
      </c>
      <c r="BQ88" s="257">
        <v>44140</v>
      </c>
      <c r="BR88" s="255" t="s">
        <v>6759</v>
      </c>
      <c r="BS88" s="256">
        <v>147000</v>
      </c>
      <c r="BT88" s="256" t="s">
        <v>1323</v>
      </c>
      <c r="BU88" s="256" t="s">
        <v>600</v>
      </c>
      <c r="BV88" s="256">
        <v>2</v>
      </c>
      <c r="BW88" s="256" t="s">
        <v>1321</v>
      </c>
      <c r="BX88" s="256" t="s">
        <v>1325</v>
      </c>
      <c r="BY88" s="254">
        <v>43676</v>
      </c>
      <c r="BZ88" s="256" t="s">
        <v>6760</v>
      </c>
      <c r="CA88" s="256">
        <v>143000</v>
      </c>
      <c r="CB88" s="256" t="s">
        <v>1324</v>
      </c>
      <c r="CC88" s="256" t="s">
        <v>600</v>
      </c>
      <c r="CD88" s="256">
        <v>2</v>
      </c>
      <c r="CE88" s="256" t="s">
        <v>1322</v>
      </c>
      <c r="CF88" s="256" t="s">
        <v>1325</v>
      </c>
      <c r="CG88" s="257">
        <v>43676</v>
      </c>
      <c r="CH88" s="255" t="s">
        <v>6761</v>
      </c>
      <c r="CI88" s="256" t="e">
        <v>#N/A</v>
      </c>
      <c r="CJ88" s="256" t="e">
        <v>#N/A</v>
      </c>
      <c r="CK88" s="256" t="e">
        <v>#N/A</v>
      </c>
      <c r="CL88" s="256" t="e">
        <v>#N/A</v>
      </c>
      <c r="CM88" s="256" t="e">
        <v>#N/A</v>
      </c>
      <c r="CN88" s="256" t="e">
        <v>#N/A</v>
      </c>
      <c r="CO88" s="258" t="e">
        <v>#N/A</v>
      </c>
      <c r="CP88" s="256" t="s">
        <v>6762</v>
      </c>
      <c r="CQ88" s="256">
        <v>773</v>
      </c>
      <c r="CR88" s="256" t="s">
        <v>1297</v>
      </c>
      <c r="CS88" s="256" t="s">
        <v>600</v>
      </c>
      <c r="CT88" s="256">
        <v>2</v>
      </c>
      <c r="CU88" s="256" t="s">
        <v>1309</v>
      </c>
      <c r="CV88" s="256" t="s">
        <v>1296</v>
      </c>
      <c r="CW88" s="254">
        <v>43676</v>
      </c>
      <c r="CX88" s="256" t="s">
        <v>6763</v>
      </c>
      <c r="CY88" s="253">
        <v>1077000</v>
      </c>
      <c r="CZ88" s="253" t="s">
        <v>3666</v>
      </c>
      <c r="DA88" s="253" t="s">
        <v>600</v>
      </c>
      <c r="DB88" s="253">
        <v>2</v>
      </c>
      <c r="DC88" s="253" t="s">
        <v>3679</v>
      </c>
      <c r="DD88" s="253" t="s">
        <v>3678</v>
      </c>
      <c r="DE88" s="259">
        <v>44120</v>
      </c>
      <c r="DF88" s="255" t="s">
        <v>6764</v>
      </c>
      <c r="DG88" s="253">
        <v>3369000</v>
      </c>
      <c r="DH88" s="256" t="s">
        <v>3666</v>
      </c>
      <c r="DI88" s="256" t="s">
        <v>600</v>
      </c>
      <c r="DJ88" s="256">
        <v>2</v>
      </c>
      <c r="DK88" s="256" t="s">
        <v>3679</v>
      </c>
      <c r="DL88" s="256" t="s">
        <v>3678</v>
      </c>
      <c r="DM88" s="254">
        <v>44120</v>
      </c>
      <c r="DN88" s="256" t="s">
        <v>6765</v>
      </c>
      <c r="DO88" s="253">
        <v>729000</v>
      </c>
      <c r="DP88" s="256" t="s">
        <v>3666</v>
      </c>
      <c r="DQ88" s="256" t="s">
        <v>600</v>
      </c>
      <c r="DR88" s="256">
        <v>2</v>
      </c>
      <c r="DS88" s="256" t="s">
        <v>3679</v>
      </c>
      <c r="DT88" s="256" t="s">
        <v>3678</v>
      </c>
      <c r="DU88" s="257">
        <v>44120</v>
      </c>
      <c r="DV88" s="255" t="s">
        <v>6766</v>
      </c>
      <c r="DW88" s="253">
        <v>1077000</v>
      </c>
      <c r="DX88" s="256" t="s">
        <v>3666</v>
      </c>
      <c r="DY88" s="256" t="s">
        <v>600</v>
      </c>
      <c r="DZ88" s="256">
        <v>2</v>
      </c>
      <c r="EA88" s="256" t="s">
        <v>3679</v>
      </c>
      <c r="EB88" s="256" t="s">
        <v>3678</v>
      </c>
      <c r="EC88" s="254">
        <v>44120</v>
      </c>
      <c r="ED88" s="256" t="s">
        <v>6767</v>
      </c>
      <c r="EE88" s="253">
        <v>0</v>
      </c>
      <c r="EF88" s="256" t="s">
        <v>3666</v>
      </c>
      <c r="EG88" s="256" t="s">
        <v>600</v>
      </c>
      <c r="EH88" s="256">
        <v>2</v>
      </c>
      <c r="EI88" s="256" t="s">
        <v>3679</v>
      </c>
      <c r="EJ88" s="256" t="s">
        <v>3678</v>
      </c>
      <c r="EK88" s="257">
        <v>44120</v>
      </c>
      <c r="EL88" s="255" t="s">
        <v>6768</v>
      </c>
      <c r="EM88" s="253">
        <v>0</v>
      </c>
      <c r="EN88" s="256" t="s">
        <v>3666</v>
      </c>
      <c r="EO88" s="256" t="s">
        <v>600</v>
      </c>
      <c r="EP88" s="256">
        <v>2</v>
      </c>
      <c r="EQ88" s="256" t="s">
        <v>3679</v>
      </c>
      <c r="ER88" s="256" t="s">
        <v>3678</v>
      </c>
      <c r="ES88" s="254">
        <v>44120</v>
      </c>
      <c r="ET88" s="256" t="s">
        <v>6769</v>
      </c>
      <c r="EU88" s="256">
        <v>599</v>
      </c>
      <c r="EV88" s="256" t="s">
        <v>2908</v>
      </c>
      <c r="EW88" s="256" t="s">
        <v>600</v>
      </c>
      <c r="EX88" s="256">
        <v>2</v>
      </c>
      <c r="EY88" s="256" t="s">
        <v>2910</v>
      </c>
      <c r="EZ88" s="256" t="s">
        <v>812</v>
      </c>
      <c r="FA88" s="257">
        <v>44071</v>
      </c>
      <c r="FB88" s="255" t="s">
        <v>6770</v>
      </c>
      <c r="FC88" s="256">
        <v>3</v>
      </c>
      <c r="FD88" s="256" t="s">
        <v>393</v>
      </c>
      <c r="FE88" s="256" t="s">
        <v>601</v>
      </c>
      <c r="FF88" s="256">
        <v>1</v>
      </c>
      <c r="FG88" s="256" t="s">
        <v>1500</v>
      </c>
      <c r="FH88" s="256" t="s">
        <v>393</v>
      </c>
      <c r="FI88" s="254">
        <v>43676</v>
      </c>
      <c r="FJ88" s="255" t="s">
        <v>6771</v>
      </c>
      <c r="FK88" s="256" t="s">
        <v>393</v>
      </c>
      <c r="FL88" s="256" t="s">
        <v>393</v>
      </c>
      <c r="FM88" s="256" t="s">
        <v>393</v>
      </c>
      <c r="FN88" s="256" t="s">
        <v>393</v>
      </c>
      <c r="FO88" s="256" t="s">
        <v>393</v>
      </c>
      <c r="FP88" s="253" t="s">
        <v>393</v>
      </c>
      <c r="FQ88" s="254">
        <v>43676</v>
      </c>
      <c r="FR88" s="255" t="s">
        <v>6772</v>
      </c>
      <c r="FS88" s="256" t="s">
        <v>393</v>
      </c>
      <c r="FT88" s="256" t="s">
        <v>393</v>
      </c>
      <c r="FU88" s="256" t="s">
        <v>393</v>
      </c>
      <c r="FV88" s="256" t="s">
        <v>393</v>
      </c>
      <c r="FW88" s="256" t="s">
        <v>393</v>
      </c>
      <c r="FX88" s="256" t="s">
        <v>393</v>
      </c>
      <c r="FY88" s="254">
        <v>43676</v>
      </c>
      <c r="FZ88" s="256" t="s">
        <v>6773</v>
      </c>
      <c r="GA88" s="256">
        <v>0</v>
      </c>
      <c r="GB88" s="256" t="s">
        <v>1587</v>
      </c>
      <c r="GC88" s="256" t="s">
        <v>601</v>
      </c>
      <c r="GD88" s="256">
        <v>1</v>
      </c>
      <c r="GE88" s="256" t="s">
        <v>1623</v>
      </c>
      <c r="GF88" s="256" t="s">
        <v>1624</v>
      </c>
      <c r="GG88" s="257">
        <v>43767</v>
      </c>
      <c r="GH88" s="255" t="s">
        <v>6774</v>
      </c>
      <c r="GI88" s="256">
        <v>1</v>
      </c>
      <c r="GJ88" s="256" t="s">
        <v>2096</v>
      </c>
      <c r="GK88" s="256" t="s">
        <v>600</v>
      </c>
      <c r="GL88" s="256">
        <v>2</v>
      </c>
      <c r="GM88" s="256" t="s">
        <v>2096</v>
      </c>
      <c r="GN88" s="256" t="s">
        <v>1314</v>
      </c>
      <c r="GO88" s="254">
        <v>44063</v>
      </c>
      <c r="GP88" s="256" t="s">
        <v>6775</v>
      </c>
      <c r="GQ88" s="256">
        <v>0</v>
      </c>
      <c r="GR88" s="256" t="s">
        <v>1587</v>
      </c>
      <c r="GS88" s="256" t="s">
        <v>600</v>
      </c>
      <c r="GT88" s="256">
        <v>2</v>
      </c>
      <c r="GU88" s="256" t="s">
        <v>1623</v>
      </c>
      <c r="GV88" s="256" t="s">
        <v>1624</v>
      </c>
      <c r="GW88" s="257">
        <v>43767</v>
      </c>
      <c r="GX88" s="255" t="s">
        <v>6776</v>
      </c>
      <c r="GY88" s="256">
        <v>0</v>
      </c>
      <c r="GZ88" s="256" t="s">
        <v>1587</v>
      </c>
      <c r="HA88" s="256" t="s">
        <v>600</v>
      </c>
      <c r="HB88" s="256">
        <v>2</v>
      </c>
      <c r="HC88" s="256" t="s">
        <v>1623</v>
      </c>
      <c r="HD88" s="256" t="s">
        <v>1624</v>
      </c>
      <c r="HE88" s="254">
        <v>43767</v>
      </c>
      <c r="HF88" s="256" t="s">
        <v>6777</v>
      </c>
      <c r="HG88" s="256">
        <v>0</v>
      </c>
      <c r="HH88" s="256" t="s">
        <v>1587</v>
      </c>
      <c r="HI88" s="256" t="s">
        <v>599</v>
      </c>
      <c r="HJ88" s="256">
        <v>3</v>
      </c>
      <c r="HK88" s="256" t="s">
        <v>1623</v>
      </c>
      <c r="HL88" s="256" t="s">
        <v>1624</v>
      </c>
      <c r="HM88" s="257">
        <v>43767</v>
      </c>
      <c r="HN88" s="255" t="s">
        <v>6778</v>
      </c>
      <c r="HO88" s="256">
        <v>2</v>
      </c>
      <c r="HP88" s="256" t="s">
        <v>1587</v>
      </c>
      <c r="HQ88" s="256" t="s">
        <v>600</v>
      </c>
      <c r="HR88" s="256">
        <v>2</v>
      </c>
      <c r="HS88" s="256" t="s">
        <v>1623</v>
      </c>
      <c r="HT88" s="256" t="s">
        <v>1624</v>
      </c>
      <c r="HU88" s="254">
        <v>43767</v>
      </c>
      <c r="HV88" s="256" t="s">
        <v>6779</v>
      </c>
      <c r="HW88" s="256">
        <v>1</v>
      </c>
      <c r="HX88" s="256" t="s">
        <v>2096</v>
      </c>
      <c r="HY88" s="256" t="s">
        <v>600</v>
      </c>
      <c r="HZ88" s="256">
        <v>2</v>
      </c>
      <c r="IA88" s="256" t="s">
        <v>2096</v>
      </c>
      <c r="IB88" s="256" t="s">
        <v>1314</v>
      </c>
      <c r="IC88" s="257">
        <v>44062</v>
      </c>
      <c r="ID88" s="255" t="s">
        <v>6780</v>
      </c>
      <c r="IE88" s="256">
        <v>1</v>
      </c>
      <c r="IF88" s="256" t="s">
        <v>1587</v>
      </c>
      <c r="IG88" s="256" t="s">
        <v>600</v>
      </c>
      <c r="IH88" s="256">
        <v>2</v>
      </c>
      <c r="II88" s="256" t="s">
        <v>1623</v>
      </c>
      <c r="IJ88" s="256" t="s">
        <v>1624</v>
      </c>
      <c r="IK88" s="254">
        <v>43767</v>
      </c>
      <c r="IL88" s="256" t="s">
        <v>6781</v>
      </c>
      <c r="IM88" s="256">
        <v>1</v>
      </c>
      <c r="IN88" s="256" t="s">
        <v>1587</v>
      </c>
      <c r="IO88" s="256" t="s">
        <v>600</v>
      </c>
      <c r="IP88" s="256">
        <v>2</v>
      </c>
      <c r="IQ88" s="256" t="s">
        <v>1623</v>
      </c>
      <c r="IR88" s="256" t="s">
        <v>1624</v>
      </c>
      <c r="IS88" s="257">
        <v>43767</v>
      </c>
    </row>
    <row r="89" spans="1:253" s="11" customFormat="1" ht="13.2" x14ac:dyDescent="0.25">
      <c r="A89" s="11" t="s">
        <v>1157</v>
      </c>
      <c r="B89" s="11" t="s">
        <v>1284</v>
      </c>
      <c r="C89" s="11" t="s">
        <v>2926</v>
      </c>
      <c r="D89" s="11" t="s">
        <v>217</v>
      </c>
      <c r="E89" s="11" t="s">
        <v>216</v>
      </c>
      <c r="F89" s="11" t="s">
        <v>6782</v>
      </c>
      <c r="G89" s="235">
        <v>28860000</v>
      </c>
      <c r="H89" s="236" t="s">
        <v>919</v>
      </c>
      <c r="I89" s="236" t="s">
        <v>601</v>
      </c>
      <c r="J89" s="236">
        <v>1</v>
      </c>
      <c r="K89" s="236" t="s">
        <v>934</v>
      </c>
      <c r="L89" s="236" t="s">
        <v>927</v>
      </c>
      <c r="M89" s="237">
        <v>43551</v>
      </c>
      <c r="N89" s="244" t="s">
        <v>6783</v>
      </c>
      <c r="O89" s="239">
        <v>78778</v>
      </c>
      <c r="P89" s="239" t="s">
        <v>920</v>
      </c>
      <c r="Q89" s="239" t="s">
        <v>601</v>
      </c>
      <c r="R89" s="239">
        <v>1</v>
      </c>
      <c r="S89" s="239" t="s">
        <v>1190</v>
      </c>
      <c r="T89" s="239" t="s">
        <v>928</v>
      </c>
      <c r="U89" s="240">
        <v>43551</v>
      </c>
      <c r="V89" s="244" t="s">
        <v>6784</v>
      </c>
      <c r="W89" s="236">
        <v>2745000</v>
      </c>
      <c r="X89" s="236" t="s">
        <v>3380</v>
      </c>
      <c r="Y89" s="236" t="s">
        <v>600</v>
      </c>
      <c r="Z89" s="236">
        <v>2</v>
      </c>
      <c r="AA89" s="236" t="s">
        <v>2757</v>
      </c>
      <c r="AB89" s="236" t="s">
        <v>3629</v>
      </c>
      <c r="AC89" s="237">
        <v>44120</v>
      </c>
      <c r="AD89" s="244" t="s">
        <v>6785</v>
      </c>
      <c r="AE89" s="241">
        <v>712000</v>
      </c>
      <c r="AF89" s="241" t="s">
        <v>2755</v>
      </c>
      <c r="AG89" s="241" t="s">
        <v>600</v>
      </c>
      <c r="AH89" s="241">
        <v>2</v>
      </c>
      <c r="AI89" s="241" t="s">
        <v>2124</v>
      </c>
      <c r="AJ89" s="241" t="s">
        <v>2756</v>
      </c>
      <c r="AK89" s="242">
        <v>44039</v>
      </c>
      <c r="AL89" s="244" t="s">
        <v>6786</v>
      </c>
      <c r="AM89" s="236">
        <v>300000</v>
      </c>
      <c r="AN89" s="236" t="s">
        <v>3379</v>
      </c>
      <c r="AO89" s="236" t="s">
        <v>601</v>
      </c>
      <c r="AP89" s="236">
        <v>1</v>
      </c>
      <c r="AQ89" s="236" t="s">
        <v>3628</v>
      </c>
      <c r="AR89" s="236" t="s">
        <v>3627</v>
      </c>
      <c r="AS89" s="237">
        <v>44111</v>
      </c>
      <c r="AT89" s="245" t="s">
        <v>6787</v>
      </c>
      <c r="AU89" s="241" t="s">
        <v>393</v>
      </c>
      <c r="AV89" s="241" t="s">
        <v>393</v>
      </c>
      <c r="AW89" s="241" t="s">
        <v>393</v>
      </c>
      <c r="AX89" s="241" t="s">
        <v>393</v>
      </c>
      <c r="AY89" s="241" t="s">
        <v>393</v>
      </c>
      <c r="AZ89" s="241" t="s">
        <v>393</v>
      </c>
      <c r="BA89" s="242">
        <v>43784</v>
      </c>
      <c r="BB89" s="244" t="s">
        <v>6788</v>
      </c>
      <c r="BC89" s="236">
        <v>0</v>
      </c>
      <c r="BD89" s="236" t="s">
        <v>393</v>
      </c>
      <c r="BE89" s="236" t="s">
        <v>393</v>
      </c>
      <c r="BF89" s="236" t="s">
        <v>393</v>
      </c>
      <c r="BG89" s="236" t="s">
        <v>1573</v>
      </c>
      <c r="BH89" s="236" t="s">
        <v>393</v>
      </c>
      <c r="BI89" s="237">
        <v>43742</v>
      </c>
      <c r="BJ89" s="245" t="s">
        <v>6789</v>
      </c>
      <c r="BK89" s="245">
        <v>599</v>
      </c>
      <c r="BL89" s="245" t="s">
        <v>2909</v>
      </c>
      <c r="BM89" s="245" t="s">
        <v>600</v>
      </c>
      <c r="BN89" s="245">
        <v>2</v>
      </c>
      <c r="BO89" s="245" t="s">
        <v>2911</v>
      </c>
      <c r="BP89" s="241" t="s">
        <v>812</v>
      </c>
      <c r="BQ89" s="246">
        <v>44071</v>
      </c>
      <c r="BR89" s="244" t="s">
        <v>6790</v>
      </c>
      <c r="BS89" s="247" t="s">
        <v>393</v>
      </c>
      <c r="BT89" s="247" t="s">
        <v>393</v>
      </c>
      <c r="BU89" s="247" t="s">
        <v>393</v>
      </c>
      <c r="BV89" s="247" t="s">
        <v>393</v>
      </c>
      <c r="BW89" s="247" t="s">
        <v>393</v>
      </c>
      <c r="BX89" s="247" t="s">
        <v>393</v>
      </c>
      <c r="BY89" s="237">
        <v>43551</v>
      </c>
      <c r="BZ89" s="245" t="s">
        <v>6791</v>
      </c>
      <c r="CA89" s="245" t="s">
        <v>393</v>
      </c>
      <c r="CB89" s="245" t="s">
        <v>393</v>
      </c>
      <c r="CC89" s="245" t="s">
        <v>393</v>
      </c>
      <c r="CD89" s="245" t="s">
        <v>393</v>
      </c>
      <c r="CE89" s="245" t="s">
        <v>393</v>
      </c>
      <c r="CF89" s="245" t="s">
        <v>393</v>
      </c>
      <c r="CG89" s="246">
        <v>43551</v>
      </c>
      <c r="CH89" s="244" t="s">
        <v>6792</v>
      </c>
      <c r="CI89" s="245" t="e">
        <v>#N/A</v>
      </c>
      <c r="CJ89" s="245" t="e">
        <v>#N/A</v>
      </c>
      <c r="CK89" s="245" t="e">
        <v>#N/A</v>
      </c>
      <c r="CL89" s="245" t="e">
        <v>#N/A</v>
      </c>
      <c r="CM89" s="245" t="e">
        <v>#N/A</v>
      </c>
      <c r="CN89" s="245" t="e">
        <v>#N/A</v>
      </c>
      <c r="CO89" s="248" t="e">
        <v>#N/A</v>
      </c>
      <c r="CP89" s="245" t="s">
        <v>6793</v>
      </c>
      <c r="CQ89" s="247" t="s">
        <v>393</v>
      </c>
      <c r="CR89" s="247" t="s">
        <v>1149</v>
      </c>
      <c r="CS89" s="247" t="s">
        <v>600</v>
      </c>
      <c r="CT89" s="247">
        <v>2</v>
      </c>
      <c r="CU89" s="247">
        <v>0</v>
      </c>
      <c r="CV89" s="247">
        <v>0</v>
      </c>
      <c r="CW89" s="237">
        <v>43551</v>
      </c>
      <c r="CX89" s="245" t="s">
        <v>6794</v>
      </c>
      <c r="CY89" s="241">
        <v>712000</v>
      </c>
      <c r="CZ89" s="241" t="s">
        <v>3380</v>
      </c>
      <c r="DA89" s="241" t="s">
        <v>600</v>
      </c>
      <c r="DB89" s="241">
        <v>2</v>
      </c>
      <c r="DC89" s="241" t="s">
        <v>2757</v>
      </c>
      <c r="DD89" s="241" t="s">
        <v>3629</v>
      </c>
      <c r="DE89" s="243">
        <v>44120</v>
      </c>
      <c r="DF89" s="244" t="s">
        <v>6795</v>
      </c>
      <c r="DG89" s="236">
        <v>2033000</v>
      </c>
      <c r="DH89" s="247" t="s">
        <v>3380</v>
      </c>
      <c r="DI89" s="247" t="s">
        <v>600</v>
      </c>
      <c r="DJ89" s="247">
        <v>2</v>
      </c>
      <c r="DK89" s="247" t="s">
        <v>2757</v>
      </c>
      <c r="DL89" s="247" t="s">
        <v>3629</v>
      </c>
      <c r="DM89" s="237">
        <v>44120</v>
      </c>
      <c r="DN89" s="245" t="s">
        <v>6796</v>
      </c>
      <c r="DO89" s="241">
        <v>0</v>
      </c>
      <c r="DP89" s="245" t="s">
        <v>3380</v>
      </c>
      <c r="DQ89" s="245" t="s">
        <v>600</v>
      </c>
      <c r="DR89" s="245">
        <v>2</v>
      </c>
      <c r="DS89" s="245" t="s">
        <v>2757</v>
      </c>
      <c r="DT89" s="245" t="s">
        <v>3629</v>
      </c>
      <c r="DU89" s="246">
        <v>44120</v>
      </c>
      <c r="DV89" s="244" t="s">
        <v>6797</v>
      </c>
      <c r="DW89" s="236">
        <v>712000</v>
      </c>
      <c r="DX89" s="247" t="s">
        <v>3380</v>
      </c>
      <c r="DY89" s="247" t="s">
        <v>600</v>
      </c>
      <c r="DZ89" s="247">
        <v>2</v>
      </c>
      <c r="EA89" s="247" t="s">
        <v>2757</v>
      </c>
      <c r="EB89" s="247" t="s">
        <v>3629</v>
      </c>
      <c r="EC89" s="237">
        <v>44120</v>
      </c>
      <c r="ED89" s="245" t="s">
        <v>6798</v>
      </c>
      <c r="EE89" s="241">
        <v>0</v>
      </c>
      <c r="EF89" s="245" t="s">
        <v>3380</v>
      </c>
      <c r="EG89" s="245" t="s">
        <v>600</v>
      </c>
      <c r="EH89" s="245">
        <v>2</v>
      </c>
      <c r="EI89" s="245" t="s">
        <v>2757</v>
      </c>
      <c r="EJ89" s="245" t="s">
        <v>3629</v>
      </c>
      <c r="EK89" s="246">
        <v>44120</v>
      </c>
      <c r="EL89" s="244" t="s">
        <v>6799</v>
      </c>
      <c r="EM89" s="236">
        <v>0</v>
      </c>
      <c r="EN89" s="247" t="s">
        <v>3380</v>
      </c>
      <c r="EO89" s="247" t="s">
        <v>600</v>
      </c>
      <c r="EP89" s="247">
        <v>2</v>
      </c>
      <c r="EQ89" s="247" t="s">
        <v>2757</v>
      </c>
      <c r="ER89" s="247" t="s">
        <v>3629</v>
      </c>
      <c r="ES89" s="237">
        <v>44120</v>
      </c>
      <c r="ET89" s="245" t="s">
        <v>6800</v>
      </c>
      <c r="EU89" s="245">
        <v>599</v>
      </c>
      <c r="EV89" s="245" t="s">
        <v>2909</v>
      </c>
      <c r="EW89" s="245" t="s">
        <v>600</v>
      </c>
      <c r="EX89" s="245">
        <v>2</v>
      </c>
      <c r="EY89" s="245" t="s">
        <v>2910</v>
      </c>
      <c r="EZ89" s="245" t="s">
        <v>812</v>
      </c>
      <c r="FA89" s="246">
        <v>44071</v>
      </c>
      <c r="FB89" s="244" t="s">
        <v>6801</v>
      </c>
      <c r="FC89" s="247">
        <v>2</v>
      </c>
      <c r="FD89" s="247">
        <v>0</v>
      </c>
      <c r="FE89" s="247" t="s">
        <v>600</v>
      </c>
      <c r="FF89" s="247">
        <v>2</v>
      </c>
      <c r="FG89" s="247" t="s">
        <v>1177</v>
      </c>
      <c r="FH89" s="247">
        <v>0</v>
      </c>
      <c r="FI89" s="237">
        <v>43551</v>
      </c>
      <c r="FJ89" s="244" t="s">
        <v>6802</v>
      </c>
      <c r="FK89" s="245" t="s">
        <v>393</v>
      </c>
      <c r="FL89" s="245" t="s">
        <v>1149</v>
      </c>
      <c r="FM89" s="245" t="s">
        <v>600</v>
      </c>
      <c r="FN89" s="245">
        <v>2</v>
      </c>
      <c r="FO89" s="245" t="s">
        <v>1191</v>
      </c>
      <c r="FP89" s="241">
        <v>0</v>
      </c>
      <c r="FQ89" s="242">
        <v>43551</v>
      </c>
      <c r="FR89" s="244" t="s">
        <v>6803</v>
      </c>
      <c r="FS89" s="247" t="s">
        <v>393</v>
      </c>
      <c r="FT89" s="247" t="s">
        <v>393</v>
      </c>
      <c r="FU89" s="247" t="s">
        <v>393</v>
      </c>
      <c r="FV89" s="247" t="s">
        <v>393</v>
      </c>
      <c r="FW89" s="247" t="s">
        <v>393</v>
      </c>
      <c r="FX89" s="247" t="s">
        <v>393</v>
      </c>
      <c r="FY89" s="237">
        <v>43784</v>
      </c>
      <c r="FZ89" s="245" t="s">
        <v>6804</v>
      </c>
      <c r="GA89" s="245">
        <v>0</v>
      </c>
      <c r="GB89" s="245" t="s">
        <v>1587</v>
      </c>
      <c r="GC89" s="245" t="s">
        <v>601</v>
      </c>
      <c r="GD89" s="245">
        <v>1</v>
      </c>
      <c r="GE89" s="245" t="s">
        <v>1623</v>
      </c>
      <c r="GF89" s="245" t="s">
        <v>1624</v>
      </c>
      <c r="GG89" s="246">
        <v>43767</v>
      </c>
      <c r="GH89" s="244" t="s">
        <v>6805</v>
      </c>
      <c r="GI89" s="247">
        <v>1</v>
      </c>
      <c r="GJ89" s="247" t="s">
        <v>2096</v>
      </c>
      <c r="GK89" s="247" t="s">
        <v>600</v>
      </c>
      <c r="GL89" s="247">
        <v>2</v>
      </c>
      <c r="GM89" s="247" t="s">
        <v>2096</v>
      </c>
      <c r="GN89" s="247" t="s">
        <v>1314</v>
      </c>
      <c r="GO89" s="237">
        <v>44063</v>
      </c>
      <c r="GP89" s="245" t="s">
        <v>6806</v>
      </c>
      <c r="GQ89" s="245">
        <v>0</v>
      </c>
      <c r="GR89" s="245" t="s">
        <v>1587</v>
      </c>
      <c r="GS89" s="245" t="s">
        <v>600</v>
      </c>
      <c r="GT89" s="245">
        <v>2</v>
      </c>
      <c r="GU89" s="245" t="s">
        <v>1623</v>
      </c>
      <c r="GV89" s="245" t="s">
        <v>1624</v>
      </c>
      <c r="GW89" s="246">
        <v>43767</v>
      </c>
      <c r="GX89" s="244" t="s">
        <v>6807</v>
      </c>
      <c r="GY89" s="247">
        <v>0</v>
      </c>
      <c r="GZ89" s="247" t="s">
        <v>1587</v>
      </c>
      <c r="HA89" s="247" t="s">
        <v>600</v>
      </c>
      <c r="HB89" s="247">
        <v>2</v>
      </c>
      <c r="HC89" s="247" t="s">
        <v>1623</v>
      </c>
      <c r="HD89" s="247" t="s">
        <v>1624</v>
      </c>
      <c r="HE89" s="237">
        <v>43767</v>
      </c>
      <c r="HF89" s="245" t="s">
        <v>6808</v>
      </c>
      <c r="HG89" s="245">
        <v>0</v>
      </c>
      <c r="HH89" s="245" t="s">
        <v>1587</v>
      </c>
      <c r="HI89" s="245" t="s">
        <v>599</v>
      </c>
      <c r="HJ89" s="245">
        <v>3</v>
      </c>
      <c r="HK89" s="245" t="s">
        <v>1623</v>
      </c>
      <c r="HL89" s="245" t="s">
        <v>1624</v>
      </c>
      <c r="HM89" s="246">
        <v>43767</v>
      </c>
      <c r="HN89" s="244" t="s">
        <v>6809</v>
      </c>
      <c r="HO89" s="247">
        <v>2</v>
      </c>
      <c r="HP89" s="247" t="s">
        <v>1587</v>
      </c>
      <c r="HQ89" s="247" t="s">
        <v>600</v>
      </c>
      <c r="HR89" s="247">
        <v>2</v>
      </c>
      <c r="HS89" s="247" t="s">
        <v>1623</v>
      </c>
      <c r="HT89" s="247" t="s">
        <v>1624</v>
      </c>
      <c r="HU89" s="237">
        <v>43767</v>
      </c>
      <c r="HV89" s="245" t="s">
        <v>6810</v>
      </c>
      <c r="HW89" s="245">
        <v>1</v>
      </c>
      <c r="HX89" s="245" t="s">
        <v>2096</v>
      </c>
      <c r="HY89" s="245" t="s">
        <v>600</v>
      </c>
      <c r="HZ89" s="245">
        <v>2</v>
      </c>
      <c r="IA89" s="245" t="s">
        <v>2096</v>
      </c>
      <c r="IB89" s="245" t="s">
        <v>1314</v>
      </c>
      <c r="IC89" s="246">
        <v>44062</v>
      </c>
      <c r="ID89" s="244" t="s">
        <v>6811</v>
      </c>
      <c r="IE89" s="247">
        <v>1</v>
      </c>
      <c r="IF89" s="247" t="s">
        <v>1587</v>
      </c>
      <c r="IG89" s="247" t="s">
        <v>600</v>
      </c>
      <c r="IH89" s="247">
        <v>2</v>
      </c>
      <c r="II89" s="247" t="s">
        <v>1623</v>
      </c>
      <c r="IJ89" s="247" t="s">
        <v>1624</v>
      </c>
      <c r="IK89" s="237">
        <v>43767</v>
      </c>
      <c r="IL89" s="245" t="s">
        <v>6812</v>
      </c>
      <c r="IM89" s="245">
        <v>1</v>
      </c>
      <c r="IN89" s="245" t="s">
        <v>1587</v>
      </c>
      <c r="IO89" s="245" t="s">
        <v>600</v>
      </c>
      <c r="IP89" s="245">
        <v>2</v>
      </c>
      <c r="IQ89" s="245" t="s">
        <v>1623</v>
      </c>
      <c r="IR89" s="245" t="s">
        <v>1624</v>
      </c>
      <c r="IS89" s="246">
        <v>43767</v>
      </c>
    </row>
    <row r="90" spans="1:253" s="11" customFormat="1" ht="13.2" x14ac:dyDescent="0.25">
      <c r="A90" s="11" t="s">
        <v>2051</v>
      </c>
      <c r="B90" s="11" t="s">
        <v>2103</v>
      </c>
      <c r="C90" s="11" t="s">
        <v>2591</v>
      </c>
      <c r="D90" s="11" t="s">
        <v>217</v>
      </c>
      <c r="E90" s="11" t="s">
        <v>216</v>
      </c>
      <c r="F90" s="11" t="s">
        <v>6813</v>
      </c>
      <c r="G90" s="235">
        <v>28862000</v>
      </c>
      <c r="H90" s="236" t="s">
        <v>2052</v>
      </c>
      <c r="I90" s="236" t="s">
        <v>601</v>
      </c>
      <c r="J90" s="236">
        <v>1</v>
      </c>
      <c r="K90" s="236" t="s">
        <v>2053</v>
      </c>
      <c r="L90" s="236" t="s">
        <v>927</v>
      </c>
      <c r="M90" s="237">
        <v>43868</v>
      </c>
      <c r="N90" s="244" t="s">
        <v>6814</v>
      </c>
      <c r="O90" s="239">
        <v>344602</v>
      </c>
      <c r="P90" s="239" t="s">
        <v>920</v>
      </c>
      <c r="Q90" s="239" t="s">
        <v>601</v>
      </c>
      <c r="R90" s="239">
        <v>1</v>
      </c>
      <c r="S90" s="239" t="s">
        <v>2054</v>
      </c>
      <c r="T90" s="239" t="s">
        <v>928</v>
      </c>
      <c r="U90" s="240">
        <v>43868</v>
      </c>
      <c r="V90" s="244" t="s">
        <v>6815</v>
      </c>
      <c r="W90" s="236">
        <v>2430000</v>
      </c>
      <c r="X90" s="236" t="s">
        <v>3381</v>
      </c>
      <c r="Y90" s="236" t="s">
        <v>599</v>
      </c>
      <c r="Z90" s="236">
        <v>3</v>
      </c>
      <c r="AA90" s="236" t="s">
        <v>3631</v>
      </c>
      <c r="AB90" s="236" t="s">
        <v>3630</v>
      </c>
      <c r="AC90" s="237">
        <v>44120</v>
      </c>
      <c r="AD90" s="244" t="s">
        <v>6816</v>
      </c>
      <c r="AE90" s="241">
        <v>2430000</v>
      </c>
      <c r="AF90" s="241" t="s">
        <v>3381</v>
      </c>
      <c r="AG90" s="241" t="s">
        <v>599</v>
      </c>
      <c r="AH90" s="241">
        <v>3</v>
      </c>
      <c r="AI90" s="241" t="s">
        <v>3631</v>
      </c>
      <c r="AJ90" s="241" t="s">
        <v>3630</v>
      </c>
      <c r="AK90" s="242">
        <v>44123</v>
      </c>
      <c r="AL90" s="244" t="s">
        <v>6817</v>
      </c>
      <c r="AM90" s="236">
        <v>94000</v>
      </c>
      <c r="AN90" s="236" t="s">
        <v>2758</v>
      </c>
      <c r="AO90" s="236" t="s">
        <v>600</v>
      </c>
      <c r="AP90" s="236">
        <v>2</v>
      </c>
      <c r="AQ90" s="236" t="s">
        <v>2126</v>
      </c>
      <c r="AR90" s="236" t="s">
        <v>2125</v>
      </c>
      <c r="AS90" s="237">
        <v>44040</v>
      </c>
      <c r="AT90" s="245" t="s">
        <v>6818</v>
      </c>
      <c r="AU90" s="241">
        <v>0</v>
      </c>
      <c r="AV90" s="241" t="s">
        <v>393</v>
      </c>
      <c r="AW90" s="241" t="s">
        <v>393</v>
      </c>
      <c r="AX90" s="241" t="s">
        <v>393</v>
      </c>
      <c r="AY90" s="241" t="s">
        <v>393</v>
      </c>
      <c r="AZ90" s="241" t="s">
        <v>393</v>
      </c>
      <c r="BA90" s="242">
        <v>43874</v>
      </c>
      <c r="BB90" s="244" t="s">
        <v>6819</v>
      </c>
      <c r="BC90" s="236">
        <v>0</v>
      </c>
      <c r="BD90" s="236" t="s">
        <v>393</v>
      </c>
      <c r="BE90" s="236" t="s">
        <v>393</v>
      </c>
      <c r="BF90" s="236" t="s">
        <v>393</v>
      </c>
      <c r="BG90" s="236" t="s">
        <v>393</v>
      </c>
      <c r="BH90" s="236" t="s">
        <v>393</v>
      </c>
      <c r="BI90" s="237">
        <v>43874</v>
      </c>
      <c r="BJ90" s="245" t="s">
        <v>6820</v>
      </c>
      <c r="BK90" s="245" t="s">
        <v>393</v>
      </c>
      <c r="BL90" s="245" t="s">
        <v>393</v>
      </c>
      <c r="BM90" s="245" t="s">
        <v>393</v>
      </c>
      <c r="BN90" s="245" t="s">
        <v>393</v>
      </c>
      <c r="BO90" s="245" t="s">
        <v>393</v>
      </c>
      <c r="BP90" s="241" t="s">
        <v>393</v>
      </c>
      <c r="BQ90" s="246">
        <v>43868</v>
      </c>
      <c r="BR90" s="244" t="s">
        <v>6821</v>
      </c>
      <c r="BS90" s="247" t="e">
        <v>#N/A</v>
      </c>
      <c r="BT90" s="247" t="e">
        <v>#N/A</v>
      </c>
      <c r="BU90" s="247" t="e">
        <v>#N/A</v>
      </c>
      <c r="BV90" s="247" t="e">
        <v>#N/A</v>
      </c>
      <c r="BW90" s="247" t="e">
        <v>#N/A</v>
      </c>
      <c r="BX90" s="247" t="e">
        <v>#N/A</v>
      </c>
      <c r="BY90" s="237" t="e">
        <v>#N/A</v>
      </c>
      <c r="BZ90" s="245" t="s">
        <v>6822</v>
      </c>
      <c r="CA90" s="245" t="e">
        <v>#N/A</v>
      </c>
      <c r="CB90" s="245" t="e">
        <v>#N/A</v>
      </c>
      <c r="CC90" s="245" t="e">
        <v>#N/A</v>
      </c>
      <c r="CD90" s="245" t="e">
        <v>#N/A</v>
      </c>
      <c r="CE90" s="245" t="e">
        <v>#N/A</v>
      </c>
      <c r="CF90" s="245" t="e">
        <v>#N/A</v>
      </c>
      <c r="CG90" s="246" t="e">
        <v>#N/A</v>
      </c>
      <c r="CH90" s="244" t="s">
        <v>6823</v>
      </c>
      <c r="CI90" s="245" t="e">
        <v>#N/A</v>
      </c>
      <c r="CJ90" s="245" t="e">
        <v>#N/A</v>
      </c>
      <c r="CK90" s="245" t="e">
        <v>#N/A</v>
      </c>
      <c r="CL90" s="245" t="e">
        <v>#N/A</v>
      </c>
      <c r="CM90" s="245" t="e">
        <v>#N/A</v>
      </c>
      <c r="CN90" s="245" t="e">
        <v>#N/A</v>
      </c>
      <c r="CO90" s="248" t="e">
        <v>#N/A</v>
      </c>
      <c r="CP90" s="245" t="s">
        <v>6824</v>
      </c>
      <c r="CQ90" s="247" t="e">
        <v>#N/A</v>
      </c>
      <c r="CR90" s="247" t="e">
        <v>#N/A</v>
      </c>
      <c r="CS90" s="247" t="e">
        <v>#N/A</v>
      </c>
      <c r="CT90" s="247" t="e">
        <v>#N/A</v>
      </c>
      <c r="CU90" s="247" t="e">
        <v>#N/A</v>
      </c>
      <c r="CV90" s="247" t="e">
        <v>#N/A</v>
      </c>
      <c r="CW90" s="237" t="e">
        <v>#N/A</v>
      </c>
      <c r="CX90" s="245" t="s">
        <v>6825</v>
      </c>
      <c r="CY90" s="241">
        <v>365000</v>
      </c>
      <c r="CZ90" s="241" t="s">
        <v>3381</v>
      </c>
      <c r="DA90" s="241" t="s">
        <v>599</v>
      </c>
      <c r="DB90" s="241">
        <v>3</v>
      </c>
      <c r="DC90" s="241" t="s">
        <v>3631</v>
      </c>
      <c r="DD90" s="241" t="s">
        <v>3630</v>
      </c>
      <c r="DE90" s="243">
        <v>44120</v>
      </c>
      <c r="DF90" s="244" t="s">
        <v>6826</v>
      </c>
      <c r="DG90" s="236">
        <v>1336000</v>
      </c>
      <c r="DH90" s="247" t="s">
        <v>3381</v>
      </c>
      <c r="DI90" s="247" t="s">
        <v>599</v>
      </c>
      <c r="DJ90" s="247">
        <v>3</v>
      </c>
      <c r="DK90" s="247" t="s">
        <v>3631</v>
      </c>
      <c r="DL90" s="247" t="s">
        <v>3630</v>
      </c>
      <c r="DM90" s="237">
        <v>44120</v>
      </c>
      <c r="DN90" s="245" t="s">
        <v>6827</v>
      </c>
      <c r="DO90" s="241">
        <v>729000</v>
      </c>
      <c r="DP90" s="245" t="s">
        <v>3381</v>
      </c>
      <c r="DQ90" s="245" t="s">
        <v>599</v>
      </c>
      <c r="DR90" s="245">
        <v>3</v>
      </c>
      <c r="DS90" s="245" t="s">
        <v>3631</v>
      </c>
      <c r="DT90" s="245" t="s">
        <v>3630</v>
      </c>
      <c r="DU90" s="246">
        <v>44120</v>
      </c>
      <c r="DV90" s="244" t="s">
        <v>6828</v>
      </c>
      <c r="DW90" s="236">
        <v>365000</v>
      </c>
      <c r="DX90" s="247" t="s">
        <v>3381</v>
      </c>
      <c r="DY90" s="247" t="s">
        <v>599</v>
      </c>
      <c r="DZ90" s="247">
        <v>3</v>
      </c>
      <c r="EA90" s="247" t="s">
        <v>3631</v>
      </c>
      <c r="EB90" s="247" t="s">
        <v>3630</v>
      </c>
      <c r="EC90" s="237">
        <v>44120</v>
      </c>
      <c r="ED90" s="245" t="s">
        <v>6829</v>
      </c>
      <c r="EE90" s="241">
        <v>0</v>
      </c>
      <c r="EF90" s="245" t="s">
        <v>3381</v>
      </c>
      <c r="EG90" s="245" t="s">
        <v>599</v>
      </c>
      <c r="EH90" s="245">
        <v>3</v>
      </c>
      <c r="EI90" s="245" t="s">
        <v>3631</v>
      </c>
      <c r="EJ90" s="245" t="s">
        <v>3630</v>
      </c>
      <c r="EK90" s="246">
        <v>44120</v>
      </c>
      <c r="EL90" s="244" t="s">
        <v>6830</v>
      </c>
      <c r="EM90" s="236">
        <v>0</v>
      </c>
      <c r="EN90" s="247" t="s">
        <v>3381</v>
      </c>
      <c r="EO90" s="247" t="s">
        <v>599</v>
      </c>
      <c r="EP90" s="247">
        <v>3</v>
      </c>
      <c r="EQ90" s="247" t="s">
        <v>3631</v>
      </c>
      <c r="ER90" s="247" t="s">
        <v>3630</v>
      </c>
      <c r="ES90" s="237">
        <v>44120</v>
      </c>
      <c r="ET90" s="245" t="s">
        <v>6831</v>
      </c>
      <c r="EU90" s="245">
        <v>599</v>
      </c>
      <c r="EV90" s="245" t="s">
        <v>2909</v>
      </c>
      <c r="EW90" s="245" t="s">
        <v>600</v>
      </c>
      <c r="EX90" s="245">
        <v>2</v>
      </c>
      <c r="EY90" s="245" t="s">
        <v>2910</v>
      </c>
      <c r="EZ90" s="245" t="s">
        <v>812</v>
      </c>
      <c r="FA90" s="246">
        <v>44071</v>
      </c>
      <c r="FB90" s="244" t="s">
        <v>6832</v>
      </c>
      <c r="FC90" s="247">
        <v>3</v>
      </c>
      <c r="FD90" s="247" t="s">
        <v>2055</v>
      </c>
      <c r="FE90" s="247" t="s">
        <v>600</v>
      </c>
      <c r="FF90" s="247">
        <v>2</v>
      </c>
      <c r="FG90" s="247" t="s">
        <v>2108</v>
      </c>
      <c r="FH90" s="247" t="s">
        <v>2056</v>
      </c>
      <c r="FI90" s="237">
        <v>43868</v>
      </c>
      <c r="FJ90" s="244" t="s">
        <v>6833</v>
      </c>
      <c r="FK90" s="245" t="e">
        <v>#N/A</v>
      </c>
      <c r="FL90" s="245" t="e">
        <v>#N/A</v>
      </c>
      <c r="FM90" s="245" t="e">
        <v>#N/A</v>
      </c>
      <c r="FN90" s="245" t="e">
        <v>#N/A</v>
      </c>
      <c r="FO90" s="245" t="e">
        <v>#N/A</v>
      </c>
      <c r="FP90" s="241" t="e">
        <v>#N/A</v>
      </c>
      <c r="FQ90" s="242" t="e">
        <v>#N/A</v>
      </c>
      <c r="FR90" s="244" t="s">
        <v>6834</v>
      </c>
      <c r="FS90" s="247" t="e">
        <v>#N/A</v>
      </c>
      <c r="FT90" s="247" t="e">
        <v>#N/A</v>
      </c>
      <c r="FU90" s="247" t="e">
        <v>#N/A</v>
      </c>
      <c r="FV90" s="247" t="e">
        <v>#N/A</v>
      </c>
      <c r="FW90" s="247" t="e">
        <v>#N/A</v>
      </c>
      <c r="FX90" s="247" t="e">
        <v>#N/A</v>
      </c>
      <c r="FY90" s="237" t="e">
        <v>#N/A</v>
      </c>
      <c r="FZ90" s="245" t="s">
        <v>6835</v>
      </c>
      <c r="GA90" s="245">
        <v>0</v>
      </c>
      <c r="GB90" s="245" t="s">
        <v>2112</v>
      </c>
      <c r="GC90" s="245" t="s">
        <v>600</v>
      </c>
      <c r="GD90" s="245">
        <v>2</v>
      </c>
      <c r="GE90" s="245" t="s">
        <v>393</v>
      </c>
      <c r="GF90" s="245" t="s">
        <v>1723</v>
      </c>
      <c r="GG90" s="246">
        <v>43868</v>
      </c>
      <c r="GH90" s="244" t="s">
        <v>6836</v>
      </c>
      <c r="GI90" s="247">
        <v>0</v>
      </c>
      <c r="GJ90" s="247" t="s">
        <v>2112</v>
      </c>
      <c r="GK90" s="247" t="s">
        <v>600</v>
      </c>
      <c r="GL90" s="247">
        <v>2</v>
      </c>
      <c r="GM90" s="247" t="s">
        <v>393</v>
      </c>
      <c r="GN90" s="247" t="s">
        <v>1723</v>
      </c>
      <c r="GO90" s="237">
        <v>43868</v>
      </c>
      <c r="GP90" s="245" t="s">
        <v>6837</v>
      </c>
      <c r="GQ90" s="245">
        <v>0</v>
      </c>
      <c r="GR90" s="245" t="s">
        <v>2112</v>
      </c>
      <c r="GS90" s="245" t="s">
        <v>600</v>
      </c>
      <c r="GT90" s="245">
        <v>2</v>
      </c>
      <c r="GU90" s="245" t="s">
        <v>393</v>
      </c>
      <c r="GV90" s="245" t="s">
        <v>1723</v>
      </c>
      <c r="GW90" s="246">
        <v>43868</v>
      </c>
      <c r="GX90" s="244" t="s">
        <v>6838</v>
      </c>
      <c r="GY90" s="247">
        <v>1</v>
      </c>
      <c r="GZ90" s="247" t="s">
        <v>2112</v>
      </c>
      <c r="HA90" s="247" t="s">
        <v>600</v>
      </c>
      <c r="HB90" s="247">
        <v>2</v>
      </c>
      <c r="HC90" s="247" t="s">
        <v>393</v>
      </c>
      <c r="HD90" s="247" t="s">
        <v>1723</v>
      </c>
      <c r="HE90" s="237">
        <v>43868</v>
      </c>
      <c r="HF90" s="245" t="s">
        <v>6839</v>
      </c>
      <c r="HG90" s="245">
        <v>0</v>
      </c>
      <c r="HH90" s="245" t="s">
        <v>2112</v>
      </c>
      <c r="HI90" s="245" t="s">
        <v>600</v>
      </c>
      <c r="HJ90" s="245">
        <v>2</v>
      </c>
      <c r="HK90" s="245" t="s">
        <v>393</v>
      </c>
      <c r="HL90" s="245" t="s">
        <v>1723</v>
      </c>
      <c r="HM90" s="246">
        <v>43868</v>
      </c>
      <c r="HN90" s="244" t="s">
        <v>6840</v>
      </c>
      <c r="HO90" s="247">
        <v>0</v>
      </c>
      <c r="HP90" s="247" t="s">
        <v>2112</v>
      </c>
      <c r="HQ90" s="247" t="s">
        <v>600</v>
      </c>
      <c r="HR90" s="247">
        <v>2</v>
      </c>
      <c r="HS90" s="247" t="s">
        <v>393</v>
      </c>
      <c r="HT90" s="247" t="s">
        <v>1723</v>
      </c>
      <c r="HU90" s="237">
        <v>43868</v>
      </c>
      <c r="HV90" s="245" t="s">
        <v>6841</v>
      </c>
      <c r="HW90" s="245">
        <v>1</v>
      </c>
      <c r="HX90" s="245" t="s">
        <v>2112</v>
      </c>
      <c r="HY90" s="245" t="s">
        <v>600</v>
      </c>
      <c r="HZ90" s="245">
        <v>2</v>
      </c>
      <c r="IA90" s="245" t="s">
        <v>393</v>
      </c>
      <c r="IB90" s="245" t="s">
        <v>1723</v>
      </c>
      <c r="IC90" s="246">
        <v>43868</v>
      </c>
      <c r="ID90" s="244" t="s">
        <v>6842</v>
      </c>
      <c r="IE90" s="247">
        <v>0</v>
      </c>
      <c r="IF90" s="247" t="s">
        <v>2112</v>
      </c>
      <c r="IG90" s="247" t="s">
        <v>600</v>
      </c>
      <c r="IH90" s="247">
        <v>2</v>
      </c>
      <c r="II90" s="247" t="s">
        <v>393</v>
      </c>
      <c r="IJ90" s="247" t="s">
        <v>1723</v>
      </c>
      <c r="IK90" s="237">
        <v>43868</v>
      </c>
      <c r="IL90" s="245" t="s">
        <v>6843</v>
      </c>
      <c r="IM90" s="245">
        <v>1</v>
      </c>
      <c r="IN90" s="245" t="s">
        <v>2112</v>
      </c>
      <c r="IO90" s="245" t="s">
        <v>600</v>
      </c>
      <c r="IP90" s="245">
        <v>2</v>
      </c>
      <c r="IQ90" s="245" t="s">
        <v>393</v>
      </c>
      <c r="IR90" s="245" t="s">
        <v>1723</v>
      </c>
      <c r="IS90" s="246">
        <v>43868</v>
      </c>
    </row>
    <row r="91" spans="1:253" s="11" customFormat="1" ht="13.2" x14ac:dyDescent="0.25">
      <c r="A91" s="11" t="s">
        <v>1164</v>
      </c>
      <c r="B91" s="11" t="s">
        <v>3258</v>
      </c>
      <c r="C91" s="11" t="s">
        <v>589</v>
      </c>
      <c r="D91" s="11" t="s">
        <v>357</v>
      </c>
      <c r="E91" s="11" t="s">
        <v>218</v>
      </c>
      <c r="F91" s="11" t="s">
        <v>6844</v>
      </c>
      <c r="G91" s="235">
        <v>52264000</v>
      </c>
      <c r="H91" s="236" t="s">
        <v>3798</v>
      </c>
      <c r="I91" s="236" t="s">
        <v>600</v>
      </c>
      <c r="J91" s="236">
        <v>2</v>
      </c>
      <c r="K91" s="236" t="s">
        <v>3800</v>
      </c>
      <c r="L91" s="236" t="s">
        <v>3799</v>
      </c>
      <c r="M91" s="237">
        <v>44132</v>
      </c>
      <c r="N91" s="244" t="s">
        <v>6845</v>
      </c>
      <c r="O91" s="239">
        <v>289700</v>
      </c>
      <c r="P91" s="239" t="s">
        <v>1335</v>
      </c>
      <c r="Q91" s="239" t="s">
        <v>600</v>
      </c>
      <c r="R91" s="239">
        <v>2</v>
      </c>
      <c r="S91" s="239" t="s">
        <v>2161</v>
      </c>
      <c r="T91" s="239" t="s">
        <v>1336</v>
      </c>
      <c r="U91" s="240">
        <v>43920</v>
      </c>
      <c r="V91" s="244" t="s">
        <v>6846</v>
      </c>
      <c r="W91" s="236">
        <v>10395000</v>
      </c>
      <c r="X91" s="236" t="s">
        <v>2159</v>
      </c>
      <c r="Y91" s="236" t="s">
        <v>600</v>
      </c>
      <c r="Z91" s="236">
        <v>2</v>
      </c>
      <c r="AA91" s="236" t="s">
        <v>2163</v>
      </c>
      <c r="AB91" s="236" t="s">
        <v>2162</v>
      </c>
      <c r="AC91" s="237">
        <v>43920</v>
      </c>
      <c r="AD91" s="244" t="s">
        <v>6847</v>
      </c>
      <c r="AE91" s="241">
        <v>5124000</v>
      </c>
      <c r="AF91" s="241" t="s">
        <v>2159</v>
      </c>
      <c r="AG91" s="241" t="s">
        <v>600</v>
      </c>
      <c r="AH91" s="241">
        <v>2</v>
      </c>
      <c r="AI91" s="241" t="s">
        <v>2164</v>
      </c>
      <c r="AJ91" s="241" t="s">
        <v>2162</v>
      </c>
      <c r="AK91" s="242">
        <v>43920</v>
      </c>
      <c r="AL91" s="244" t="s">
        <v>6848</v>
      </c>
      <c r="AM91" s="236">
        <v>1292000</v>
      </c>
      <c r="AN91" s="236" t="s">
        <v>3785</v>
      </c>
      <c r="AO91" s="236" t="s">
        <v>599</v>
      </c>
      <c r="AP91" s="236">
        <v>3</v>
      </c>
      <c r="AQ91" s="236" t="s">
        <v>3787</v>
      </c>
      <c r="AR91" s="236" t="s">
        <v>3786</v>
      </c>
      <c r="AS91" s="237">
        <v>44132</v>
      </c>
      <c r="AT91" s="245" t="s">
        <v>6849</v>
      </c>
      <c r="AU91" s="241" t="s">
        <v>393</v>
      </c>
      <c r="AV91" s="241" t="s">
        <v>393</v>
      </c>
      <c r="AW91" s="241" t="s">
        <v>393</v>
      </c>
      <c r="AX91" s="241" t="s">
        <v>393</v>
      </c>
      <c r="AY91" s="241" t="s">
        <v>393</v>
      </c>
      <c r="AZ91" s="241" t="s">
        <v>393</v>
      </c>
      <c r="BA91" s="242">
        <v>43920</v>
      </c>
      <c r="BB91" s="244" t="s">
        <v>6850</v>
      </c>
      <c r="BC91" s="236" t="s">
        <v>393</v>
      </c>
      <c r="BD91" s="236" t="s">
        <v>393</v>
      </c>
      <c r="BE91" s="236" t="s">
        <v>393</v>
      </c>
      <c r="BF91" s="236" t="s">
        <v>393</v>
      </c>
      <c r="BG91" s="236" t="s">
        <v>393</v>
      </c>
      <c r="BH91" s="236" t="s">
        <v>393</v>
      </c>
      <c r="BI91" s="237">
        <v>43920</v>
      </c>
      <c r="BJ91" s="245" t="s">
        <v>6851</v>
      </c>
      <c r="BK91" s="245">
        <v>234</v>
      </c>
      <c r="BL91" s="245" t="s">
        <v>3724</v>
      </c>
      <c r="BM91" s="245" t="s">
        <v>599</v>
      </c>
      <c r="BN91" s="245">
        <v>3</v>
      </c>
      <c r="BO91" s="245" t="s">
        <v>3788</v>
      </c>
      <c r="BP91" s="241" t="s">
        <v>812</v>
      </c>
      <c r="BQ91" s="246">
        <v>44132</v>
      </c>
      <c r="BR91" s="244" t="s">
        <v>6852</v>
      </c>
      <c r="BS91" s="247" t="s">
        <v>393</v>
      </c>
      <c r="BT91" s="247" t="s">
        <v>393</v>
      </c>
      <c r="BU91" s="247" t="s">
        <v>393</v>
      </c>
      <c r="BV91" s="247" t="s">
        <v>393</v>
      </c>
      <c r="BW91" s="247" t="s">
        <v>393</v>
      </c>
      <c r="BX91" s="247" t="s">
        <v>393</v>
      </c>
      <c r="BY91" s="237">
        <v>43920</v>
      </c>
      <c r="BZ91" s="245" t="s">
        <v>6853</v>
      </c>
      <c r="CA91" s="245" t="s">
        <v>393</v>
      </c>
      <c r="CB91" s="245" t="s">
        <v>393</v>
      </c>
      <c r="CC91" s="245" t="s">
        <v>393</v>
      </c>
      <c r="CD91" s="245" t="s">
        <v>393</v>
      </c>
      <c r="CE91" s="245" t="s">
        <v>393</v>
      </c>
      <c r="CF91" s="245" t="s">
        <v>393</v>
      </c>
      <c r="CG91" s="246">
        <v>43920</v>
      </c>
      <c r="CH91" s="244" t="s">
        <v>6854</v>
      </c>
      <c r="CI91" s="245" t="e">
        <v>#N/A</v>
      </c>
      <c r="CJ91" s="245" t="e">
        <v>#N/A</v>
      </c>
      <c r="CK91" s="245" t="e">
        <v>#N/A</v>
      </c>
      <c r="CL91" s="245" t="e">
        <v>#N/A</v>
      </c>
      <c r="CM91" s="245" t="e">
        <v>#N/A</v>
      </c>
      <c r="CN91" s="245" t="e">
        <v>#N/A</v>
      </c>
      <c r="CO91" s="248" t="e">
        <v>#N/A</v>
      </c>
      <c r="CP91" s="245" t="s">
        <v>6855</v>
      </c>
      <c r="CQ91" s="247" t="s">
        <v>393</v>
      </c>
      <c r="CR91" s="247" t="s">
        <v>393</v>
      </c>
      <c r="CS91" s="247" t="s">
        <v>393</v>
      </c>
      <c r="CT91" s="247" t="s">
        <v>393</v>
      </c>
      <c r="CU91" s="247" t="s">
        <v>393</v>
      </c>
      <c r="CV91" s="247" t="s">
        <v>393</v>
      </c>
      <c r="CW91" s="237">
        <v>43920</v>
      </c>
      <c r="CX91" s="245" t="s">
        <v>6856</v>
      </c>
      <c r="CY91" s="241">
        <v>975000</v>
      </c>
      <c r="CZ91" s="241" t="s">
        <v>2832</v>
      </c>
      <c r="DA91" s="241" t="s">
        <v>600</v>
      </c>
      <c r="DB91" s="241">
        <v>2</v>
      </c>
      <c r="DC91" s="241" t="s">
        <v>2165</v>
      </c>
      <c r="DD91" s="241" t="s">
        <v>3528</v>
      </c>
      <c r="DE91" s="243">
        <v>44132</v>
      </c>
      <c r="DF91" s="244" t="s">
        <v>6857</v>
      </c>
      <c r="DG91" s="236">
        <v>5271000</v>
      </c>
      <c r="DH91" s="247" t="s">
        <v>2159</v>
      </c>
      <c r="DI91" s="247" t="s">
        <v>600</v>
      </c>
      <c r="DJ91" s="247">
        <v>2</v>
      </c>
      <c r="DK91" s="247" t="s">
        <v>2165</v>
      </c>
      <c r="DL91" s="247" t="s">
        <v>2162</v>
      </c>
      <c r="DM91" s="237">
        <v>43920</v>
      </c>
      <c r="DN91" s="245" t="s">
        <v>6858</v>
      </c>
      <c r="DO91" s="241">
        <v>4149000</v>
      </c>
      <c r="DP91" s="245" t="s">
        <v>2159</v>
      </c>
      <c r="DQ91" s="245" t="s">
        <v>600</v>
      </c>
      <c r="DR91" s="245">
        <v>2</v>
      </c>
      <c r="DS91" s="245" t="s">
        <v>2165</v>
      </c>
      <c r="DT91" s="245" t="s">
        <v>2162</v>
      </c>
      <c r="DU91" s="246">
        <v>43920</v>
      </c>
      <c r="DV91" s="244" t="s">
        <v>6859</v>
      </c>
      <c r="DW91" s="236">
        <v>366000</v>
      </c>
      <c r="DX91" s="247" t="s">
        <v>2832</v>
      </c>
      <c r="DY91" s="247" t="s">
        <v>600</v>
      </c>
      <c r="DZ91" s="247">
        <v>2</v>
      </c>
      <c r="EA91" s="247" t="s">
        <v>2165</v>
      </c>
      <c r="EB91" s="247" t="s">
        <v>3528</v>
      </c>
      <c r="EC91" s="237">
        <v>44132</v>
      </c>
      <c r="ED91" s="245" t="s">
        <v>6860</v>
      </c>
      <c r="EE91" s="241">
        <v>609000</v>
      </c>
      <c r="EF91" s="245" t="s">
        <v>2832</v>
      </c>
      <c r="EG91" s="245" t="s">
        <v>600</v>
      </c>
      <c r="EH91" s="245">
        <v>2</v>
      </c>
      <c r="EI91" s="245" t="s">
        <v>2165</v>
      </c>
      <c r="EJ91" s="245" t="s">
        <v>3528</v>
      </c>
      <c r="EK91" s="246">
        <v>44132</v>
      </c>
      <c r="EL91" s="244" t="s">
        <v>6861</v>
      </c>
      <c r="EM91" s="236">
        <v>0</v>
      </c>
      <c r="EN91" s="247" t="s">
        <v>2159</v>
      </c>
      <c r="EO91" s="247" t="s">
        <v>600</v>
      </c>
      <c r="EP91" s="247">
        <v>2</v>
      </c>
      <c r="EQ91" s="247" t="s">
        <v>2165</v>
      </c>
      <c r="ER91" s="247" t="s">
        <v>2162</v>
      </c>
      <c r="ES91" s="237">
        <v>43920</v>
      </c>
      <c r="ET91" s="245" t="s">
        <v>6862</v>
      </c>
      <c r="EU91" s="245">
        <v>234</v>
      </c>
      <c r="EV91" s="245" t="s">
        <v>3724</v>
      </c>
      <c r="EW91" s="245" t="s">
        <v>599</v>
      </c>
      <c r="EX91" s="245">
        <v>3</v>
      </c>
      <c r="EY91" s="245" t="s">
        <v>3788</v>
      </c>
      <c r="EZ91" s="245" t="s">
        <v>812</v>
      </c>
      <c r="FA91" s="246">
        <v>44132</v>
      </c>
      <c r="FB91" s="244" t="s">
        <v>6863</v>
      </c>
      <c r="FC91" s="247">
        <v>3</v>
      </c>
      <c r="FD91" s="247" t="s">
        <v>2160</v>
      </c>
      <c r="FE91" s="247" t="s">
        <v>601</v>
      </c>
      <c r="FF91" s="247">
        <v>1</v>
      </c>
      <c r="FG91" s="247" t="s">
        <v>2167</v>
      </c>
      <c r="FH91" s="247" t="s">
        <v>2166</v>
      </c>
      <c r="FI91" s="237">
        <v>43920</v>
      </c>
      <c r="FJ91" s="244" t="s">
        <v>6864</v>
      </c>
      <c r="FK91" s="245" t="s">
        <v>393</v>
      </c>
      <c r="FL91" s="245" t="s">
        <v>393</v>
      </c>
      <c r="FM91" s="245" t="s">
        <v>393</v>
      </c>
      <c r="FN91" s="245" t="s">
        <v>393</v>
      </c>
      <c r="FO91" s="245" t="s">
        <v>393</v>
      </c>
      <c r="FP91" s="241" t="s">
        <v>393</v>
      </c>
      <c r="FQ91" s="242">
        <v>43920</v>
      </c>
      <c r="FR91" s="244" t="s">
        <v>6865</v>
      </c>
      <c r="FS91" s="247" t="s">
        <v>393</v>
      </c>
      <c r="FT91" s="247" t="s">
        <v>393</v>
      </c>
      <c r="FU91" s="247" t="s">
        <v>393</v>
      </c>
      <c r="FV91" s="247" t="s">
        <v>393</v>
      </c>
      <c r="FW91" s="247" t="s">
        <v>393</v>
      </c>
      <c r="FX91" s="247" t="s">
        <v>393</v>
      </c>
      <c r="FY91" s="237">
        <v>43920</v>
      </c>
      <c r="FZ91" s="245" t="s">
        <v>6866</v>
      </c>
      <c r="GA91" s="245">
        <v>2</v>
      </c>
      <c r="GB91" s="245" t="s">
        <v>1587</v>
      </c>
      <c r="GC91" s="245" t="s">
        <v>601</v>
      </c>
      <c r="GD91" s="245">
        <v>1</v>
      </c>
      <c r="GE91" s="245" t="s">
        <v>1623</v>
      </c>
      <c r="GF91" s="245" t="s">
        <v>1624</v>
      </c>
      <c r="GG91" s="246">
        <v>43767</v>
      </c>
      <c r="GH91" s="244" t="s">
        <v>6867</v>
      </c>
      <c r="GI91" s="247">
        <v>3</v>
      </c>
      <c r="GJ91" s="247" t="s">
        <v>1587</v>
      </c>
      <c r="GK91" s="247" t="s">
        <v>600</v>
      </c>
      <c r="GL91" s="247">
        <v>2</v>
      </c>
      <c r="GM91" s="247" t="s">
        <v>1623</v>
      </c>
      <c r="GN91" s="247" t="s">
        <v>1624</v>
      </c>
      <c r="GO91" s="237">
        <v>43767</v>
      </c>
      <c r="GP91" s="245" t="s">
        <v>6868</v>
      </c>
      <c r="GQ91" s="245">
        <v>1</v>
      </c>
      <c r="GR91" s="245" t="s">
        <v>1587</v>
      </c>
      <c r="GS91" s="245" t="s">
        <v>600</v>
      </c>
      <c r="GT91" s="245">
        <v>2</v>
      </c>
      <c r="GU91" s="245" t="s">
        <v>1623</v>
      </c>
      <c r="GV91" s="245" t="s">
        <v>1624</v>
      </c>
      <c r="GW91" s="246">
        <v>43767</v>
      </c>
      <c r="GX91" s="244" t="s">
        <v>6869</v>
      </c>
      <c r="GY91" s="247">
        <v>0</v>
      </c>
      <c r="GZ91" s="247" t="s">
        <v>1587</v>
      </c>
      <c r="HA91" s="247" t="s">
        <v>600</v>
      </c>
      <c r="HB91" s="247">
        <v>2</v>
      </c>
      <c r="HC91" s="247" t="s">
        <v>1623</v>
      </c>
      <c r="HD91" s="247" t="s">
        <v>1624</v>
      </c>
      <c r="HE91" s="237">
        <v>43767</v>
      </c>
      <c r="HF91" s="245" t="s">
        <v>6870</v>
      </c>
      <c r="HG91" s="245">
        <v>3</v>
      </c>
      <c r="HH91" s="245" t="s">
        <v>1587</v>
      </c>
      <c r="HI91" s="245" t="s">
        <v>601</v>
      </c>
      <c r="HJ91" s="245">
        <v>1</v>
      </c>
      <c r="HK91" s="245" t="s">
        <v>1623</v>
      </c>
      <c r="HL91" s="245" t="s">
        <v>1624</v>
      </c>
      <c r="HM91" s="246">
        <v>43767</v>
      </c>
      <c r="HN91" s="244" t="s">
        <v>6871</v>
      </c>
      <c r="HO91" s="247">
        <v>3</v>
      </c>
      <c r="HP91" s="247" t="s">
        <v>1587</v>
      </c>
      <c r="HQ91" s="247" t="s">
        <v>601</v>
      </c>
      <c r="HR91" s="247">
        <v>1</v>
      </c>
      <c r="HS91" s="247" t="s">
        <v>1623</v>
      </c>
      <c r="HT91" s="247" t="s">
        <v>1624</v>
      </c>
      <c r="HU91" s="237">
        <v>43767</v>
      </c>
      <c r="HV91" s="245" t="s">
        <v>6872</v>
      </c>
      <c r="HW91" s="245">
        <v>3</v>
      </c>
      <c r="HX91" s="245" t="s">
        <v>1587</v>
      </c>
      <c r="HY91" s="245" t="s">
        <v>601</v>
      </c>
      <c r="HZ91" s="245">
        <v>1</v>
      </c>
      <c r="IA91" s="245" t="s">
        <v>1623</v>
      </c>
      <c r="IB91" s="245" t="s">
        <v>1624</v>
      </c>
      <c r="IC91" s="246">
        <v>43767</v>
      </c>
      <c r="ID91" s="244" t="s">
        <v>6873</v>
      </c>
      <c r="IE91" s="247">
        <v>1</v>
      </c>
      <c r="IF91" s="247" t="s">
        <v>1587</v>
      </c>
      <c r="IG91" s="247" t="s">
        <v>600</v>
      </c>
      <c r="IH91" s="247">
        <v>2</v>
      </c>
      <c r="II91" s="247" t="s">
        <v>1623</v>
      </c>
      <c r="IJ91" s="247" t="s">
        <v>1624</v>
      </c>
      <c r="IK91" s="237">
        <v>43767</v>
      </c>
      <c r="IL91" s="245" t="s">
        <v>6874</v>
      </c>
      <c r="IM91" s="245">
        <v>3</v>
      </c>
      <c r="IN91" s="245" t="s">
        <v>1587</v>
      </c>
      <c r="IO91" s="245" t="s">
        <v>601</v>
      </c>
      <c r="IP91" s="245">
        <v>1</v>
      </c>
      <c r="IQ91" s="245" t="s">
        <v>1623</v>
      </c>
      <c r="IR91" s="245" t="s">
        <v>1624</v>
      </c>
      <c r="IS91" s="246">
        <v>43767</v>
      </c>
    </row>
    <row r="92" spans="1:253" s="11" customFormat="1" ht="13.2" x14ac:dyDescent="0.25">
      <c r="A92" s="11" t="s">
        <v>653</v>
      </c>
      <c r="B92" s="11" t="s">
        <v>650</v>
      </c>
      <c r="C92" s="11" t="s">
        <v>664</v>
      </c>
      <c r="D92" s="11" t="s">
        <v>357</v>
      </c>
      <c r="E92" s="11" t="s">
        <v>218</v>
      </c>
      <c r="F92" s="11" t="s">
        <v>6875</v>
      </c>
      <c r="G92" s="235">
        <v>52264000</v>
      </c>
      <c r="H92" s="236" t="s">
        <v>3798</v>
      </c>
      <c r="I92" s="236" t="s">
        <v>600</v>
      </c>
      <c r="J92" s="236">
        <v>2</v>
      </c>
      <c r="K92" s="236" t="s">
        <v>3800</v>
      </c>
      <c r="L92" s="236" t="s">
        <v>3799</v>
      </c>
      <c r="M92" s="237">
        <v>44132</v>
      </c>
      <c r="N92" s="244" t="s">
        <v>6876</v>
      </c>
      <c r="O92" s="239">
        <v>44857</v>
      </c>
      <c r="P92" s="239" t="s">
        <v>1335</v>
      </c>
      <c r="Q92" s="239" t="s">
        <v>600</v>
      </c>
      <c r="R92" s="239">
        <v>2</v>
      </c>
      <c r="S92" s="239" t="s">
        <v>2169</v>
      </c>
      <c r="T92" s="239" t="s">
        <v>2168</v>
      </c>
      <c r="U92" s="240">
        <v>43920</v>
      </c>
      <c r="V92" s="244" t="s">
        <v>6877</v>
      </c>
      <c r="W92" s="236">
        <v>3882000</v>
      </c>
      <c r="X92" s="236" t="s">
        <v>2159</v>
      </c>
      <c r="Y92" s="236" t="s">
        <v>600</v>
      </c>
      <c r="Z92" s="236">
        <v>2</v>
      </c>
      <c r="AA92" s="236" t="s">
        <v>2170</v>
      </c>
      <c r="AB92" s="236" t="s">
        <v>2162</v>
      </c>
      <c r="AC92" s="237">
        <v>43920</v>
      </c>
      <c r="AD92" s="244" t="s">
        <v>6878</v>
      </c>
      <c r="AE92" s="241">
        <v>1563000</v>
      </c>
      <c r="AF92" s="241" t="s">
        <v>2159</v>
      </c>
      <c r="AG92" s="241" t="s">
        <v>600</v>
      </c>
      <c r="AH92" s="241">
        <v>2</v>
      </c>
      <c r="AI92" s="241" t="s">
        <v>2171</v>
      </c>
      <c r="AJ92" s="241" t="s">
        <v>2162</v>
      </c>
      <c r="AK92" s="242">
        <v>43920</v>
      </c>
      <c r="AL92" s="244" t="s">
        <v>6879</v>
      </c>
      <c r="AM92" s="236">
        <v>1187000</v>
      </c>
      <c r="AN92" s="236" t="s">
        <v>3789</v>
      </c>
      <c r="AO92" s="236" t="s">
        <v>600</v>
      </c>
      <c r="AP92" s="236">
        <v>2</v>
      </c>
      <c r="AQ92" s="236" t="s">
        <v>3791</v>
      </c>
      <c r="AR92" s="236" t="s">
        <v>3812</v>
      </c>
      <c r="AS92" s="237">
        <v>44132</v>
      </c>
      <c r="AT92" s="245" t="s">
        <v>6880</v>
      </c>
      <c r="AU92" s="241" t="s">
        <v>393</v>
      </c>
      <c r="AV92" s="241" t="s">
        <v>393</v>
      </c>
      <c r="AW92" s="241" t="s">
        <v>393</v>
      </c>
      <c r="AX92" s="241" t="s">
        <v>393</v>
      </c>
      <c r="AY92" s="241" t="s">
        <v>393</v>
      </c>
      <c r="AZ92" s="241" t="s">
        <v>393</v>
      </c>
      <c r="BA92" s="242">
        <v>43608</v>
      </c>
      <c r="BB92" s="244" t="s">
        <v>6881</v>
      </c>
      <c r="BC92" s="236" t="s">
        <v>393</v>
      </c>
      <c r="BD92" s="236" t="s">
        <v>393</v>
      </c>
      <c r="BE92" s="236" t="s">
        <v>393</v>
      </c>
      <c r="BF92" s="236" t="s">
        <v>393</v>
      </c>
      <c r="BG92" s="236" t="s">
        <v>393</v>
      </c>
      <c r="BH92" s="236" t="s">
        <v>393</v>
      </c>
      <c r="BI92" s="237">
        <v>43608</v>
      </c>
      <c r="BJ92" s="245" t="s">
        <v>6882</v>
      </c>
      <c r="BK92" s="245">
        <v>190</v>
      </c>
      <c r="BL92" s="245" t="s">
        <v>3724</v>
      </c>
      <c r="BM92" s="245" t="s">
        <v>600</v>
      </c>
      <c r="BN92" s="245">
        <v>2</v>
      </c>
      <c r="BO92" s="245" t="s">
        <v>3797</v>
      </c>
      <c r="BP92" s="241" t="s">
        <v>812</v>
      </c>
      <c r="BQ92" s="246">
        <v>44132</v>
      </c>
      <c r="BR92" s="244" t="s">
        <v>6883</v>
      </c>
      <c r="BS92" s="247" t="s">
        <v>393</v>
      </c>
      <c r="BT92" s="247">
        <v>0</v>
      </c>
      <c r="BU92" s="247" t="s">
        <v>393</v>
      </c>
      <c r="BV92" s="247" t="s">
        <v>393</v>
      </c>
      <c r="BW92" s="247" t="s">
        <v>811</v>
      </c>
      <c r="BX92" s="247">
        <v>0</v>
      </c>
      <c r="BY92" s="237">
        <v>43510</v>
      </c>
      <c r="BZ92" s="245" t="s">
        <v>6884</v>
      </c>
      <c r="CA92" s="245" t="s">
        <v>393</v>
      </c>
      <c r="CB92" s="245">
        <v>0</v>
      </c>
      <c r="CC92" s="245" t="s">
        <v>393</v>
      </c>
      <c r="CD92" s="245" t="s">
        <v>393</v>
      </c>
      <c r="CE92" s="245" t="s">
        <v>811</v>
      </c>
      <c r="CF92" s="245">
        <v>0</v>
      </c>
      <c r="CG92" s="246">
        <v>43510</v>
      </c>
      <c r="CH92" s="244" t="s">
        <v>6885</v>
      </c>
      <c r="CI92" s="245" t="e">
        <v>#N/A</v>
      </c>
      <c r="CJ92" s="245" t="e">
        <v>#N/A</v>
      </c>
      <c r="CK92" s="245" t="e">
        <v>#N/A</v>
      </c>
      <c r="CL92" s="245" t="e">
        <v>#N/A</v>
      </c>
      <c r="CM92" s="245" t="e">
        <v>#N/A</v>
      </c>
      <c r="CN92" s="245" t="e">
        <v>#N/A</v>
      </c>
      <c r="CO92" s="248" t="e">
        <v>#N/A</v>
      </c>
      <c r="CP92" s="245" t="s">
        <v>6886</v>
      </c>
      <c r="CQ92" s="247" t="s">
        <v>393</v>
      </c>
      <c r="CR92" s="247">
        <v>0</v>
      </c>
      <c r="CS92" s="247" t="s">
        <v>393</v>
      </c>
      <c r="CT92" s="247" t="s">
        <v>393</v>
      </c>
      <c r="CU92" s="247" t="s">
        <v>811</v>
      </c>
      <c r="CV92" s="247">
        <v>0</v>
      </c>
      <c r="CW92" s="237">
        <v>43510</v>
      </c>
      <c r="CX92" s="245" t="s">
        <v>6887</v>
      </c>
      <c r="CY92" s="241">
        <v>754000</v>
      </c>
      <c r="CZ92" s="241" t="s">
        <v>2159</v>
      </c>
      <c r="DA92" s="241" t="s">
        <v>600</v>
      </c>
      <c r="DB92" s="241">
        <v>2</v>
      </c>
      <c r="DC92" s="241" t="s">
        <v>2172</v>
      </c>
      <c r="DD92" s="241" t="s">
        <v>2174</v>
      </c>
      <c r="DE92" s="243">
        <v>43920</v>
      </c>
      <c r="DF92" s="244" t="s">
        <v>6888</v>
      </c>
      <c r="DG92" s="236">
        <v>2318000</v>
      </c>
      <c r="DH92" s="247" t="s">
        <v>3697</v>
      </c>
      <c r="DI92" s="247" t="s">
        <v>600</v>
      </c>
      <c r="DJ92" s="247">
        <v>2</v>
      </c>
      <c r="DK92" s="247" t="s">
        <v>2172</v>
      </c>
      <c r="DL92" s="247" t="s">
        <v>2198</v>
      </c>
      <c r="DM92" s="237">
        <v>44119</v>
      </c>
      <c r="DN92" s="245" t="s">
        <v>6889</v>
      </c>
      <c r="DO92" s="241">
        <v>809000</v>
      </c>
      <c r="DP92" s="245" t="s">
        <v>2159</v>
      </c>
      <c r="DQ92" s="245" t="s">
        <v>600</v>
      </c>
      <c r="DR92" s="245">
        <v>2</v>
      </c>
      <c r="DS92" s="245" t="s">
        <v>2172</v>
      </c>
      <c r="DT92" s="245" t="s">
        <v>2173</v>
      </c>
      <c r="DU92" s="246">
        <v>43920</v>
      </c>
      <c r="DV92" s="244" t="s">
        <v>6890</v>
      </c>
      <c r="DW92" s="236">
        <v>250000</v>
      </c>
      <c r="DX92" s="247" t="s">
        <v>2159</v>
      </c>
      <c r="DY92" s="247" t="s">
        <v>600</v>
      </c>
      <c r="DZ92" s="247">
        <v>2</v>
      </c>
      <c r="EA92" s="247" t="s">
        <v>2172</v>
      </c>
      <c r="EB92" s="247" t="s">
        <v>2174</v>
      </c>
      <c r="EC92" s="237">
        <v>43920</v>
      </c>
      <c r="ED92" s="245" t="s">
        <v>6891</v>
      </c>
      <c r="EE92" s="241">
        <v>504000</v>
      </c>
      <c r="EF92" s="245" t="s">
        <v>2159</v>
      </c>
      <c r="EG92" s="245" t="s">
        <v>600</v>
      </c>
      <c r="EH92" s="245">
        <v>2</v>
      </c>
      <c r="EI92" s="245" t="s">
        <v>2172</v>
      </c>
      <c r="EJ92" s="245" t="s">
        <v>2175</v>
      </c>
      <c r="EK92" s="246">
        <v>43920</v>
      </c>
      <c r="EL92" s="244" t="s">
        <v>6892</v>
      </c>
      <c r="EM92" s="236">
        <v>0</v>
      </c>
      <c r="EN92" s="247" t="s">
        <v>2159</v>
      </c>
      <c r="EO92" s="247" t="s">
        <v>600</v>
      </c>
      <c r="EP92" s="247">
        <v>2</v>
      </c>
      <c r="EQ92" s="247" t="s">
        <v>2172</v>
      </c>
      <c r="ER92" s="247" t="s">
        <v>2176</v>
      </c>
      <c r="ES92" s="237">
        <v>43920</v>
      </c>
      <c r="ET92" s="245" t="s">
        <v>6893</v>
      </c>
      <c r="EU92" s="245">
        <v>234</v>
      </c>
      <c r="EV92" s="245" t="s">
        <v>3724</v>
      </c>
      <c r="EW92" s="245" t="s">
        <v>600</v>
      </c>
      <c r="EX92" s="245">
        <v>2</v>
      </c>
      <c r="EY92" s="245" t="s">
        <v>3788</v>
      </c>
      <c r="EZ92" s="245" t="s">
        <v>812</v>
      </c>
      <c r="FA92" s="246">
        <v>44132</v>
      </c>
      <c r="FB92" s="244" t="s">
        <v>6894</v>
      </c>
      <c r="FC92" s="247">
        <v>4</v>
      </c>
      <c r="FD92" s="247" t="s">
        <v>2160</v>
      </c>
      <c r="FE92" s="247" t="s">
        <v>601</v>
      </c>
      <c r="FF92" s="247">
        <v>1</v>
      </c>
      <c r="FG92" s="247" t="s">
        <v>2177</v>
      </c>
      <c r="FH92" s="247" t="s">
        <v>2166</v>
      </c>
      <c r="FI92" s="237">
        <v>43920</v>
      </c>
      <c r="FJ92" s="244" t="s">
        <v>6895</v>
      </c>
      <c r="FK92" s="245" t="s">
        <v>393</v>
      </c>
      <c r="FL92" s="245">
        <v>0</v>
      </c>
      <c r="FM92" s="245" t="s">
        <v>600</v>
      </c>
      <c r="FN92" s="245">
        <v>2</v>
      </c>
      <c r="FO92" s="245" t="s">
        <v>811</v>
      </c>
      <c r="FP92" s="241">
        <v>0</v>
      </c>
      <c r="FQ92" s="242">
        <v>43510</v>
      </c>
      <c r="FR92" s="244" t="s">
        <v>6896</v>
      </c>
      <c r="FS92" s="247" t="s">
        <v>393</v>
      </c>
      <c r="FT92" s="247">
        <v>0</v>
      </c>
      <c r="FU92" s="247" t="s">
        <v>600</v>
      </c>
      <c r="FV92" s="247">
        <v>2</v>
      </c>
      <c r="FW92" s="247" t="s">
        <v>811</v>
      </c>
      <c r="FX92" s="247">
        <v>0</v>
      </c>
      <c r="FY92" s="237">
        <v>43510</v>
      </c>
      <c r="FZ92" s="245" t="s">
        <v>6897</v>
      </c>
      <c r="GA92" s="245">
        <v>2</v>
      </c>
      <c r="GB92" s="245" t="s">
        <v>1587</v>
      </c>
      <c r="GC92" s="245" t="s">
        <v>601</v>
      </c>
      <c r="GD92" s="245">
        <v>1</v>
      </c>
      <c r="GE92" s="245" t="s">
        <v>1623</v>
      </c>
      <c r="GF92" s="245" t="s">
        <v>1624</v>
      </c>
      <c r="GG92" s="246">
        <v>43767</v>
      </c>
      <c r="GH92" s="244" t="s">
        <v>6898</v>
      </c>
      <c r="GI92" s="247">
        <v>1</v>
      </c>
      <c r="GJ92" s="247" t="s">
        <v>1587</v>
      </c>
      <c r="GK92" s="247" t="s">
        <v>601</v>
      </c>
      <c r="GL92" s="247">
        <v>1</v>
      </c>
      <c r="GM92" s="247" t="s">
        <v>1623</v>
      </c>
      <c r="GN92" s="247" t="s">
        <v>1624</v>
      </c>
      <c r="GO92" s="237">
        <v>43767</v>
      </c>
      <c r="GP92" s="245" t="s">
        <v>6899</v>
      </c>
      <c r="GQ92" s="245">
        <v>1</v>
      </c>
      <c r="GR92" s="245" t="s">
        <v>1587</v>
      </c>
      <c r="GS92" s="245" t="s">
        <v>601</v>
      </c>
      <c r="GT92" s="245">
        <v>1</v>
      </c>
      <c r="GU92" s="245" t="s">
        <v>1623</v>
      </c>
      <c r="GV92" s="245" t="s">
        <v>1624</v>
      </c>
      <c r="GW92" s="246">
        <v>43767</v>
      </c>
      <c r="GX92" s="244" t="s">
        <v>6900</v>
      </c>
      <c r="GY92" s="247">
        <v>0</v>
      </c>
      <c r="GZ92" s="247" t="s">
        <v>1587</v>
      </c>
      <c r="HA92" s="247" t="s">
        <v>601</v>
      </c>
      <c r="HB92" s="247">
        <v>1</v>
      </c>
      <c r="HC92" s="247" t="s">
        <v>1623</v>
      </c>
      <c r="HD92" s="247" t="s">
        <v>1624</v>
      </c>
      <c r="HE92" s="237">
        <v>43767</v>
      </c>
      <c r="HF92" s="245" t="s">
        <v>6901</v>
      </c>
      <c r="HG92" s="245">
        <v>3</v>
      </c>
      <c r="HH92" s="245" t="s">
        <v>1587</v>
      </c>
      <c r="HI92" s="245" t="s">
        <v>601</v>
      </c>
      <c r="HJ92" s="245">
        <v>1</v>
      </c>
      <c r="HK92" s="245" t="s">
        <v>1623</v>
      </c>
      <c r="HL92" s="245" t="s">
        <v>1624</v>
      </c>
      <c r="HM92" s="246">
        <v>43767</v>
      </c>
      <c r="HN92" s="244" t="s">
        <v>6902</v>
      </c>
      <c r="HO92" s="247">
        <v>3</v>
      </c>
      <c r="HP92" s="247" t="s">
        <v>1587</v>
      </c>
      <c r="HQ92" s="247" t="s">
        <v>601</v>
      </c>
      <c r="HR92" s="247">
        <v>1</v>
      </c>
      <c r="HS92" s="247" t="s">
        <v>1623</v>
      </c>
      <c r="HT92" s="247" t="s">
        <v>1624</v>
      </c>
      <c r="HU92" s="237">
        <v>43767</v>
      </c>
      <c r="HV92" s="245" t="s">
        <v>6903</v>
      </c>
      <c r="HW92" s="245">
        <v>2</v>
      </c>
      <c r="HX92" s="245" t="s">
        <v>1587</v>
      </c>
      <c r="HY92" s="245" t="s">
        <v>600</v>
      </c>
      <c r="HZ92" s="245">
        <v>2</v>
      </c>
      <c r="IA92" s="245" t="s">
        <v>1623</v>
      </c>
      <c r="IB92" s="245" t="s">
        <v>1624</v>
      </c>
      <c r="IC92" s="246">
        <v>43767</v>
      </c>
      <c r="ID92" s="244" t="s">
        <v>6904</v>
      </c>
      <c r="IE92" s="247">
        <v>1</v>
      </c>
      <c r="IF92" s="247" t="s">
        <v>1587</v>
      </c>
      <c r="IG92" s="247" t="s">
        <v>600</v>
      </c>
      <c r="IH92" s="247">
        <v>2</v>
      </c>
      <c r="II92" s="247" t="s">
        <v>1623</v>
      </c>
      <c r="IJ92" s="247" t="s">
        <v>1624</v>
      </c>
      <c r="IK92" s="237">
        <v>43767</v>
      </c>
      <c r="IL92" s="245" t="s">
        <v>6905</v>
      </c>
      <c r="IM92" s="245">
        <v>2</v>
      </c>
      <c r="IN92" s="245" t="s">
        <v>1587</v>
      </c>
      <c r="IO92" s="245" t="s">
        <v>600</v>
      </c>
      <c r="IP92" s="245">
        <v>2</v>
      </c>
      <c r="IQ92" s="245" t="s">
        <v>1623</v>
      </c>
      <c r="IR92" s="245" t="s">
        <v>1624</v>
      </c>
      <c r="IS92" s="246">
        <v>43767</v>
      </c>
    </row>
    <row r="93" spans="1:253" s="11" customFormat="1" ht="13.2" x14ac:dyDescent="0.25">
      <c r="A93" s="11" t="s">
        <v>654</v>
      </c>
      <c r="B93" s="11" t="s">
        <v>650</v>
      </c>
      <c r="C93" s="11" t="s">
        <v>665</v>
      </c>
      <c r="D93" s="11" t="s">
        <v>357</v>
      </c>
      <c r="E93" s="11" t="s">
        <v>218</v>
      </c>
      <c r="F93" s="11" t="s">
        <v>6906</v>
      </c>
      <c r="G93" s="235">
        <v>52264000</v>
      </c>
      <c r="H93" s="236" t="s">
        <v>3798</v>
      </c>
      <c r="I93" s="236" t="s">
        <v>600</v>
      </c>
      <c r="J93" s="236">
        <v>2</v>
      </c>
      <c r="K93" s="236" t="s">
        <v>3800</v>
      </c>
      <c r="L93" s="236" t="s">
        <v>3799</v>
      </c>
      <c r="M93" s="237">
        <v>44132</v>
      </c>
      <c r="N93" s="244" t="s">
        <v>6907</v>
      </c>
      <c r="O93" s="239">
        <v>244843.1</v>
      </c>
      <c r="P93" s="239" t="s">
        <v>1335</v>
      </c>
      <c r="Q93" s="239" t="s">
        <v>600</v>
      </c>
      <c r="R93" s="239">
        <v>2</v>
      </c>
      <c r="S93" s="239" t="s">
        <v>1858</v>
      </c>
      <c r="T93" s="239" t="s">
        <v>1336</v>
      </c>
      <c r="U93" s="240">
        <v>43608</v>
      </c>
      <c r="V93" s="244" t="s">
        <v>6908</v>
      </c>
      <c r="W93" s="236">
        <v>6513000</v>
      </c>
      <c r="X93" s="236" t="s">
        <v>2159</v>
      </c>
      <c r="Y93" s="236" t="s">
        <v>600</v>
      </c>
      <c r="Z93" s="236">
        <v>2</v>
      </c>
      <c r="AA93" s="236" t="s">
        <v>1857</v>
      </c>
      <c r="AB93" s="236" t="s">
        <v>2162</v>
      </c>
      <c r="AC93" s="237">
        <v>43920</v>
      </c>
      <c r="AD93" s="244" t="s">
        <v>6909</v>
      </c>
      <c r="AE93" s="241">
        <v>3560000</v>
      </c>
      <c r="AF93" s="241" t="s">
        <v>2159</v>
      </c>
      <c r="AG93" s="241" t="s">
        <v>600</v>
      </c>
      <c r="AH93" s="241">
        <v>2</v>
      </c>
      <c r="AI93" s="241" t="s">
        <v>1856</v>
      </c>
      <c r="AJ93" s="241" t="s">
        <v>2162</v>
      </c>
      <c r="AK93" s="242">
        <v>43920</v>
      </c>
      <c r="AL93" s="244" t="s">
        <v>6910</v>
      </c>
      <c r="AM93" s="236">
        <v>105000</v>
      </c>
      <c r="AN93" s="236" t="s">
        <v>3793</v>
      </c>
      <c r="AO93" s="236" t="s">
        <v>600</v>
      </c>
      <c r="AP93" s="236">
        <v>2</v>
      </c>
      <c r="AQ93" s="236" t="s">
        <v>3796</v>
      </c>
      <c r="AR93" s="236" t="s">
        <v>3794</v>
      </c>
      <c r="AS93" s="237">
        <v>44132</v>
      </c>
      <c r="AT93" s="245" t="s">
        <v>6911</v>
      </c>
      <c r="AU93" s="241" t="s">
        <v>393</v>
      </c>
      <c r="AV93" s="241">
        <v>0</v>
      </c>
      <c r="AW93" s="241" t="s">
        <v>600</v>
      </c>
      <c r="AX93" s="241">
        <v>2</v>
      </c>
      <c r="AY93" s="241" t="s">
        <v>811</v>
      </c>
      <c r="AZ93" s="241">
        <v>0</v>
      </c>
      <c r="BA93" s="242">
        <v>43510</v>
      </c>
      <c r="BB93" s="244" t="s">
        <v>6912</v>
      </c>
      <c r="BC93" s="236" t="s">
        <v>393</v>
      </c>
      <c r="BD93" s="236">
        <v>0</v>
      </c>
      <c r="BE93" s="236" t="s">
        <v>600</v>
      </c>
      <c r="BF93" s="236">
        <v>2</v>
      </c>
      <c r="BG93" s="236" t="s">
        <v>811</v>
      </c>
      <c r="BH93" s="236">
        <v>0</v>
      </c>
      <c r="BI93" s="237">
        <v>43510</v>
      </c>
      <c r="BJ93" s="245" t="s">
        <v>6913</v>
      </c>
      <c r="BK93" s="245">
        <v>44</v>
      </c>
      <c r="BL93" s="245" t="s">
        <v>3724</v>
      </c>
      <c r="BM93" s="245" t="s">
        <v>600</v>
      </c>
      <c r="BN93" s="245">
        <v>2</v>
      </c>
      <c r="BO93" s="245" t="s">
        <v>3795</v>
      </c>
      <c r="BP93" s="241" t="s">
        <v>812</v>
      </c>
      <c r="BQ93" s="246">
        <v>44132</v>
      </c>
      <c r="BR93" s="244" t="s">
        <v>6914</v>
      </c>
      <c r="BS93" s="247" t="s">
        <v>393</v>
      </c>
      <c r="BT93" s="247">
        <v>0</v>
      </c>
      <c r="BU93" s="247" t="s">
        <v>600</v>
      </c>
      <c r="BV93" s="247">
        <v>2</v>
      </c>
      <c r="BW93" s="247" t="s">
        <v>811</v>
      </c>
      <c r="BX93" s="247">
        <v>0</v>
      </c>
      <c r="BY93" s="237">
        <v>43510</v>
      </c>
      <c r="BZ93" s="245" t="s">
        <v>6915</v>
      </c>
      <c r="CA93" s="245" t="s">
        <v>393</v>
      </c>
      <c r="CB93" s="245">
        <v>0</v>
      </c>
      <c r="CC93" s="245" t="s">
        <v>393</v>
      </c>
      <c r="CD93" s="245" t="s">
        <v>393</v>
      </c>
      <c r="CE93" s="245" t="s">
        <v>811</v>
      </c>
      <c r="CF93" s="245">
        <v>0</v>
      </c>
      <c r="CG93" s="246">
        <v>43510</v>
      </c>
      <c r="CH93" s="244" t="s">
        <v>6916</v>
      </c>
      <c r="CI93" s="245" t="e">
        <v>#N/A</v>
      </c>
      <c r="CJ93" s="245" t="e">
        <v>#N/A</v>
      </c>
      <c r="CK93" s="245" t="e">
        <v>#N/A</v>
      </c>
      <c r="CL93" s="245" t="e">
        <v>#N/A</v>
      </c>
      <c r="CM93" s="245" t="e">
        <v>#N/A</v>
      </c>
      <c r="CN93" s="245" t="e">
        <v>#N/A</v>
      </c>
      <c r="CO93" s="248" t="e">
        <v>#N/A</v>
      </c>
      <c r="CP93" s="245" t="s">
        <v>6917</v>
      </c>
      <c r="CQ93" s="247" t="s">
        <v>393</v>
      </c>
      <c r="CR93" s="247">
        <v>0</v>
      </c>
      <c r="CS93" s="247" t="s">
        <v>600</v>
      </c>
      <c r="CT93" s="247">
        <v>2</v>
      </c>
      <c r="CU93" s="247" t="s">
        <v>811</v>
      </c>
      <c r="CV93" s="247">
        <v>0</v>
      </c>
      <c r="CW93" s="237">
        <v>43510</v>
      </c>
      <c r="CX93" s="245" t="s">
        <v>6918</v>
      </c>
      <c r="CY93" s="241">
        <v>220000</v>
      </c>
      <c r="CZ93" s="241" t="s">
        <v>3792</v>
      </c>
      <c r="DA93" s="241" t="s">
        <v>600</v>
      </c>
      <c r="DB93" s="241">
        <v>2</v>
      </c>
      <c r="DC93" s="241" t="s">
        <v>2178</v>
      </c>
      <c r="DD93" s="241" t="s">
        <v>2162</v>
      </c>
      <c r="DE93" s="243">
        <v>44132</v>
      </c>
      <c r="DF93" s="244" t="s">
        <v>6919</v>
      </c>
      <c r="DG93" s="236">
        <v>2953000</v>
      </c>
      <c r="DH93" s="247" t="s">
        <v>2159</v>
      </c>
      <c r="DI93" s="247" t="s">
        <v>600</v>
      </c>
      <c r="DJ93" s="247">
        <v>2</v>
      </c>
      <c r="DK93" s="247" t="s">
        <v>2178</v>
      </c>
      <c r="DL93" s="247" t="s">
        <v>2162</v>
      </c>
      <c r="DM93" s="237">
        <v>43920</v>
      </c>
      <c r="DN93" s="245" t="s">
        <v>6920</v>
      </c>
      <c r="DO93" s="241">
        <v>3340000</v>
      </c>
      <c r="DP93" s="245" t="s">
        <v>2159</v>
      </c>
      <c r="DQ93" s="245" t="s">
        <v>600</v>
      </c>
      <c r="DR93" s="245">
        <v>2</v>
      </c>
      <c r="DS93" s="245" t="s">
        <v>2178</v>
      </c>
      <c r="DT93" s="245" t="s">
        <v>2173</v>
      </c>
      <c r="DU93" s="246">
        <v>43920</v>
      </c>
      <c r="DV93" s="244" t="s">
        <v>6921</v>
      </c>
      <c r="DW93" s="236">
        <v>115000</v>
      </c>
      <c r="DX93" s="247" t="s">
        <v>3792</v>
      </c>
      <c r="DY93" s="247" t="s">
        <v>600</v>
      </c>
      <c r="DZ93" s="247">
        <v>2</v>
      </c>
      <c r="EA93" s="247" t="s">
        <v>2178</v>
      </c>
      <c r="EB93" s="247" t="s">
        <v>2162</v>
      </c>
      <c r="EC93" s="237">
        <v>44132</v>
      </c>
      <c r="ED93" s="245" t="s">
        <v>6922</v>
      </c>
      <c r="EE93" s="241">
        <v>105000</v>
      </c>
      <c r="EF93" s="245" t="s">
        <v>3792</v>
      </c>
      <c r="EG93" s="245" t="s">
        <v>600</v>
      </c>
      <c r="EH93" s="245">
        <v>2</v>
      </c>
      <c r="EI93" s="245" t="s">
        <v>2178</v>
      </c>
      <c r="EJ93" s="245" t="s">
        <v>2833</v>
      </c>
      <c r="EK93" s="246">
        <v>44132</v>
      </c>
      <c r="EL93" s="244" t="s">
        <v>6923</v>
      </c>
      <c r="EM93" s="236">
        <v>0</v>
      </c>
      <c r="EN93" s="247" t="s">
        <v>2159</v>
      </c>
      <c r="EO93" s="247" t="s">
        <v>600</v>
      </c>
      <c r="EP93" s="247">
        <v>2</v>
      </c>
      <c r="EQ93" s="247" t="s">
        <v>2178</v>
      </c>
      <c r="ER93" s="247" t="s">
        <v>2176</v>
      </c>
      <c r="ES93" s="237">
        <v>43920</v>
      </c>
      <c r="ET93" s="245" t="s">
        <v>6924</v>
      </c>
      <c r="EU93" s="245">
        <v>234</v>
      </c>
      <c r="EV93" s="245" t="s">
        <v>3724</v>
      </c>
      <c r="EW93" s="245" t="s">
        <v>600</v>
      </c>
      <c r="EX93" s="245">
        <v>2</v>
      </c>
      <c r="EY93" s="245" t="s">
        <v>3788</v>
      </c>
      <c r="EZ93" s="245" t="s">
        <v>812</v>
      </c>
      <c r="FA93" s="246">
        <v>44132</v>
      </c>
      <c r="FB93" s="244" t="s">
        <v>6925</v>
      </c>
      <c r="FC93" s="247">
        <v>3</v>
      </c>
      <c r="FD93" s="247" t="s">
        <v>2160</v>
      </c>
      <c r="FE93" s="247" t="s">
        <v>601</v>
      </c>
      <c r="FF93" s="247">
        <v>1</v>
      </c>
      <c r="FG93" s="247" t="s">
        <v>2179</v>
      </c>
      <c r="FH93" s="247" t="s">
        <v>2166</v>
      </c>
      <c r="FI93" s="237">
        <v>43920</v>
      </c>
      <c r="FJ93" s="244" t="s">
        <v>6926</v>
      </c>
      <c r="FK93" s="245" t="s">
        <v>393</v>
      </c>
      <c r="FL93" s="245">
        <v>0</v>
      </c>
      <c r="FM93" s="245" t="s">
        <v>600</v>
      </c>
      <c r="FN93" s="245">
        <v>2</v>
      </c>
      <c r="FO93" s="245" t="s">
        <v>811</v>
      </c>
      <c r="FP93" s="241">
        <v>0</v>
      </c>
      <c r="FQ93" s="242">
        <v>43510</v>
      </c>
      <c r="FR93" s="244" t="s">
        <v>6927</v>
      </c>
      <c r="FS93" s="247" t="s">
        <v>393</v>
      </c>
      <c r="FT93" s="247">
        <v>0</v>
      </c>
      <c r="FU93" s="247" t="s">
        <v>600</v>
      </c>
      <c r="FV93" s="247">
        <v>2</v>
      </c>
      <c r="FW93" s="247" t="s">
        <v>811</v>
      </c>
      <c r="FX93" s="247">
        <v>0</v>
      </c>
      <c r="FY93" s="237">
        <v>43510</v>
      </c>
      <c r="FZ93" s="245" t="s">
        <v>6928</v>
      </c>
      <c r="GA93" s="245">
        <v>2</v>
      </c>
      <c r="GB93" s="245" t="s">
        <v>1587</v>
      </c>
      <c r="GC93" s="245" t="s">
        <v>601</v>
      </c>
      <c r="GD93" s="245">
        <v>1</v>
      </c>
      <c r="GE93" s="245" t="s">
        <v>1623</v>
      </c>
      <c r="GF93" s="245" t="s">
        <v>1624</v>
      </c>
      <c r="GG93" s="246">
        <v>43767</v>
      </c>
      <c r="GH93" s="244" t="s">
        <v>6929</v>
      </c>
      <c r="GI93" s="247">
        <v>3</v>
      </c>
      <c r="GJ93" s="247" t="s">
        <v>1587</v>
      </c>
      <c r="GK93" s="247" t="s">
        <v>600</v>
      </c>
      <c r="GL93" s="247">
        <v>2</v>
      </c>
      <c r="GM93" s="247" t="s">
        <v>1623</v>
      </c>
      <c r="GN93" s="247" t="s">
        <v>1624</v>
      </c>
      <c r="GO93" s="237">
        <v>43767</v>
      </c>
      <c r="GP93" s="245" t="s">
        <v>6930</v>
      </c>
      <c r="GQ93" s="245">
        <v>1</v>
      </c>
      <c r="GR93" s="245" t="s">
        <v>1587</v>
      </c>
      <c r="GS93" s="245" t="s">
        <v>600</v>
      </c>
      <c r="GT93" s="245">
        <v>2</v>
      </c>
      <c r="GU93" s="245" t="s">
        <v>1623</v>
      </c>
      <c r="GV93" s="245" t="s">
        <v>1624</v>
      </c>
      <c r="GW93" s="246">
        <v>43767</v>
      </c>
      <c r="GX93" s="244" t="s">
        <v>6931</v>
      </c>
      <c r="GY93" s="247">
        <v>0</v>
      </c>
      <c r="GZ93" s="247" t="s">
        <v>1587</v>
      </c>
      <c r="HA93" s="247" t="s">
        <v>601</v>
      </c>
      <c r="HB93" s="247">
        <v>1</v>
      </c>
      <c r="HC93" s="247" t="s">
        <v>1623</v>
      </c>
      <c r="HD93" s="247" t="s">
        <v>1624</v>
      </c>
      <c r="HE93" s="237">
        <v>43767</v>
      </c>
      <c r="HF93" s="245" t="s">
        <v>6932</v>
      </c>
      <c r="HG93" s="245">
        <v>1</v>
      </c>
      <c r="HH93" s="245" t="s">
        <v>1587</v>
      </c>
      <c r="HI93" s="245" t="s">
        <v>600</v>
      </c>
      <c r="HJ93" s="245">
        <v>2</v>
      </c>
      <c r="HK93" s="245" t="s">
        <v>1623</v>
      </c>
      <c r="HL93" s="245" t="s">
        <v>1624</v>
      </c>
      <c r="HM93" s="246">
        <v>43767</v>
      </c>
      <c r="HN93" s="244" t="s">
        <v>6933</v>
      </c>
      <c r="HO93" s="247">
        <v>2</v>
      </c>
      <c r="HP93" s="247" t="s">
        <v>1587</v>
      </c>
      <c r="HQ93" s="247" t="s">
        <v>600</v>
      </c>
      <c r="HR93" s="247">
        <v>2</v>
      </c>
      <c r="HS93" s="247" t="s">
        <v>1623</v>
      </c>
      <c r="HT93" s="247" t="s">
        <v>1624</v>
      </c>
      <c r="HU93" s="237">
        <v>43767</v>
      </c>
      <c r="HV93" s="245" t="s">
        <v>6934</v>
      </c>
      <c r="HW93" s="245">
        <v>3</v>
      </c>
      <c r="HX93" s="245" t="s">
        <v>1587</v>
      </c>
      <c r="HY93" s="245" t="s">
        <v>601</v>
      </c>
      <c r="HZ93" s="245">
        <v>1</v>
      </c>
      <c r="IA93" s="245" t="s">
        <v>1623</v>
      </c>
      <c r="IB93" s="245" t="s">
        <v>1624</v>
      </c>
      <c r="IC93" s="246">
        <v>43767</v>
      </c>
      <c r="ID93" s="244" t="s">
        <v>6935</v>
      </c>
      <c r="IE93" s="247">
        <v>1</v>
      </c>
      <c r="IF93" s="247" t="s">
        <v>1587</v>
      </c>
      <c r="IG93" s="247" t="s">
        <v>600</v>
      </c>
      <c r="IH93" s="247">
        <v>2</v>
      </c>
      <c r="II93" s="247" t="s">
        <v>1623</v>
      </c>
      <c r="IJ93" s="247" t="s">
        <v>1624</v>
      </c>
      <c r="IK93" s="237">
        <v>43767</v>
      </c>
      <c r="IL93" s="245" t="s">
        <v>6936</v>
      </c>
      <c r="IM93" s="245">
        <v>3</v>
      </c>
      <c r="IN93" s="245" t="s">
        <v>1587</v>
      </c>
      <c r="IO93" s="245" t="s">
        <v>601</v>
      </c>
      <c r="IP93" s="245">
        <v>1</v>
      </c>
      <c r="IQ93" s="245" t="s">
        <v>1623</v>
      </c>
      <c r="IR93" s="245" t="s">
        <v>1624</v>
      </c>
      <c r="IS93" s="246">
        <v>43767</v>
      </c>
    </row>
    <row r="94" spans="1:253" s="11" customFormat="1" ht="13.2" x14ac:dyDescent="0.25">
      <c r="A94" s="11" t="s">
        <v>2057</v>
      </c>
      <c r="B94" s="11" t="s">
        <v>2103</v>
      </c>
      <c r="C94" s="11" t="s">
        <v>2104</v>
      </c>
      <c r="D94" s="11" t="s">
        <v>220</v>
      </c>
      <c r="E94" s="11" t="s">
        <v>219</v>
      </c>
      <c r="F94" s="11" t="s">
        <v>6937</v>
      </c>
      <c r="G94" s="235">
        <v>2541000</v>
      </c>
      <c r="H94" s="236" t="s">
        <v>1580</v>
      </c>
      <c r="I94" s="236" t="s">
        <v>600</v>
      </c>
      <c r="J94" s="236">
        <v>2</v>
      </c>
      <c r="K94" s="236" t="s">
        <v>3602</v>
      </c>
      <c r="L94" s="236" t="s">
        <v>3603</v>
      </c>
      <c r="M94" s="237">
        <v>44110</v>
      </c>
      <c r="N94" s="244" t="s">
        <v>6938</v>
      </c>
      <c r="O94" s="239">
        <v>823</v>
      </c>
      <c r="P94" s="239" t="s">
        <v>2059</v>
      </c>
      <c r="Q94" s="239" t="s">
        <v>601</v>
      </c>
      <c r="R94" s="239">
        <v>1</v>
      </c>
      <c r="S94" s="239" t="s">
        <v>2061</v>
      </c>
      <c r="T94" s="239" t="s">
        <v>2060</v>
      </c>
      <c r="U94" s="240">
        <v>43868</v>
      </c>
      <c r="V94" s="244" t="s">
        <v>6939</v>
      </c>
      <c r="W94" s="236">
        <v>2256000</v>
      </c>
      <c r="X94" s="236" t="s">
        <v>3928</v>
      </c>
      <c r="Y94" s="236" t="s">
        <v>600</v>
      </c>
      <c r="Z94" s="236">
        <v>2</v>
      </c>
      <c r="AA94" s="236" t="s">
        <v>3927</v>
      </c>
      <c r="AB94" s="236" t="s">
        <v>3481</v>
      </c>
      <c r="AC94" s="237">
        <v>44134</v>
      </c>
      <c r="AD94" s="244" t="s">
        <v>6940</v>
      </c>
      <c r="AE94" s="241">
        <v>1091000</v>
      </c>
      <c r="AF94" s="241" t="s">
        <v>3928</v>
      </c>
      <c r="AG94" s="241" t="s">
        <v>600</v>
      </c>
      <c r="AH94" s="241">
        <v>2</v>
      </c>
      <c r="AI94" s="241" t="s">
        <v>3915</v>
      </c>
      <c r="AJ94" s="241" t="s">
        <v>3481</v>
      </c>
      <c r="AK94" s="242">
        <v>44134</v>
      </c>
      <c r="AL94" s="244" t="s">
        <v>6941</v>
      </c>
      <c r="AM94" s="236">
        <v>0</v>
      </c>
      <c r="AN94" s="236" t="s">
        <v>393</v>
      </c>
      <c r="AO94" s="236" t="s">
        <v>393</v>
      </c>
      <c r="AP94" s="236" t="s">
        <v>393</v>
      </c>
      <c r="AQ94" s="236" t="s">
        <v>393</v>
      </c>
      <c r="AR94" s="236" t="s">
        <v>393</v>
      </c>
      <c r="AS94" s="237">
        <v>43868</v>
      </c>
      <c r="AT94" s="245" t="s">
        <v>6942</v>
      </c>
      <c r="AU94" s="241">
        <v>0</v>
      </c>
      <c r="AV94" s="241" t="s">
        <v>393</v>
      </c>
      <c r="AW94" s="241" t="s">
        <v>393</v>
      </c>
      <c r="AX94" s="241" t="s">
        <v>393</v>
      </c>
      <c r="AY94" s="241" t="s">
        <v>393</v>
      </c>
      <c r="AZ94" s="241" t="s">
        <v>393</v>
      </c>
      <c r="BA94" s="242">
        <v>43874</v>
      </c>
      <c r="BB94" s="244" t="s">
        <v>6943</v>
      </c>
      <c r="BC94" s="236">
        <v>0</v>
      </c>
      <c r="BD94" s="236" t="s">
        <v>393</v>
      </c>
      <c r="BE94" s="236" t="s">
        <v>393</v>
      </c>
      <c r="BF94" s="236" t="s">
        <v>393</v>
      </c>
      <c r="BG94" s="236" t="s">
        <v>393</v>
      </c>
      <c r="BH94" s="236" t="s">
        <v>393</v>
      </c>
      <c r="BI94" s="237">
        <v>43874</v>
      </c>
      <c r="BJ94" s="245" t="s">
        <v>6944</v>
      </c>
      <c r="BK94" s="245" t="s">
        <v>393</v>
      </c>
      <c r="BL94" s="245" t="s">
        <v>393</v>
      </c>
      <c r="BM94" s="245" t="s">
        <v>393</v>
      </c>
      <c r="BN94" s="245" t="s">
        <v>393</v>
      </c>
      <c r="BO94" s="245" t="s">
        <v>3913</v>
      </c>
      <c r="BP94" s="241" t="s">
        <v>393</v>
      </c>
      <c r="BQ94" s="246">
        <v>44134</v>
      </c>
      <c r="BR94" s="244" t="s">
        <v>6945</v>
      </c>
      <c r="BS94" s="247" t="e">
        <v>#N/A</v>
      </c>
      <c r="BT94" s="247" t="e">
        <v>#N/A</v>
      </c>
      <c r="BU94" s="247" t="e">
        <v>#N/A</v>
      </c>
      <c r="BV94" s="247" t="e">
        <v>#N/A</v>
      </c>
      <c r="BW94" s="247" t="e">
        <v>#N/A</v>
      </c>
      <c r="BX94" s="247" t="e">
        <v>#N/A</v>
      </c>
      <c r="BY94" s="237" t="e">
        <v>#N/A</v>
      </c>
      <c r="BZ94" s="245" t="s">
        <v>6946</v>
      </c>
      <c r="CA94" s="245" t="e">
        <v>#N/A</v>
      </c>
      <c r="CB94" s="245" t="e">
        <v>#N/A</v>
      </c>
      <c r="CC94" s="245" t="e">
        <v>#N/A</v>
      </c>
      <c r="CD94" s="245" t="e">
        <v>#N/A</v>
      </c>
      <c r="CE94" s="245" t="e">
        <v>#N/A</v>
      </c>
      <c r="CF94" s="245" t="e">
        <v>#N/A</v>
      </c>
      <c r="CG94" s="246" t="e">
        <v>#N/A</v>
      </c>
      <c r="CH94" s="244" t="s">
        <v>6947</v>
      </c>
      <c r="CI94" s="245" t="e">
        <v>#N/A</v>
      </c>
      <c r="CJ94" s="245" t="e">
        <v>#N/A</v>
      </c>
      <c r="CK94" s="245" t="e">
        <v>#N/A</v>
      </c>
      <c r="CL94" s="245" t="e">
        <v>#N/A</v>
      </c>
      <c r="CM94" s="245" t="e">
        <v>#N/A</v>
      </c>
      <c r="CN94" s="245" t="e">
        <v>#N/A</v>
      </c>
      <c r="CO94" s="248" t="e">
        <v>#N/A</v>
      </c>
      <c r="CP94" s="245" t="s">
        <v>6948</v>
      </c>
      <c r="CQ94" s="247" t="e">
        <v>#N/A</v>
      </c>
      <c r="CR94" s="247" t="e">
        <v>#N/A</v>
      </c>
      <c r="CS94" s="247" t="e">
        <v>#N/A</v>
      </c>
      <c r="CT94" s="247" t="e">
        <v>#N/A</v>
      </c>
      <c r="CU94" s="247" t="e">
        <v>#N/A</v>
      </c>
      <c r="CV94" s="247" t="e">
        <v>#N/A</v>
      </c>
      <c r="CW94" s="237" t="e">
        <v>#N/A</v>
      </c>
      <c r="CX94" s="245" t="s">
        <v>6949</v>
      </c>
      <c r="CY94" s="241">
        <v>440000</v>
      </c>
      <c r="CZ94" s="241" t="s">
        <v>3928</v>
      </c>
      <c r="DA94" s="241" t="s">
        <v>600</v>
      </c>
      <c r="DB94" s="241">
        <v>2</v>
      </c>
      <c r="DC94" s="241" t="s">
        <v>3916</v>
      </c>
      <c r="DD94" s="241" t="s">
        <v>3481</v>
      </c>
      <c r="DE94" s="243">
        <v>44134</v>
      </c>
      <c r="DF94" s="244" t="s">
        <v>6950</v>
      </c>
      <c r="DG94" s="236">
        <v>1165000</v>
      </c>
      <c r="DH94" s="247" t="s">
        <v>3928</v>
      </c>
      <c r="DI94" s="247" t="s">
        <v>600</v>
      </c>
      <c r="DJ94" s="247">
        <v>2</v>
      </c>
      <c r="DK94" s="247" t="s">
        <v>3916</v>
      </c>
      <c r="DL94" s="247" t="s">
        <v>3481</v>
      </c>
      <c r="DM94" s="237">
        <v>44134</v>
      </c>
      <c r="DN94" s="245" t="s">
        <v>6951</v>
      </c>
      <c r="DO94" s="241">
        <v>651000</v>
      </c>
      <c r="DP94" s="245" t="s">
        <v>3928</v>
      </c>
      <c r="DQ94" s="245" t="s">
        <v>600</v>
      </c>
      <c r="DR94" s="245">
        <v>2</v>
      </c>
      <c r="DS94" s="245" t="s">
        <v>3916</v>
      </c>
      <c r="DT94" s="245" t="s">
        <v>3481</v>
      </c>
      <c r="DU94" s="246">
        <v>44134</v>
      </c>
      <c r="DV94" s="244" t="s">
        <v>6952</v>
      </c>
      <c r="DW94" s="236">
        <v>426000</v>
      </c>
      <c r="DX94" s="247" t="s">
        <v>3928</v>
      </c>
      <c r="DY94" s="247" t="s">
        <v>600</v>
      </c>
      <c r="DZ94" s="247">
        <v>2</v>
      </c>
      <c r="EA94" s="247" t="s">
        <v>3916</v>
      </c>
      <c r="EB94" s="247" t="s">
        <v>3481</v>
      </c>
      <c r="EC94" s="237">
        <v>44134</v>
      </c>
      <c r="ED94" s="245" t="s">
        <v>6953</v>
      </c>
      <c r="EE94" s="241">
        <v>14000</v>
      </c>
      <c r="EF94" s="245" t="s">
        <v>3928</v>
      </c>
      <c r="EG94" s="245" t="s">
        <v>600</v>
      </c>
      <c r="EH94" s="245">
        <v>2</v>
      </c>
      <c r="EI94" s="245" t="s">
        <v>3916</v>
      </c>
      <c r="EJ94" s="245" t="s">
        <v>3481</v>
      </c>
      <c r="EK94" s="246">
        <v>44134</v>
      </c>
      <c r="EL94" s="244" t="s">
        <v>6954</v>
      </c>
      <c r="EM94" s="236">
        <v>0</v>
      </c>
      <c r="EN94" s="247" t="s">
        <v>3928</v>
      </c>
      <c r="EO94" s="247" t="s">
        <v>600</v>
      </c>
      <c r="EP94" s="247">
        <v>2</v>
      </c>
      <c r="EQ94" s="247" t="s">
        <v>3916</v>
      </c>
      <c r="ER94" s="247" t="s">
        <v>3481</v>
      </c>
      <c r="ES94" s="237">
        <v>44134</v>
      </c>
      <c r="ET94" s="245" t="s">
        <v>6955</v>
      </c>
      <c r="EU94" s="245" t="s">
        <v>393</v>
      </c>
      <c r="EV94" s="245" t="s">
        <v>393</v>
      </c>
      <c r="EW94" s="245" t="s">
        <v>393</v>
      </c>
      <c r="EX94" s="245" t="s">
        <v>393</v>
      </c>
      <c r="EY94" s="245" t="s">
        <v>3913</v>
      </c>
      <c r="EZ94" s="245" t="s">
        <v>393</v>
      </c>
      <c r="FA94" s="246">
        <v>44134</v>
      </c>
      <c r="FB94" s="244" t="s">
        <v>6956</v>
      </c>
      <c r="FC94" s="247">
        <v>1</v>
      </c>
      <c r="FD94" s="247" t="s">
        <v>2062</v>
      </c>
      <c r="FE94" s="247" t="s">
        <v>600</v>
      </c>
      <c r="FF94" s="247">
        <v>2</v>
      </c>
      <c r="FG94" s="247" t="s">
        <v>2107</v>
      </c>
      <c r="FH94" s="247" t="s">
        <v>2063</v>
      </c>
      <c r="FI94" s="237">
        <v>43868</v>
      </c>
      <c r="FJ94" s="244" t="s">
        <v>6957</v>
      </c>
      <c r="FK94" s="245" t="e">
        <v>#N/A</v>
      </c>
      <c r="FL94" s="245" t="e">
        <v>#N/A</v>
      </c>
      <c r="FM94" s="245" t="e">
        <v>#N/A</v>
      </c>
      <c r="FN94" s="245" t="e">
        <v>#N/A</v>
      </c>
      <c r="FO94" s="245" t="e">
        <v>#N/A</v>
      </c>
      <c r="FP94" s="241" t="e">
        <v>#N/A</v>
      </c>
      <c r="FQ94" s="242" t="e">
        <v>#N/A</v>
      </c>
      <c r="FR94" s="244" t="s">
        <v>6958</v>
      </c>
      <c r="FS94" s="247" t="e">
        <v>#N/A</v>
      </c>
      <c r="FT94" s="247" t="e">
        <v>#N/A</v>
      </c>
      <c r="FU94" s="247" t="e">
        <v>#N/A</v>
      </c>
      <c r="FV94" s="247" t="e">
        <v>#N/A</v>
      </c>
      <c r="FW94" s="247" t="e">
        <v>#N/A</v>
      </c>
      <c r="FX94" s="247" t="e">
        <v>#N/A</v>
      </c>
      <c r="FY94" s="237" t="e">
        <v>#N/A</v>
      </c>
      <c r="FZ94" s="245" t="s">
        <v>6959</v>
      </c>
      <c r="GA94" s="245">
        <v>0</v>
      </c>
      <c r="GB94" s="245" t="s">
        <v>2112</v>
      </c>
      <c r="GC94" s="245" t="s">
        <v>600</v>
      </c>
      <c r="GD94" s="245">
        <v>2</v>
      </c>
      <c r="GE94" s="245" t="s">
        <v>393</v>
      </c>
      <c r="GF94" s="245" t="s">
        <v>1723</v>
      </c>
      <c r="GG94" s="246">
        <v>43868</v>
      </c>
      <c r="GH94" s="244" t="s">
        <v>6960</v>
      </c>
      <c r="GI94" s="247">
        <v>0</v>
      </c>
      <c r="GJ94" s="247" t="s">
        <v>2112</v>
      </c>
      <c r="GK94" s="247" t="s">
        <v>600</v>
      </c>
      <c r="GL94" s="247">
        <v>2</v>
      </c>
      <c r="GM94" s="247" t="s">
        <v>393</v>
      </c>
      <c r="GN94" s="247" t="s">
        <v>1723</v>
      </c>
      <c r="GO94" s="237">
        <v>43868</v>
      </c>
      <c r="GP94" s="245" t="s">
        <v>6961</v>
      </c>
      <c r="GQ94" s="245">
        <v>0</v>
      </c>
      <c r="GR94" s="245" t="s">
        <v>2112</v>
      </c>
      <c r="GS94" s="245" t="s">
        <v>600</v>
      </c>
      <c r="GT94" s="245">
        <v>2</v>
      </c>
      <c r="GU94" s="245" t="s">
        <v>393</v>
      </c>
      <c r="GV94" s="245" t="s">
        <v>1723</v>
      </c>
      <c r="GW94" s="246">
        <v>43868</v>
      </c>
      <c r="GX94" s="244" t="s">
        <v>6962</v>
      </c>
      <c r="GY94" s="247">
        <v>0</v>
      </c>
      <c r="GZ94" s="247" t="s">
        <v>2112</v>
      </c>
      <c r="HA94" s="247" t="s">
        <v>600</v>
      </c>
      <c r="HB94" s="247">
        <v>2</v>
      </c>
      <c r="HC94" s="247" t="s">
        <v>393</v>
      </c>
      <c r="HD94" s="247" t="s">
        <v>1723</v>
      </c>
      <c r="HE94" s="237">
        <v>43868</v>
      </c>
      <c r="HF94" s="245" t="s">
        <v>6963</v>
      </c>
      <c r="HG94" s="245">
        <v>0</v>
      </c>
      <c r="HH94" s="245" t="s">
        <v>2112</v>
      </c>
      <c r="HI94" s="245" t="s">
        <v>600</v>
      </c>
      <c r="HJ94" s="245">
        <v>2</v>
      </c>
      <c r="HK94" s="245" t="s">
        <v>393</v>
      </c>
      <c r="HL94" s="245" t="s">
        <v>1723</v>
      </c>
      <c r="HM94" s="246">
        <v>43868</v>
      </c>
      <c r="HN94" s="244" t="s">
        <v>6964</v>
      </c>
      <c r="HO94" s="247">
        <v>0</v>
      </c>
      <c r="HP94" s="247" t="s">
        <v>2112</v>
      </c>
      <c r="HQ94" s="247" t="s">
        <v>600</v>
      </c>
      <c r="HR94" s="247">
        <v>2</v>
      </c>
      <c r="HS94" s="247" t="s">
        <v>393</v>
      </c>
      <c r="HT94" s="247" t="s">
        <v>1723</v>
      </c>
      <c r="HU94" s="237">
        <v>43868</v>
      </c>
      <c r="HV94" s="245" t="s">
        <v>6965</v>
      </c>
      <c r="HW94" s="245">
        <v>0</v>
      </c>
      <c r="HX94" s="245" t="s">
        <v>2112</v>
      </c>
      <c r="HY94" s="245" t="s">
        <v>600</v>
      </c>
      <c r="HZ94" s="245">
        <v>2</v>
      </c>
      <c r="IA94" s="245" t="s">
        <v>393</v>
      </c>
      <c r="IB94" s="245" t="s">
        <v>1723</v>
      </c>
      <c r="IC94" s="246">
        <v>43868</v>
      </c>
      <c r="ID94" s="244" t="s">
        <v>6966</v>
      </c>
      <c r="IE94" s="247">
        <v>0</v>
      </c>
      <c r="IF94" s="247" t="s">
        <v>2112</v>
      </c>
      <c r="IG94" s="247" t="s">
        <v>600</v>
      </c>
      <c r="IH94" s="247">
        <v>2</v>
      </c>
      <c r="II94" s="247" t="s">
        <v>393</v>
      </c>
      <c r="IJ94" s="247" t="s">
        <v>1723</v>
      </c>
      <c r="IK94" s="237">
        <v>43868</v>
      </c>
      <c r="IL94" s="245" t="s">
        <v>6967</v>
      </c>
      <c r="IM94" s="245">
        <v>0</v>
      </c>
      <c r="IN94" s="245" t="s">
        <v>2112</v>
      </c>
      <c r="IO94" s="245" t="s">
        <v>600</v>
      </c>
      <c r="IP94" s="245">
        <v>2</v>
      </c>
      <c r="IQ94" s="245" t="s">
        <v>393</v>
      </c>
      <c r="IR94" s="245" t="s">
        <v>1723</v>
      </c>
      <c r="IS94" s="246">
        <v>43868</v>
      </c>
    </row>
    <row r="95" spans="1:253" s="11" customFormat="1" ht="13.2" x14ac:dyDescent="0.25">
      <c r="A95" s="11" t="s">
        <v>1098</v>
      </c>
      <c r="B95" s="11" t="s">
        <v>1282</v>
      </c>
      <c r="C95" s="11" t="s">
        <v>590</v>
      </c>
      <c r="D95" s="11" t="s">
        <v>230</v>
      </c>
      <c r="E95" s="11" t="s">
        <v>229</v>
      </c>
      <c r="F95" s="11" t="s">
        <v>6968</v>
      </c>
      <c r="G95" s="235">
        <v>6444000</v>
      </c>
      <c r="H95" s="236" t="s">
        <v>3359</v>
      </c>
      <c r="I95" s="236" t="s">
        <v>600</v>
      </c>
      <c r="J95" s="236">
        <v>2</v>
      </c>
      <c r="K95" s="236" t="s">
        <v>3589</v>
      </c>
      <c r="L95" s="236" t="s">
        <v>3588</v>
      </c>
      <c r="M95" s="237">
        <v>44110</v>
      </c>
      <c r="N95" s="244" t="s">
        <v>6969</v>
      </c>
      <c r="O95" s="239">
        <v>120339.54</v>
      </c>
      <c r="P95" s="239" t="s">
        <v>1960</v>
      </c>
      <c r="Q95" s="239" t="s">
        <v>601</v>
      </c>
      <c r="R95" s="239">
        <v>1</v>
      </c>
      <c r="S95" s="239" t="s">
        <v>1978</v>
      </c>
      <c r="T95" s="239" t="s">
        <v>1970</v>
      </c>
      <c r="U95" s="240">
        <v>43867</v>
      </c>
      <c r="V95" s="244" t="s">
        <v>6970</v>
      </c>
      <c r="W95" s="236">
        <v>6444000</v>
      </c>
      <c r="X95" s="236" t="s">
        <v>3359</v>
      </c>
      <c r="Y95" s="236" t="s">
        <v>600</v>
      </c>
      <c r="Z95" s="236">
        <v>2</v>
      </c>
      <c r="AA95" s="236" t="s">
        <v>3589</v>
      </c>
      <c r="AB95" s="236" t="s">
        <v>3588</v>
      </c>
      <c r="AC95" s="237">
        <v>44110</v>
      </c>
      <c r="AD95" s="244" t="s">
        <v>6971</v>
      </c>
      <c r="AE95" s="241">
        <v>417000</v>
      </c>
      <c r="AF95" s="241" t="s">
        <v>695</v>
      </c>
      <c r="AG95" s="241" t="s">
        <v>600</v>
      </c>
      <c r="AH95" s="241">
        <v>2</v>
      </c>
      <c r="AI95" s="241" t="s">
        <v>697</v>
      </c>
      <c r="AJ95" s="241" t="s">
        <v>696</v>
      </c>
      <c r="AK95" s="242">
        <v>43489</v>
      </c>
      <c r="AL95" s="244" t="s">
        <v>6972</v>
      </c>
      <c r="AM95" s="236">
        <v>102000</v>
      </c>
      <c r="AN95" s="236" t="s">
        <v>3360</v>
      </c>
      <c r="AO95" s="236" t="s">
        <v>600</v>
      </c>
      <c r="AP95" s="236">
        <v>2</v>
      </c>
      <c r="AQ95" s="236" t="s">
        <v>3590</v>
      </c>
      <c r="AR95" s="236" t="s">
        <v>2206</v>
      </c>
      <c r="AS95" s="237">
        <v>44110</v>
      </c>
      <c r="AT95" s="245" t="s">
        <v>6973</v>
      </c>
      <c r="AU95" s="241" t="s">
        <v>393</v>
      </c>
      <c r="AV95" s="241" t="s">
        <v>3362</v>
      </c>
      <c r="AW95" s="241" t="s">
        <v>599</v>
      </c>
      <c r="AX95" s="241">
        <v>3</v>
      </c>
      <c r="AY95" s="241" t="s">
        <v>2211</v>
      </c>
      <c r="AZ95" s="241" t="s">
        <v>2205</v>
      </c>
      <c r="BA95" s="242">
        <v>44110</v>
      </c>
      <c r="BB95" s="244" t="s">
        <v>6974</v>
      </c>
      <c r="BC95" s="236">
        <v>17631</v>
      </c>
      <c r="BD95" s="236" t="s">
        <v>3361</v>
      </c>
      <c r="BE95" s="236" t="s">
        <v>600</v>
      </c>
      <c r="BF95" s="236">
        <v>2</v>
      </c>
      <c r="BG95" s="236" t="s">
        <v>3592</v>
      </c>
      <c r="BH95" s="236" t="s">
        <v>3591</v>
      </c>
      <c r="BI95" s="237">
        <v>44110</v>
      </c>
      <c r="BJ95" s="245" t="s">
        <v>6975</v>
      </c>
      <c r="BK95" s="245">
        <v>6</v>
      </c>
      <c r="BL95" s="245" t="s">
        <v>3362</v>
      </c>
      <c r="BM95" s="245" t="s">
        <v>599</v>
      </c>
      <c r="BN95" s="245">
        <v>3</v>
      </c>
      <c r="BO95" s="245" t="s">
        <v>2367</v>
      </c>
      <c r="BP95" s="241" t="s">
        <v>2205</v>
      </c>
      <c r="BQ95" s="246">
        <v>44110</v>
      </c>
      <c r="BR95" s="244" t="s">
        <v>6976</v>
      </c>
      <c r="BS95" s="247">
        <v>0</v>
      </c>
      <c r="BT95" s="247">
        <v>0</v>
      </c>
      <c r="BU95" s="247" t="s">
        <v>600</v>
      </c>
      <c r="BV95" s="247">
        <v>2</v>
      </c>
      <c r="BW95" s="247">
        <v>0</v>
      </c>
      <c r="BX95" s="247">
        <v>0</v>
      </c>
      <c r="BY95" s="237">
        <v>43489</v>
      </c>
      <c r="BZ95" s="245" t="s">
        <v>6977</v>
      </c>
      <c r="CA95" s="245">
        <v>0</v>
      </c>
      <c r="CB95" s="245">
        <v>0</v>
      </c>
      <c r="CC95" s="245" t="s">
        <v>600</v>
      </c>
      <c r="CD95" s="245">
        <v>2</v>
      </c>
      <c r="CE95" s="245">
        <v>0</v>
      </c>
      <c r="CF95" s="245">
        <v>0</v>
      </c>
      <c r="CG95" s="246">
        <v>43489</v>
      </c>
      <c r="CH95" s="244" t="s">
        <v>6978</v>
      </c>
      <c r="CI95" s="245" t="e">
        <v>#N/A</v>
      </c>
      <c r="CJ95" s="245" t="e">
        <v>#N/A</v>
      </c>
      <c r="CK95" s="245" t="e">
        <v>#N/A</v>
      </c>
      <c r="CL95" s="245" t="e">
        <v>#N/A</v>
      </c>
      <c r="CM95" s="245" t="e">
        <v>#N/A</v>
      </c>
      <c r="CN95" s="245" t="e">
        <v>#N/A</v>
      </c>
      <c r="CO95" s="248" t="e">
        <v>#N/A</v>
      </c>
      <c r="CP95" s="245" t="s">
        <v>6979</v>
      </c>
      <c r="CQ95" s="247">
        <v>1214</v>
      </c>
      <c r="CR95" s="247" t="s">
        <v>700</v>
      </c>
      <c r="CS95" s="247" t="s">
        <v>600</v>
      </c>
      <c r="CT95" s="247">
        <v>2</v>
      </c>
      <c r="CU95" s="247" t="s">
        <v>698</v>
      </c>
      <c r="CV95" s="247" t="s">
        <v>699</v>
      </c>
      <c r="CW95" s="237">
        <v>43489</v>
      </c>
      <c r="CX95" s="245" t="s">
        <v>6980</v>
      </c>
      <c r="CY95" s="241" t="s">
        <v>393</v>
      </c>
      <c r="CZ95" s="241" t="s">
        <v>393</v>
      </c>
      <c r="DA95" s="241" t="s">
        <v>393</v>
      </c>
      <c r="DB95" s="241" t="s">
        <v>393</v>
      </c>
      <c r="DC95" s="241" t="s">
        <v>1608</v>
      </c>
      <c r="DD95" s="241">
        <v>0</v>
      </c>
      <c r="DE95" s="243">
        <v>43769</v>
      </c>
      <c r="DF95" s="244" t="s">
        <v>6981</v>
      </c>
      <c r="DG95" s="236" t="s">
        <v>393</v>
      </c>
      <c r="DH95" s="247" t="s">
        <v>393</v>
      </c>
      <c r="DI95" s="247" t="s">
        <v>393</v>
      </c>
      <c r="DJ95" s="247" t="s">
        <v>393</v>
      </c>
      <c r="DK95" s="247" t="s">
        <v>1607</v>
      </c>
      <c r="DL95" s="247">
        <v>0</v>
      </c>
      <c r="DM95" s="237">
        <v>43769</v>
      </c>
      <c r="DN95" s="245" t="s">
        <v>6982</v>
      </c>
      <c r="DO95" s="241" t="s">
        <v>393</v>
      </c>
      <c r="DP95" s="245" t="s">
        <v>393</v>
      </c>
      <c r="DQ95" s="245" t="s">
        <v>393</v>
      </c>
      <c r="DR95" s="245" t="s">
        <v>393</v>
      </c>
      <c r="DS95" s="245" t="s">
        <v>1608</v>
      </c>
      <c r="DT95" s="245">
        <v>0</v>
      </c>
      <c r="DU95" s="246">
        <v>43769</v>
      </c>
      <c r="DV95" s="244" t="s">
        <v>6983</v>
      </c>
      <c r="DW95" s="236" t="s">
        <v>393</v>
      </c>
      <c r="DX95" s="247" t="s">
        <v>393</v>
      </c>
      <c r="DY95" s="247" t="s">
        <v>393</v>
      </c>
      <c r="DZ95" s="247" t="s">
        <v>393</v>
      </c>
      <c r="EA95" s="247" t="s">
        <v>1608</v>
      </c>
      <c r="EB95" s="247">
        <v>0</v>
      </c>
      <c r="EC95" s="237">
        <v>43769</v>
      </c>
      <c r="ED95" s="245" t="s">
        <v>6984</v>
      </c>
      <c r="EE95" s="241">
        <v>0</v>
      </c>
      <c r="EF95" s="245">
        <v>0</v>
      </c>
      <c r="EG95" s="245" t="s">
        <v>601</v>
      </c>
      <c r="EH95" s="245">
        <v>1</v>
      </c>
      <c r="EI95" s="245">
        <v>0</v>
      </c>
      <c r="EJ95" s="245">
        <v>0</v>
      </c>
      <c r="EK95" s="246">
        <v>43489</v>
      </c>
      <c r="EL95" s="244" t="s">
        <v>6985</v>
      </c>
      <c r="EM95" s="236">
        <v>0</v>
      </c>
      <c r="EN95" s="247">
        <v>0</v>
      </c>
      <c r="EO95" s="247" t="s">
        <v>601</v>
      </c>
      <c r="EP95" s="247">
        <v>1</v>
      </c>
      <c r="EQ95" s="247">
        <v>0</v>
      </c>
      <c r="ER95" s="247">
        <v>0</v>
      </c>
      <c r="ES95" s="237">
        <v>43489</v>
      </c>
      <c r="ET95" s="245" t="s">
        <v>6986</v>
      </c>
      <c r="EU95" s="245">
        <v>6</v>
      </c>
      <c r="EV95" s="245" t="s">
        <v>3362</v>
      </c>
      <c r="EW95" s="245" t="s">
        <v>599</v>
      </c>
      <c r="EX95" s="245">
        <v>3</v>
      </c>
      <c r="EY95" s="245" t="s">
        <v>2367</v>
      </c>
      <c r="EZ95" s="245" t="s">
        <v>2205</v>
      </c>
      <c r="FA95" s="246">
        <v>44110</v>
      </c>
      <c r="FB95" s="244" t="s">
        <v>6987</v>
      </c>
      <c r="FC95" s="247">
        <v>1</v>
      </c>
      <c r="FD95" s="247">
        <v>0</v>
      </c>
      <c r="FE95" s="247" t="s">
        <v>600</v>
      </c>
      <c r="FF95" s="247">
        <v>2</v>
      </c>
      <c r="FG95" s="247">
        <v>0</v>
      </c>
      <c r="FH95" s="247">
        <v>0</v>
      </c>
      <c r="FI95" s="237">
        <v>43489</v>
      </c>
      <c r="FJ95" s="244" t="s">
        <v>6988</v>
      </c>
      <c r="FK95" s="245">
        <v>0</v>
      </c>
      <c r="FL95" s="245">
        <v>0</v>
      </c>
      <c r="FM95" s="245">
        <v>0</v>
      </c>
      <c r="FN95" s="245" t="b">
        <v>0</v>
      </c>
      <c r="FO95" s="245">
        <v>0</v>
      </c>
      <c r="FP95" s="241">
        <v>0</v>
      </c>
      <c r="FQ95" s="242">
        <v>43489</v>
      </c>
      <c r="FR95" s="244" t="s">
        <v>6989</v>
      </c>
      <c r="FS95" s="247">
        <v>0</v>
      </c>
      <c r="FT95" s="247">
        <v>0</v>
      </c>
      <c r="FU95" s="247">
        <v>0</v>
      </c>
      <c r="FV95" s="247" t="b">
        <v>0</v>
      </c>
      <c r="FW95" s="247">
        <v>0</v>
      </c>
      <c r="FX95" s="247">
        <v>0</v>
      </c>
      <c r="FY95" s="237">
        <v>43489</v>
      </c>
      <c r="FZ95" s="245" t="s">
        <v>6990</v>
      </c>
      <c r="GA95" s="245" t="s">
        <v>393</v>
      </c>
      <c r="GB95" s="245" t="s">
        <v>1587</v>
      </c>
      <c r="GC95" s="245" t="s">
        <v>393</v>
      </c>
      <c r="GD95" s="245" t="s">
        <v>393</v>
      </c>
      <c r="GE95" s="245" t="s">
        <v>1623</v>
      </c>
      <c r="GF95" s="245" t="s">
        <v>1624</v>
      </c>
      <c r="GG95" s="246">
        <v>43769</v>
      </c>
      <c r="GH95" s="244" t="s">
        <v>6991</v>
      </c>
      <c r="GI95" s="247" t="s">
        <v>393</v>
      </c>
      <c r="GJ95" s="247" t="s">
        <v>1587</v>
      </c>
      <c r="GK95" s="247" t="s">
        <v>393</v>
      </c>
      <c r="GL95" s="247" t="s">
        <v>393</v>
      </c>
      <c r="GM95" s="247" t="s">
        <v>1623</v>
      </c>
      <c r="GN95" s="247" t="s">
        <v>1624</v>
      </c>
      <c r="GO95" s="237">
        <v>43769</v>
      </c>
      <c r="GP95" s="245" t="s">
        <v>6992</v>
      </c>
      <c r="GQ95" s="245">
        <v>1</v>
      </c>
      <c r="GR95" s="245" t="s">
        <v>1587</v>
      </c>
      <c r="GS95" s="245" t="s">
        <v>601</v>
      </c>
      <c r="GT95" s="245">
        <v>1</v>
      </c>
      <c r="GU95" s="245" t="s">
        <v>1623</v>
      </c>
      <c r="GV95" s="245" t="s">
        <v>1624</v>
      </c>
      <c r="GW95" s="246">
        <v>43769</v>
      </c>
      <c r="GX95" s="244" t="s">
        <v>6993</v>
      </c>
      <c r="GY95" s="247">
        <v>0</v>
      </c>
      <c r="GZ95" s="247" t="s">
        <v>1587</v>
      </c>
      <c r="HA95" s="247" t="s">
        <v>601</v>
      </c>
      <c r="HB95" s="247">
        <v>1</v>
      </c>
      <c r="HC95" s="247" t="s">
        <v>1623</v>
      </c>
      <c r="HD95" s="247" t="s">
        <v>1624</v>
      </c>
      <c r="HE95" s="237">
        <v>43769</v>
      </c>
      <c r="HF95" s="245" t="s">
        <v>6994</v>
      </c>
      <c r="HG95" s="245">
        <v>1</v>
      </c>
      <c r="HH95" s="245" t="s">
        <v>1587</v>
      </c>
      <c r="HI95" s="245" t="s">
        <v>601</v>
      </c>
      <c r="HJ95" s="245">
        <v>1</v>
      </c>
      <c r="HK95" s="245" t="s">
        <v>1623</v>
      </c>
      <c r="HL95" s="245" t="s">
        <v>1624</v>
      </c>
      <c r="HM95" s="246">
        <v>43769</v>
      </c>
      <c r="HN95" s="244" t="s">
        <v>6995</v>
      </c>
      <c r="HO95" s="247">
        <v>1</v>
      </c>
      <c r="HP95" s="247" t="s">
        <v>1587</v>
      </c>
      <c r="HQ95" s="247" t="s">
        <v>601</v>
      </c>
      <c r="HR95" s="247">
        <v>1</v>
      </c>
      <c r="HS95" s="247" t="s">
        <v>1623</v>
      </c>
      <c r="HT95" s="247" t="s">
        <v>1624</v>
      </c>
      <c r="HU95" s="237">
        <v>43769</v>
      </c>
      <c r="HV95" s="245" t="s">
        <v>6996</v>
      </c>
      <c r="HW95" s="245">
        <v>0</v>
      </c>
      <c r="HX95" s="245" t="s">
        <v>1587</v>
      </c>
      <c r="HY95" s="245" t="s">
        <v>601</v>
      </c>
      <c r="HZ95" s="245">
        <v>1</v>
      </c>
      <c r="IA95" s="245" t="s">
        <v>1623</v>
      </c>
      <c r="IB95" s="245" t="s">
        <v>1624</v>
      </c>
      <c r="IC95" s="246">
        <v>43769</v>
      </c>
      <c r="ID95" s="244" t="s">
        <v>6997</v>
      </c>
      <c r="IE95" s="247">
        <v>0</v>
      </c>
      <c r="IF95" s="247" t="s">
        <v>1587</v>
      </c>
      <c r="IG95" s="247" t="s">
        <v>601</v>
      </c>
      <c r="IH95" s="247">
        <v>1</v>
      </c>
      <c r="II95" s="247" t="s">
        <v>1623</v>
      </c>
      <c r="IJ95" s="247" t="s">
        <v>1624</v>
      </c>
      <c r="IK95" s="237">
        <v>43769</v>
      </c>
      <c r="IL95" s="245" t="s">
        <v>6998</v>
      </c>
      <c r="IM95" s="245">
        <v>2</v>
      </c>
      <c r="IN95" s="245" t="s">
        <v>1587</v>
      </c>
      <c r="IO95" s="245" t="s">
        <v>601</v>
      </c>
      <c r="IP95" s="245">
        <v>1</v>
      </c>
      <c r="IQ95" s="245" t="s">
        <v>1623</v>
      </c>
      <c r="IR95" s="245" t="s">
        <v>1624</v>
      </c>
      <c r="IS95" s="246">
        <v>43769</v>
      </c>
    </row>
    <row r="96" spans="1:253" s="11" customFormat="1" ht="13.2" x14ac:dyDescent="0.25">
      <c r="A96" s="11" t="s">
        <v>1165</v>
      </c>
      <c r="B96" s="11" t="s">
        <v>3258</v>
      </c>
      <c r="C96" s="11" t="s">
        <v>591</v>
      </c>
      <c r="D96" s="11" t="s">
        <v>232</v>
      </c>
      <c r="E96" s="11" t="s">
        <v>231</v>
      </c>
      <c r="F96" s="11" t="s">
        <v>6999</v>
      </c>
      <c r="G96" s="235">
        <v>23578000</v>
      </c>
      <c r="H96" s="236" t="s">
        <v>3320</v>
      </c>
      <c r="I96" s="236" t="s">
        <v>600</v>
      </c>
      <c r="J96" s="236">
        <v>2</v>
      </c>
      <c r="K96" s="236" t="s">
        <v>2010</v>
      </c>
      <c r="L96" s="236" t="s">
        <v>2800</v>
      </c>
      <c r="M96" s="237">
        <v>44134</v>
      </c>
      <c r="N96" s="244" t="s">
        <v>7000</v>
      </c>
      <c r="O96" s="239">
        <v>1267000</v>
      </c>
      <c r="P96" s="239" t="s">
        <v>847</v>
      </c>
      <c r="Q96" s="239" t="s">
        <v>601</v>
      </c>
      <c r="R96" s="239">
        <v>1</v>
      </c>
      <c r="S96" s="239" t="s">
        <v>852</v>
      </c>
      <c r="T96" s="239" t="s">
        <v>846</v>
      </c>
      <c r="U96" s="240">
        <v>43508</v>
      </c>
      <c r="V96" s="244" t="s">
        <v>7001</v>
      </c>
      <c r="W96" s="236">
        <v>23577000</v>
      </c>
      <c r="X96" s="236" t="s">
        <v>3320</v>
      </c>
      <c r="Y96" s="236" t="s">
        <v>600</v>
      </c>
      <c r="Z96" s="236">
        <v>2</v>
      </c>
      <c r="AA96" s="236" t="s">
        <v>2010</v>
      </c>
      <c r="AB96" s="236" t="s">
        <v>2800</v>
      </c>
      <c r="AC96" s="237">
        <v>44109</v>
      </c>
      <c r="AD96" s="244" t="s">
        <v>7002</v>
      </c>
      <c r="AE96" s="241">
        <v>23578000</v>
      </c>
      <c r="AF96" s="241" t="s">
        <v>3320</v>
      </c>
      <c r="AG96" s="241" t="s">
        <v>600</v>
      </c>
      <c r="AH96" s="241">
        <v>2</v>
      </c>
      <c r="AI96" s="241" t="s">
        <v>2010</v>
      </c>
      <c r="AJ96" s="241" t="s">
        <v>2800</v>
      </c>
      <c r="AK96" s="242">
        <v>44134</v>
      </c>
      <c r="AL96" s="244" t="s">
        <v>7003</v>
      </c>
      <c r="AM96" s="236">
        <v>538000</v>
      </c>
      <c r="AN96" s="236" t="s">
        <v>3901</v>
      </c>
      <c r="AO96" s="236" t="s">
        <v>600</v>
      </c>
      <c r="AP96" s="236">
        <v>2</v>
      </c>
      <c r="AQ96" s="236" t="s">
        <v>3498</v>
      </c>
      <c r="AR96" s="236" t="s">
        <v>3902</v>
      </c>
      <c r="AS96" s="237">
        <v>44134</v>
      </c>
      <c r="AT96" s="245" t="s">
        <v>7004</v>
      </c>
      <c r="AU96" s="241" t="s">
        <v>703</v>
      </c>
      <c r="AV96" s="241">
        <v>0</v>
      </c>
      <c r="AW96" s="241" t="s">
        <v>393</v>
      </c>
      <c r="AX96" s="241" t="s">
        <v>393</v>
      </c>
      <c r="AY96" s="241" t="s">
        <v>841</v>
      </c>
      <c r="AZ96" s="241">
        <v>0</v>
      </c>
      <c r="BA96" s="242">
        <v>43508</v>
      </c>
      <c r="BB96" s="244" t="s">
        <v>7005</v>
      </c>
      <c r="BC96" s="236" t="s">
        <v>703</v>
      </c>
      <c r="BD96" s="236">
        <v>0</v>
      </c>
      <c r="BE96" s="236" t="s">
        <v>393</v>
      </c>
      <c r="BF96" s="236" t="s">
        <v>393</v>
      </c>
      <c r="BG96" s="236" t="s">
        <v>841</v>
      </c>
      <c r="BH96" s="236">
        <v>0</v>
      </c>
      <c r="BI96" s="237">
        <v>43508</v>
      </c>
      <c r="BJ96" s="245" t="s">
        <v>7006</v>
      </c>
      <c r="BK96" s="245">
        <v>490</v>
      </c>
      <c r="BL96" s="245" t="s">
        <v>3872</v>
      </c>
      <c r="BM96" s="245" t="s">
        <v>599</v>
      </c>
      <c r="BN96" s="245">
        <v>3</v>
      </c>
      <c r="BO96" s="245" t="s">
        <v>3904</v>
      </c>
      <c r="BP96" s="241" t="s">
        <v>812</v>
      </c>
      <c r="BQ96" s="246">
        <v>44134</v>
      </c>
      <c r="BR96" s="244" t="s">
        <v>7007</v>
      </c>
      <c r="BS96" s="247" t="s">
        <v>703</v>
      </c>
      <c r="BT96" s="247">
        <v>0</v>
      </c>
      <c r="BU96" s="247" t="s">
        <v>393</v>
      </c>
      <c r="BV96" s="247" t="s">
        <v>393</v>
      </c>
      <c r="BW96" s="247" t="s">
        <v>841</v>
      </c>
      <c r="BX96" s="247">
        <v>0</v>
      </c>
      <c r="BY96" s="237">
        <v>43508</v>
      </c>
      <c r="BZ96" s="245" t="s">
        <v>7008</v>
      </c>
      <c r="CA96" s="245" t="s">
        <v>703</v>
      </c>
      <c r="CB96" s="245">
        <v>0</v>
      </c>
      <c r="CC96" s="245" t="s">
        <v>393</v>
      </c>
      <c r="CD96" s="245" t="s">
        <v>393</v>
      </c>
      <c r="CE96" s="245" t="s">
        <v>841</v>
      </c>
      <c r="CF96" s="245">
        <v>0</v>
      </c>
      <c r="CG96" s="246">
        <v>43508</v>
      </c>
      <c r="CH96" s="244" t="s">
        <v>7009</v>
      </c>
      <c r="CI96" s="245" t="e">
        <v>#N/A</v>
      </c>
      <c r="CJ96" s="245" t="e">
        <v>#N/A</v>
      </c>
      <c r="CK96" s="245" t="e">
        <v>#N/A</v>
      </c>
      <c r="CL96" s="245" t="e">
        <v>#N/A</v>
      </c>
      <c r="CM96" s="245" t="e">
        <v>#N/A</v>
      </c>
      <c r="CN96" s="245" t="e">
        <v>#N/A</v>
      </c>
      <c r="CO96" s="248" t="e">
        <v>#N/A</v>
      </c>
      <c r="CP96" s="245" t="s">
        <v>7010</v>
      </c>
      <c r="CQ96" s="247" t="s">
        <v>703</v>
      </c>
      <c r="CR96" s="247">
        <v>0</v>
      </c>
      <c r="CS96" s="247" t="s">
        <v>393</v>
      </c>
      <c r="CT96" s="247" t="s">
        <v>393</v>
      </c>
      <c r="CU96" s="247" t="s">
        <v>841</v>
      </c>
      <c r="CV96" s="247">
        <v>0</v>
      </c>
      <c r="CW96" s="237">
        <v>43508</v>
      </c>
      <c r="CX96" s="245" t="s">
        <v>7011</v>
      </c>
      <c r="CY96" s="241">
        <v>3700000</v>
      </c>
      <c r="CZ96" s="241" t="s">
        <v>3905</v>
      </c>
      <c r="DA96" s="241" t="s">
        <v>599</v>
      </c>
      <c r="DB96" s="241">
        <v>3</v>
      </c>
      <c r="DC96" s="241" t="s">
        <v>3500</v>
      </c>
      <c r="DD96" s="241" t="s">
        <v>3906</v>
      </c>
      <c r="DE96" s="243">
        <v>44134</v>
      </c>
      <c r="DF96" s="244" t="s">
        <v>7012</v>
      </c>
      <c r="DG96" s="236">
        <v>19878000</v>
      </c>
      <c r="DH96" s="247" t="s">
        <v>3905</v>
      </c>
      <c r="DI96" s="247" t="s">
        <v>599</v>
      </c>
      <c r="DJ96" s="247">
        <v>3</v>
      </c>
      <c r="DK96" s="247" t="s">
        <v>3500</v>
      </c>
      <c r="DL96" s="247" t="s">
        <v>3906</v>
      </c>
      <c r="DM96" s="237">
        <v>44134</v>
      </c>
      <c r="DN96" s="245" t="s">
        <v>7013</v>
      </c>
      <c r="DO96" s="241">
        <v>0</v>
      </c>
      <c r="DP96" s="245" t="s">
        <v>3905</v>
      </c>
      <c r="DQ96" s="245" t="s">
        <v>599</v>
      </c>
      <c r="DR96" s="245">
        <v>3</v>
      </c>
      <c r="DS96" s="245" t="s">
        <v>3500</v>
      </c>
      <c r="DT96" s="245" t="s">
        <v>3906</v>
      </c>
      <c r="DU96" s="246">
        <v>44134</v>
      </c>
      <c r="DV96" s="244" t="s">
        <v>7014</v>
      </c>
      <c r="DW96" s="236">
        <v>3162000</v>
      </c>
      <c r="DX96" s="247" t="s">
        <v>3905</v>
      </c>
      <c r="DY96" s="247" t="s">
        <v>599</v>
      </c>
      <c r="DZ96" s="247">
        <v>3</v>
      </c>
      <c r="EA96" s="247" t="s">
        <v>3500</v>
      </c>
      <c r="EB96" s="247" t="s">
        <v>3906</v>
      </c>
      <c r="EC96" s="237">
        <v>44134</v>
      </c>
      <c r="ED96" s="245" t="s">
        <v>7015</v>
      </c>
      <c r="EE96" s="241">
        <v>538000</v>
      </c>
      <c r="EF96" s="245" t="s">
        <v>3905</v>
      </c>
      <c r="EG96" s="245" t="s">
        <v>599</v>
      </c>
      <c r="EH96" s="245">
        <v>3</v>
      </c>
      <c r="EI96" s="245" t="s">
        <v>3500</v>
      </c>
      <c r="EJ96" s="245" t="s">
        <v>3906</v>
      </c>
      <c r="EK96" s="246">
        <v>44134</v>
      </c>
      <c r="EL96" s="244" t="s">
        <v>7016</v>
      </c>
      <c r="EM96" s="236">
        <v>0</v>
      </c>
      <c r="EN96" s="247" t="s">
        <v>3905</v>
      </c>
      <c r="EO96" s="247" t="s">
        <v>599</v>
      </c>
      <c r="EP96" s="247">
        <v>3</v>
      </c>
      <c r="EQ96" s="247" t="s">
        <v>3500</v>
      </c>
      <c r="ER96" s="247" t="s">
        <v>3906</v>
      </c>
      <c r="ES96" s="237">
        <v>44134</v>
      </c>
      <c r="ET96" s="245" t="s">
        <v>7017</v>
      </c>
      <c r="EU96" s="245">
        <v>490</v>
      </c>
      <c r="EV96" s="245" t="s">
        <v>3903</v>
      </c>
      <c r="EW96" s="245" t="s">
        <v>599</v>
      </c>
      <c r="EX96" s="245">
        <v>3</v>
      </c>
      <c r="EY96" s="245" t="s">
        <v>3904</v>
      </c>
      <c r="EZ96" s="245" t="s">
        <v>3499</v>
      </c>
      <c r="FA96" s="246">
        <v>44134</v>
      </c>
      <c r="FB96" s="244" t="s">
        <v>7018</v>
      </c>
      <c r="FC96" s="247">
        <v>5</v>
      </c>
      <c r="FD96" s="247" t="s">
        <v>849</v>
      </c>
      <c r="FE96" s="247" t="s">
        <v>601</v>
      </c>
      <c r="FF96" s="247">
        <v>1</v>
      </c>
      <c r="FG96" s="247" t="s">
        <v>851</v>
      </c>
      <c r="FH96" s="247" t="s">
        <v>850</v>
      </c>
      <c r="FI96" s="237">
        <v>43508</v>
      </c>
      <c r="FJ96" s="244" t="s">
        <v>7019</v>
      </c>
      <c r="FK96" s="245" t="s">
        <v>703</v>
      </c>
      <c r="FL96" s="245">
        <v>0</v>
      </c>
      <c r="FM96" s="245" t="s">
        <v>393</v>
      </c>
      <c r="FN96" s="245" t="s">
        <v>393</v>
      </c>
      <c r="FO96" s="245" t="s">
        <v>841</v>
      </c>
      <c r="FP96" s="241">
        <v>0</v>
      </c>
      <c r="FQ96" s="242">
        <v>43508</v>
      </c>
      <c r="FR96" s="244" t="s">
        <v>7020</v>
      </c>
      <c r="FS96" s="247" t="s">
        <v>703</v>
      </c>
      <c r="FT96" s="247">
        <v>0</v>
      </c>
      <c r="FU96" s="247" t="s">
        <v>393</v>
      </c>
      <c r="FV96" s="247" t="s">
        <v>393</v>
      </c>
      <c r="FW96" s="247" t="s">
        <v>841</v>
      </c>
      <c r="FX96" s="247">
        <v>0</v>
      </c>
      <c r="FY96" s="237">
        <v>43508</v>
      </c>
      <c r="FZ96" s="245" t="s">
        <v>7021</v>
      </c>
      <c r="GA96" s="245">
        <v>0</v>
      </c>
      <c r="GB96" s="245" t="s">
        <v>2096</v>
      </c>
      <c r="GC96" s="245" t="s">
        <v>600</v>
      </c>
      <c r="GD96" s="245">
        <v>2</v>
      </c>
      <c r="GE96" s="245" t="s">
        <v>3323</v>
      </c>
      <c r="GF96" s="245" t="s">
        <v>2097</v>
      </c>
      <c r="GG96" s="246">
        <v>44139</v>
      </c>
      <c r="GH96" s="244" t="s">
        <v>7022</v>
      </c>
      <c r="GI96" s="247">
        <v>2</v>
      </c>
      <c r="GJ96" s="247" t="s">
        <v>2096</v>
      </c>
      <c r="GK96" s="247" t="s">
        <v>600</v>
      </c>
      <c r="GL96" s="247">
        <v>2</v>
      </c>
      <c r="GM96" s="247" t="s">
        <v>3323</v>
      </c>
      <c r="GN96" s="247" t="s">
        <v>2097</v>
      </c>
      <c r="GO96" s="237">
        <v>44139</v>
      </c>
      <c r="GP96" s="245" t="s">
        <v>7023</v>
      </c>
      <c r="GQ96" s="245">
        <v>0</v>
      </c>
      <c r="GR96" s="245" t="s">
        <v>2096</v>
      </c>
      <c r="GS96" s="245" t="s">
        <v>600</v>
      </c>
      <c r="GT96" s="245">
        <v>2</v>
      </c>
      <c r="GU96" s="245" t="s">
        <v>3323</v>
      </c>
      <c r="GV96" s="245" t="s">
        <v>2097</v>
      </c>
      <c r="GW96" s="246">
        <v>44139</v>
      </c>
      <c r="GX96" s="244" t="s">
        <v>7024</v>
      </c>
      <c r="GY96" s="247">
        <v>2</v>
      </c>
      <c r="GZ96" s="247" t="s">
        <v>2096</v>
      </c>
      <c r="HA96" s="247" t="s">
        <v>600</v>
      </c>
      <c r="HB96" s="247">
        <v>2</v>
      </c>
      <c r="HC96" s="247" t="s">
        <v>3323</v>
      </c>
      <c r="HD96" s="247" t="s">
        <v>2097</v>
      </c>
      <c r="HE96" s="237">
        <v>44139</v>
      </c>
      <c r="HF96" s="245" t="s">
        <v>7025</v>
      </c>
      <c r="HG96" s="245">
        <v>0</v>
      </c>
      <c r="HH96" s="245" t="s">
        <v>2096</v>
      </c>
      <c r="HI96" s="245" t="s">
        <v>600</v>
      </c>
      <c r="HJ96" s="245">
        <v>2</v>
      </c>
      <c r="HK96" s="245" t="s">
        <v>3323</v>
      </c>
      <c r="HL96" s="245" t="s">
        <v>2097</v>
      </c>
      <c r="HM96" s="246">
        <v>44139</v>
      </c>
      <c r="HN96" s="244" t="s">
        <v>7026</v>
      </c>
      <c r="HO96" s="247">
        <v>2</v>
      </c>
      <c r="HP96" s="247" t="s">
        <v>2096</v>
      </c>
      <c r="HQ96" s="247" t="s">
        <v>600</v>
      </c>
      <c r="HR96" s="247">
        <v>2</v>
      </c>
      <c r="HS96" s="247" t="s">
        <v>3323</v>
      </c>
      <c r="HT96" s="247" t="s">
        <v>2097</v>
      </c>
      <c r="HU96" s="237">
        <v>44139</v>
      </c>
      <c r="HV96" s="245" t="s">
        <v>7027</v>
      </c>
      <c r="HW96" s="245">
        <v>3</v>
      </c>
      <c r="HX96" s="245" t="s">
        <v>2096</v>
      </c>
      <c r="HY96" s="245" t="s">
        <v>600</v>
      </c>
      <c r="HZ96" s="245">
        <v>2</v>
      </c>
      <c r="IA96" s="245" t="s">
        <v>3323</v>
      </c>
      <c r="IB96" s="245" t="s">
        <v>2097</v>
      </c>
      <c r="IC96" s="246">
        <v>44139</v>
      </c>
      <c r="ID96" s="244" t="s">
        <v>7028</v>
      </c>
      <c r="IE96" s="247">
        <v>1</v>
      </c>
      <c r="IF96" s="247" t="s">
        <v>2096</v>
      </c>
      <c r="IG96" s="247" t="s">
        <v>600</v>
      </c>
      <c r="IH96" s="247">
        <v>2</v>
      </c>
      <c r="II96" s="247" t="s">
        <v>3323</v>
      </c>
      <c r="IJ96" s="247" t="s">
        <v>2097</v>
      </c>
      <c r="IK96" s="237">
        <v>44139</v>
      </c>
      <c r="IL96" s="245" t="s">
        <v>7029</v>
      </c>
      <c r="IM96" s="245">
        <v>3</v>
      </c>
      <c r="IN96" s="245" t="s">
        <v>2096</v>
      </c>
      <c r="IO96" s="245" t="s">
        <v>600</v>
      </c>
      <c r="IP96" s="245">
        <v>2</v>
      </c>
      <c r="IQ96" s="245" t="s">
        <v>3323</v>
      </c>
      <c r="IR96" s="245" t="s">
        <v>2097</v>
      </c>
      <c r="IS96" s="246">
        <v>44139</v>
      </c>
    </row>
    <row r="97" spans="1:253" s="11" customFormat="1" ht="13.2" x14ac:dyDescent="0.25">
      <c r="A97" s="11" t="s">
        <v>1099</v>
      </c>
      <c r="B97" s="11" t="s">
        <v>650</v>
      </c>
      <c r="C97" s="11" t="s">
        <v>680</v>
      </c>
      <c r="D97" s="11" t="s">
        <v>232</v>
      </c>
      <c r="E97" s="11" t="s">
        <v>231</v>
      </c>
      <c r="F97" s="11" t="s">
        <v>7030</v>
      </c>
      <c r="G97" s="235">
        <v>23578000</v>
      </c>
      <c r="H97" s="236" t="s">
        <v>3320</v>
      </c>
      <c r="I97" s="236" t="s">
        <v>600</v>
      </c>
      <c r="J97" s="236">
        <v>2</v>
      </c>
      <c r="K97" s="236" t="s">
        <v>2010</v>
      </c>
      <c r="L97" s="236" t="s">
        <v>2800</v>
      </c>
      <c r="M97" s="237">
        <v>44134</v>
      </c>
      <c r="N97" s="244" t="s">
        <v>7031</v>
      </c>
      <c r="O97" s="239">
        <v>156906</v>
      </c>
      <c r="P97" s="239" t="s">
        <v>847</v>
      </c>
      <c r="Q97" s="239" t="s">
        <v>601</v>
      </c>
      <c r="R97" s="239">
        <v>1</v>
      </c>
      <c r="S97" s="239" t="s">
        <v>853</v>
      </c>
      <c r="T97" s="239" t="s">
        <v>846</v>
      </c>
      <c r="U97" s="240">
        <v>43508</v>
      </c>
      <c r="V97" s="244" t="s">
        <v>7032</v>
      </c>
      <c r="W97" s="236">
        <v>738000</v>
      </c>
      <c r="X97" s="236" t="s">
        <v>708</v>
      </c>
      <c r="Y97" s="236" t="s">
        <v>600</v>
      </c>
      <c r="Z97" s="236">
        <v>2</v>
      </c>
      <c r="AA97" s="236" t="s">
        <v>1219</v>
      </c>
      <c r="AB97" s="236" t="s">
        <v>850</v>
      </c>
      <c r="AC97" s="237">
        <v>43579</v>
      </c>
      <c r="AD97" s="244" t="s">
        <v>7033</v>
      </c>
      <c r="AE97" s="241">
        <v>728000</v>
      </c>
      <c r="AF97" s="241" t="s">
        <v>724</v>
      </c>
      <c r="AG97" s="241" t="s">
        <v>599</v>
      </c>
      <c r="AH97" s="241">
        <v>3</v>
      </c>
      <c r="AI97" s="241" t="s">
        <v>1602</v>
      </c>
      <c r="AJ97" s="241" t="s">
        <v>850</v>
      </c>
      <c r="AK97" s="242">
        <v>43769</v>
      </c>
      <c r="AL97" s="244" t="s">
        <v>7034</v>
      </c>
      <c r="AM97" s="236">
        <v>266000</v>
      </c>
      <c r="AN97" s="236" t="s">
        <v>3901</v>
      </c>
      <c r="AO97" s="236" t="s">
        <v>600</v>
      </c>
      <c r="AP97" s="236">
        <v>2</v>
      </c>
      <c r="AQ97" s="236" t="s">
        <v>2801</v>
      </c>
      <c r="AR97" s="236" t="s">
        <v>3497</v>
      </c>
      <c r="AS97" s="237">
        <v>44134</v>
      </c>
      <c r="AT97" s="245" t="s">
        <v>7035</v>
      </c>
      <c r="AU97" s="241">
        <v>141012</v>
      </c>
      <c r="AV97" s="241" t="s">
        <v>2389</v>
      </c>
      <c r="AW97" s="241" t="s">
        <v>600</v>
      </c>
      <c r="AX97" s="241">
        <v>2</v>
      </c>
      <c r="AY97" s="241" t="s">
        <v>2011</v>
      </c>
      <c r="AZ97" s="241" t="s">
        <v>2390</v>
      </c>
      <c r="BA97" s="242">
        <v>43951</v>
      </c>
      <c r="BB97" s="244" t="s">
        <v>7036</v>
      </c>
      <c r="BC97" s="236" t="s">
        <v>703</v>
      </c>
      <c r="BD97" s="236">
        <v>0</v>
      </c>
      <c r="BE97" s="236" t="s">
        <v>393</v>
      </c>
      <c r="BF97" s="236" t="s">
        <v>393</v>
      </c>
      <c r="BG97" s="236" t="s">
        <v>841</v>
      </c>
      <c r="BH97" s="236">
        <v>0</v>
      </c>
      <c r="BI97" s="237">
        <v>43508</v>
      </c>
      <c r="BJ97" s="245" t="s">
        <v>7037</v>
      </c>
      <c r="BK97" s="245">
        <v>179</v>
      </c>
      <c r="BL97" s="245" t="s">
        <v>3872</v>
      </c>
      <c r="BM97" s="245" t="s">
        <v>599</v>
      </c>
      <c r="BN97" s="245">
        <v>3</v>
      </c>
      <c r="BO97" s="245" t="s">
        <v>3907</v>
      </c>
      <c r="BP97" s="241" t="s">
        <v>812</v>
      </c>
      <c r="BQ97" s="246">
        <v>44134</v>
      </c>
      <c r="BR97" s="244" t="s">
        <v>7038</v>
      </c>
      <c r="BS97" s="247" t="s">
        <v>703</v>
      </c>
      <c r="BT97" s="247">
        <v>0</v>
      </c>
      <c r="BU97" s="247" t="s">
        <v>600</v>
      </c>
      <c r="BV97" s="247">
        <v>2</v>
      </c>
      <c r="BW97" s="247" t="s">
        <v>1194</v>
      </c>
      <c r="BX97" s="247" t="s">
        <v>812</v>
      </c>
      <c r="BY97" s="237">
        <v>43552</v>
      </c>
      <c r="BZ97" s="245" t="s">
        <v>7039</v>
      </c>
      <c r="CA97" s="245" t="s">
        <v>703</v>
      </c>
      <c r="CB97" s="245">
        <v>0</v>
      </c>
      <c r="CC97" s="245" t="s">
        <v>600</v>
      </c>
      <c r="CD97" s="245">
        <v>2</v>
      </c>
      <c r="CE97" s="245" t="s">
        <v>1194</v>
      </c>
      <c r="CF97" s="245" t="s">
        <v>812</v>
      </c>
      <c r="CG97" s="246">
        <v>43552</v>
      </c>
      <c r="CH97" s="244" t="s">
        <v>7040</v>
      </c>
      <c r="CI97" s="245" t="e">
        <v>#N/A</v>
      </c>
      <c r="CJ97" s="245" t="e">
        <v>#N/A</v>
      </c>
      <c r="CK97" s="245" t="e">
        <v>#N/A</v>
      </c>
      <c r="CL97" s="245" t="e">
        <v>#N/A</v>
      </c>
      <c r="CM97" s="245" t="e">
        <v>#N/A</v>
      </c>
      <c r="CN97" s="245" t="e">
        <v>#N/A</v>
      </c>
      <c r="CO97" s="248" t="e">
        <v>#N/A</v>
      </c>
      <c r="CP97" s="245" t="s">
        <v>7041</v>
      </c>
      <c r="CQ97" s="247" t="s">
        <v>703</v>
      </c>
      <c r="CR97" s="247">
        <v>0</v>
      </c>
      <c r="CS97" s="247" t="s">
        <v>393</v>
      </c>
      <c r="CT97" s="247" t="s">
        <v>393</v>
      </c>
      <c r="CU97" s="247" t="s">
        <v>841</v>
      </c>
      <c r="CV97" s="247">
        <v>0</v>
      </c>
      <c r="CW97" s="237">
        <v>43508</v>
      </c>
      <c r="CX97" s="245" t="s">
        <v>7042</v>
      </c>
      <c r="CY97" s="241">
        <v>518000</v>
      </c>
      <c r="CZ97" s="241" t="s">
        <v>3908</v>
      </c>
      <c r="DA97" s="241" t="s">
        <v>599</v>
      </c>
      <c r="DB97" s="241">
        <v>3</v>
      </c>
      <c r="DC97" s="241" t="s">
        <v>2012</v>
      </c>
      <c r="DD97" s="241" t="s">
        <v>3909</v>
      </c>
      <c r="DE97" s="243">
        <v>44134</v>
      </c>
      <c r="DF97" s="244" t="s">
        <v>7043</v>
      </c>
      <c r="DG97" s="236">
        <v>0</v>
      </c>
      <c r="DH97" s="247" t="s">
        <v>3908</v>
      </c>
      <c r="DI97" s="247" t="s">
        <v>599</v>
      </c>
      <c r="DJ97" s="247">
        <v>3</v>
      </c>
      <c r="DK97" s="247" t="s">
        <v>2012</v>
      </c>
      <c r="DL97" s="247" t="s">
        <v>3909</v>
      </c>
      <c r="DM97" s="237">
        <v>44134</v>
      </c>
      <c r="DN97" s="245" t="s">
        <v>7044</v>
      </c>
      <c r="DO97" s="241">
        <v>220000</v>
      </c>
      <c r="DP97" s="245" t="s">
        <v>3908</v>
      </c>
      <c r="DQ97" s="245" t="s">
        <v>599</v>
      </c>
      <c r="DR97" s="245">
        <v>3</v>
      </c>
      <c r="DS97" s="245" t="s">
        <v>2012</v>
      </c>
      <c r="DT97" s="245" t="s">
        <v>3909</v>
      </c>
      <c r="DU97" s="246">
        <v>44134</v>
      </c>
      <c r="DV97" s="244" t="s">
        <v>7045</v>
      </c>
      <c r="DW97" s="236">
        <v>252000</v>
      </c>
      <c r="DX97" s="247" t="s">
        <v>3908</v>
      </c>
      <c r="DY97" s="247" t="s">
        <v>599</v>
      </c>
      <c r="DZ97" s="247">
        <v>3</v>
      </c>
      <c r="EA97" s="247" t="s">
        <v>2012</v>
      </c>
      <c r="EB97" s="247" t="s">
        <v>3909</v>
      </c>
      <c r="EC97" s="237">
        <v>44134</v>
      </c>
      <c r="ED97" s="245" t="s">
        <v>7046</v>
      </c>
      <c r="EE97" s="241">
        <v>266000</v>
      </c>
      <c r="EF97" s="245" t="s">
        <v>3908</v>
      </c>
      <c r="EG97" s="245" t="s">
        <v>599</v>
      </c>
      <c r="EH97" s="245">
        <v>3</v>
      </c>
      <c r="EI97" s="245" t="s">
        <v>2012</v>
      </c>
      <c r="EJ97" s="245" t="s">
        <v>3909</v>
      </c>
      <c r="EK97" s="246">
        <v>44134</v>
      </c>
      <c r="EL97" s="244" t="s">
        <v>7047</v>
      </c>
      <c r="EM97" s="236">
        <v>0</v>
      </c>
      <c r="EN97" s="247" t="s">
        <v>3908</v>
      </c>
      <c r="EO97" s="247" t="s">
        <v>599</v>
      </c>
      <c r="EP97" s="247">
        <v>3</v>
      </c>
      <c r="EQ97" s="247" t="s">
        <v>2012</v>
      </c>
      <c r="ER97" s="247" t="s">
        <v>3909</v>
      </c>
      <c r="ES97" s="237">
        <v>44134</v>
      </c>
      <c r="ET97" s="245" t="s">
        <v>7048</v>
      </c>
      <c r="EU97" s="245">
        <v>490</v>
      </c>
      <c r="EV97" s="245" t="s">
        <v>3903</v>
      </c>
      <c r="EW97" s="245" t="s">
        <v>599</v>
      </c>
      <c r="EX97" s="245">
        <v>3</v>
      </c>
      <c r="EY97" s="245" t="s">
        <v>3904</v>
      </c>
      <c r="EZ97" s="245" t="s">
        <v>3499</v>
      </c>
      <c r="FA97" s="246">
        <v>44134</v>
      </c>
      <c r="FB97" s="244" t="s">
        <v>7049</v>
      </c>
      <c r="FC97" s="247">
        <v>5</v>
      </c>
      <c r="FD97" s="247" t="s">
        <v>849</v>
      </c>
      <c r="FE97" s="247" t="s">
        <v>601</v>
      </c>
      <c r="FF97" s="247">
        <v>1</v>
      </c>
      <c r="FG97" s="247" t="s">
        <v>851</v>
      </c>
      <c r="FH97" s="247" t="s">
        <v>850</v>
      </c>
      <c r="FI97" s="237">
        <v>43508</v>
      </c>
      <c r="FJ97" s="244" t="s">
        <v>7050</v>
      </c>
      <c r="FK97" s="245" t="s">
        <v>703</v>
      </c>
      <c r="FL97" s="245">
        <v>0</v>
      </c>
      <c r="FM97" s="245" t="s">
        <v>393</v>
      </c>
      <c r="FN97" s="245" t="s">
        <v>393</v>
      </c>
      <c r="FO97" s="245" t="s">
        <v>841</v>
      </c>
      <c r="FP97" s="241">
        <v>0</v>
      </c>
      <c r="FQ97" s="242">
        <v>43508</v>
      </c>
      <c r="FR97" s="244" t="s">
        <v>7051</v>
      </c>
      <c r="FS97" s="247" t="s">
        <v>703</v>
      </c>
      <c r="FT97" s="247">
        <v>0</v>
      </c>
      <c r="FU97" s="247" t="s">
        <v>393</v>
      </c>
      <c r="FV97" s="247" t="s">
        <v>393</v>
      </c>
      <c r="FW97" s="247" t="s">
        <v>841</v>
      </c>
      <c r="FX97" s="247">
        <v>0</v>
      </c>
      <c r="FY97" s="237">
        <v>43508</v>
      </c>
      <c r="FZ97" s="245" t="s">
        <v>7052</v>
      </c>
      <c r="GA97" s="245">
        <v>0</v>
      </c>
      <c r="GB97" s="245" t="s">
        <v>2096</v>
      </c>
      <c r="GC97" s="245" t="s">
        <v>600</v>
      </c>
      <c r="GD97" s="245">
        <v>2</v>
      </c>
      <c r="GE97" s="245" t="s">
        <v>3323</v>
      </c>
      <c r="GF97" s="245" t="s">
        <v>2097</v>
      </c>
      <c r="GG97" s="246">
        <v>44139</v>
      </c>
      <c r="GH97" s="244" t="s">
        <v>7053</v>
      </c>
      <c r="GI97" s="247">
        <v>2</v>
      </c>
      <c r="GJ97" s="247" t="s">
        <v>2096</v>
      </c>
      <c r="GK97" s="247" t="s">
        <v>600</v>
      </c>
      <c r="GL97" s="247">
        <v>2</v>
      </c>
      <c r="GM97" s="247" t="s">
        <v>3323</v>
      </c>
      <c r="GN97" s="247" t="s">
        <v>2097</v>
      </c>
      <c r="GO97" s="237">
        <v>44139</v>
      </c>
      <c r="GP97" s="245" t="s">
        <v>7054</v>
      </c>
      <c r="GQ97" s="245">
        <v>0</v>
      </c>
      <c r="GR97" s="245" t="s">
        <v>2096</v>
      </c>
      <c r="GS97" s="245" t="s">
        <v>600</v>
      </c>
      <c r="GT97" s="245">
        <v>2</v>
      </c>
      <c r="GU97" s="245" t="s">
        <v>3323</v>
      </c>
      <c r="GV97" s="245" t="s">
        <v>2097</v>
      </c>
      <c r="GW97" s="246">
        <v>44139</v>
      </c>
      <c r="GX97" s="244" t="s">
        <v>7055</v>
      </c>
      <c r="GY97" s="247">
        <v>0</v>
      </c>
      <c r="GZ97" s="247" t="s">
        <v>2096</v>
      </c>
      <c r="HA97" s="247" t="s">
        <v>600</v>
      </c>
      <c r="HB97" s="247">
        <v>2</v>
      </c>
      <c r="HC97" s="247" t="s">
        <v>3323</v>
      </c>
      <c r="HD97" s="247" t="s">
        <v>2097</v>
      </c>
      <c r="HE97" s="237">
        <v>44139</v>
      </c>
      <c r="HF97" s="245" t="s">
        <v>7056</v>
      </c>
      <c r="HG97" s="245">
        <v>0</v>
      </c>
      <c r="HH97" s="245" t="s">
        <v>2096</v>
      </c>
      <c r="HI97" s="245" t="s">
        <v>600</v>
      </c>
      <c r="HJ97" s="245">
        <v>2</v>
      </c>
      <c r="HK97" s="245" t="s">
        <v>3323</v>
      </c>
      <c r="HL97" s="245" t="s">
        <v>2097</v>
      </c>
      <c r="HM97" s="246">
        <v>44139</v>
      </c>
      <c r="HN97" s="244" t="s">
        <v>7057</v>
      </c>
      <c r="HO97" s="247">
        <v>2</v>
      </c>
      <c r="HP97" s="247" t="s">
        <v>2096</v>
      </c>
      <c r="HQ97" s="247" t="s">
        <v>600</v>
      </c>
      <c r="HR97" s="247">
        <v>2</v>
      </c>
      <c r="HS97" s="247" t="s">
        <v>3323</v>
      </c>
      <c r="HT97" s="247" t="s">
        <v>2097</v>
      </c>
      <c r="HU97" s="237">
        <v>44139</v>
      </c>
      <c r="HV97" s="245" t="s">
        <v>7058</v>
      </c>
      <c r="HW97" s="245">
        <v>2</v>
      </c>
      <c r="HX97" s="245" t="s">
        <v>2096</v>
      </c>
      <c r="HY97" s="245" t="s">
        <v>600</v>
      </c>
      <c r="HZ97" s="245">
        <v>2</v>
      </c>
      <c r="IA97" s="245" t="s">
        <v>3323</v>
      </c>
      <c r="IB97" s="245" t="s">
        <v>2097</v>
      </c>
      <c r="IC97" s="246">
        <v>44139</v>
      </c>
      <c r="ID97" s="244" t="s">
        <v>7059</v>
      </c>
      <c r="IE97" s="247">
        <v>1</v>
      </c>
      <c r="IF97" s="247" t="s">
        <v>2096</v>
      </c>
      <c r="IG97" s="247" t="s">
        <v>600</v>
      </c>
      <c r="IH97" s="247">
        <v>2</v>
      </c>
      <c r="II97" s="247" t="s">
        <v>3323</v>
      </c>
      <c r="IJ97" s="247" t="s">
        <v>2097</v>
      </c>
      <c r="IK97" s="237">
        <v>44139</v>
      </c>
      <c r="IL97" s="245" t="s">
        <v>7060</v>
      </c>
      <c r="IM97" s="245">
        <v>3</v>
      </c>
      <c r="IN97" s="245" t="s">
        <v>2096</v>
      </c>
      <c r="IO97" s="245" t="s">
        <v>600</v>
      </c>
      <c r="IP97" s="245">
        <v>2</v>
      </c>
      <c r="IQ97" s="245" t="s">
        <v>3323</v>
      </c>
      <c r="IR97" s="245" t="s">
        <v>2097</v>
      </c>
      <c r="IS97" s="246">
        <v>44139</v>
      </c>
    </row>
    <row r="98" spans="1:253" s="11" customFormat="1" ht="13.2" x14ac:dyDescent="0.25">
      <c r="A98" s="11" t="s">
        <v>655</v>
      </c>
      <c r="B98" s="11" t="s">
        <v>650</v>
      </c>
      <c r="C98" s="11" t="s">
        <v>681</v>
      </c>
      <c r="D98" s="11" t="s">
        <v>232</v>
      </c>
      <c r="E98" s="11" t="s">
        <v>231</v>
      </c>
      <c r="F98" s="11" t="s">
        <v>7061</v>
      </c>
      <c r="G98" s="235">
        <v>23578000</v>
      </c>
      <c r="H98" s="236" t="s">
        <v>3320</v>
      </c>
      <c r="I98" s="236" t="s">
        <v>600</v>
      </c>
      <c r="J98" s="236">
        <v>2</v>
      </c>
      <c r="K98" s="236" t="s">
        <v>2010</v>
      </c>
      <c r="L98" s="236" t="s">
        <v>2800</v>
      </c>
      <c r="M98" s="237">
        <v>44134</v>
      </c>
      <c r="N98" s="244" t="s">
        <v>7062</v>
      </c>
      <c r="O98" s="239">
        <v>210600</v>
      </c>
      <c r="P98" s="239" t="s">
        <v>848</v>
      </c>
      <c r="Q98" s="239" t="s">
        <v>600</v>
      </c>
      <c r="R98" s="239">
        <v>2</v>
      </c>
      <c r="S98" s="239" t="s">
        <v>854</v>
      </c>
      <c r="T98" s="239" t="s">
        <v>845</v>
      </c>
      <c r="U98" s="240">
        <v>43508</v>
      </c>
      <c r="V98" s="244" t="s">
        <v>7063</v>
      </c>
      <c r="W98" s="236">
        <v>7800000</v>
      </c>
      <c r="X98" s="236" t="s">
        <v>708</v>
      </c>
      <c r="Y98" s="236" t="s">
        <v>600</v>
      </c>
      <c r="Z98" s="236">
        <v>2</v>
      </c>
      <c r="AA98" s="236" t="s">
        <v>1220</v>
      </c>
      <c r="AB98" s="236" t="s">
        <v>850</v>
      </c>
      <c r="AC98" s="237">
        <v>43579</v>
      </c>
      <c r="AD98" s="244" t="s">
        <v>7064</v>
      </c>
      <c r="AE98" s="241">
        <v>965000</v>
      </c>
      <c r="AF98" s="241" t="s">
        <v>1988</v>
      </c>
      <c r="AG98" s="241" t="s">
        <v>599</v>
      </c>
      <c r="AH98" s="241">
        <v>3</v>
      </c>
      <c r="AI98" s="241" t="s">
        <v>1221</v>
      </c>
      <c r="AJ98" s="241" t="s">
        <v>2013</v>
      </c>
      <c r="AK98" s="242">
        <v>43867</v>
      </c>
      <c r="AL98" s="244" t="s">
        <v>7065</v>
      </c>
      <c r="AM98" s="236">
        <v>200000</v>
      </c>
      <c r="AN98" s="236" t="s">
        <v>3901</v>
      </c>
      <c r="AO98" s="236" t="s">
        <v>600</v>
      </c>
      <c r="AP98" s="236">
        <v>2</v>
      </c>
      <c r="AQ98" s="236" t="s">
        <v>2802</v>
      </c>
      <c r="AR98" s="236" t="s">
        <v>3497</v>
      </c>
      <c r="AS98" s="237">
        <v>44134</v>
      </c>
      <c r="AT98" s="245" t="s">
        <v>7066</v>
      </c>
      <c r="AU98" s="241" t="s">
        <v>703</v>
      </c>
      <c r="AV98" s="241">
        <v>0</v>
      </c>
      <c r="AW98" s="241" t="s">
        <v>600</v>
      </c>
      <c r="AX98" s="241">
        <v>2</v>
      </c>
      <c r="AY98" s="241" t="s">
        <v>841</v>
      </c>
      <c r="AZ98" s="241">
        <v>0</v>
      </c>
      <c r="BA98" s="242">
        <v>43508</v>
      </c>
      <c r="BB98" s="244" t="s">
        <v>7067</v>
      </c>
      <c r="BC98" s="236" t="s">
        <v>703</v>
      </c>
      <c r="BD98" s="236">
        <v>0</v>
      </c>
      <c r="BE98" s="236" t="s">
        <v>600</v>
      </c>
      <c r="BF98" s="236">
        <v>2</v>
      </c>
      <c r="BG98" s="236" t="s">
        <v>841</v>
      </c>
      <c r="BH98" s="236">
        <v>0</v>
      </c>
      <c r="BI98" s="237">
        <v>43508</v>
      </c>
      <c r="BJ98" s="245" t="s">
        <v>7068</v>
      </c>
      <c r="BK98" s="245">
        <v>220</v>
      </c>
      <c r="BL98" s="245" t="s">
        <v>3872</v>
      </c>
      <c r="BM98" s="245" t="s">
        <v>599</v>
      </c>
      <c r="BN98" s="245">
        <v>3</v>
      </c>
      <c r="BO98" s="245" t="s">
        <v>3910</v>
      </c>
      <c r="BP98" s="241" t="s">
        <v>812</v>
      </c>
      <c r="BQ98" s="246">
        <v>44134</v>
      </c>
      <c r="BR98" s="244" t="s">
        <v>7069</v>
      </c>
      <c r="BS98" s="247" t="s">
        <v>703</v>
      </c>
      <c r="BT98" s="247">
        <v>0</v>
      </c>
      <c r="BU98" s="247" t="s">
        <v>600</v>
      </c>
      <c r="BV98" s="247">
        <v>2</v>
      </c>
      <c r="BW98" s="247" t="s">
        <v>841</v>
      </c>
      <c r="BX98" s="247">
        <v>0</v>
      </c>
      <c r="BY98" s="237">
        <v>43508</v>
      </c>
      <c r="BZ98" s="245" t="s">
        <v>7070</v>
      </c>
      <c r="CA98" s="245" t="s">
        <v>703</v>
      </c>
      <c r="CB98" s="245">
        <v>0</v>
      </c>
      <c r="CC98" s="245" t="s">
        <v>393</v>
      </c>
      <c r="CD98" s="245" t="s">
        <v>393</v>
      </c>
      <c r="CE98" s="245" t="s">
        <v>841</v>
      </c>
      <c r="CF98" s="245">
        <v>0</v>
      </c>
      <c r="CG98" s="246">
        <v>43508</v>
      </c>
      <c r="CH98" s="244" t="s">
        <v>7071</v>
      </c>
      <c r="CI98" s="245" t="e">
        <v>#N/A</v>
      </c>
      <c r="CJ98" s="245" t="e">
        <v>#N/A</v>
      </c>
      <c r="CK98" s="245" t="e">
        <v>#N/A</v>
      </c>
      <c r="CL98" s="245" t="e">
        <v>#N/A</v>
      </c>
      <c r="CM98" s="245" t="e">
        <v>#N/A</v>
      </c>
      <c r="CN98" s="245" t="e">
        <v>#N/A</v>
      </c>
      <c r="CO98" s="248" t="e">
        <v>#N/A</v>
      </c>
      <c r="CP98" s="245" t="s">
        <v>7072</v>
      </c>
      <c r="CQ98" s="247" t="s">
        <v>703</v>
      </c>
      <c r="CR98" s="247">
        <v>0</v>
      </c>
      <c r="CS98" s="247" t="s">
        <v>600</v>
      </c>
      <c r="CT98" s="247">
        <v>2</v>
      </c>
      <c r="CU98" s="247" t="s">
        <v>841</v>
      </c>
      <c r="CV98" s="247">
        <v>0</v>
      </c>
      <c r="CW98" s="237">
        <v>43508</v>
      </c>
      <c r="CX98" s="245" t="s">
        <v>7073</v>
      </c>
      <c r="CY98" s="241">
        <v>965000</v>
      </c>
      <c r="CZ98" s="241" t="s">
        <v>3908</v>
      </c>
      <c r="DA98" s="241" t="s">
        <v>599</v>
      </c>
      <c r="DB98" s="241">
        <v>3</v>
      </c>
      <c r="DC98" s="241" t="s">
        <v>1799</v>
      </c>
      <c r="DD98" s="241" t="s">
        <v>3909</v>
      </c>
      <c r="DE98" s="243">
        <v>44134</v>
      </c>
      <c r="DF98" s="244" t="s">
        <v>7074</v>
      </c>
      <c r="DG98" s="236">
        <v>6835000</v>
      </c>
      <c r="DH98" s="247" t="s">
        <v>3908</v>
      </c>
      <c r="DI98" s="247" t="s">
        <v>599</v>
      </c>
      <c r="DJ98" s="247">
        <v>3</v>
      </c>
      <c r="DK98" s="247" t="s">
        <v>1799</v>
      </c>
      <c r="DL98" s="247" t="s">
        <v>3909</v>
      </c>
      <c r="DM98" s="237">
        <v>44134</v>
      </c>
      <c r="DN98" s="245" t="s">
        <v>7075</v>
      </c>
      <c r="DO98" s="241">
        <v>0</v>
      </c>
      <c r="DP98" s="245" t="s">
        <v>3908</v>
      </c>
      <c r="DQ98" s="245" t="s">
        <v>599</v>
      </c>
      <c r="DR98" s="245">
        <v>3</v>
      </c>
      <c r="DS98" s="245" t="s">
        <v>1799</v>
      </c>
      <c r="DT98" s="245" t="s">
        <v>3909</v>
      </c>
      <c r="DU98" s="246">
        <v>44134</v>
      </c>
      <c r="DV98" s="244" t="s">
        <v>7076</v>
      </c>
      <c r="DW98" s="236">
        <v>765000</v>
      </c>
      <c r="DX98" s="247" t="s">
        <v>3908</v>
      </c>
      <c r="DY98" s="247" t="s">
        <v>599</v>
      </c>
      <c r="DZ98" s="247">
        <v>3</v>
      </c>
      <c r="EA98" s="247" t="s">
        <v>1799</v>
      </c>
      <c r="EB98" s="247" t="s">
        <v>3909</v>
      </c>
      <c r="EC98" s="237">
        <v>44134</v>
      </c>
      <c r="ED98" s="245" t="s">
        <v>7077</v>
      </c>
      <c r="EE98" s="241">
        <v>200000</v>
      </c>
      <c r="EF98" s="245" t="s">
        <v>3908</v>
      </c>
      <c r="EG98" s="245" t="s">
        <v>599</v>
      </c>
      <c r="EH98" s="245">
        <v>3</v>
      </c>
      <c r="EI98" s="245" t="s">
        <v>1799</v>
      </c>
      <c r="EJ98" s="245" t="s">
        <v>3909</v>
      </c>
      <c r="EK98" s="246">
        <v>44134</v>
      </c>
      <c r="EL98" s="244" t="s">
        <v>7078</v>
      </c>
      <c r="EM98" s="236">
        <v>0</v>
      </c>
      <c r="EN98" s="247" t="s">
        <v>3908</v>
      </c>
      <c r="EO98" s="247" t="s">
        <v>599</v>
      </c>
      <c r="EP98" s="247">
        <v>3</v>
      </c>
      <c r="EQ98" s="247" t="s">
        <v>1799</v>
      </c>
      <c r="ER98" s="247" t="s">
        <v>3909</v>
      </c>
      <c r="ES98" s="237">
        <v>44134</v>
      </c>
      <c r="ET98" s="245" t="s">
        <v>7079</v>
      </c>
      <c r="EU98" s="245">
        <v>490</v>
      </c>
      <c r="EV98" s="245" t="s">
        <v>3903</v>
      </c>
      <c r="EW98" s="245" t="s">
        <v>599</v>
      </c>
      <c r="EX98" s="245">
        <v>3</v>
      </c>
      <c r="EY98" s="245" t="s">
        <v>3904</v>
      </c>
      <c r="EZ98" s="245" t="s">
        <v>3499</v>
      </c>
      <c r="FA98" s="246">
        <v>44134</v>
      </c>
      <c r="FB98" s="244" t="s">
        <v>7080</v>
      </c>
      <c r="FC98" s="247">
        <v>5</v>
      </c>
      <c r="FD98" s="247" t="s">
        <v>849</v>
      </c>
      <c r="FE98" s="247" t="s">
        <v>600</v>
      </c>
      <c r="FF98" s="247">
        <v>2</v>
      </c>
      <c r="FG98" s="247" t="s">
        <v>851</v>
      </c>
      <c r="FH98" s="247" t="s">
        <v>850</v>
      </c>
      <c r="FI98" s="237">
        <v>43508</v>
      </c>
      <c r="FJ98" s="244" t="s">
        <v>7081</v>
      </c>
      <c r="FK98" s="245" t="s">
        <v>703</v>
      </c>
      <c r="FL98" s="245">
        <v>0</v>
      </c>
      <c r="FM98" s="245" t="s">
        <v>600</v>
      </c>
      <c r="FN98" s="245">
        <v>2</v>
      </c>
      <c r="FO98" s="245" t="s">
        <v>841</v>
      </c>
      <c r="FP98" s="241">
        <v>0</v>
      </c>
      <c r="FQ98" s="242">
        <v>43508</v>
      </c>
      <c r="FR98" s="244" t="s">
        <v>7082</v>
      </c>
      <c r="FS98" s="247" t="s">
        <v>703</v>
      </c>
      <c r="FT98" s="247">
        <v>0</v>
      </c>
      <c r="FU98" s="247" t="s">
        <v>600</v>
      </c>
      <c r="FV98" s="247">
        <v>2</v>
      </c>
      <c r="FW98" s="247" t="s">
        <v>841</v>
      </c>
      <c r="FX98" s="247">
        <v>0</v>
      </c>
      <c r="FY98" s="237">
        <v>43508</v>
      </c>
      <c r="FZ98" s="245" t="s">
        <v>7083</v>
      </c>
      <c r="GA98" s="245">
        <v>0</v>
      </c>
      <c r="GB98" s="245" t="s">
        <v>2096</v>
      </c>
      <c r="GC98" s="245" t="s">
        <v>600</v>
      </c>
      <c r="GD98" s="245">
        <v>2</v>
      </c>
      <c r="GE98" s="245" t="s">
        <v>3323</v>
      </c>
      <c r="GF98" s="245" t="s">
        <v>2097</v>
      </c>
      <c r="GG98" s="246">
        <v>44139</v>
      </c>
      <c r="GH98" s="244" t="s">
        <v>7084</v>
      </c>
      <c r="GI98" s="247">
        <v>2</v>
      </c>
      <c r="GJ98" s="247" t="s">
        <v>2096</v>
      </c>
      <c r="GK98" s="247" t="s">
        <v>600</v>
      </c>
      <c r="GL98" s="247">
        <v>2</v>
      </c>
      <c r="GM98" s="247" t="s">
        <v>3323</v>
      </c>
      <c r="GN98" s="247" t="s">
        <v>2097</v>
      </c>
      <c r="GO98" s="237">
        <v>44139</v>
      </c>
      <c r="GP98" s="245" t="s">
        <v>7085</v>
      </c>
      <c r="GQ98" s="245">
        <v>0</v>
      </c>
      <c r="GR98" s="245" t="s">
        <v>2096</v>
      </c>
      <c r="GS98" s="245" t="s">
        <v>600</v>
      </c>
      <c r="GT98" s="245">
        <v>2</v>
      </c>
      <c r="GU98" s="245" t="s">
        <v>3323</v>
      </c>
      <c r="GV98" s="245" t="s">
        <v>2097</v>
      </c>
      <c r="GW98" s="246">
        <v>44139</v>
      </c>
      <c r="GX98" s="244" t="s">
        <v>7086</v>
      </c>
      <c r="GY98" s="247">
        <v>2</v>
      </c>
      <c r="GZ98" s="247" t="s">
        <v>2096</v>
      </c>
      <c r="HA98" s="247" t="s">
        <v>600</v>
      </c>
      <c r="HB98" s="247">
        <v>2</v>
      </c>
      <c r="HC98" s="247" t="s">
        <v>3323</v>
      </c>
      <c r="HD98" s="247" t="s">
        <v>2097</v>
      </c>
      <c r="HE98" s="237">
        <v>44139</v>
      </c>
      <c r="HF98" s="245" t="s">
        <v>7087</v>
      </c>
      <c r="HG98" s="245">
        <v>0</v>
      </c>
      <c r="HH98" s="245" t="s">
        <v>2096</v>
      </c>
      <c r="HI98" s="245" t="s">
        <v>600</v>
      </c>
      <c r="HJ98" s="245">
        <v>2</v>
      </c>
      <c r="HK98" s="245" t="s">
        <v>3323</v>
      </c>
      <c r="HL98" s="245" t="s">
        <v>2097</v>
      </c>
      <c r="HM98" s="246">
        <v>44139</v>
      </c>
      <c r="HN98" s="244" t="s">
        <v>7088</v>
      </c>
      <c r="HO98" s="247">
        <v>2</v>
      </c>
      <c r="HP98" s="247" t="s">
        <v>2096</v>
      </c>
      <c r="HQ98" s="247" t="s">
        <v>600</v>
      </c>
      <c r="HR98" s="247">
        <v>2</v>
      </c>
      <c r="HS98" s="247" t="s">
        <v>3323</v>
      </c>
      <c r="HT98" s="247" t="s">
        <v>2097</v>
      </c>
      <c r="HU98" s="237">
        <v>44139</v>
      </c>
      <c r="HV98" s="245" t="s">
        <v>7089</v>
      </c>
      <c r="HW98" s="245">
        <v>3</v>
      </c>
      <c r="HX98" s="245" t="s">
        <v>2096</v>
      </c>
      <c r="HY98" s="245" t="s">
        <v>600</v>
      </c>
      <c r="HZ98" s="245">
        <v>2</v>
      </c>
      <c r="IA98" s="245" t="s">
        <v>3323</v>
      </c>
      <c r="IB98" s="245" t="s">
        <v>2097</v>
      </c>
      <c r="IC98" s="246">
        <v>44139</v>
      </c>
      <c r="ID98" s="244" t="s">
        <v>7090</v>
      </c>
      <c r="IE98" s="247">
        <v>1</v>
      </c>
      <c r="IF98" s="247" t="s">
        <v>2096</v>
      </c>
      <c r="IG98" s="247" t="s">
        <v>600</v>
      </c>
      <c r="IH98" s="247">
        <v>2</v>
      </c>
      <c r="II98" s="247" t="s">
        <v>3323</v>
      </c>
      <c r="IJ98" s="247" t="s">
        <v>2097</v>
      </c>
      <c r="IK98" s="237">
        <v>44139</v>
      </c>
      <c r="IL98" s="245" t="s">
        <v>7091</v>
      </c>
      <c r="IM98" s="245">
        <v>3</v>
      </c>
      <c r="IN98" s="245" t="s">
        <v>2096</v>
      </c>
      <c r="IO98" s="245" t="s">
        <v>600</v>
      </c>
      <c r="IP98" s="245">
        <v>2</v>
      </c>
      <c r="IQ98" s="245" t="s">
        <v>3323</v>
      </c>
      <c r="IR98" s="245" t="s">
        <v>2097</v>
      </c>
      <c r="IS98" s="246">
        <v>44139</v>
      </c>
    </row>
    <row r="99" spans="1:253" s="11" customFormat="1" ht="13.2" x14ac:dyDescent="0.25">
      <c r="A99" s="11" t="s">
        <v>1819</v>
      </c>
      <c r="B99" s="11" t="s">
        <v>1280</v>
      </c>
      <c r="C99" s="11" t="s">
        <v>1820</v>
      </c>
      <c r="D99" s="11" t="s">
        <v>232</v>
      </c>
      <c r="E99" s="11" t="s">
        <v>231</v>
      </c>
      <c r="F99" s="11" t="s">
        <v>7092</v>
      </c>
      <c r="G99" s="235">
        <v>23578000</v>
      </c>
      <c r="H99" s="236" t="s">
        <v>3320</v>
      </c>
      <c r="I99" s="236" t="s">
        <v>600</v>
      </c>
      <c r="J99" s="236">
        <v>2</v>
      </c>
      <c r="K99" s="236" t="s">
        <v>2010</v>
      </c>
      <c r="L99" s="236" t="s">
        <v>2800</v>
      </c>
      <c r="M99" s="237">
        <v>44134</v>
      </c>
      <c r="N99" s="244" t="s">
        <v>7093</v>
      </c>
      <c r="O99" s="239">
        <v>4929</v>
      </c>
      <c r="P99" s="239" t="s">
        <v>1828</v>
      </c>
      <c r="Q99" s="239" t="s">
        <v>600</v>
      </c>
      <c r="R99" s="239">
        <v>2</v>
      </c>
      <c r="S99" s="239" t="s">
        <v>1833</v>
      </c>
      <c r="T99" s="239" t="s">
        <v>1830</v>
      </c>
      <c r="U99" s="240">
        <v>43815</v>
      </c>
      <c r="V99" s="244" t="s">
        <v>7094</v>
      </c>
      <c r="W99" s="236">
        <v>656000</v>
      </c>
      <c r="X99" s="236" t="s">
        <v>1829</v>
      </c>
      <c r="Y99" s="236" t="s">
        <v>600</v>
      </c>
      <c r="Z99" s="236">
        <v>2</v>
      </c>
      <c r="AA99" s="236" t="s">
        <v>1834</v>
      </c>
      <c r="AB99" s="236" t="s">
        <v>1831</v>
      </c>
      <c r="AC99" s="237">
        <v>44119</v>
      </c>
      <c r="AD99" s="244" t="s">
        <v>7095</v>
      </c>
      <c r="AE99" s="241">
        <v>123000</v>
      </c>
      <c r="AF99" s="241" t="s">
        <v>3911</v>
      </c>
      <c r="AG99" s="241" t="s">
        <v>599</v>
      </c>
      <c r="AH99" s="241">
        <v>3</v>
      </c>
      <c r="AI99" s="241" t="s">
        <v>3501</v>
      </c>
      <c r="AJ99" s="241" t="s">
        <v>3912</v>
      </c>
      <c r="AK99" s="242">
        <v>44134</v>
      </c>
      <c r="AL99" s="244" t="s">
        <v>7096</v>
      </c>
      <c r="AM99" s="236">
        <v>93000</v>
      </c>
      <c r="AN99" s="236" t="s">
        <v>3911</v>
      </c>
      <c r="AO99" s="236" t="s">
        <v>599</v>
      </c>
      <c r="AP99" s="236">
        <v>3</v>
      </c>
      <c r="AQ99" s="236" t="s">
        <v>2803</v>
      </c>
      <c r="AR99" s="236" t="s">
        <v>3912</v>
      </c>
      <c r="AS99" s="237">
        <v>44134</v>
      </c>
      <c r="AT99" s="245" t="s">
        <v>7097</v>
      </c>
      <c r="AU99" s="241" t="s">
        <v>393</v>
      </c>
      <c r="AV99" s="241" t="s">
        <v>393</v>
      </c>
      <c r="AW99" s="241" t="s">
        <v>393</v>
      </c>
      <c r="AX99" s="241" t="s">
        <v>393</v>
      </c>
      <c r="AY99" s="241" t="s">
        <v>704</v>
      </c>
      <c r="AZ99" s="241" t="s">
        <v>393</v>
      </c>
      <c r="BA99" s="242">
        <v>43815</v>
      </c>
      <c r="BB99" s="244" t="s">
        <v>7098</v>
      </c>
      <c r="BC99" s="236" t="s">
        <v>393</v>
      </c>
      <c r="BD99" s="236" t="s">
        <v>393</v>
      </c>
      <c r="BE99" s="236" t="s">
        <v>393</v>
      </c>
      <c r="BF99" s="236" t="s">
        <v>393</v>
      </c>
      <c r="BG99" s="236" t="s">
        <v>704</v>
      </c>
      <c r="BH99" s="236" t="s">
        <v>393</v>
      </c>
      <c r="BI99" s="237">
        <v>43815</v>
      </c>
      <c r="BJ99" s="245" t="s">
        <v>7099</v>
      </c>
      <c r="BK99" s="245">
        <v>5</v>
      </c>
      <c r="BL99" s="245" t="s">
        <v>3872</v>
      </c>
      <c r="BM99" s="245" t="s">
        <v>599</v>
      </c>
      <c r="BN99" s="245">
        <v>3</v>
      </c>
      <c r="BO99" s="245" t="s">
        <v>4007</v>
      </c>
      <c r="BP99" s="241" t="s">
        <v>812</v>
      </c>
      <c r="BQ99" s="246">
        <v>44134</v>
      </c>
      <c r="BR99" s="244" t="s">
        <v>7100</v>
      </c>
      <c r="BS99" s="247">
        <v>0</v>
      </c>
      <c r="BT99" s="247" t="s">
        <v>393</v>
      </c>
      <c r="BU99" s="247" t="s">
        <v>601</v>
      </c>
      <c r="BV99" s="247">
        <v>1</v>
      </c>
      <c r="BW99" s="247" t="s">
        <v>1835</v>
      </c>
      <c r="BX99" s="247" t="s">
        <v>393</v>
      </c>
      <c r="BY99" s="237">
        <v>43815</v>
      </c>
      <c r="BZ99" s="245" t="s">
        <v>7101</v>
      </c>
      <c r="CA99" s="245">
        <v>0</v>
      </c>
      <c r="CB99" s="245" t="s">
        <v>393</v>
      </c>
      <c r="CC99" s="245" t="s">
        <v>601</v>
      </c>
      <c r="CD99" s="245">
        <v>1</v>
      </c>
      <c r="CE99" s="245" t="s">
        <v>1835</v>
      </c>
      <c r="CF99" s="245" t="s">
        <v>393</v>
      </c>
      <c r="CG99" s="246">
        <v>43815</v>
      </c>
      <c r="CH99" s="244" t="s">
        <v>7102</v>
      </c>
      <c r="CI99" s="245" t="e">
        <v>#N/A</v>
      </c>
      <c r="CJ99" s="245" t="e">
        <v>#N/A</v>
      </c>
      <c r="CK99" s="245" t="e">
        <v>#N/A</v>
      </c>
      <c r="CL99" s="245" t="e">
        <v>#N/A</v>
      </c>
      <c r="CM99" s="245" t="e">
        <v>#N/A</v>
      </c>
      <c r="CN99" s="245" t="e">
        <v>#N/A</v>
      </c>
      <c r="CO99" s="248" t="e">
        <v>#N/A</v>
      </c>
      <c r="CP99" s="245" t="s">
        <v>7103</v>
      </c>
      <c r="CQ99" s="247">
        <v>0</v>
      </c>
      <c r="CR99" s="247" t="s">
        <v>393</v>
      </c>
      <c r="CS99" s="247" t="s">
        <v>601</v>
      </c>
      <c r="CT99" s="247">
        <v>1</v>
      </c>
      <c r="CU99" s="247" t="s">
        <v>1835</v>
      </c>
      <c r="CV99" s="247" t="s">
        <v>393</v>
      </c>
      <c r="CW99" s="237">
        <v>43815</v>
      </c>
      <c r="CX99" s="245" t="s">
        <v>7104</v>
      </c>
      <c r="CY99" s="241">
        <v>123000</v>
      </c>
      <c r="CZ99" s="241" t="s">
        <v>3911</v>
      </c>
      <c r="DA99" s="241" t="s">
        <v>599</v>
      </c>
      <c r="DB99" s="241">
        <v>3</v>
      </c>
      <c r="DC99" s="241" t="s">
        <v>1836</v>
      </c>
      <c r="DD99" s="241" t="s">
        <v>3912</v>
      </c>
      <c r="DE99" s="243">
        <v>44134</v>
      </c>
      <c r="DF99" s="244" t="s">
        <v>7105</v>
      </c>
      <c r="DG99" s="236">
        <v>533000</v>
      </c>
      <c r="DH99" s="247" t="s">
        <v>3911</v>
      </c>
      <c r="DI99" s="247" t="s">
        <v>599</v>
      </c>
      <c r="DJ99" s="247">
        <v>3</v>
      </c>
      <c r="DK99" s="247" t="s">
        <v>1836</v>
      </c>
      <c r="DL99" s="247" t="s">
        <v>3912</v>
      </c>
      <c r="DM99" s="237">
        <v>44134</v>
      </c>
      <c r="DN99" s="245" t="s">
        <v>7106</v>
      </c>
      <c r="DO99" s="241">
        <v>0</v>
      </c>
      <c r="DP99" s="245" t="s">
        <v>3911</v>
      </c>
      <c r="DQ99" s="245" t="s">
        <v>599</v>
      </c>
      <c r="DR99" s="245">
        <v>3</v>
      </c>
      <c r="DS99" s="245" t="s">
        <v>1836</v>
      </c>
      <c r="DT99" s="245" t="s">
        <v>3912</v>
      </c>
      <c r="DU99" s="246">
        <v>44134</v>
      </c>
      <c r="DV99" s="244" t="s">
        <v>7107</v>
      </c>
      <c r="DW99" s="236">
        <v>30000</v>
      </c>
      <c r="DX99" s="247" t="s">
        <v>3911</v>
      </c>
      <c r="DY99" s="247" t="s">
        <v>599</v>
      </c>
      <c r="DZ99" s="247">
        <v>3</v>
      </c>
      <c r="EA99" s="247" t="s">
        <v>1836</v>
      </c>
      <c r="EB99" s="247" t="s">
        <v>3912</v>
      </c>
      <c r="EC99" s="237">
        <v>44134</v>
      </c>
      <c r="ED99" s="245" t="s">
        <v>7108</v>
      </c>
      <c r="EE99" s="241">
        <v>93000</v>
      </c>
      <c r="EF99" s="245" t="s">
        <v>3911</v>
      </c>
      <c r="EG99" s="245" t="s">
        <v>599</v>
      </c>
      <c r="EH99" s="245">
        <v>3</v>
      </c>
      <c r="EI99" s="245" t="s">
        <v>1836</v>
      </c>
      <c r="EJ99" s="245" t="s">
        <v>3912</v>
      </c>
      <c r="EK99" s="246">
        <v>44134</v>
      </c>
      <c r="EL99" s="244" t="s">
        <v>7109</v>
      </c>
      <c r="EM99" s="236">
        <v>0</v>
      </c>
      <c r="EN99" s="247" t="s">
        <v>3911</v>
      </c>
      <c r="EO99" s="247" t="s">
        <v>599</v>
      </c>
      <c r="EP99" s="247">
        <v>3</v>
      </c>
      <c r="EQ99" s="247" t="s">
        <v>1836</v>
      </c>
      <c r="ER99" s="247" t="s">
        <v>3912</v>
      </c>
      <c r="ES99" s="237">
        <v>44134</v>
      </c>
      <c r="ET99" s="245" t="s">
        <v>7110</v>
      </c>
      <c r="EU99" s="245">
        <v>490</v>
      </c>
      <c r="EV99" s="245" t="s">
        <v>3903</v>
      </c>
      <c r="EW99" s="245" t="s">
        <v>599</v>
      </c>
      <c r="EX99" s="245">
        <v>3</v>
      </c>
      <c r="EY99" s="245" t="s">
        <v>3904</v>
      </c>
      <c r="EZ99" s="245" t="s">
        <v>3499</v>
      </c>
      <c r="FA99" s="246">
        <v>44134</v>
      </c>
      <c r="FB99" s="244" t="s">
        <v>7111</v>
      </c>
      <c r="FC99" s="247">
        <v>2</v>
      </c>
      <c r="FD99" s="247" t="s">
        <v>1600</v>
      </c>
      <c r="FE99" s="247" t="s">
        <v>601</v>
      </c>
      <c r="FF99" s="247">
        <v>1</v>
      </c>
      <c r="FG99" s="247" t="s">
        <v>1837</v>
      </c>
      <c r="FH99" s="247" t="s">
        <v>1832</v>
      </c>
      <c r="FI99" s="237">
        <v>43815</v>
      </c>
      <c r="FJ99" s="244" t="s">
        <v>7112</v>
      </c>
      <c r="FK99" s="245" t="s">
        <v>393</v>
      </c>
      <c r="FL99" s="245" t="s">
        <v>393</v>
      </c>
      <c r="FM99" s="245" t="s">
        <v>393</v>
      </c>
      <c r="FN99" s="245" t="s">
        <v>393</v>
      </c>
      <c r="FO99" s="245" t="s">
        <v>704</v>
      </c>
      <c r="FP99" s="241" t="s">
        <v>393</v>
      </c>
      <c r="FQ99" s="242">
        <v>43815</v>
      </c>
      <c r="FR99" s="244" t="s">
        <v>7113</v>
      </c>
      <c r="FS99" s="247" t="s">
        <v>393</v>
      </c>
      <c r="FT99" s="247" t="s">
        <v>393</v>
      </c>
      <c r="FU99" s="247" t="s">
        <v>393</v>
      </c>
      <c r="FV99" s="247" t="s">
        <v>393</v>
      </c>
      <c r="FW99" s="247" t="s">
        <v>704</v>
      </c>
      <c r="FX99" s="247" t="s">
        <v>393</v>
      </c>
      <c r="FY99" s="237">
        <v>43815</v>
      </c>
      <c r="FZ99" s="245" t="s">
        <v>7114</v>
      </c>
      <c r="GA99" s="245">
        <v>0</v>
      </c>
      <c r="GB99" s="245" t="s">
        <v>2096</v>
      </c>
      <c r="GC99" s="245" t="s">
        <v>600</v>
      </c>
      <c r="GD99" s="245">
        <v>2</v>
      </c>
      <c r="GE99" s="245" t="s">
        <v>3323</v>
      </c>
      <c r="GF99" s="245" t="s">
        <v>2097</v>
      </c>
      <c r="GG99" s="246">
        <v>44139</v>
      </c>
      <c r="GH99" s="244" t="s">
        <v>7115</v>
      </c>
      <c r="GI99" s="247">
        <v>1</v>
      </c>
      <c r="GJ99" s="247" t="s">
        <v>2096</v>
      </c>
      <c r="GK99" s="247" t="s">
        <v>600</v>
      </c>
      <c r="GL99" s="247">
        <v>2</v>
      </c>
      <c r="GM99" s="247" t="s">
        <v>3323</v>
      </c>
      <c r="GN99" s="247" t="s">
        <v>2097</v>
      </c>
      <c r="GO99" s="237">
        <v>44139</v>
      </c>
      <c r="GP99" s="245" t="s">
        <v>7116</v>
      </c>
      <c r="GQ99" s="245">
        <v>0</v>
      </c>
      <c r="GR99" s="245" t="s">
        <v>2096</v>
      </c>
      <c r="GS99" s="245" t="s">
        <v>600</v>
      </c>
      <c r="GT99" s="245">
        <v>2</v>
      </c>
      <c r="GU99" s="245" t="s">
        <v>3323</v>
      </c>
      <c r="GV99" s="245" t="s">
        <v>2097</v>
      </c>
      <c r="GW99" s="246">
        <v>44139</v>
      </c>
      <c r="GX99" s="244" t="s">
        <v>7117</v>
      </c>
      <c r="GY99" s="247">
        <v>0</v>
      </c>
      <c r="GZ99" s="247" t="s">
        <v>2096</v>
      </c>
      <c r="HA99" s="247" t="s">
        <v>600</v>
      </c>
      <c r="HB99" s="247">
        <v>2</v>
      </c>
      <c r="HC99" s="247" t="s">
        <v>3323</v>
      </c>
      <c r="HD99" s="247" t="s">
        <v>2097</v>
      </c>
      <c r="HE99" s="237">
        <v>44139</v>
      </c>
      <c r="HF99" s="245" t="s">
        <v>7118</v>
      </c>
      <c r="HG99" s="245">
        <v>0</v>
      </c>
      <c r="HH99" s="245" t="s">
        <v>2096</v>
      </c>
      <c r="HI99" s="245" t="s">
        <v>600</v>
      </c>
      <c r="HJ99" s="245">
        <v>2</v>
      </c>
      <c r="HK99" s="245" t="s">
        <v>3323</v>
      </c>
      <c r="HL99" s="245" t="s">
        <v>2097</v>
      </c>
      <c r="HM99" s="246">
        <v>44139</v>
      </c>
      <c r="HN99" s="244" t="s">
        <v>7119</v>
      </c>
      <c r="HO99" s="247">
        <v>0</v>
      </c>
      <c r="HP99" s="247" t="s">
        <v>2096</v>
      </c>
      <c r="HQ99" s="247" t="s">
        <v>600</v>
      </c>
      <c r="HR99" s="247">
        <v>2</v>
      </c>
      <c r="HS99" s="247" t="s">
        <v>3323</v>
      </c>
      <c r="HT99" s="247" t="s">
        <v>2097</v>
      </c>
      <c r="HU99" s="237">
        <v>44139</v>
      </c>
      <c r="HV99" s="245" t="s">
        <v>7120</v>
      </c>
      <c r="HW99" s="245">
        <v>2</v>
      </c>
      <c r="HX99" s="245" t="s">
        <v>2096</v>
      </c>
      <c r="HY99" s="245" t="s">
        <v>600</v>
      </c>
      <c r="HZ99" s="245">
        <v>2</v>
      </c>
      <c r="IA99" s="245" t="s">
        <v>3323</v>
      </c>
      <c r="IB99" s="245" t="s">
        <v>2097</v>
      </c>
      <c r="IC99" s="246">
        <v>44139</v>
      </c>
      <c r="ID99" s="244" t="s">
        <v>7121</v>
      </c>
      <c r="IE99" s="247">
        <v>1</v>
      </c>
      <c r="IF99" s="247" t="s">
        <v>2096</v>
      </c>
      <c r="IG99" s="247" t="s">
        <v>600</v>
      </c>
      <c r="IH99" s="247">
        <v>2</v>
      </c>
      <c r="II99" s="247" t="s">
        <v>3323</v>
      </c>
      <c r="IJ99" s="247" t="s">
        <v>2097</v>
      </c>
      <c r="IK99" s="237">
        <v>44139</v>
      </c>
      <c r="IL99" s="245" t="s">
        <v>7122</v>
      </c>
      <c r="IM99" s="245">
        <v>3</v>
      </c>
      <c r="IN99" s="245" t="s">
        <v>2096</v>
      </c>
      <c r="IO99" s="245" t="s">
        <v>600</v>
      </c>
      <c r="IP99" s="245">
        <v>2</v>
      </c>
      <c r="IQ99" s="245" t="s">
        <v>3323</v>
      </c>
      <c r="IR99" s="245" t="s">
        <v>2097</v>
      </c>
      <c r="IS99" s="246">
        <v>44139</v>
      </c>
    </row>
    <row r="100" spans="1:253" s="11" customFormat="1" ht="13.2" x14ac:dyDescent="0.25">
      <c r="A100" s="11" t="s">
        <v>3270</v>
      </c>
      <c r="B100" s="11" t="s">
        <v>1279</v>
      </c>
      <c r="C100" s="11" t="s">
        <v>3271</v>
      </c>
      <c r="D100" s="11" t="s">
        <v>232</v>
      </c>
      <c r="E100" s="11" t="s">
        <v>231</v>
      </c>
      <c r="F100" s="11" t="s">
        <v>7123</v>
      </c>
      <c r="G100" s="235">
        <v>23578000</v>
      </c>
      <c r="H100" s="236" t="s">
        <v>3320</v>
      </c>
      <c r="I100" s="236" t="s">
        <v>600</v>
      </c>
      <c r="J100" s="236">
        <v>2</v>
      </c>
      <c r="K100" s="236" t="s">
        <v>2010</v>
      </c>
      <c r="L100" s="236" t="s">
        <v>2800</v>
      </c>
      <c r="M100" s="237">
        <v>44139</v>
      </c>
      <c r="N100" s="244" t="s">
        <v>7124</v>
      </c>
      <c r="O100" s="239">
        <v>1267000</v>
      </c>
      <c r="P100" s="239" t="s">
        <v>3321</v>
      </c>
      <c r="Q100" s="239" t="s">
        <v>599</v>
      </c>
      <c r="R100" s="239">
        <v>3</v>
      </c>
      <c r="S100" s="239" t="s">
        <v>3503</v>
      </c>
      <c r="T100" s="239" t="s">
        <v>3502</v>
      </c>
      <c r="U100" s="240">
        <v>44109</v>
      </c>
      <c r="V100" s="244" t="s">
        <v>7125</v>
      </c>
      <c r="W100" s="236">
        <v>23578000</v>
      </c>
      <c r="X100" s="236" t="s">
        <v>3320</v>
      </c>
      <c r="Y100" s="236" t="s">
        <v>600</v>
      </c>
      <c r="Z100" s="236">
        <v>2</v>
      </c>
      <c r="AA100" s="236" t="s">
        <v>4008</v>
      </c>
      <c r="AB100" s="236" t="s">
        <v>2800</v>
      </c>
      <c r="AC100" s="237">
        <v>44139</v>
      </c>
      <c r="AD100" s="244" t="s">
        <v>7126</v>
      </c>
      <c r="AE100" s="241">
        <v>516000</v>
      </c>
      <c r="AF100" s="241" t="s">
        <v>3322</v>
      </c>
      <c r="AG100" s="241" t="s">
        <v>600</v>
      </c>
      <c r="AH100" s="241">
        <v>2</v>
      </c>
      <c r="AI100" s="241" t="s">
        <v>3505</v>
      </c>
      <c r="AJ100" s="241" t="s">
        <v>3504</v>
      </c>
      <c r="AK100" s="242">
        <v>44109</v>
      </c>
      <c r="AL100" s="244" t="s">
        <v>7127</v>
      </c>
      <c r="AM100" s="236" t="s">
        <v>393</v>
      </c>
      <c r="AN100" s="236" t="s">
        <v>393</v>
      </c>
      <c r="AO100" s="236" t="s">
        <v>393</v>
      </c>
      <c r="AP100" s="236" t="s">
        <v>393</v>
      </c>
      <c r="AQ100" s="236" t="s">
        <v>3506</v>
      </c>
      <c r="AR100" s="236" t="s">
        <v>393</v>
      </c>
      <c r="AS100" s="237">
        <v>44109</v>
      </c>
      <c r="AT100" s="245" t="s">
        <v>7128</v>
      </c>
      <c r="AU100" s="241" t="s">
        <v>393</v>
      </c>
      <c r="AV100" s="241" t="s">
        <v>393</v>
      </c>
      <c r="AW100" s="241" t="s">
        <v>393</v>
      </c>
      <c r="AX100" s="241" t="s">
        <v>393</v>
      </c>
      <c r="AY100" s="241" t="s">
        <v>393</v>
      </c>
      <c r="AZ100" s="241" t="s">
        <v>393</v>
      </c>
      <c r="BA100" s="242">
        <v>44109</v>
      </c>
      <c r="BB100" s="244" t="s">
        <v>7129</v>
      </c>
      <c r="BC100" s="236" t="s">
        <v>393</v>
      </c>
      <c r="BD100" s="236" t="s">
        <v>393</v>
      </c>
      <c r="BE100" s="236" t="s">
        <v>393</v>
      </c>
      <c r="BF100" s="236" t="s">
        <v>393</v>
      </c>
      <c r="BG100" s="236" t="s">
        <v>393</v>
      </c>
      <c r="BH100" s="236" t="s">
        <v>393</v>
      </c>
      <c r="BI100" s="237">
        <v>44109</v>
      </c>
      <c r="BJ100" s="245" t="s">
        <v>7130</v>
      </c>
      <c r="BK100" s="245">
        <v>69</v>
      </c>
      <c r="BL100" s="245" t="s">
        <v>3322</v>
      </c>
      <c r="BM100" s="245" t="s">
        <v>600</v>
      </c>
      <c r="BN100" s="245">
        <v>2</v>
      </c>
      <c r="BO100" s="245" t="s">
        <v>3507</v>
      </c>
      <c r="BP100" s="241" t="s">
        <v>3504</v>
      </c>
      <c r="BQ100" s="246">
        <v>44109</v>
      </c>
      <c r="BR100" s="244" t="s">
        <v>7131</v>
      </c>
      <c r="BS100" s="247" t="s">
        <v>393</v>
      </c>
      <c r="BT100" s="247" t="s">
        <v>393</v>
      </c>
      <c r="BU100" s="247" t="s">
        <v>393</v>
      </c>
      <c r="BV100" s="247" t="s">
        <v>393</v>
      </c>
      <c r="BW100" s="247" t="s">
        <v>393</v>
      </c>
      <c r="BX100" s="247" t="s">
        <v>393</v>
      </c>
      <c r="BY100" s="237">
        <v>44109</v>
      </c>
      <c r="BZ100" s="245" t="s">
        <v>7132</v>
      </c>
      <c r="CA100" s="245">
        <v>43667</v>
      </c>
      <c r="CB100" s="245" t="s">
        <v>3322</v>
      </c>
      <c r="CC100" s="245" t="s">
        <v>600</v>
      </c>
      <c r="CD100" s="245">
        <v>2</v>
      </c>
      <c r="CE100" s="245" t="s">
        <v>3508</v>
      </c>
      <c r="CF100" s="245" t="s">
        <v>3504</v>
      </c>
      <c r="CG100" s="246">
        <v>44109</v>
      </c>
      <c r="CH100" s="244" t="s">
        <v>7133</v>
      </c>
      <c r="CI100" s="245" t="e">
        <v>#N/A</v>
      </c>
      <c r="CJ100" s="245" t="e">
        <v>#N/A</v>
      </c>
      <c r="CK100" s="245" t="e">
        <v>#N/A</v>
      </c>
      <c r="CL100" s="245" t="e">
        <v>#N/A</v>
      </c>
      <c r="CM100" s="245" t="e">
        <v>#N/A</v>
      </c>
      <c r="CN100" s="245" t="e">
        <v>#N/A</v>
      </c>
      <c r="CO100" s="248" t="e">
        <v>#N/A</v>
      </c>
      <c r="CP100" s="245" t="s">
        <v>7134</v>
      </c>
      <c r="CQ100" s="247" t="s">
        <v>393</v>
      </c>
      <c r="CR100" s="247" t="s">
        <v>393</v>
      </c>
      <c r="CS100" s="247" t="s">
        <v>393</v>
      </c>
      <c r="CT100" s="247" t="s">
        <v>393</v>
      </c>
      <c r="CU100" s="247" t="s">
        <v>393</v>
      </c>
      <c r="CV100" s="247" t="s">
        <v>393</v>
      </c>
      <c r="CW100" s="237">
        <v>44109</v>
      </c>
      <c r="CX100" s="245" t="s">
        <v>7135</v>
      </c>
      <c r="CY100" s="241">
        <v>516000</v>
      </c>
      <c r="CZ100" s="241" t="s">
        <v>3322</v>
      </c>
      <c r="DA100" s="241" t="s">
        <v>599</v>
      </c>
      <c r="DB100" s="241">
        <v>3</v>
      </c>
      <c r="DC100" s="241" t="s">
        <v>3509</v>
      </c>
      <c r="DD100" s="241" t="s">
        <v>3504</v>
      </c>
      <c r="DE100" s="243">
        <v>44109</v>
      </c>
      <c r="DF100" s="244" t="s">
        <v>7136</v>
      </c>
      <c r="DG100" s="236">
        <v>23061000</v>
      </c>
      <c r="DH100" s="247" t="s">
        <v>3322</v>
      </c>
      <c r="DI100" s="247" t="s">
        <v>599</v>
      </c>
      <c r="DJ100" s="247">
        <v>3</v>
      </c>
      <c r="DK100" s="247" t="s">
        <v>3509</v>
      </c>
      <c r="DL100" s="247" t="s">
        <v>3504</v>
      </c>
      <c r="DM100" s="237">
        <v>44109</v>
      </c>
      <c r="DN100" s="245" t="s">
        <v>7137</v>
      </c>
      <c r="DO100" s="241">
        <v>0</v>
      </c>
      <c r="DP100" s="245" t="s">
        <v>3322</v>
      </c>
      <c r="DQ100" s="245" t="s">
        <v>599</v>
      </c>
      <c r="DR100" s="245">
        <v>3</v>
      </c>
      <c r="DS100" s="245" t="s">
        <v>3509</v>
      </c>
      <c r="DT100" s="245" t="s">
        <v>3504</v>
      </c>
      <c r="DU100" s="246">
        <v>44109</v>
      </c>
      <c r="DV100" s="244" t="s">
        <v>7138</v>
      </c>
      <c r="DW100" s="236">
        <v>516000</v>
      </c>
      <c r="DX100" s="247" t="s">
        <v>3322</v>
      </c>
      <c r="DY100" s="247" t="s">
        <v>599</v>
      </c>
      <c r="DZ100" s="247">
        <v>3</v>
      </c>
      <c r="EA100" s="247" t="s">
        <v>3509</v>
      </c>
      <c r="EB100" s="247" t="s">
        <v>3504</v>
      </c>
      <c r="EC100" s="237">
        <v>44109</v>
      </c>
      <c r="ED100" s="245" t="s">
        <v>7139</v>
      </c>
      <c r="EE100" s="241">
        <v>0</v>
      </c>
      <c r="EF100" s="245" t="s">
        <v>3322</v>
      </c>
      <c r="EG100" s="245" t="s">
        <v>599</v>
      </c>
      <c r="EH100" s="245">
        <v>3</v>
      </c>
      <c r="EI100" s="245" t="s">
        <v>3509</v>
      </c>
      <c r="EJ100" s="245" t="s">
        <v>3504</v>
      </c>
      <c r="EK100" s="246">
        <v>44109</v>
      </c>
      <c r="EL100" s="244" t="s">
        <v>7140</v>
      </c>
      <c r="EM100" s="236">
        <v>0</v>
      </c>
      <c r="EN100" s="247" t="s">
        <v>3322</v>
      </c>
      <c r="EO100" s="247" t="s">
        <v>599</v>
      </c>
      <c r="EP100" s="247">
        <v>3</v>
      </c>
      <c r="EQ100" s="247" t="s">
        <v>3509</v>
      </c>
      <c r="ER100" s="247" t="s">
        <v>3504</v>
      </c>
      <c r="ES100" s="237">
        <v>44109</v>
      </c>
      <c r="ET100" s="245" t="s">
        <v>7141</v>
      </c>
      <c r="EU100" s="245">
        <v>490</v>
      </c>
      <c r="EV100" s="245" t="s">
        <v>3903</v>
      </c>
      <c r="EW100" s="245" t="s">
        <v>599</v>
      </c>
      <c r="EX100" s="245">
        <v>3</v>
      </c>
      <c r="EY100" s="245" t="s">
        <v>3904</v>
      </c>
      <c r="EZ100" s="245" t="s">
        <v>3499</v>
      </c>
      <c r="FA100" s="246">
        <v>44139</v>
      </c>
      <c r="FB100" s="244" t="s">
        <v>7142</v>
      </c>
      <c r="FC100" s="247">
        <v>5</v>
      </c>
      <c r="FD100" s="247" t="s">
        <v>393</v>
      </c>
      <c r="FE100" s="247" t="s">
        <v>600</v>
      </c>
      <c r="FF100" s="247">
        <v>2</v>
      </c>
      <c r="FG100" s="247" t="s">
        <v>3510</v>
      </c>
      <c r="FH100" s="247" t="s">
        <v>393</v>
      </c>
      <c r="FI100" s="237">
        <v>44109</v>
      </c>
      <c r="FJ100" s="244" t="s">
        <v>7143</v>
      </c>
      <c r="FK100" s="245" t="s">
        <v>393</v>
      </c>
      <c r="FL100" s="245" t="s">
        <v>393</v>
      </c>
      <c r="FM100" s="245" t="s">
        <v>393</v>
      </c>
      <c r="FN100" s="245" t="s">
        <v>393</v>
      </c>
      <c r="FO100" s="245" t="s">
        <v>393</v>
      </c>
      <c r="FP100" s="241" t="s">
        <v>393</v>
      </c>
      <c r="FQ100" s="242">
        <v>44109</v>
      </c>
      <c r="FR100" s="244" t="s">
        <v>7144</v>
      </c>
      <c r="FS100" s="247" t="s">
        <v>393</v>
      </c>
      <c r="FT100" s="247" t="s">
        <v>393</v>
      </c>
      <c r="FU100" s="247" t="s">
        <v>393</v>
      </c>
      <c r="FV100" s="247" t="s">
        <v>393</v>
      </c>
      <c r="FW100" s="247" t="s">
        <v>393</v>
      </c>
      <c r="FX100" s="247" t="s">
        <v>393</v>
      </c>
      <c r="FY100" s="237">
        <v>44109</v>
      </c>
      <c r="FZ100" s="245" t="s">
        <v>7145</v>
      </c>
      <c r="GA100" s="245">
        <v>0</v>
      </c>
      <c r="GB100" s="245" t="s">
        <v>2096</v>
      </c>
      <c r="GC100" s="245" t="s">
        <v>600</v>
      </c>
      <c r="GD100" s="245">
        <v>2</v>
      </c>
      <c r="GE100" s="245" t="s">
        <v>3323</v>
      </c>
      <c r="GF100" s="245" t="s">
        <v>2097</v>
      </c>
      <c r="GG100" s="246">
        <v>44139</v>
      </c>
      <c r="GH100" s="244" t="s">
        <v>7146</v>
      </c>
      <c r="GI100" s="247">
        <v>2</v>
      </c>
      <c r="GJ100" s="247" t="s">
        <v>2096</v>
      </c>
      <c r="GK100" s="247" t="s">
        <v>600</v>
      </c>
      <c r="GL100" s="247">
        <v>2</v>
      </c>
      <c r="GM100" s="247" t="s">
        <v>3323</v>
      </c>
      <c r="GN100" s="247" t="s">
        <v>2097</v>
      </c>
      <c r="GO100" s="237">
        <v>44139</v>
      </c>
      <c r="GP100" s="245" t="s">
        <v>7147</v>
      </c>
      <c r="GQ100" s="245">
        <v>0</v>
      </c>
      <c r="GR100" s="245" t="s">
        <v>2096</v>
      </c>
      <c r="GS100" s="245" t="s">
        <v>600</v>
      </c>
      <c r="GT100" s="245">
        <v>2</v>
      </c>
      <c r="GU100" s="245" t="s">
        <v>3323</v>
      </c>
      <c r="GV100" s="245" t="s">
        <v>2097</v>
      </c>
      <c r="GW100" s="246">
        <v>44139</v>
      </c>
      <c r="GX100" s="244" t="s">
        <v>7148</v>
      </c>
      <c r="GY100" s="247">
        <v>2</v>
      </c>
      <c r="GZ100" s="247" t="s">
        <v>2096</v>
      </c>
      <c r="HA100" s="247" t="s">
        <v>600</v>
      </c>
      <c r="HB100" s="247">
        <v>2</v>
      </c>
      <c r="HC100" s="247" t="s">
        <v>3323</v>
      </c>
      <c r="HD100" s="247" t="s">
        <v>2097</v>
      </c>
      <c r="HE100" s="237">
        <v>44139</v>
      </c>
      <c r="HF100" s="245" t="s">
        <v>7149</v>
      </c>
      <c r="HG100" s="245">
        <v>0</v>
      </c>
      <c r="HH100" s="245" t="s">
        <v>2096</v>
      </c>
      <c r="HI100" s="245" t="s">
        <v>600</v>
      </c>
      <c r="HJ100" s="245">
        <v>2</v>
      </c>
      <c r="HK100" s="245" t="s">
        <v>3323</v>
      </c>
      <c r="HL100" s="245" t="s">
        <v>2097</v>
      </c>
      <c r="HM100" s="246">
        <v>44139</v>
      </c>
      <c r="HN100" s="244" t="s">
        <v>7150</v>
      </c>
      <c r="HO100" s="247">
        <v>2</v>
      </c>
      <c r="HP100" s="247" t="s">
        <v>2096</v>
      </c>
      <c r="HQ100" s="247" t="s">
        <v>600</v>
      </c>
      <c r="HR100" s="247">
        <v>2</v>
      </c>
      <c r="HS100" s="247" t="s">
        <v>3323</v>
      </c>
      <c r="HT100" s="247" t="s">
        <v>2097</v>
      </c>
      <c r="HU100" s="237">
        <v>44139</v>
      </c>
      <c r="HV100" s="245" t="s">
        <v>7151</v>
      </c>
      <c r="HW100" s="245">
        <v>3</v>
      </c>
      <c r="HX100" s="245" t="s">
        <v>2096</v>
      </c>
      <c r="HY100" s="245" t="s">
        <v>600</v>
      </c>
      <c r="HZ100" s="245">
        <v>2</v>
      </c>
      <c r="IA100" s="245" t="s">
        <v>3323</v>
      </c>
      <c r="IB100" s="245" t="s">
        <v>2097</v>
      </c>
      <c r="IC100" s="246">
        <v>44139</v>
      </c>
      <c r="ID100" s="244" t="s">
        <v>7152</v>
      </c>
      <c r="IE100" s="247">
        <v>1</v>
      </c>
      <c r="IF100" s="247" t="s">
        <v>2096</v>
      </c>
      <c r="IG100" s="247" t="s">
        <v>600</v>
      </c>
      <c r="IH100" s="247">
        <v>2</v>
      </c>
      <c r="II100" s="247" t="s">
        <v>3323</v>
      </c>
      <c r="IJ100" s="247" t="s">
        <v>2097</v>
      </c>
      <c r="IK100" s="237">
        <v>44139</v>
      </c>
      <c r="IL100" s="245" t="s">
        <v>7153</v>
      </c>
      <c r="IM100" s="245">
        <v>3</v>
      </c>
      <c r="IN100" s="245" t="s">
        <v>2096</v>
      </c>
      <c r="IO100" s="245" t="s">
        <v>600</v>
      </c>
      <c r="IP100" s="245">
        <v>2</v>
      </c>
      <c r="IQ100" s="245" t="s">
        <v>3323</v>
      </c>
      <c r="IR100" s="245" t="s">
        <v>2097</v>
      </c>
      <c r="IS100" s="246">
        <v>44139</v>
      </c>
    </row>
    <row r="101" spans="1:253" s="11" customFormat="1" ht="13.2" x14ac:dyDescent="0.25">
      <c r="A101" s="11" t="s">
        <v>1417</v>
      </c>
      <c r="B101" s="11" t="s">
        <v>691</v>
      </c>
      <c r="C101" s="11" t="s">
        <v>2918</v>
      </c>
      <c r="D101" s="11" t="s">
        <v>234</v>
      </c>
      <c r="E101" s="11" t="s">
        <v>233</v>
      </c>
      <c r="F101" s="11" t="s">
        <v>7154</v>
      </c>
      <c r="G101" s="235">
        <v>195668000</v>
      </c>
      <c r="H101" s="236" t="s">
        <v>2844</v>
      </c>
      <c r="I101" s="236" t="s">
        <v>600</v>
      </c>
      <c r="J101" s="236">
        <v>2</v>
      </c>
      <c r="K101" s="236" t="s">
        <v>2404</v>
      </c>
      <c r="L101" s="236" t="s">
        <v>2846</v>
      </c>
      <c r="M101" s="237">
        <v>44069</v>
      </c>
      <c r="N101" s="244" t="s">
        <v>7155</v>
      </c>
      <c r="O101" s="239">
        <v>909890</v>
      </c>
      <c r="P101" s="239" t="s">
        <v>1462</v>
      </c>
      <c r="Q101" s="239" t="s">
        <v>600</v>
      </c>
      <c r="R101" s="239">
        <v>2</v>
      </c>
      <c r="S101" s="239" t="s">
        <v>1448</v>
      </c>
      <c r="T101" s="239" t="s">
        <v>1447</v>
      </c>
      <c r="U101" s="240">
        <v>43649</v>
      </c>
      <c r="V101" s="244" t="s">
        <v>7156</v>
      </c>
      <c r="W101" s="236">
        <v>56233000</v>
      </c>
      <c r="X101" s="236" t="s">
        <v>2842</v>
      </c>
      <c r="Y101" s="236" t="s">
        <v>600</v>
      </c>
      <c r="Z101" s="236">
        <v>2</v>
      </c>
      <c r="AA101" s="236" t="s">
        <v>2127</v>
      </c>
      <c r="AB101" s="236" t="s">
        <v>2845</v>
      </c>
      <c r="AC101" s="237">
        <v>44069</v>
      </c>
      <c r="AD101" s="244" t="s">
        <v>7157</v>
      </c>
      <c r="AE101" s="241">
        <v>7825000</v>
      </c>
      <c r="AF101" s="241" t="s">
        <v>2842</v>
      </c>
      <c r="AG101" s="241" t="s">
        <v>600</v>
      </c>
      <c r="AH101" s="241">
        <v>2</v>
      </c>
      <c r="AI101" s="241" t="s">
        <v>2128</v>
      </c>
      <c r="AJ101" s="241" t="s">
        <v>2845</v>
      </c>
      <c r="AK101" s="242">
        <v>44069</v>
      </c>
      <c r="AL101" s="244" t="s">
        <v>7158</v>
      </c>
      <c r="AM101" s="236">
        <v>2555000</v>
      </c>
      <c r="AN101" s="236" t="s">
        <v>2842</v>
      </c>
      <c r="AO101" s="236" t="s">
        <v>600</v>
      </c>
      <c r="AP101" s="236">
        <v>2</v>
      </c>
      <c r="AQ101" s="236" t="s">
        <v>2129</v>
      </c>
      <c r="AR101" s="236" t="s">
        <v>2845</v>
      </c>
      <c r="AS101" s="237">
        <v>44069</v>
      </c>
      <c r="AT101" s="245" t="s">
        <v>7159</v>
      </c>
      <c r="AU101" s="241" t="s">
        <v>393</v>
      </c>
      <c r="AV101" s="241" t="s">
        <v>393</v>
      </c>
      <c r="AW101" s="241" t="s">
        <v>393</v>
      </c>
      <c r="AX101" s="241" t="s">
        <v>393</v>
      </c>
      <c r="AY101" s="241" t="s">
        <v>1473</v>
      </c>
      <c r="AZ101" s="241" t="s">
        <v>393</v>
      </c>
      <c r="BA101" s="242">
        <v>43672</v>
      </c>
      <c r="BB101" s="244" t="s">
        <v>7160</v>
      </c>
      <c r="BC101" s="236" t="s">
        <v>393</v>
      </c>
      <c r="BD101" s="236" t="s">
        <v>393</v>
      </c>
      <c r="BE101" s="236" t="s">
        <v>393</v>
      </c>
      <c r="BF101" s="236" t="s">
        <v>393</v>
      </c>
      <c r="BG101" s="236" t="s">
        <v>1473</v>
      </c>
      <c r="BH101" s="236" t="s">
        <v>393</v>
      </c>
      <c r="BI101" s="237">
        <v>43672</v>
      </c>
      <c r="BJ101" s="245" t="s">
        <v>7161</v>
      </c>
      <c r="BK101" s="245">
        <v>2180</v>
      </c>
      <c r="BL101" s="245" t="s">
        <v>3990</v>
      </c>
      <c r="BM101" s="245" t="s">
        <v>600</v>
      </c>
      <c r="BN101" s="245">
        <v>2</v>
      </c>
      <c r="BO101" s="245" t="s">
        <v>3991</v>
      </c>
      <c r="BP101" s="241" t="s">
        <v>1935</v>
      </c>
      <c r="BQ101" s="246">
        <v>44134</v>
      </c>
      <c r="BR101" s="244" t="s">
        <v>7162</v>
      </c>
      <c r="BS101" s="247" t="s">
        <v>393</v>
      </c>
      <c r="BT101" s="247" t="s">
        <v>393</v>
      </c>
      <c r="BU101" s="247" t="s">
        <v>393</v>
      </c>
      <c r="BV101" s="247" t="s">
        <v>393</v>
      </c>
      <c r="BW101" s="247" t="s">
        <v>1434</v>
      </c>
      <c r="BX101" s="247" t="s">
        <v>393</v>
      </c>
      <c r="BY101" s="237">
        <v>43649</v>
      </c>
      <c r="BZ101" s="245" t="s">
        <v>7163</v>
      </c>
      <c r="CA101" s="245">
        <v>4300</v>
      </c>
      <c r="CB101" s="245" t="s">
        <v>708</v>
      </c>
      <c r="CC101" s="245" t="s">
        <v>599</v>
      </c>
      <c r="CD101" s="245">
        <v>3</v>
      </c>
      <c r="CE101" s="245" t="s">
        <v>1449</v>
      </c>
      <c r="CF101" s="245" t="s">
        <v>709</v>
      </c>
      <c r="CG101" s="246">
        <v>43649</v>
      </c>
      <c r="CH101" s="244" t="s">
        <v>7164</v>
      </c>
      <c r="CI101" s="245" t="e">
        <v>#N/A</v>
      </c>
      <c r="CJ101" s="245" t="e">
        <v>#N/A</v>
      </c>
      <c r="CK101" s="245" t="e">
        <v>#N/A</v>
      </c>
      <c r="CL101" s="245" t="e">
        <v>#N/A</v>
      </c>
      <c r="CM101" s="245" t="e">
        <v>#N/A</v>
      </c>
      <c r="CN101" s="245" t="e">
        <v>#N/A</v>
      </c>
      <c r="CO101" s="248" t="e">
        <v>#N/A</v>
      </c>
      <c r="CP101" s="245" t="s">
        <v>7165</v>
      </c>
      <c r="CQ101" s="247" t="s">
        <v>393</v>
      </c>
      <c r="CR101" s="247" t="s">
        <v>726</v>
      </c>
      <c r="CS101" s="247" t="s">
        <v>393</v>
      </c>
      <c r="CT101" s="247" t="s">
        <v>393</v>
      </c>
      <c r="CU101" s="247" t="s">
        <v>1450</v>
      </c>
      <c r="CV101" s="247" t="s">
        <v>727</v>
      </c>
      <c r="CW101" s="237">
        <v>43649</v>
      </c>
      <c r="CX101" s="245" t="s">
        <v>7166</v>
      </c>
      <c r="CY101" s="241">
        <v>5890000</v>
      </c>
      <c r="CZ101" s="241" t="s">
        <v>2842</v>
      </c>
      <c r="DA101" s="241" t="s">
        <v>600</v>
      </c>
      <c r="DB101" s="241">
        <v>2</v>
      </c>
      <c r="DC101" s="241" t="s">
        <v>2130</v>
      </c>
      <c r="DD101" s="241" t="s">
        <v>2843</v>
      </c>
      <c r="DE101" s="243">
        <v>44069</v>
      </c>
      <c r="DF101" s="244" t="s">
        <v>7167</v>
      </c>
      <c r="DG101" s="236">
        <v>48407000</v>
      </c>
      <c r="DH101" s="247" t="s">
        <v>2842</v>
      </c>
      <c r="DI101" s="247" t="s">
        <v>600</v>
      </c>
      <c r="DJ101" s="247">
        <v>2</v>
      </c>
      <c r="DK101" s="247" t="s">
        <v>2130</v>
      </c>
      <c r="DL101" s="247" t="s">
        <v>2843</v>
      </c>
      <c r="DM101" s="237">
        <v>44069</v>
      </c>
      <c r="DN101" s="245" t="s">
        <v>7168</v>
      </c>
      <c r="DO101" s="241">
        <v>1936000</v>
      </c>
      <c r="DP101" s="245" t="s">
        <v>2842</v>
      </c>
      <c r="DQ101" s="245" t="s">
        <v>600</v>
      </c>
      <c r="DR101" s="245">
        <v>2</v>
      </c>
      <c r="DS101" s="245" t="s">
        <v>2130</v>
      </c>
      <c r="DT101" s="245" t="s">
        <v>2843</v>
      </c>
      <c r="DU101" s="246">
        <v>44069</v>
      </c>
      <c r="DV101" s="244" t="s">
        <v>7169</v>
      </c>
      <c r="DW101" s="236">
        <v>3006000</v>
      </c>
      <c r="DX101" s="247" t="s">
        <v>2842</v>
      </c>
      <c r="DY101" s="247" t="s">
        <v>600</v>
      </c>
      <c r="DZ101" s="247">
        <v>2</v>
      </c>
      <c r="EA101" s="247" t="s">
        <v>2130</v>
      </c>
      <c r="EB101" s="247" t="s">
        <v>2843</v>
      </c>
      <c r="EC101" s="237">
        <v>44069</v>
      </c>
      <c r="ED101" s="245" t="s">
        <v>7170</v>
      </c>
      <c r="EE101" s="241">
        <v>2884000</v>
      </c>
      <c r="EF101" s="245" t="s">
        <v>2842</v>
      </c>
      <c r="EG101" s="245" t="s">
        <v>600</v>
      </c>
      <c r="EH101" s="245">
        <v>2</v>
      </c>
      <c r="EI101" s="245" t="s">
        <v>2130</v>
      </c>
      <c r="EJ101" s="245" t="s">
        <v>2843</v>
      </c>
      <c r="EK101" s="246">
        <v>44069</v>
      </c>
      <c r="EL101" s="244" t="s">
        <v>7171</v>
      </c>
      <c r="EM101" s="236">
        <v>0</v>
      </c>
      <c r="EN101" s="247" t="s">
        <v>2842</v>
      </c>
      <c r="EO101" s="247" t="s">
        <v>600</v>
      </c>
      <c r="EP101" s="247">
        <v>2</v>
      </c>
      <c r="EQ101" s="247" t="s">
        <v>2130</v>
      </c>
      <c r="ER101" s="247" t="s">
        <v>2843</v>
      </c>
      <c r="ES101" s="237">
        <v>44069</v>
      </c>
      <c r="ET101" s="245" t="s">
        <v>7172</v>
      </c>
      <c r="EU101" s="245">
        <v>2180</v>
      </c>
      <c r="EV101" s="245" t="s">
        <v>3990</v>
      </c>
      <c r="EW101" s="245" t="s">
        <v>600</v>
      </c>
      <c r="EX101" s="245">
        <v>2</v>
      </c>
      <c r="EY101" s="245" t="s">
        <v>3991</v>
      </c>
      <c r="EZ101" s="245" t="s">
        <v>1935</v>
      </c>
      <c r="FA101" s="246">
        <v>44134</v>
      </c>
      <c r="FB101" s="244" t="s">
        <v>7173</v>
      </c>
      <c r="FC101" s="247">
        <v>5</v>
      </c>
      <c r="FD101" s="247" t="s">
        <v>393</v>
      </c>
      <c r="FE101" s="247" t="s">
        <v>600</v>
      </c>
      <c r="FF101" s="247">
        <v>2</v>
      </c>
      <c r="FG101" s="247" t="s">
        <v>728</v>
      </c>
      <c r="FH101" s="247" t="s">
        <v>393</v>
      </c>
      <c r="FI101" s="237">
        <v>43649</v>
      </c>
      <c r="FJ101" s="244" t="s">
        <v>7174</v>
      </c>
      <c r="FK101" s="245" t="s">
        <v>393</v>
      </c>
      <c r="FL101" s="245" t="s">
        <v>393</v>
      </c>
      <c r="FM101" s="245" t="s">
        <v>393</v>
      </c>
      <c r="FN101" s="245" t="s">
        <v>393</v>
      </c>
      <c r="FO101" s="245" t="s">
        <v>1434</v>
      </c>
      <c r="FP101" s="241" t="s">
        <v>393</v>
      </c>
      <c r="FQ101" s="242">
        <v>43649</v>
      </c>
      <c r="FR101" s="244" t="s">
        <v>7175</v>
      </c>
      <c r="FS101" s="247">
        <v>800000</v>
      </c>
      <c r="FT101" s="247" t="s">
        <v>1431</v>
      </c>
      <c r="FU101" s="247" t="s">
        <v>600</v>
      </c>
      <c r="FV101" s="247">
        <v>2</v>
      </c>
      <c r="FW101" s="247" t="s">
        <v>1437</v>
      </c>
      <c r="FX101" s="247" t="s">
        <v>1218</v>
      </c>
      <c r="FY101" s="237">
        <v>43649</v>
      </c>
      <c r="FZ101" s="245" t="s">
        <v>7176</v>
      </c>
      <c r="GA101" s="245">
        <v>1</v>
      </c>
      <c r="GB101" s="245" t="s">
        <v>1587</v>
      </c>
      <c r="GC101" s="245" t="s">
        <v>601</v>
      </c>
      <c r="GD101" s="245">
        <v>1</v>
      </c>
      <c r="GE101" s="245" t="s">
        <v>1623</v>
      </c>
      <c r="GF101" s="245" t="s">
        <v>1624</v>
      </c>
      <c r="GG101" s="246">
        <v>43770</v>
      </c>
      <c r="GH101" s="244" t="s">
        <v>7177</v>
      </c>
      <c r="GI101" s="247">
        <v>3</v>
      </c>
      <c r="GJ101" s="247" t="s">
        <v>1587</v>
      </c>
      <c r="GK101" s="247" t="s">
        <v>601</v>
      </c>
      <c r="GL101" s="247">
        <v>1</v>
      </c>
      <c r="GM101" s="247" t="s">
        <v>1623</v>
      </c>
      <c r="GN101" s="247" t="s">
        <v>1624</v>
      </c>
      <c r="GO101" s="237">
        <v>43770</v>
      </c>
      <c r="GP101" s="245" t="s">
        <v>7178</v>
      </c>
      <c r="GQ101" s="245">
        <v>3</v>
      </c>
      <c r="GR101" s="245" t="s">
        <v>1587</v>
      </c>
      <c r="GS101" s="245" t="s">
        <v>601</v>
      </c>
      <c r="GT101" s="245">
        <v>1</v>
      </c>
      <c r="GU101" s="245" t="s">
        <v>1623</v>
      </c>
      <c r="GV101" s="245" t="s">
        <v>1624</v>
      </c>
      <c r="GW101" s="246">
        <v>43770</v>
      </c>
      <c r="GX101" s="244" t="s">
        <v>7179</v>
      </c>
      <c r="GY101" s="247">
        <v>3</v>
      </c>
      <c r="GZ101" s="247" t="s">
        <v>1587</v>
      </c>
      <c r="HA101" s="247" t="s">
        <v>601</v>
      </c>
      <c r="HB101" s="247">
        <v>1</v>
      </c>
      <c r="HC101" s="247" t="s">
        <v>1623</v>
      </c>
      <c r="HD101" s="247" t="s">
        <v>1624</v>
      </c>
      <c r="HE101" s="237">
        <v>43770</v>
      </c>
      <c r="HF101" s="245" t="s">
        <v>7180</v>
      </c>
      <c r="HG101" s="245">
        <v>2</v>
      </c>
      <c r="HH101" s="245" t="s">
        <v>1587</v>
      </c>
      <c r="HI101" s="245" t="s">
        <v>601</v>
      </c>
      <c r="HJ101" s="245">
        <v>1</v>
      </c>
      <c r="HK101" s="245" t="s">
        <v>1623</v>
      </c>
      <c r="HL101" s="245" t="s">
        <v>1624</v>
      </c>
      <c r="HM101" s="246">
        <v>43770</v>
      </c>
      <c r="HN101" s="244" t="s">
        <v>7181</v>
      </c>
      <c r="HO101" s="247">
        <v>2</v>
      </c>
      <c r="HP101" s="247" t="s">
        <v>1587</v>
      </c>
      <c r="HQ101" s="247" t="s">
        <v>601</v>
      </c>
      <c r="HR101" s="247">
        <v>1</v>
      </c>
      <c r="HS101" s="247" t="s">
        <v>1623</v>
      </c>
      <c r="HT101" s="247" t="s">
        <v>1624</v>
      </c>
      <c r="HU101" s="237">
        <v>43770</v>
      </c>
      <c r="HV101" s="245" t="s">
        <v>7182</v>
      </c>
      <c r="HW101" s="245">
        <v>3</v>
      </c>
      <c r="HX101" s="245" t="s">
        <v>1587</v>
      </c>
      <c r="HY101" s="245" t="s">
        <v>601</v>
      </c>
      <c r="HZ101" s="245">
        <v>1</v>
      </c>
      <c r="IA101" s="245" t="s">
        <v>1623</v>
      </c>
      <c r="IB101" s="245" t="s">
        <v>1624</v>
      </c>
      <c r="IC101" s="246">
        <v>43770</v>
      </c>
      <c r="ID101" s="244" t="s">
        <v>7183</v>
      </c>
      <c r="IE101" s="247">
        <v>1</v>
      </c>
      <c r="IF101" s="247" t="s">
        <v>1587</v>
      </c>
      <c r="IG101" s="247" t="s">
        <v>601</v>
      </c>
      <c r="IH101" s="247">
        <v>1</v>
      </c>
      <c r="II101" s="247" t="s">
        <v>1623</v>
      </c>
      <c r="IJ101" s="247" t="s">
        <v>1624</v>
      </c>
      <c r="IK101" s="237">
        <v>43770</v>
      </c>
      <c r="IL101" s="245" t="s">
        <v>7184</v>
      </c>
      <c r="IM101" s="245">
        <v>2</v>
      </c>
      <c r="IN101" s="245" t="s">
        <v>1587</v>
      </c>
      <c r="IO101" s="245" t="s">
        <v>601</v>
      </c>
      <c r="IP101" s="245">
        <v>1</v>
      </c>
      <c r="IQ101" s="245" t="s">
        <v>1623</v>
      </c>
      <c r="IR101" s="245" t="s">
        <v>1624</v>
      </c>
      <c r="IS101" s="246">
        <v>43770</v>
      </c>
    </row>
    <row r="102" spans="1:253" s="11" customFormat="1" ht="13.2" x14ac:dyDescent="0.25">
      <c r="A102" s="11" t="s">
        <v>780</v>
      </c>
      <c r="B102" s="11" t="s">
        <v>650</v>
      </c>
      <c r="C102" s="11" t="s">
        <v>674</v>
      </c>
      <c r="D102" s="11" t="s">
        <v>234</v>
      </c>
      <c r="E102" s="11" t="s">
        <v>233</v>
      </c>
      <c r="F102" s="11" t="s">
        <v>7185</v>
      </c>
      <c r="G102" s="235">
        <v>187718000</v>
      </c>
      <c r="H102" s="236" t="s">
        <v>1468</v>
      </c>
      <c r="I102" s="236" t="s">
        <v>600</v>
      </c>
      <c r="J102" s="236">
        <v>2</v>
      </c>
      <c r="K102" s="236" t="s">
        <v>1470</v>
      </c>
      <c r="L102" s="236" t="s">
        <v>1469</v>
      </c>
      <c r="M102" s="237">
        <v>43672</v>
      </c>
      <c r="N102" s="244" t="s">
        <v>7186</v>
      </c>
      <c r="O102" s="239">
        <v>409735</v>
      </c>
      <c r="P102" s="239" t="s">
        <v>1461</v>
      </c>
      <c r="Q102" s="239" t="s">
        <v>600</v>
      </c>
      <c r="R102" s="239">
        <v>2</v>
      </c>
      <c r="S102" s="239" t="s">
        <v>1440</v>
      </c>
      <c r="T102" s="239" t="s">
        <v>1439</v>
      </c>
      <c r="U102" s="240">
        <v>43648</v>
      </c>
      <c r="V102" s="244" t="s">
        <v>7187</v>
      </c>
      <c r="W102" s="236">
        <v>84154000</v>
      </c>
      <c r="X102" s="236" t="s">
        <v>1438</v>
      </c>
      <c r="Y102" s="236" t="s">
        <v>600</v>
      </c>
      <c r="Z102" s="236">
        <v>2</v>
      </c>
      <c r="AA102" s="236" t="s">
        <v>1472</v>
      </c>
      <c r="AB102" s="236" t="s">
        <v>1439</v>
      </c>
      <c r="AC102" s="237">
        <v>43672</v>
      </c>
      <c r="AD102" s="244" t="s">
        <v>7188</v>
      </c>
      <c r="AE102" s="241">
        <v>300000</v>
      </c>
      <c r="AF102" s="241" t="s">
        <v>711</v>
      </c>
      <c r="AG102" s="241" t="s">
        <v>600</v>
      </c>
      <c r="AH102" s="241">
        <v>2</v>
      </c>
      <c r="AI102" s="241" t="s">
        <v>1441</v>
      </c>
      <c r="AJ102" s="241" t="s">
        <v>712</v>
      </c>
      <c r="AK102" s="242">
        <v>43648</v>
      </c>
      <c r="AL102" s="244" t="s">
        <v>7189</v>
      </c>
      <c r="AM102" s="236" t="s">
        <v>393</v>
      </c>
      <c r="AN102" s="236" t="s">
        <v>393</v>
      </c>
      <c r="AO102" s="236" t="s">
        <v>393</v>
      </c>
      <c r="AP102" s="236" t="s">
        <v>393</v>
      </c>
      <c r="AQ102" s="236">
        <v>0</v>
      </c>
      <c r="AR102" s="236">
        <v>0</v>
      </c>
      <c r="AS102" s="237">
        <v>43770</v>
      </c>
      <c r="AT102" s="245" t="s">
        <v>7190</v>
      </c>
      <c r="AU102" s="241" t="s">
        <v>393</v>
      </c>
      <c r="AV102" s="241" t="s">
        <v>393</v>
      </c>
      <c r="AW102" s="241" t="s">
        <v>393</v>
      </c>
      <c r="AX102" s="241" t="s">
        <v>393</v>
      </c>
      <c r="AY102" s="241" t="s">
        <v>1471</v>
      </c>
      <c r="AZ102" s="241" t="s">
        <v>393</v>
      </c>
      <c r="BA102" s="242">
        <v>43672</v>
      </c>
      <c r="BB102" s="244" t="s">
        <v>7191</v>
      </c>
      <c r="BC102" s="236" t="s">
        <v>393</v>
      </c>
      <c r="BD102" s="236" t="s">
        <v>393</v>
      </c>
      <c r="BE102" s="236" t="s">
        <v>393</v>
      </c>
      <c r="BF102" s="236" t="s">
        <v>393</v>
      </c>
      <c r="BG102" s="236" t="s">
        <v>1471</v>
      </c>
      <c r="BH102" s="236" t="s">
        <v>393</v>
      </c>
      <c r="BI102" s="237">
        <v>43672</v>
      </c>
      <c r="BJ102" s="245" t="s">
        <v>7192</v>
      </c>
      <c r="BK102" s="245">
        <v>291</v>
      </c>
      <c r="BL102" s="245" t="s">
        <v>3314</v>
      </c>
      <c r="BM102" s="245" t="s">
        <v>600</v>
      </c>
      <c r="BN102" s="245">
        <v>2</v>
      </c>
      <c r="BO102" s="245" t="s">
        <v>3487</v>
      </c>
      <c r="BP102" s="241" t="s">
        <v>2406</v>
      </c>
      <c r="BQ102" s="246">
        <v>44109</v>
      </c>
      <c r="BR102" s="244" t="s">
        <v>7193</v>
      </c>
      <c r="BS102" s="247" t="s">
        <v>393</v>
      </c>
      <c r="BT102" s="247" t="s">
        <v>393</v>
      </c>
      <c r="BU102" s="247" t="s">
        <v>393</v>
      </c>
      <c r="BV102" s="247" t="s">
        <v>393</v>
      </c>
      <c r="BW102" s="247" t="s">
        <v>1434</v>
      </c>
      <c r="BX102" s="247" t="s">
        <v>393</v>
      </c>
      <c r="BY102" s="237">
        <v>43648</v>
      </c>
      <c r="BZ102" s="245" t="s">
        <v>7194</v>
      </c>
      <c r="CA102" s="245" t="s">
        <v>393</v>
      </c>
      <c r="CB102" s="245" t="s">
        <v>393</v>
      </c>
      <c r="CC102" s="245" t="s">
        <v>393</v>
      </c>
      <c r="CD102" s="245" t="s">
        <v>393</v>
      </c>
      <c r="CE102" s="245" t="s">
        <v>1434</v>
      </c>
      <c r="CF102" s="245" t="s">
        <v>393</v>
      </c>
      <c r="CG102" s="246">
        <v>43648</v>
      </c>
      <c r="CH102" s="244" t="s">
        <v>7195</v>
      </c>
      <c r="CI102" s="245" t="e">
        <v>#N/A</v>
      </c>
      <c r="CJ102" s="245" t="e">
        <v>#N/A</v>
      </c>
      <c r="CK102" s="245" t="e">
        <v>#N/A</v>
      </c>
      <c r="CL102" s="245" t="e">
        <v>#N/A</v>
      </c>
      <c r="CM102" s="245" t="e">
        <v>#N/A</v>
      </c>
      <c r="CN102" s="245" t="e">
        <v>#N/A</v>
      </c>
      <c r="CO102" s="248" t="e">
        <v>#N/A</v>
      </c>
      <c r="CP102" s="245" t="s">
        <v>7196</v>
      </c>
      <c r="CQ102" s="247" t="s">
        <v>393</v>
      </c>
      <c r="CR102" s="247" t="s">
        <v>393</v>
      </c>
      <c r="CS102" s="247" t="s">
        <v>393</v>
      </c>
      <c r="CT102" s="247" t="s">
        <v>393</v>
      </c>
      <c r="CU102" s="247" t="s">
        <v>1434</v>
      </c>
      <c r="CV102" s="247" t="s">
        <v>393</v>
      </c>
      <c r="CW102" s="237">
        <v>43648</v>
      </c>
      <c r="CX102" s="245" t="s">
        <v>7197</v>
      </c>
      <c r="CY102" s="241" t="s">
        <v>393</v>
      </c>
      <c r="CZ102" s="241" t="s">
        <v>393</v>
      </c>
      <c r="DA102" s="241" t="s">
        <v>393</v>
      </c>
      <c r="DB102" s="241" t="s">
        <v>393</v>
      </c>
      <c r="DC102" s="241" t="s">
        <v>393</v>
      </c>
      <c r="DD102" s="241" t="s">
        <v>393</v>
      </c>
      <c r="DE102" s="243">
        <v>43770</v>
      </c>
      <c r="DF102" s="244" t="s">
        <v>7198</v>
      </c>
      <c r="DG102" s="236" t="s">
        <v>393</v>
      </c>
      <c r="DH102" s="247" t="s">
        <v>393</v>
      </c>
      <c r="DI102" s="247" t="s">
        <v>393</v>
      </c>
      <c r="DJ102" s="247" t="s">
        <v>393</v>
      </c>
      <c r="DK102" s="247" t="s">
        <v>393</v>
      </c>
      <c r="DL102" s="247" t="s">
        <v>393</v>
      </c>
      <c r="DM102" s="237">
        <v>43770</v>
      </c>
      <c r="DN102" s="245" t="s">
        <v>7199</v>
      </c>
      <c r="DO102" s="241">
        <v>0</v>
      </c>
      <c r="DP102" s="245" t="s">
        <v>393</v>
      </c>
      <c r="DQ102" s="245" t="s">
        <v>600</v>
      </c>
      <c r="DR102" s="245">
        <v>2</v>
      </c>
      <c r="DS102" s="245" t="s">
        <v>1442</v>
      </c>
      <c r="DT102" s="245" t="s">
        <v>393</v>
      </c>
      <c r="DU102" s="246">
        <v>43648</v>
      </c>
      <c r="DV102" s="244" t="s">
        <v>7200</v>
      </c>
      <c r="DW102" s="236" t="s">
        <v>393</v>
      </c>
      <c r="DX102" s="247" t="s">
        <v>393</v>
      </c>
      <c r="DY102" s="247" t="s">
        <v>393</v>
      </c>
      <c r="DZ102" s="247" t="s">
        <v>393</v>
      </c>
      <c r="EA102" s="247" t="s">
        <v>393</v>
      </c>
      <c r="EB102" s="247" t="s">
        <v>393</v>
      </c>
      <c r="EC102" s="237">
        <v>43770</v>
      </c>
      <c r="ED102" s="245" t="s">
        <v>7201</v>
      </c>
      <c r="EE102" s="241">
        <v>0</v>
      </c>
      <c r="EF102" s="245" t="s">
        <v>393</v>
      </c>
      <c r="EG102" s="245" t="s">
        <v>600</v>
      </c>
      <c r="EH102" s="245">
        <v>2</v>
      </c>
      <c r="EI102" s="245" t="s">
        <v>1443</v>
      </c>
      <c r="EJ102" s="245" t="s">
        <v>393</v>
      </c>
      <c r="EK102" s="246">
        <v>43648</v>
      </c>
      <c r="EL102" s="244" t="s">
        <v>7202</v>
      </c>
      <c r="EM102" s="236">
        <v>0</v>
      </c>
      <c r="EN102" s="247" t="s">
        <v>393</v>
      </c>
      <c r="EO102" s="247" t="s">
        <v>600</v>
      </c>
      <c r="EP102" s="247">
        <v>2</v>
      </c>
      <c r="EQ102" s="247" t="s">
        <v>1444</v>
      </c>
      <c r="ER102" s="247" t="s">
        <v>393</v>
      </c>
      <c r="ES102" s="237">
        <v>43648</v>
      </c>
      <c r="ET102" s="245" t="s">
        <v>7203</v>
      </c>
      <c r="EU102" s="245">
        <v>3216</v>
      </c>
      <c r="EV102" s="245" t="s">
        <v>3314</v>
      </c>
      <c r="EW102" s="245" t="s">
        <v>600</v>
      </c>
      <c r="EX102" s="245">
        <v>2</v>
      </c>
      <c r="EY102" s="245" t="s">
        <v>3485</v>
      </c>
      <c r="EZ102" s="245" t="s">
        <v>2406</v>
      </c>
      <c r="FA102" s="246">
        <v>44109</v>
      </c>
      <c r="FB102" s="244" t="s">
        <v>7204</v>
      </c>
      <c r="FC102" s="247">
        <v>5</v>
      </c>
      <c r="FD102" s="247" t="s">
        <v>393</v>
      </c>
      <c r="FE102" s="247" t="s">
        <v>600</v>
      </c>
      <c r="FF102" s="247">
        <v>2</v>
      </c>
      <c r="FG102" s="247" t="s">
        <v>1445</v>
      </c>
      <c r="FH102" s="247" t="s">
        <v>393</v>
      </c>
      <c r="FI102" s="237">
        <v>43648</v>
      </c>
      <c r="FJ102" s="244" t="s">
        <v>7205</v>
      </c>
      <c r="FK102" s="245" t="s">
        <v>393</v>
      </c>
      <c r="FL102" s="245" t="s">
        <v>393</v>
      </c>
      <c r="FM102" s="245" t="s">
        <v>393</v>
      </c>
      <c r="FN102" s="245" t="s">
        <v>393</v>
      </c>
      <c r="FO102" s="245" t="s">
        <v>713</v>
      </c>
      <c r="FP102" s="241" t="s">
        <v>393</v>
      </c>
      <c r="FQ102" s="242">
        <v>43648</v>
      </c>
      <c r="FR102" s="244" t="s">
        <v>7206</v>
      </c>
      <c r="FS102" s="247" t="s">
        <v>393</v>
      </c>
      <c r="FT102" s="247" t="s">
        <v>393</v>
      </c>
      <c r="FU102" s="247" t="s">
        <v>393</v>
      </c>
      <c r="FV102" s="247" t="s">
        <v>393</v>
      </c>
      <c r="FW102" s="247" t="s">
        <v>1446</v>
      </c>
      <c r="FX102" s="247" t="s">
        <v>393</v>
      </c>
      <c r="FY102" s="237">
        <v>43648</v>
      </c>
      <c r="FZ102" s="245" t="s">
        <v>7207</v>
      </c>
      <c r="GA102" s="245">
        <v>1</v>
      </c>
      <c r="GB102" s="245" t="s">
        <v>1587</v>
      </c>
      <c r="GC102" s="245" t="s">
        <v>601</v>
      </c>
      <c r="GD102" s="245">
        <v>1</v>
      </c>
      <c r="GE102" s="245" t="s">
        <v>1623</v>
      </c>
      <c r="GF102" s="245" t="s">
        <v>1624</v>
      </c>
      <c r="GG102" s="246">
        <v>43770</v>
      </c>
      <c r="GH102" s="244" t="s">
        <v>7208</v>
      </c>
      <c r="GI102" s="247">
        <v>2</v>
      </c>
      <c r="GJ102" s="247" t="s">
        <v>1587</v>
      </c>
      <c r="GK102" s="247" t="s">
        <v>601</v>
      </c>
      <c r="GL102" s="247">
        <v>1</v>
      </c>
      <c r="GM102" s="247" t="s">
        <v>1623</v>
      </c>
      <c r="GN102" s="247" t="s">
        <v>1624</v>
      </c>
      <c r="GO102" s="237">
        <v>43770</v>
      </c>
      <c r="GP102" s="245" t="s">
        <v>7209</v>
      </c>
      <c r="GQ102" s="245">
        <v>0</v>
      </c>
      <c r="GR102" s="245" t="s">
        <v>1587</v>
      </c>
      <c r="GS102" s="245" t="s">
        <v>601</v>
      </c>
      <c r="GT102" s="245">
        <v>1</v>
      </c>
      <c r="GU102" s="245" t="s">
        <v>1623</v>
      </c>
      <c r="GV102" s="245" t="s">
        <v>1624</v>
      </c>
      <c r="GW102" s="246">
        <v>43770</v>
      </c>
      <c r="GX102" s="244" t="s">
        <v>7210</v>
      </c>
      <c r="GY102" s="247">
        <v>3</v>
      </c>
      <c r="GZ102" s="247" t="s">
        <v>1587</v>
      </c>
      <c r="HA102" s="247" t="s">
        <v>601</v>
      </c>
      <c r="HB102" s="247">
        <v>1</v>
      </c>
      <c r="HC102" s="247" t="s">
        <v>1623</v>
      </c>
      <c r="HD102" s="247" t="s">
        <v>1624</v>
      </c>
      <c r="HE102" s="237">
        <v>43770</v>
      </c>
      <c r="HF102" s="245" t="s">
        <v>7211</v>
      </c>
      <c r="HG102" s="245">
        <v>0</v>
      </c>
      <c r="HH102" s="245" t="s">
        <v>1587</v>
      </c>
      <c r="HI102" s="245" t="s">
        <v>601</v>
      </c>
      <c r="HJ102" s="245">
        <v>1</v>
      </c>
      <c r="HK102" s="245" t="s">
        <v>1623</v>
      </c>
      <c r="HL102" s="245" t="s">
        <v>1624</v>
      </c>
      <c r="HM102" s="246">
        <v>43770</v>
      </c>
      <c r="HN102" s="244" t="s">
        <v>7212</v>
      </c>
      <c r="HO102" s="247">
        <v>1</v>
      </c>
      <c r="HP102" s="247" t="s">
        <v>1587</v>
      </c>
      <c r="HQ102" s="247" t="s">
        <v>601</v>
      </c>
      <c r="HR102" s="247">
        <v>1</v>
      </c>
      <c r="HS102" s="247" t="s">
        <v>1623</v>
      </c>
      <c r="HT102" s="247" t="s">
        <v>1624</v>
      </c>
      <c r="HU102" s="237">
        <v>43770</v>
      </c>
      <c r="HV102" s="245" t="s">
        <v>7213</v>
      </c>
      <c r="HW102" s="245">
        <v>2</v>
      </c>
      <c r="HX102" s="245" t="s">
        <v>1587</v>
      </c>
      <c r="HY102" s="245" t="s">
        <v>601</v>
      </c>
      <c r="HZ102" s="245">
        <v>1</v>
      </c>
      <c r="IA102" s="245" t="s">
        <v>1623</v>
      </c>
      <c r="IB102" s="245" t="s">
        <v>1624</v>
      </c>
      <c r="IC102" s="246">
        <v>43770</v>
      </c>
      <c r="ID102" s="244" t="s">
        <v>7214</v>
      </c>
      <c r="IE102" s="247">
        <v>1</v>
      </c>
      <c r="IF102" s="247" t="s">
        <v>1587</v>
      </c>
      <c r="IG102" s="247" t="s">
        <v>601</v>
      </c>
      <c r="IH102" s="247">
        <v>1</v>
      </c>
      <c r="II102" s="247" t="s">
        <v>1623</v>
      </c>
      <c r="IJ102" s="247" t="s">
        <v>1624</v>
      </c>
      <c r="IK102" s="237">
        <v>43770</v>
      </c>
      <c r="IL102" s="245" t="s">
        <v>7215</v>
      </c>
      <c r="IM102" s="245">
        <v>1</v>
      </c>
      <c r="IN102" s="245" t="s">
        <v>1587</v>
      </c>
      <c r="IO102" s="245" t="s">
        <v>601</v>
      </c>
      <c r="IP102" s="245">
        <v>1</v>
      </c>
      <c r="IQ102" s="245" t="s">
        <v>1623</v>
      </c>
      <c r="IR102" s="245" t="s">
        <v>1624</v>
      </c>
      <c r="IS102" s="246">
        <v>43770</v>
      </c>
    </row>
    <row r="103" spans="1:253" s="11" customFormat="1" ht="13.2" x14ac:dyDescent="0.25">
      <c r="A103" s="11" t="s">
        <v>1100</v>
      </c>
      <c r="B103" s="11" t="s">
        <v>650</v>
      </c>
      <c r="C103" s="11" t="s">
        <v>675</v>
      </c>
      <c r="D103" s="11" t="s">
        <v>234</v>
      </c>
      <c r="E103" s="11" t="s">
        <v>233</v>
      </c>
      <c r="F103" s="11" t="s">
        <v>7216</v>
      </c>
      <c r="G103" s="235">
        <v>195668000</v>
      </c>
      <c r="H103" s="236" t="s">
        <v>2844</v>
      </c>
      <c r="I103" s="236" t="s">
        <v>601</v>
      </c>
      <c r="J103" s="236">
        <v>1</v>
      </c>
      <c r="K103" s="236" t="s">
        <v>2404</v>
      </c>
      <c r="L103" s="236" t="s">
        <v>2846</v>
      </c>
      <c r="M103" s="237">
        <v>44069</v>
      </c>
      <c r="N103" s="244" t="s">
        <v>7217</v>
      </c>
      <c r="O103" s="239">
        <v>157918</v>
      </c>
      <c r="P103" s="239" t="s">
        <v>1459</v>
      </c>
      <c r="Q103" s="239" t="s">
        <v>601</v>
      </c>
      <c r="R103" s="239">
        <v>1</v>
      </c>
      <c r="S103" s="239" t="s">
        <v>1433</v>
      </c>
      <c r="T103" s="239" t="s">
        <v>1460</v>
      </c>
      <c r="U103" s="240">
        <v>43647</v>
      </c>
      <c r="V103" s="244" t="s">
        <v>7218</v>
      </c>
      <c r="W103" s="236">
        <v>7900000</v>
      </c>
      <c r="X103" s="236" t="s">
        <v>2405</v>
      </c>
      <c r="Y103" s="236" t="s">
        <v>601</v>
      </c>
      <c r="Z103" s="236">
        <v>1</v>
      </c>
      <c r="AA103" s="236" t="s">
        <v>2131</v>
      </c>
      <c r="AB103" s="236" t="s">
        <v>2257</v>
      </c>
      <c r="AC103" s="237">
        <v>43979</v>
      </c>
      <c r="AD103" s="244" t="s">
        <v>7219</v>
      </c>
      <c r="AE103" s="241">
        <v>7150000</v>
      </c>
      <c r="AF103" s="241" t="s">
        <v>2256</v>
      </c>
      <c r="AG103" s="241" t="s">
        <v>600</v>
      </c>
      <c r="AH103" s="241">
        <v>2</v>
      </c>
      <c r="AI103" s="241" t="s">
        <v>2132</v>
      </c>
      <c r="AJ103" s="241" t="s">
        <v>2257</v>
      </c>
      <c r="AK103" s="242">
        <v>43949</v>
      </c>
      <c r="AL103" s="244" t="s">
        <v>7220</v>
      </c>
      <c r="AM103" s="236">
        <v>2179000</v>
      </c>
      <c r="AN103" s="236" t="s">
        <v>2848</v>
      </c>
      <c r="AO103" s="236" t="s">
        <v>600</v>
      </c>
      <c r="AP103" s="236">
        <v>2</v>
      </c>
      <c r="AQ103" s="236" t="s">
        <v>2849</v>
      </c>
      <c r="AR103" s="236" t="s">
        <v>2847</v>
      </c>
      <c r="AS103" s="237">
        <v>44069</v>
      </c>
      <c r="AT103" s="245" t="s">
        <v>7221</v>
      </c>
      <c r="AU103" s="241" t="s">
        <v>393</v>
      </c>
      <c r="AV103" s="241" t="s">
        <v>393</v>
      </c>
      <c r="AW103" s="241" t="s">
        <v>393</v>
      </c>
      <c r="AX103" s="241" t="s">
        <v>393</v>
      </c>
      <c r="AY103" s="241" t="s">
        <v>1471</v>
      </c>
      <c r="AZ103" s="241" t="s">
        <v>393</v>
      </c>
      <c r="BA103" s="242">
        <v>43672</v>
      </c>
      <c r="BB103" s="244" t="s">
        <v>7222</v>
      </c>
      <c r="BC103" s="236" t="s">
        <v>393</v>
      </c>
      <c r="BD103" s="236" t="s">
        <v>393</v>
      </c>
      <c r="BE103" s="236" t="s">
        <v>393</v>
      </c>
      <c r="BF103" s="236" t="s">
        <v>393</v>
      </c>
      <c r="BG103" s="236" t="s">
        <v>1471</v>
      </c>
      <c r="BH103" s="236" t="s">
        <v>393</v>
      </c>
      <c r="BI103" s="237">
        <v>43672</v>
      </c>
      <c r="BJ103" s="245" t="s">
        <v>7223</v>
      </c>
      <c r="BK103" s="245">
        <v>1046</v>
      </c>
      <c r="BL103" s="245" t="s">
        <v>3990</v>
      </c>
      <c r="BM103" s="245" t="s">
        <v>600</v>
      </c>
      <c r="BN103" s="245">
        <v>2</v>
      </c>
      <c r="BO103" s="245" t="s">
        <v>3486</v>
      </c>
      <c r="BP103" s="241" t="s">
        <v>1935</v>
      </c>
      <c r="BQ103" s="246">
        <v>44134</v>
      </c>
      <c r="BR103" s="244" t="s">
        <v>7224</v>
      </c>
      <c r="BS103" s="247" t="s">
        <v>393</v>
      </c>
      <c r="BT103" s="247" t="s">
        <v>393</v>
      </c>
      <c r="BU103" s="247" t="s">
        <v>393</v>
      </c>
      <c r="BV103" s="247" t="s">
        <v>393</v>
      </c>
      <c r="BW103" s="247" t="s">
        <v>1434</v>
      </c>
      <c r="BX103" s="247" t="s">
        <v>393</v>
      </c>
      <c r="BY103" s="237">
        <v>43647</v>
      </c>
      <c r="BZ103" s="245" t="s">
        <v>7225</v>
      </c>
      <c r="CA103" s="245">
        <v>4300</v>
      </c>
      <c r="CB103" s="245" t="s">
        <v>708</v>
      </c>
      <c r="CC103" s="245" t="s">
        <v>600</v>
      </c>
      <c r="CD103" s="245">
        <v>2</v>
      </c>
      <c r="CE103" s="245" t="s">
        <v>1435</v>
      </c>
      <c r="CF103" s="245" t="s">
        <v>709</v>
      </c>
      <c r="CG103" s="246">
        <v>43647</v>
      </c>
      <c r="CH103" s="244" t="s">
        <v>7226</v>
      </c>
      <c r="CI103" s="245" t="e">
        <v>#N/A</v>
      </c>
      <c r="CJ103" s="245" t="e">
        <v>#N/A</v>
      </c>
      <c r="CK103" s="245" t="e">
        <v>#N/A</v>
      </c>
      <c r="CL103" s="245" t="e">
        <v>#N/A</v>
      </c>
      <c r="CM103" s="245" t="e">
        <v>#N/A</v>
      </c>
      <c r="CN103" s="245" t="e">
        <v>#N/A</v>
      </c>
      <c r="CO103" s="248" t="e">
        <v>#N/A</v>
      </c>
      <c r="CP103" s="245" t="s">
        <v>7227</v>
      </c>
      <c r="CQ103" s="247" t="s">
        <v>393</v>
      </c>
      <c r="CR103" s="247" t="s">
        <v>726</v>
      </c>
      <c r="CS103" s="247" t="s">
        <v>393</v>
      </c>
      <c r="CT103" s="247" t="s">
        <v>393</v>
      </c>
      <c r="CU103" s="247" t="s">
        <v>1436</v>
      </c>
      <c r="CV103" s="247" t="s">
        <v>727</v>
      </c>
      <c r="CW103" s="237">
        <v>43647</v>
      </c>
      <c r="CX103" s="245" t="s">
        <v>7228</v>
      </c>
      <c r="CY103" s="241">
        <v>5215000</v>
      </c>
      <c r="CZ103" s="241" t="s">
        <v>2256</v>
      </c>
      <c r="DA103" s="241" t="s">
        <v>600</v>
      </c>
      <c r="DB103" s="241">
        <v>2</v>
      </c>
      <c r="DC103" s="241" t="s">
        <v>2258</v>
      </c>
      <c r="DD103" s="241" t="s">
        <v>2257</v>
      </c>
      <c r="DE103" s="243">
        <v>43949</v>
      </c>
      <c r="DF103" s="244" t="s">
        <v>7229</v>
      </c>
      <c r="DG103" s="236">
        <v>751000</v>
      </c>
      <c r="DH103" s="247" t="s">
        <v>2256</v>
      </c>
      <c r="DI103" s="247" t="s">
        <v>600</v>
      </c>
      <c r="DJ103" s="247">
        <v>2</v>
      </c>
      <c r="DK103" s="247" t="s">
        <v>2258</v>
      </c>
      <c r="DL103" s="247" t="s">
        <v>2257</v>
      </c>
      <c r="DM103" s="237">
        <v>43949</v>
      </c>
      <c r="DN103" s="245" t="s">
        <v>7230</v>
      </c>
      <c r="DO103" s="241">
        <v>1936000</v>
      </c>
      <c r="DP103" s="245" t="s">
        <v>2256</v>
      </c>
      <c r="DQ103" s="245" t="s">
        <v>600</v>
      </c>
      <c r="DR103" s="245">
        <v>2</v>
      </c>
      <c r="DS103" s="245" t="s">
        <v>2258</v>
      </c>
      <c r="DT103" s="245" t="s">
        <v>2257</v>
      </c>
      <c r="DU103" s="246">
        <v>43949</v>
      </c>
      <c r="DV103" s="244" t="s">
        <v>7231</v>
      </c>
      <c r="DW103" s="236">
        <v>2331000</v>
      </c>
      <c r="DX103" s="247" t="s">
        <v>2256</v>
      </c>
      <c r="DY103" s="247" t="s">
        <v>600</v>
      </c>
      <c r="DZ103" s="247">
        <v>2</v>
      </c>
      <c r="EA103" s="247" t="s">
        <v>2258</v>
      </c>
      <c r="EB103" s="247" t="s">
        <v>2257</v>
      </c>
      <c r="EC103" s="237">
        <v>43949</v>
      </c>
      <c r="ED103" s="245" t="s">
        <v>7232</v>
      </c>
      <c r="EE103" s="241">
        <v>2884000</v>
      </c>
      <c r="EF103" s="245" t="s">
        <v>2256</v>
      </c>
      <c r="EG103" s="245" t="s">
        <v>600</v>
      </c>
      <c r="EH103" s="245">
        <v>2</v>
      </c>
      <c r="EI103" s="245" t="s">
        <v>2258</v>
      </c>
      <c r="EJ103" s="245" t="s">
        <v>2257</v>
      </c>
      <c r="EK103" s="246">
        <v>43949</v>
      </c>
      <c r="EL103" s="244" t="s">
        <v>7233</v>
      </c>
      <c r="EM103" s="236">
        <v>0</v>
      </c>
      <c r="EN103" s="247" t="s">
        <v>2256</v>
      </c>
      <c r="EO103" s="247" t="s">
        <v>600</v>
      </c>
      <c r="EP103" s="247">
        <v>2</v>
      </c>
      <c r="EQ103" s="247" t="s">
        <v>2258</v>
      </c>
      <c r="ER103" s="247" t="s">
        <v>2257</v>
      </c>
      <c r="ES103" s="237">
        <v>43949</v>
      </c>
      <c r="ET103" s="245" t="s">
        <v>7234</v>
      </c>
      <c r="EU103" s="245">
        <v>2180</v>
      </c>
      <c r="EV103" s="245" t="s">
        <v>3990</v>
      </c>
      <c r="EW103" s="245" t="s">
        <v>600</v>
      </c>
      <c r="EX103" s="245">
        <v>2</v>
      </c>
      <c r="EY103" s="245" t="s">
        <v>3991</v>
      </c>
      <c r="EZ103" s="245" t="s">
        <v>1935</v>
      </c>
      <c r="FA103" s="246">
        <v>44134</v>
      </c>
      <c r="FB103" s="244" t="s">
        <v>7235</v>
      </c>
      <c r="FC103" s="247">
        <v>4</v>
      </c>
      <c r="FD103" s="247" t="s">
        <v>393</v>
      </c>
      <c r="FE103" s="247" t="s">
        <v>393</v>
      </c>
      <c r="FF103" s="247" t="s">
        <v>393</v>
      </c>
      <c r="FG103" s="247" t="s">
        <v>710</v>
      </c>
      <c r="FH103" s="247" t="s">
        <v>393</v>
      </c>
      <c r="FI103" s="237">
        <v>43647</v>
      </c>
      <c r="FJ103" s="244" t="s">
        <v>7236</v>
      </c>
      <c r="FK103" s="245" t="s">
        <v>393</v>
      </c>
      <c r="FL103" s="245" t="s">
        <v>393</v>
      </c>
      <c r="FM103" s="245" t="s">
        <v>393</v>
      </c>
      <c r="FN103" s="245" t="s">
        <v>393</v>
      </c>
      <c r="FO103" s="245" t="s">
        <v>1434</v>
      </c>
      <c r="FP103" s="241" t="s">
        <v>393</v>
      </c>
      <c r="FQ103" s="242">
        <v>43647</v>
      </c>
      <c r="FR103" s="244" t="s">
        <v>7237</v>
      </c>
      <c r="FS103" s="247">
        <v>800000</v>
      </c>
      <c r="FT103" s="247" t="s">
        <v>1431</v>
      </c>
      <c r="FU103" s="247" t="s">
        <v>600</v>
      </c>
      <c r="FV103" s="247">
        <v>2</v>
      </c>
      <c r="FW103" s="247" t="s">
        <v>1437</v>
      </c>
      <c r="FX103" s="247" t="s">
        <v>1218</v>
      </c>
      <c r="FY103" s="237">
        <v>43647</v>
      </c>
      <c r="FZ103" s="245" t="s">
        <v>7238</v>
      </c>
      <c r="GA103" s="245">
        <v>1</v>
      </c>
      <c r="GB103" s="245" t="s">
        <v>1587</v>
      </c>
      <c r="GC103" s="245" t="s">
        <v>601</v>
      </c>
      <c r="GD103" s="245">
        <v>1</v>
      </c>
      <c r="GE103" s="245" t="s">
        <v>1623</v>
      </c>
      <c r="GF103" s="245" t="s">
        <v>1624</v>
      </c>
      <c r="GG103" s="246">
        <v>43770</v>
      </c>
      <c r="GH103" s="244" t="s">
        <v>7239</v>
      </c>
      <c r="GI103" s="247">
        <v>2</v>
      </c>
      <c r="GJ103" s="247" t="s">
        <v>1587</v>
      </c>
      <c r="GK103" s="247" t="s">
        <v>601</v>
      </c>
      <c r="GL103" s="247">
        <v>1</v>
      </c>
      <c r="GM103" s="247" t="s">
        <v>1623</v>
      </c>
      <c r="GN103" s="247" t="s">
        <v>1624</v>
      </c>
      <c r="GO103" s="237">
        <v>43770</v>
      </c>
      <c r="GP103" s="245" t="s">
        <v>7240</v>
      </c>
      <c r="GQ103" s="245">
        <v>3</v>
      </c>
      <c r="GR103" s="245" t="s">
        <v>1587</v>
      </c>
      <c r="GS103" s="245" t="s">
        <v>601</v>
      </c>
      <c r="GT103" s="245">
        <v>1</v>
      </c>
      <c r="GU103" s="245" t="s">
        <v>1623</v>
      </c>
      <c r="GV103" s="245" t="s">
        <v>1624</v>
      </c>
      <c r="GW103" s="246">
        <v>43770</v>
      </c>
      <c r="GX103" s="244" t="s">
        <v>7241</v>
      </c>
      <c r="GY103" s="247">
        <v>0</v>
      </c>
      <c r="GZ103" s="247" t="s">
        <v>1587</v>
      </c>
      <c r="HA103" s="247" t="s">
        <v>601</v>
      </c>
      <c r="HB103" s="247">
        <v>1</v>
      </c>
      <c r="HC103" s="247" t="s">
        <v>1623</v>
      </c>
      <c r="HD103" s="247" t="s">
        <v>1624</v>
      </c>
      <c r="HE103" s="237">
        <v>43770</v>
      </c>
      <c r="HF103" s="245" t="s">
        <v>7242</v>
      </c>
      <c r="HG103" s="245">
        <v>1</v>
      </c>
      <c r="HH103" s="245" t="s">
        <v>1587</v>
      </c>
      <c r="HI103" s="245" t="s">
        <v>601</v>
      </c>
      <c r="HJ103" s="245">
        <v>1</v>
      </c>
      <c r="HK103" s="245" t="s">
        <v>1623</v>
      </c>
      <c r="HL103" s="245" t="s">
        <v>1624</v>
      </c>
      <c r="HM103" s="246">
        <v>43770</v>
      </c>
      <c r="HN103" s="244" t="s">
        <v>7243</v>
      </c>
      <c r="HO103" s="247">
        <v>2</v>
      </c>
      <c r="HP103" s="247" t="s">
        <v>1587</v>
      </c>
      <c r="HQ103" s="247" t="s">
        <v>601</v>
      </c>
      <c r="HR103" s="247">
        <v>1</v>
      </c>
      <c r="HS103" s="247" t="s">
        <v>1623</v>
      </c>
      <c r="HT103" s="247" t="s">
        <v>1624</v>
      </c>
      <c r="HU103" s="237">
        <v>43770</v>
      </c>
      <c r="HV103" s="245" t="s">
        <v>7244</v>
      </c>
      <c r="HW103" s="245">
        <v>3</v>
      </c>
      <c r="HX103" s="245" t="s">
        <v>1587</v>
      </c>
      <c r="HY103" s="245" t="s">
        <v>601</v>
      </c>
      <c r="HZ103" s="245">
        <v>1</v>
      </c>
      <c r="IA103" s="245" t="s">
        <v>1623</v>
      </c>
      <c r="IB103" s="245" t="s">
        <v>1624</v>
      </c>
      <c r="IC103" s="246">
        <v>43770</v>
      </c>
      <c r="ID103" s="244" t="s">
        <v>7245</v>
      </c>
      <c r="IE103" s="247">
        <v>1</v>
      </c>
      <c r="IF103" s="247" t="s">
        <v>1587</v>
      </c>
      <c r="IG103" s="247" t="s">
        <v>601</v>
      </c>
      <c r="IH103" s="247">
        <v>1</v>
      </c>
      <c r="II103" s="247" t="s">
        <v>1623</v>
      </c>
      <c r="IJ103" s="247" t="s">
        <v>1624</v>
      </c>
      <c r="IK103" s="237">
        <v>43770</v>
      </c>
      <c r="IL103" s="245" t="s">
        <v>7246</v>
      </c>
      <c r="IM103" s="245">
        <v>3</v>
      </c>
      <c r="IN103" s="245" t="s">
        <v>1587</v>
      </c>
      <c r="IO103" s="245" t="s">
        <v>601</v>
      </c>
      <c r="IP103" s="245">
        <v>1</v>
      </c>
      <c r="IQ103" s="245" t="s">
        <v>1623</v>
      </c>
      <c r="IR103" s="245" t="s">
        <v>1624</v>
      </c>
      <c r="IS103" s="246">
        <v>43770</v>
      </c>
    </row>
    <row r="104" spans="1:253" s="11" customFormat="1" ht="13.2" x14ac:dyDescent="0.25">
      <c r="A104" s="11" t="s">
        <v>1822</v>
      </c>
      <c r="B104" s="11" t="s">
        <v>1284</v>
      </c>
      <c r="C104" s="11" t="s">
        <v>2834</v>
      </c>
      <c r="D104" s="11" t="s">
        <v>234</v>
      </c>
      <c r="E104" s="11" t="s">
        <v>233</v>
      </c>
      <c r="F104" s="11" t="s">
        <v>7247</v>
      </c>
      <c r="G104" s="235">
        <v>195668000</v>
      </c>
      <c r="H104" s="236" t="s">
        <v>2844</v>
      </c>
      <c r="I104" s="236" t="s">
        <v>601</v>
      </c>
      <c r="J104" s="236">
        <v>1</v>
      </c>
      <c r="K104" s="236" t="s">
        <v>2404</v>
      </c>
      <c r="L104" s="236" t="s">
        <v>2846</v>
      </c>
      <c r="M104" s="237">
        <v>44069</v>
      </c>
      <c r="N104" s="244" t="s">
        <v>7248</v>
      </c>
      <c r="O104" s="239">
        <v>237708</v>
      </c>
      <c r="P104" s="239" t="s">
        <v>2260</v>
      </c>
      <c r="Q104" s="239" t="s">
        <v>600</v>
      </c>
      <c r="R104" s="239">
        <v>2</v>
      </c>
      <c r="S104" s="239" t="s">
        <v>2261</v>
      </c>
      <c r="T104" s="239" t="s">
        <v>1859</v>
      </c>
      <c r="U104" s="240">
        <v>43949</v>
      </c>
      <c r="V104" s="244" t="s">
        <v>7249</v>
      </c>
      <c r="W104" s="236">
        <v>30376000</v>
      </c>
      <c r="X104" s="236" t="s">
        <v>2852</v>
      </c>
      <c r="Y104" s="236" t="s">
        <v>600</v>
      </c>
      <c r="Z104" s="236">
        <v>2</v>
      </c>
      <c r="AA104" s="236" t="s">
        <v>2131</v>
      </c>
      <c r="AB104" s="236" t="s">
        <v>2853</v>
      </c>
      <c r="AC104" s="237">
        <v>44069</v>
      </c>
      <c r="AD104" s="244" t="s">
        <v>7250</v>
      </c>
      <c r="AE104" s="241">
        <v>317000</v>
      </c>
      <c r="AF104" s="241" t="s">
        <v>2850</v>
      </c>
      <c r="AG104" s="241" t="s">
        <v>600</v>
      </c>
      <c r="AH104" s="241">
        <v>2</v>
      </c>
      <c r="AI104" s="241" t="s">
        <v>2132</v>
      </c>
      <c r="AJ104" s="241" t="s">
        <v>2851</v>
      </c>
      <c r="AK104" s="242">
        <v>44069</v>
      </c>
      <c r="AL104" s="244" t="s">
        <v>7251</v>
      </c>
      <c r="AM104" s="236">
        <v>317000</v>
      </c>
      <c r="AN104" s="236" t="s">
        <v>2850</v>
      </c>
      <c r="AO104" s="236" t="s">
        <v>600</v>
      </c>
      <c r="AP104" s="236">
        <v>2</v>
      </c>
      <c r="AQ104" s="236" t="s">
        <v>2407</v>
      </c>
      <c r="AR104" s="236" t="s">
        <v>2851</v>
      </c>
      <c r="AS104" s="237">
        <v>44069</v>
      </c>
      <c r="AT104" s="245" t="s">
        <v>7252</v>
      </c>
      <c r="AU104" s="241" t="s">
        <v>393</v>
      </c>
      <c r="AV104" s="241" t="s">
        <v>393</v>
      </c>
      <c r="AW104" s="241" t="s">
        <v>393</v>
      </c>
      <c r="AX104" s="241" t="s">
        <v>393</v>
      </c>
      <c r="AY104" s="241" t="s">
        <v>1471</v>
      </c>
      <c r="AZ104" s="241" t="s">
        <v>393</v>
      </c>
      <c r="BA104" s="242">
        <v>43815</v>
      </c>
      <c r="BB104" s="244" t="s">
        <v>7253</v>
      </c>
      <c r="BC104" s="236" t="s">
        <v>393</v>
      </c>
      <c r="BD104" s="236" t="s">
        <v>393</v>
      </c>
      <c r="BE104" s="236" t="s">
        <v>393</v>
      </c>
      <c r="BF104" s="236" t="s">
        <v>393</v>
      </c>
      <c r="BG104" s="236" t="s">
        <v>1471</v>
      </c>
      <c r="BH104" s="236" t="s">
        <v>393</v>
      </c>
      <c r="BI104" s="237">
        <v>43815</v>
      </c>
      <c r="BJ104" s="245" t="s">
        <v>7254</v>
      </c>
      <c r="BK104" s="245">
        <v>952</v>
      </c>
      <c r="BL104" s="245" t="s">
        <v>3990</v>
      </c>
      <c r="BM104" s="245" t="s">
        <v>600</v>
      </c>
      <c r="BN104" s="245">
        <v>2</v>
      </c>
      <c r="BO104" s="245" t="s">
        <v>3992</v>
      </c>
      <c r="BP104" s="241" t="s">
        <v>1935</v>
      </c>
      <c r="BQ104" s="246">
        <v>44134</v>
      </c>
      <c r="BR104" s="244" t="s">
        <v>7255</v>
      </c>
      <c r="BS104" s="247">
        <v>500</v>
      </c>
      <c r="BT104" s="247" t="s">
        <v>1860</v>
      </c>
      <c r="BU104" s="247" t="s">
        <v>599</v>
      </c>
      <c r="BV104" s="247">
        <v>3</v>
      </c>
      <c r="BW104" s="247" t="s">
        <v>1862</v>
      </c>
      <c r="BX104" s="247" t="s">
        <v>1861</v>
      </c>
      <c r="BY104" s="237">
        <v>43815</v>
      </c>
      <c r="BZ104" s="245" t="s">
        <v>7256</v>
      </c>
      <c r="CA104" s="245">
        <v>10500</v>
      </c>
      <c r="CB104" s="245" t="s">
        <v>1863</v>
      </c>
      <c r="CC104" s="245" t="s">
        <v>599</v>
      </c>
      <c r="CD104" s="245">
        <v>3</v>
      </c>
      <c r="CE104" s="245" t="s">
        <v>1862</v>
      </c>
      <c r="CF104" s="245" t="s">
        <v>1861</v>
      </c>
      <c r="CG104" s="246">
        <v>43815</v>
      </c>
      <c r="CH104" s="244" t="s">
        <v>7257</v>
      </c>
      <c r="CI104" s="245" t="e">
        <v>#N/A</v>
      </c>
      <c r="CJ104" s="245" t="e">
        <v>#N/A</v>
      </c>
      <c r="CK104" s="245" t="e">
        <v>#N/A</v>
      </c>
      <c r="CL104" s="245" t="e">
        <v>#N/A</v>
      </c>
      <c r="CM104" s="245" t="e">
        <v>#N/A</v>
      </c>
      <c r="CN104" s="245" t="e">
        <v>#N/A</v>
      </c>
      <c r="CO104" s="248" t="e">
        <v>#N/A</v>
      </c>
      <c r="CP104" s="245" t="s">
        <v>7258</v>
      </c>
      <c r="CQ104" s="247">
        <v>49</v>
      </c>
      <c r="CR104" s="247" t="s">
        <v>1864</v>
      </c>
      <c r="CS104" s="247" t="s">
        <v>599</v>
      </c>
      <c r="CT104" s="247">
        <v>3</v>
      </c>
      <c r="CU104" s="247" t="s">
        <v>1866</v>
      </c>
      <c r="CV104" s="247" t="s">
        <v>1865</v>
      </c>
      <c r="CW104" s="237">
        <v>43815</v>
      </c>
      <c r="CX104" s="245" t="s">
        <v>7259</v>
      </c>
      <c r="CY104" s="241">
        <v>317000</v>
      </c>
      <c r="CZ104" s="241" t="s">
        <v>2850</v>
      </c>
      <c r="DA104" s="241" t="s">
        <v>600</v>
      </c>
      <c r="DB104" s="241">
        <v>2</v>
      </c>
      <c r="DC104" s="241" t="s">
        <v>2259</v>
      </c>
      <c r="DD104" s="241" t="s">
        <v>2851</v>
      </c>
      <c r="DE104" s="243">
        <v>44069</v>
      </c>
      <c r="DF104" s="244" t="s">
        <v>7260</v>
      </c>
      <c r="DG104" s="236">
        <v>30058000</v>
      </c>
      <c r="DH104" s="247" t="s">
        <v>2850</v>
      </c>
      <c r="DI104" s="247" t="s">
        <v>600</v>
      </c>
      <c r="DJ104" s="247">
        <v>2</v>
      </c>
      <c r="DK104" s="247" t="s">
        <v>2259</v>
      </c>
      <c r="DL104" s="247" t="s">
        <v>2851</v>
      </c>
      <c r="DM104" s="237">
        <v>44069</v>
      </c>
      <c r="DN104" s="245" t="s">
        <v>7261</v>
      </c>
      <c r="DO104" s="241">
        <v>0</v>
      </c>
      <c r="DP104" s="245" t="s">
        <v>2850</v>
      </c>
      <c r="DQ104" s="245" t="s">
        <v>600</v>
      </c>
      <c r="DR104" s="245">
        <v>2</v>
      </c>
      <c r="DS104" s="245" t="s">
        <v>2259</v>
      </c>
      <c r="DT104" s="245" t="s">
        <v>2851</v>
      </c>
      <c r="DU104" s="246">
        <v>44069</v>
      </c>
      <c r="DV104" s="244" t="s">
        <v>7262</v>
      </c>
      <c r="DW104" s="236">
        <v>317000</v>
      </c>
      <c r="DX104" s="247" t="s">
        <v>2850</v>
      </c>
      <c r="DY104" s="247" t="s">
        <v>600</v>
      </c>
      <c r="DZ104" s="247">
        <v>2</v>
      </c>
      <c r="EA104" s="247" t="s">
        <v>2259</v>
      </c>
      <c r="EB104" s="247" t="s">
        <v>2851</v>
      </c>
      <c r="EC104" s="237">
        <v>44069</v>
      </c>
      <c r="ED104" s="245" t="s">
        <v>7263</v>
      </c>
      <c r="EE104" s="241">
        <v>0</v>
      </c>
      <c r="EF104" s="245" t="s">
        <v>2850</v>
      </c>
      <c r="EG104" s="245" t="s">
        <v>600</v>
      </c>
      <c r="EH104" s="245">
        <v>2</v>
      </c>
      <c r="EI104" s="245" t="s">
        <v>2259</v>
      </c>
      <c r="EJ104" s="245" t="s">
        <v>2851</v>
      </c>
      <c r="EK104" s="246">
        <v>44069</v>
      </c>
      <c r="EL104" s="244" t="s">
        <v>7264</v>
      </c>
      <c r="EM104" s="236">
        <v>0</v>
      </c>
      <c r="EN104" s="247" t="s">
        <v>2850</v>
      </c>
      <c r="EO104" s="247" t="s">
        <v>600</v>
      </c>
      <c r="EP104" s="247">
        <v>2</v>
      </c>
      <c r="EQ104" s="247" t="s">
        <v>2259</v>
      </c>
      <c r="ER104" s="247" t="s">
        <v>2851</v>
      </c>
      <c r="ES104" s="237">
        <v>44069</v>
      </c>
      <c r="ET104" s="245" t="s">
        <v>7265</v>
      </c>
      <c r="EU104" s="245">
        <v>2180</v>
      </c>
      <c r="EV104" s="245" t="s">
        <v>3990</v>
      </c>
      <c r="EW104" s="245" t="s">
        <v>600</v>
      </c>
      <c r="EX104" s="245">
        <v>2</v>
      </c>
      <c r="EY104" s="245" t="s">
        <v>3991</v>
      </c>
      <c r="EZ104" s="245" t="s">
        <v>1935</v>
      </c>
      <c r="FA104" s="246">
        <v>44134</v>
      </c>
      <c r="FB104" s="244" t="s">
        <v>7266</v>
      </c>
      <c r="FC104" s="247">
        <v>5</v>
      </c>
      <c r="FD104" s="247" t="s">
        <v>393</v>
      </c>
      <c r="FE104" s="247" t="s">
        <v>601</v>
      </c>
      <c r="FF104" s="247">
        <v>1</v>
      </c>
      <c r="FG104" s="247" t="s">
        <v>1867</v>
      </c>
      <c r="FH104" s="247" t="s">
        <v>393</v>
      </c>
      <c r="FI104" s="237">
        <v>43815</v>
      </c>
      <c r="FJ104" s="244" t="s">
        <v>7267</v>
      </c>
      <c r="FK104" s="245" t="s">
        <v>393</v>
      </c>
      <c r="FL104" s="245" t="s">
        <v>393</v>
      </c>
      <c r="FM104" s="245" t="s">
        <v>393</v>
      </c>
      <c r="FN104" s="245" t="s">
        <v>393</v>
      </c>
      <c r="FO104" s="245" t="s">
        <v>393</v>
      </c>
      <c r="FP104" s="241" t="s">
        <v>393</v>
      </c>
      <c r="FQ104" s="242">
        <v>43818</v>
      </c>
      <c r="FR104" s="244" t="s">
        <v>7268</v>
      </c>
      <c r="FS104" s="247" t="s">
        <v>393</v>
      </c>
      <c r="FT104" s="247" t="s">
        <v>393</v>
      </c>
      <c r="FU104" s="247" t="s">
        <v>393</v>
      </c>
      <c r="FV104" s="247" t="s">
        <v>393</v>
      </c>
      <c r="FW104" s="247" t="s">
        <v>393</v>
      </c>
      <c r="FX104" s="247" t="s">
        <v>393</v>
      </c>
      <c r="FY104" s="237">
        <v>43818</v>
      </c>
      <c r="FZ104" s="245" t="s">
        <v>7269</v>
      </c>
      <c r="GA104" s="245">
        <v>0</v>
      </c>
      <c r="GB104" s="245" t="s">
        <v>1908</v>
      </c>
      <c r="GC104" s="245" t="s">
        <v>600</v>
      </c>
      <c r="GD104" s="245">
        <v>2</v>
      </c>
      <c r="GE104" s="245" t="s">
        <v>1883</v>
      </c>
      <c r="GF104" s="245" t="s">
        <v>393</v>
      </c>
      <c r="GG104" s="246">
        <v>43818</v>
      </c>
      <c r="GH104" s="244" t="s">
        <v>7270</v>
      </c>
      <c r="GI104" s="247">
        <v>2</v>
      </c>
      <c r="GJ104" s="247" t="s">
        <v>1908</v>
      </c>
      <c r="GK104" s="247" t="s">
        <v>600</v>
      </c>
      <c r="GL104" s="247">
        <v>2</v>
      </c>
      <c r="GM104" s="247" t="s">
        <v>1883</v>
      </c>
      <c r="GN104" s="247" t="s">
        <v>393</v>
      </c>
      <c r="GO104" s="237">
        <v>43818</v>
      </c>
      <c r="GP104" s="245" t="s">
        <v>7271</v>
      </c>
      <c r="GQ104" s="245">
        <v>0</v>
      </c>
      <c r="GR104" s="245" t="s">
        <v>1908</v>
      </c>
      <c r="GS104" s="245" t="s">
        <v>600</v>
      </c>
      <c r="GT104" s="245">
        <v>2</v>
      </c>
      <c r="GU104" s="245" t="s">
        <v>1883</v>
      </c>
      <c r="GV104" s="245" t="s">
        <v>393</v>
      </c>
      <c r="GW104" s="246">
        <v>43818</v>
      </c>
      <c r="GX104" s="244" t="s">
        <v>7272</v>
      </c>
      <c r="GY104" s="247">
        <v>3</v>
      </c>
      <c r="GZ104" s="247" t="s">
        <v>1909</v>
      </c>
      <c r="HA104" s="247" t="s">
        <v>600</v>
      </c>
      <c r="HB104" s="247">
        <v>2</v>
      </c>
      <c r="HC104" s="247" t="s">
        <v>1883</v>
      </c>
      <c r="HD104" s="247" t="s">
        <v>393</v>
      </c>
      <c r="HE104" s="237">
        <v>43818</v>
      </c>
      <c r="HF104" s="245" t="s">
        <v>7273</v>
      </c>
      <c r="HG104" s="245">
        <v>0</v>
      </c>
      <c r="HH104" s="245" t="s">
        <v>1910</v>
      </c>
      <c r="HI104" s="245" t="s">
        <v>600</v>
      </c>
      <c r="HJ104" s="245">
        <v>2</v>
      </c>
      <c r="HK104" s="245" t="s">
        <v>1883</v>
      </c>
      <c r="HL104" s="245" t="s">
        <v>393</v>
      </c>
      <c r="HM104" s="246">
        <v>43818</v>
      </c>
      <c r="HN104" s="244" t="s">
        <v>7274</v>
      </c>
      <c r="HO104" s="247">
        <v>1</v>
      </c>
      <c r="HP104" s="247" t="s">
        <v>1911</v>
      </c>
      <c r="HQ104" s="247" t="s">
        <v>600</v>
      </c>
      <c r="HR104" s="247">
        <v>2</v>
      </c>
      <c r="HS104" s="247" t="s">
        <v>1883</v>
      </c>
      <c r="HT104" s="247" t="s">
        <v>393</v>
      </c>
      <c r="HU104" s="237">
        <v>43818</v>
      </c>
      <c r="HV104" s="245" t="s">
        <v>7275</v>
      </c>
      <c r="HW104" s="245">
        <v>0</v>
      </c>
      <c r="HX104" s="245" t="s">
        <v>1912</v>
      </c>
      <c r="HY104" s="245" t="s">
        <v>600</v>
      </c>
      <c r="HZ104" s="245">
        <v>2</v>
      </c>
      <c r="IA104" s="245" t="s">
        <v>1883</v>
      </c>
      <c r="IB104" s="245" t="s">
        <v>393</v>
      </c>
      <c r="IC104" s="246">
        <v>43818</v>
      </c>
      <c r="ID104" s="244" t="s">
        <v>7276</v>
      </c>
      <c r="IE104" s="247">
        <v>1</v>
      </c>
      <c r="IF104" s="247" t="s">
        <v>1913</v>
      </c>
      <c r="IG104" s="247" t="s">
        <v>600</v>
      </c>
      <c r="IH104" s="247">
        <v>2</v>
      </c>
      <c r="II104" s="247" t="s">
        <v>1883</v>
      </c>
      <c r="IJ104" s="247" t="s">
        <v>393</v>
      </c>
      <c r="IK104" s="237">
        <v>43818</v>
      </c>
      <c r="IL104" s="245" t="s">
        <v>7277</v>
      </c>
      <c r="IM104" s="245">
        <v>0</v>
      </c>
      <c r="IN104" s="245" t="s">
        <v>1914</v>
      </c>
      <c r="IO104" s="245" t="s">
        <v>600</v>
      </c>
      <c r="IP104" s="245">
        <v>2</v>
      </c>
      <c r="IQ104" s="245" t="s">
        <v>1883</v>
      </c>
      <c r="IR104" s="245" t="s">
        <v>393</v>
      </c>
      <c r="IS104" s="246">
        <v>43818</v>
      </c>
    </row>
    <row r="105" spans="1:253" s="11" customFormat="1" ht="13.2" x14ac:dyDescent="0.25">
      <c r="A105" s="11" t="s">
        <v>1917</v>
      </c>
      <c r="B105" s="11" t="s">
        <v>1280</v>
      </c>
      <c r="C105" s="11" t="s">
        <v>2592</v>
      </c>
      <c r="D105" s="11" t="s">
        <v>234</v>
      </c>
      <c r="E105" s="11" t="s">
        <v>233</v>
      </c>
      <c r="F105" s="11" t="s">
        <v>7278</v>
      </c>
      <c r="G105" s="235">
        <v>195668000</v>
      </c>
      <c r="H105" s="236" t="s">
        <v>2844</v>
      </c>
      <c r="I105" s="236" t="s">
        <v>601</v>
      </c>
      <c r="J105" s="236">
        <v>1</v>
      </c>
      <c r="K105" s="236" t="s">
        <v>2404</v>
      </c>
      <c r="L105" s="236" t="s">
        <v>2846</v>
      </c>
      <c r="M105" s="237">
        <v>44069</v>
      </c>
      <c r="N105" s="244" t="s">
        <v>7279</v>
      </c>
      <c r="O105" s="239">
        <v>115769</v>
      </c>
      <c r="P105" s="239" t="s">
        <v>2099</v>
      </c>
      <c r="Q105" s="239" t="s">
        <v>601</v>
      </c>
      <c r="R105" s="239">
        <v>1</v>
      </c>
      <c r="S105" s="239" t="s">
        <v>1919</v>
      </c>
      <c r="T105" s="239" t="s">
        <v>1918</v>
      </c>
      <c r="U105" s="240">
        <v>43840</v>
      </c>
      <c r="V105" s="244" t="s">
        <v>7280</v>
      </c>
      <c r="W105" s="236">
        <v>17657000</v>
      </c>
      <c r="X105" s="236" t="s">
        <v>2854</v>
      </c>
      <c r="Y105" s="236" t="s">
        <v>600</v>
      </c>
      <c r="Z105" s="236">
        <v>2</v>
      </c>
      <c r="AA105" s="236" t="s">
        <v>2131</v>
      </c>
      <c r="AB105" s="236" t="s">
        <v>2856</v>
      </c>
      <c r="AC105" s="237">
        <v>44069</v>
      </c>
      <c r="AD105" s="244" t="s">
        <v>7281</v>
      </c>
      <c r="AE105" s="241">
        <v>59000</v>
      </c>
      <c r="AF105" s="241" t="s">
        <v>2805</v>
      </c>
      <c r="AG105" s="241" t="s">
        <v>600</v>
      </c>
      <c r="AH105" s="241">
        <v>2</v>
      </c>
      <c r="AI105" s="241" t="s">
        <v>2132</v>
      </c>
      <c r="AJ105" s="241" t="s">
        <v>2855</v>
      </c>
      <c r="AK105" s="242">
        <v>44069</v>
      </c>
      <c r="AL105" s="244" t="s">
        <v>7282</v>
      </c>
      <c r="AM105" s="236">
        <v>59000</v>
      </c>
      <c r="AN105" s="236" t="s">
        <v>2805</v>
      </c>
      <c r="AO105" s="236" t="s">
        <v>600</v>
      </c>
      <c r="AP105" s="236">
        <v>2</v>
      </c>
      <c r="AQ105" s="236" t="s">
        <v>1920</v>
      </c>
      <c r="AR105" s="236" t="s">
        <v>2855</v>
      </c>
      <c r="AS105" s="237">
        <v>44069</v>
      </c>
      <c r="AT105" s="245" t="s">
        <v>7283</v>
      </c>
      <c r="AU105" s="241" t="s">
        <v>393</v>
      </c>
      <c r="AV105" s="241" t="s">
        <v>393</v>
      </c>
      <c r="AW105" s="241" t="s">
        <v>393</v>
      </c>
      <c r="AX105" s="241" t="s">
        <v>393</v>
      </c>
      <c r="AY105" s="241" t="s">
        <v>393</v>
      </c>
      <c r="AZ105" s="241" t="s">
        <v>393</v>
      </c>
      <c r="BA105" s="242">
        <v>43840</v>
      </c>
      <c r="BB105" s="244" t="s">
        <v>7284</v>
      </c>
      <c r="BC105" s="236" t="s">
        <v>393</v>
      </c>
      <c r="BD105" s="236" t="s">
        <v>393</v>
      </c>
      <c r="BE105" s="236" t="s">
        <v>393</v>
      </c>
      <c r="BF105" s="236" t="s">
        <v>393</v>
      </c>
      <c r="BG105" s="236" t="s">
        <v>393</v>
      </c>
      <c r="BH105" s="236" t="s">
        <v>393</v>
      </c>
      <c r="BI105" s="237">
        <v>43840</v>
      </c>
      <c r="BJ105" s="245" t="s">
        <v>7285</v>
      </c>
      <c r="BK105" s="245" t="s">
        <v>393</v>
      </c>
      <c r="BL105" s="245" t="s">
        <v>393</v>
      </c>
      <c r="BM105" s="245" t="s">
        <v>393</v>
      </c>
      <c r="BN105" s="245" t="s">
        <v>393</v>
      </c>
      <c r="BO105" s="245" t="s">
        <v>3989</v>
      </c>
      <c r="BP105" s="241" t="s">
        <v>393</v>
      </c>
      <c r="BQ105" s="246">
        <v>44134</v>
      </c>
      <c r="BR105" s="244" t="s">
        <v>7286</v>
      </c>
      <c r="BS105" s="247" t="s">
        <v>393</v>
      </c>
      <c r="BT105" s="247" t="s">
        <v>393</v>
      </c>
      <c r="BU105" s="247" t="s">
        <v>393</v>
      </c>
      <c r="BV105" s="247" t="s">
        <v>393</v>
      </c>
      <c r="BW105" s="247" t="s">
        <v>393</v>
      </c>
      <c r="BX105" s="247" t="s">
        <v>703</v>
      </c>
      <c r="BY105" s="237">
        <v>43840</v>
      </c>
      <c r="BZ105" s="245" t="s">
        <v>7287</v>
      </c>
      <c r="CA105" s="245" t="s">
        <v>393</v>
      </c>
      <c r="CB105" s="245" t="s">
        <v>393</v>
      </c>
      <c r="CC105" s="245" t="s">
        <v>393</v>
      </c>
      <c r="CD105" s="245" t="s">
        <v>393</v>
      </c>
      <c r="CE105" s="245" t="s">
        <v>393</v>
      </c>
      <c r="CF105" s="245" t="s">
        <v>703</v>
      </c>
      <c r="CG105" s="246">
        <v>43840</v>
      </c>
      <c r="CH105" s="244" t="s">
        <v>7288</v>
      </c>
      <c r="CI105" s="245" t="e">
        <v>#N/A</v>
      </c>
      <c r="CJ105" s="245" t="e">
        <v>#N/A</v>
      </c>
      <c r="CK105" s="245" t="e">
        <v>#N/A</v>
      </c>
      <c r="CL105" s="245" t="e">
        <v>#N/A</v>
      </c>
      <c r="CM105" s="245" t="e">
        <v>#N/A</v>
      </c>
      <c r="CN105" s="245" t="e">
        <v>#N/A</v>
      </c>
      <c r="CO105" s="248" t="e">
        <v>#N/A</v>
      </c>
      <c r="CP105" s="245" t="s">
        <v>7289</v>
      </c>
      <c r="CQ105" s="247" t="s">
        <v>393</v>
      </c>
      <c r="CR105" s="247" t="s">
        <v>393</v>
      </c>
      <c r="CS105" s="247" t="s">
        <v>393</v>
      </c>
      <c r="CT105" s="247" t="s">
        <v>393</v>
      </c>
      <c r="CU105" s="247" t="s">
        <v>393</v>
      </c>
      <c r="CV105" s="247" t="s">
        <v>703</v>
      </c>
      <c r="CW105" s="237">
        <v>43840</v>
      </c>
      <c r="CX105" s="245" t="s">
        <v>7290</v>
      </c>
      <c r="CY105" s="241">
        <v>59000</v>
      </c>
      <c r="CZ105" s="241" t="s">
        <v>2805</v>
      </c>
      <c r="DA105" s="241" t="s">
        <v>600</v>
      </c>
      <c r="DB105" s="241">
        <v>2</v>
      </c>
      <c r="DC105" s="241" t="s">
        <v>2133</v>
      </c>
      <c r="DD105" s="241" t="s">
        <v>2855</v>
      </c>
      <c r="DE105" s="243">
        <v>44069</v>
      </c>
      <c r="DF105" s="244" t="s">
        <v>7291</v>
      </c>
      <c r="DG105" s="236">
        <v>17598000</v>
      </c>
      <c r="DH105" s="247" t="s">
        <v>2805</v>
      </c>
      <c r="DI105" s="247" t="s">
        <v>600</v>
      </c>
      <c r="DJ105" s="247">
        <v>2</v>
      </c>
      <c r="DK105" s="247" t="s">
        <v>2133</v>
      </c>
      <c r="DL105" s="247" t="s">
        <v>2855</v>
      </c>
      <c r="DM105" s="237">
        <v>44069</v>
      </c>
      <c r="DN105" s="245" t="s">
        <v>7292</v>
      </c>
      <c r="DO105" s="241">
        <v>0</v>
      </c>
      <c r="DP105" s="245" t="s">
        <v>2805</v>
      </c>
      <c r="DQ105" s="245" t="s">
        <v>600</v>
      </c>
      <c r="DR105" s="245">
        <v>2</v>
      </c>
      <c r="DS105" s="245" t="s">
        <v>2133</v>
      </c>
      <c r="DT105" s="245" t="s">
        <v>2855</v>
      </c>
      <c r="DU105" s="246">
        <v>44069</v>
      </c>
      <c r="DV105" s="244" t="s">
        <v>7293</v>
      </c>
      <c r="DW105" s="236">
        <v>59000</v>
      </c>
      <c r="DX105" s="247" t="s">
        <v>2805</v>
      </c>
      <c r="DY105" s="247" t="s">
        <v>600</v>
      </c>
      <c r="DZ105" s="247">
        <v>2</v>
      </c>
      <c r="EA105" s="247" t="s">
        <v>2133</v>
      </c>
      <c r="EB105" s="247" t="s">
        <v>2855</v>
      </c>
      <c r="EC105" s="237">
        <v>44069</v>
      </c>
      <c r="ED105" s="245" t="s">
        <v>7294</v>
      </c>
      <c r="EE105" s="241">
        <v>0</v>
      </c>
      <c r="EF105" s="245" t="s">
        <v>2805</v>
      </c>
      <c r="EG105" s="245" t="s">
        <v>600</v>
      </c>
      <c r="EH105" s="245">
        <v>2</v>
      </c>
      <c r="EI105" s="245" t="s">
        <v>2133</v>
      </c>
      <c r="EJ105" s="245" t="s">
        <v>2855</v>
      </c>
      <c r="EK105" s="246">
        <v>44069</v>
      </c>
      <c r="EL105" s="244" t="s">
        <v>7295</v>
      </c>
      <c r="EM105" s="236">
        <v>0</v>
      </c>
      <c r="EN105" s="247" t="s">
        <v>2805</v>
      </c>
      <c r="EO105" s="247" t="s">
        <v>600</v>
      </c>
      <c r="EP105" s="247">
        <v>2</v>
      </c>
      <c r="EQ105" s="247" t="s">
        <v>2133</v>
      </c>
      <c r="ER105" s="247" t="s">
        <v>2855</v>
      </c>
      <c r="ES105" s="237">
        <v>44069</v>
      </c>
      <c r="ET105" s="245" t="s">
        <v>7296</v>
      </c>
      <c r="EU105" s="245">
        <v>2180</v>
      </c>
      <c r="EV105" s="245" t="s">
        <v>3990</v>
      </c>
      <c r="EW105" s="245" t="s">
        <v>600</v>
      </c>
      <c r="EX105" s="245">
        <v>2</v>
      </c>
      <c r="EY105" s="245" t="s">
        <v>3991</v>
      </c>
      <c r="EZ105" s="245" t="s">
        <v>1935</v>
      </c>
      <c r="FA105" s="246">
        <v>44134</v>
      </c>
      <c r="FB105" s="244" t="s">
        <v>7297</v>
      </c>
      <c r="FC105" s="247">
        <v>2139</v>
      </c>
      <c r="FD105" s="247" t="s">
        <v>1933</v>
      </c>
      <c r="FE105" s="247" t="s">
        <v>600</v>
      </c>
      <c r="FF105" s="247">
        <v>2</v>
      </c>
      <c r="FG105" s="247" t="s">
        <v>1932</v>
      </c>
      <c r="FH105" s="247" t="s">
        <v>1934</v>
      </c>
      <c r="FI105" s="237">
        <v>43859</v>
      </c>
      <c r="FJ105" s="244" t="s">
        <v>7298</v>
      </c>
      <c r="FK105" s="245" t="s">
        <v>393</v>
      </c>
      <c r="FL105" s="245" t="s">
        <v>393</v>
      </c>
      <c r="FM105" s="245" t="s">
        <v>393</v>
      </c>
      <c r="FN105" s="245" t="s">
        <v>393</v>
      </c>
      <c r="FO105" s="245" t="s">
        <v>393</v>
      </c>
      <c r="FP105" s="241" t="s">
        <v>393</v>
      </c>
      <c r="FQ105" s="242">
        <v>43840</v>
      </c>
      <c r="FR105" s="244" t="s">
        <v>7299</v>
      </c>
      <c r="FS105" s="247" t="s">
        <v>393</v>
      </c>
      <c r="FT105" s="247" t="s">
        <v>393</v>
      </c>
      <c r="FU105" s="247" t="s">
        <v>393</v>
      </c>
      <c r="FV105" s="247" t="s">
        <v>393</v>
      </c>
      <c r="FW105" s="247" t="s">
        <v>393</v>
      </c>
      <c r="FX105" s="247" t="s">
        <v>393</v>
      </c>
      <c r="FY105" s="237">
        <v>43840</v>
      </c>
      <c r="FZ105" s="245" t="s">
        <v>7300</v>
      </c>
      <c r="GA105" s="245">
        <v>3</v>
      </c>
      <c r="GB105" s="245" t="s">
        <v>2112</v>
      </c>
      <c r="GC105" s="245" t="s">
        <v>600</v>
      </c>
      <c r="GD105" s="245">
        <v>2</v>
      </c>
      <c r="GE105" s="245" t="s">
        <v>393</v>
      </c>
      <c r="GF105" s="245" t="s">
        <v>1723</v>
      </c>
      <c r="GG105" s="246">
        <v>43878</v>
      </c>
      <c r="GH105" s="244" t="s">
        <v>7301</v>
      </c>
      <c r="GI105" s="247">
        <v>2</v>
      </c>
      <c r="GJ105" s="247" t="s">
        <v>2112</v>
      </c>
      <c r="GK105" s="247" t="s">
        <v>600</v>
      </c>
      <c r="GL105" s="247">
        <v>2</v>
      </c>
      <c r="GM105" s="247" t="s">
        <v>393</v>
      </c>
      <c r="GN105" s="247" t="s">
        <v>1723</v>
      </c>
      <c r="GO105" s="237">
        <v>43878</v>
      </c>
      <c r="GP105" s="245" t="s">
        <v>7302</v>
      </c>
      <c r="GQ105" s="245">
        <v>0</v>
      </c>
      <c r="GR105" s="245" t="s">
        <v>2112</v>
      </c>
      <c r="GS105" s="245" t="s">
        <v>600</v>
      </c>
      <c r="GT105" s="245">
        <v>2</v>
      </c>
      <c r="GU105" s="245" t="s">
        <v>393</v>
      </c>
      <c r="GV105" s="245" t="s">
        <v>1723</v>
      </c>
      <c r="GW105" s="246">
        <v>43878</v>
      </c>
      <c r="GX105" s="244" t="s">
        <v>7303</v>
      </c>
      <c r="GY105" s="247">
        <v>3</v>
      </c>
      <c r="GZ105" s="247" t="s">
        <v>2112</v>
      </c>
      <c r="HA105" s="247" t="s">
        <v>600</v>
      </c>
      <c r="HB105" s="247">
        <v>2</v>
      </c>
      <c r="HC105" s="247" t="s">
        <v>393</v>
      </c>
      <c r="HD105" s="247" t="s">
        <v>1723</v>
      </c>
      <c r="HE105" s="237">
        <v>43878</v>
      </c>
      <c r="HF105" s="245" t="s">
        <v>7304</v>
      </c>
      <c r="HG105" s="245">
        <v>1</v>
      </c>
      <c r="HH105" s="245" t="s">
        <v>2112</v>
      </c>
      <c r="HI105" s="245" t="s">
        <v>600</v>
      </c>
      <c r="HJ105" s="245">
        <v>2</v>
      </c>
      <c r="HK105" s="245" t="s">
        <v>393</v>
      </c>
      <c r="HL105" s="245" t="s">
        <v>1723</v>
      </c>
      <c r="HM105" s="246">
        <v>43878</v>
      </c>
      <c r="HN105" s="244" t="s">
        <v>7305</v>
      </c>
      <c r="HO105" s="247">
        <v>0</v>
      </c>
      <c r="HP105" s="247" t="s">
        <v>2112</v>
      </c>
      <c r="HQ105" s="247" t="s">
        <v>600</v>
      </c>
      <c r="HR105" s="247">
        <v>2</v>
      </c>
      <c r="HS105" s="247" t="s">
        <v>393</v>
      </c>
      <c r="HT105" s="247" t="s">
        <v>1723</v>
      </c>
      <c r="HU105" s="237">
        <v>43878</v>
      </c>
      <c r="HV105" s="245" t="s">
        <v>7306</v>
      </c>
      <c r="HW105" s="245">
        <v>2</v>
      </c>
      <c r="HX105" s="245" t="s">
        <v>2112</v>
      </c>
      <c r="HY105" s="245" t="s">
        <v>600</v>
      </c>
      <c r="HZ105" s="245">
        <v>2</v>
      </c>
      <c r="IA105" s="245" t="s">
        <v>393</v>
      </c>
      <c r="IB105" s="245" t="s">
        <v>1723</v>
      </c>
      <c r="IC105" s="246">
        <v>43878</v>
      </c>
      <c r="ID105" s="244" t="s">
        <v>7307</v>
      </c>
      <c r="IE105" s="247">
        <v>1</v>
      </c>
      <c r="IF105" s="247" t="s">
        <v>2112</v>
      </c>
      <c r="IG105" s="247" t="s">
        <v>600</v>
      </c>
      <c r="IH105" s="247">
        <v>2</v>
      </c>
      <c r="II105" s="247" t="s">
        <v>393</v>
      </c>
      <c r="IJ105" s="247" t="s">
        <v>1723</v>
      </c>
      <c r="IK105" s="237">
        <v>43878</v>
      </c>
      <c r="IL105" s="245" t="s">
        <v>7308</v>
      </c>
      <c r="IM105" s="245">
        <v>0</v>
      </c>
      <c r="IN105" s="245" t="s">
        <v>2112</v>
      </c>
      <c r="IO105" s="245" t="s">
        <v>600</v>
      </c>
      <c r="IP105" s="245">
        <v>2</v>
      </c>
      <c r="IQ105" s="245" t="s">
        <v>393</v>
      </c>
      <c r="IR105" s="245" t="s">
        <v>1723</v>
      </c>
      <c r="IS105" s="246">
        <v>43878</v>
      </c>
    </row>
    <row r="106" spans="1:253" s="11" customFormat="1" ht="13.2" x14ac:dyDescent="0.25">
      <c r="A106" s="11" t="s">
        <v>1166</v>
      </c>
      <c r="B106" s="11" t="s">
        <v>1281</v>
      </c>
      <c r="C106" s="11" t="s">
        <v>1172</v>
      </c>
      <c r="D106" s="11" t="s">
        <v>1173</v>
      </c>
      <c r="E106" s="11" t="s">
        <v>1205</v>
      </c>
      <c r="F106" s="11" t="s">
        <v>7309</v>
      </c>
      <c r="G106" s="235">
        <v>262107000</v>
      </c>
      <c r="H106" s="236" t="s">
        <v>3313</v>
      </c>
      <c r="I106" s="236" t="s">
        <v>600</v>
      </c>
      <c r="J106" s="236">
        <v>2</v>
      </c>
      <c r="K106" s="236" t="s">
        <v>3998</v>
      </c>
      <c r="L106" s="236" t="s">
        <v>3313</v>
      </c>
      <c r="M106" s="237">
        <v>44136</v>
      </c>
      <c r="N106" s="244" t="s">
        <v>7310</v>
      </c>
      <c r="O106" s="239">
        <v>369002</v>
      </c>
      <c r="P106" s="239" t="s">
        <v>2408</v>
      </c>
      <c r="Q106" s="239" t="s">
        <v>600</v>
      </c>
      <c r="R106" s="239">
        <v>2</v>
      </c>
      <c r="S106" s="239" t="s">
        <v>2410</v>
      </c>
      <c r="T106" s="239" t="s">
        <v>2409</v>
      </c>
      <c r="U106" s="240">
        <v>43979</v>
      </c>
      <c r="V106" s="244" t="s">
        <v>7311</v>
      </c>
      <c r="W106" s="236">
        <v>13701000</v>
      </c>
      <c r="X106" s="236" t="s">
        <v>3313</v>
      </c>
      <c r="Y106" s="236" t="s">
        <v>600</v>
      </c>
      <c r="Z106" s="236">
        <v>2</v>
      </c>
      <c r="AA106" s="236" t="s">
        <v>3999</v>
      </c>
      <c r="AB106" s="236" t="s">
        <v>3313</v>
      </c>
      <c r="AC106" s="237">
        <v>44136</v>
      </c>
      <c r="AD106" s="244" t="s">
        <v>7312</v>
      </c>
      <c r="AE106" s="241">
        <v>11093000</v>
      </c>
      <c r="AF106" s="241" t="s">
        <v>3313</v>
      </c>
      <c r="AG106" s="241" t="s">
        <v>600</v>
      </c>
      <c r="AH106" s="241">
        <v>2</v>
      </c>
      <c r="AI106" s="241" t="s">
        <v>4000</v>
      </c>
      <c r="AJ106" s="241" t="s">
        <v>3313</v>
      </c>
      <c r="AK106" s="242">
        <v>44136</v>
      </c>
      <c r="AL106" s="244" t="s">
        <v>7313</v>
      </c>
      <c r="AM106" s="236">
        <v>3348000</v>
      </c>
      <c r="AN106" s="236" t="s">
        <v>3313</v>
      </c>
      <c r="AO106" s="236" t="s">
        <v>600</v>
      </c>
      <c r="AP106" s="236">
        <v>2</v>
      </c>
      <c r="AQ106" s="236" t="s">
        <v>4001</v>
      </c>
      <c r="AR106" s="236" t="s">
        <v>3313</v>
      </c>
      <c r="AS106" s="237">
        <v>44136</v>
      </c>
      <c r="AT106" s="245" t="s">
        <v>7314</v>
      </c>
      <c r="AU106" s="241" t="s">
        <v>393</v>
      </c>
      <c r="AV106" s="241">
        <v>0</v>
      </c>
      <c r="AW106" s="241" t="s">
        <v>393</v>
      </c>
      <c r="AX106" s="241" t="s">
        <v>393</v>
      </c>
      <c r="AY106" s="241">
        <v>0</v>
      </c>
      <c r="AZ106" s="241">
        <v>0</v>
      </c>
      <c r="BA106" s="242">
        <v>43769</v>
      </c>
      <c r="BB106" s="244" t="s">
        <v>7315</v>
      </c>
      <c r="BC106" s="236" t="s">
        <v>393</v>
      </c>
      <c r="BD106" s="236">
        <v>0</v>
      </c>
      <c r="BE106" s="236" t="s">
        <v>393</v>
      </c>
      <c r="BF106" s="236" t="s">
        <v>393</v>
      </c>
      <c r="BG106" s="236">
        <v>0</v>
      </c>
      <c r="BH106" s="236">
        <v>0</v>
      </c>
      <c r="BI106" s="237">
        <v>43769</v>
      </c>
      <c r="BJ106" s="245" t="s">
        <v>7316</v>
      </c>
      <c r="BK106" s="245">
        <v>1675</v>
      </c>
      <c r="BL106" s="245" t="s">
        <v>3313</v>
      </c>
      <c r="BM106" s="245" t="s">
        <v>600</v>
      </c>
      <c r="BN106" s="245">
        <v>2</v>
      </c>
      <c r="BO106" s="245" t="s">
        <v>4002</v>
      </c>
      <c r="BP106" s="241" t="s">
        <v>3313</v>
      </c>
      <c r="BQ106" s="246">
        <v>44136</v>
      </c>
      <c r="BR106" s="244" t="s">
        <v>7317</v>
      </c>
      <c r="BS106" s="247">
        <v>0</v>
      </c>
      <c r="BT106" s="247">
        <v>0</v>
      </c>
      <c r="BU106" s="247" t="s">
        <v>600</v>
      </c>
      <c r="BV106" s="247">
        <v>2</v>
      </c>
      <c r="BW106" s="247">
        <v>0</v>
      </c>
      <c r="BX106" s="247">
        <v>0</v>
      </c>
      <c r="BY106" s="237">
        <v>43545</v>
      </c>
      <c r="BZ106" s="245" t="s">
        <v>7318</v>
      </c>
      <c r="CA106" s="245">
        <v>4300</v>
      </c>
      <c r="CB106" s="245" t="s">
        <v>708</v>
      </c>
      <c r="CC106" s="245" t="s">
        <v>600</v>
      </c>
      <c r="CD106" s="245">
        <v>2</v>
      </c>
      <c r="CE106" s="245" t="s">
        <v>1174</v>
      </c>
      <c r="CF106" s="245">
        <v>0</v>
      </c>
      <c r="CG106" s="246">
        <v>43545</v>
      </c>
      <c r="CH106" s="244" t="s">
        <v>7319</v>
      </c>
      <c r="CI106" s="245" t="e">
        <v>#N/A</v>
      </c>
      <c r="CJ106" s="245" t="e">
        <v>#N/A</v>
      </c>
      <c r="CK106" s="245" t="e">
        <v>#N/A</v>
      </c>
      <c r="CL106" s="245" t="e">
        <v>#N/A</v>
      </c>
      <c r="CM106" s="245" t="e">
        <v>#N/A</v>
      </c>
      <c r="CN106" s="245" t="e">
        <v>#N/A</v>
      </c>
      <c r="CO106" s="248" t="e">
        <v>#N/A</v>
      </c>
      <c r="CP106" s="245" t="s">
        <v>7320</v>
      </c>
      <c r="CQ106" s="247">
        <v>5200000</v>
      </c>
      <c r="CR106" s="247" t="s">
        <v>1176</v>
      </c>
      <c r="CS106" s="247" t="s">
        <v>600</v>
      </c>
      <c r="CT106" s="247">
        <v>2</v>
      </c>
      <c r="CU106" s="247" t="s">
        <v>1175</v>
      </c>
      <c r="CV106" s="247">
        <v>0</v>
      </c>
      <c r="CW106" s="237">
        <v>43545</v>
      </c>
      <c r="CX106" s="245" t="s">
        <v>7321</v>
      </c>
      <c r="CY106" s="241">
        <v>6741000</v>
      </c>
      <c r="CZ106" s="241" t="s">
        <v>3313</v>
      </c>
      <c r="DA106" s="241" t="s">
        <v>600</v>
      </c>
      <c r="DB106" s="241">
        <v>2</v>
      </c>
      <c r="DC106" s="241" t="s">
        <v>3997</v>
      </c>
      <c r="DD106" s="241" t="s">
        <v>3313</v>
      </c>
      <c r="DE106" s="243">
        <v>44136</v>
      </c>
      <c r="DF106" s="244" t="s">
        <v>7322</v>
      </c>
      <c r="DG106" s="236">
        <v>2608000</v>
      </c>
      <c r="DH106" s="247" t="s">
        <v>3313</v>
      </c>
      <c r="DI106" s="247" t="s">
        <v>600</v>
      </c>
      <c r="DJ106" s="247">
        <v>2</v>
      </c>
      <c r="DK106" s="247" t="s">
        <v>3997</v>
      </c>
      <c r="DL106" s="247" t="s">
        <v>3313</v>
      </c>
      <c r="DM106" s="237">
        <v>44136</v>
      </c>
      <c r="DN106" s="245" t="s">
        <v>7323</v>
      </c>
      <c r="DO106" s="241">
        <v>4352000</v>
      </c>
      <c r="DP106" s="245" t="s">
        <v>3313</v>
      </c>
      <c r="DQ106" s="245" t="s">
        <v>600</v>
      </c>
      <c r="DR106" s="245">
        <v>2</v>
      </c>
      <c r="DS106" s="245" t="s">
        <v>3997</v>
      </c>
      <c r="DT106" s="245" t="s">
        <v>3313</v>
      </c>
      <c r="DU106" s="246">
        <v>44136</v>
      </c>
      <c r="DV106" s="244" t="s">
        <v>7324</v>
      </c>
      <c r="DW106" s="236">
        <v>3234000</v>
      </c>
      <c r="DX106" s="247" t="s">
        <v>3313</v>
      </c>
      <c r="DY106" s="247" t="s">
        <v>600</v>
      </c>
      <c r="DZ106" s="247">
        <v>2</v>
      </c>
      <c r="EA106" s="247" t="s">
        <v>3997</v>
      </c>
      <c r="EB106" s="247" t="s">
        <v>3313</v>
      </c>
      <c r="EC106" s="237">
        <v>44136</v>
      </c>
      <c r="ED106" s="245" t="s">
        <v>7325</v>
      </c>
      <c r="EE106" s="241">
        <v>3385000</v>
      </c>
      <c r="EF106" s="245" t="s">
        <v>3313</v>
      </c>
      <c r="EG106" s="245" t="s">
        <v>600</v>
      </c>
      <c r="EH106" s="245">
        <v>2</v>
      </c>
      <c r="EI106" s="245" t="s">
        <v>3997</v>
      </c>
      <c r="EJ106" s="245" t="s">
        <v>3313</v>
      </c>
      <c r="EK106" s="246">
        <v>44136</v>
      </c>
      <c r="EL106" s="244" t="s">
        <v>7326</v>
      </c>
      <c r="EM106" s="236">
        <v>122000</v>
      </c>
      <c r="EN106" s="247" t="s">
        <v>3313</v>
      </c>
      <c r="EO106" s="247" t="s">
        <v>600</v>
      </c>
      <c r="EP106" s="247">
        <v>2</v>
      </c>
      <c r="EQ106" s="247" t="s">
        <v>3997</v>
      </c>
      <c r="ER106" s="247" t="s">
        <v>3313</v>
      </c>
      <c r="ES106" s="237">
        <v>44136</v>
      </c>
      <c r="ET106" s="245" t="s">
        <v>7327</v>
      </c>
      <c r="EU106" s="245">
        <v>3569</v>
      </c>
      <c r="EV106" s="245" t="s">
        <v>3313</v>
      </c>
      <c r="EW106" s="245" t="s">
        <v>600</v>
      </c>
      <c r="EX106" s="245">
        <v>2</v>
      </c>
      <c r="EY106" s="245" t="s">
        <v>3995</v>
      </c>
      <c r="EZ106" s="245" t="s">
        <v>3313</v>
      </c>
      <c r="FA106" s="246">
        <v>44136</v>
      </c>
      <c r="FB106" s="244" t="s">
        <v>7328</v>
      </c>
      <c r="FC106" s="247">
        <v>5</v>
      </c>
      <c r="FD106" s="247" t="s">
        <v>393</v>
      </c>
      <c r="FE106" s="247" t="s">
        <v>600</v>
      </c>
      <c r="FF106" s="247">
        <v>2</v>
      </c>
      <c r="FG106" s="247" t="s">
        <v>393</v>
      </c>
      <c r="FH106" s="247" t="s">
        <v>393</v>
      </c>
      <c r="FI106" s="237">
        <v>43586</v>
      </c>
      <c r="FJ106" s="244" t="s">
        <v>7329</v>
      </c>
      <c r="FK106" s="245" t="s">
        <v>393</v>
      </c>
      <c r="FL106" s="245" t="s">
        <v>1306</v>
      </c>
      <c r="FM106" s="245" t="s">
        <v>600</v>
      </c>
      <c r="FN106" s="245">
        <v>2</v>
      </c>
      <c r="FO106" s="245" t="s">
        <v>393</v>
      </c>
      <c r="FP106" s="241" t="s">
        <v>393</v>
      </c>
      <c r="FQ106" s="242">
        <v>43586</v>
      </c>
      <c r="FR106" s="244" t="s">
        <v>7330</v>
      </c>
      <c r="FS106" s="247">
        <v>800000</v>
      </c>
      <c r="FT106" s="247" t="s">
        <v>1306</v>
      </c>
      <c r="FU106" s="247" t="s">
        <v>600</v>
      </c>
      <c r="FV106" s="247">
        <v>2</v>
      </c>
      <c r="FW106" s="247" t="s">
        <v>1307</v>
      </c>
      <c r="FX106" s="247" t="s">
        <v>1290</v>
      </c>
      <c r="FY106" s="237">
        <v>43586</v>
      </c>
      <c r="FZ106" s="245" t="s">
        <v>7331</v>
      </c>
      <c r="GA106" s="245">
        <v>0.5</v>
      </c>
      <c r="GB106" s="245" t="s">
        <v>1587</v>
      </c>
      <c r="GC106" s="245" t="s">
        <v>601</v>
      </c>
      <c r="GD106" s="245">
        <v>1</v>
      </c>
      <c r="GE106" s="245" t="s">
        <v>1623</v>
      </c>
      <c r="GF106" s="245" t="s">
        <v>1624</v>
      </c>
      <c r="GG106" s="246">
        <v>43769</v>
      </c>
      <c r="GH106" s="244" t="s">
        <v>7332</v>
      </c>
      <c r="GI106" s="247">
        <v>1.5</v>
      </c>
      <c r="GJ106" s="247" t="s">
        <v>1587</v>
      </c>
      <c r="GK106" s="247" t="s">
        <v>601</v>
      </c>
      <c r="GL106" s="247">
        <v>1</v>
      </c>
      <c r="GM106" s="247" t="s">
        <v>1623</v>
      </c>
      <c r="GN106" s="247" t="s">
        <v>1624</v>
      </c>
      <c r="GO106" s="237">
        <v>43769</v>
      </c>
      <c r="GP106" s="245" t="s">
        <v>7333</v>
      </c>
      <c r="GQ106" s="245">
        <v>0.75</v>
      </c>
      <c r="GR106" s="245" t="s">
        <v>1587</v>
      </c>
      <c r="GS106" s="245" t="s">
        <v>601</v>
      </c>
      <c r="GT106" s="245">
        <v>1</v>
      </c>
      <c r="GU106" s="245" t="s">
        <v>1623</v>
      </c>
      <c r="GV106" s="245" t="s">
        <v>1624</v>
      </c>
      <c r="GW106" s="246">
        <v>43769</v>
      </c>
      <c r="GX106" s="244" t="s">
        <v>7334</v>
      </c>
      <c r="GY106" s="247">
        <v>0.75</v>
      </c>
      <c r="GZ106" s="247" t="s">
        <v>1587</v>
      </c>
      <c r="HA106" s="247" t="s">
        <v>601</v>
      </c>
      <c r="HB106" s="247">
        <v>1</v>
      </c>
      <c r="HC106" s="247" t="s">
        <v>1623</v>
      </c>
      <c r="HD106" s="247" t="s">
        <v>1624</v>
      </c>
      <c r="HE106" s="237">
        <v>43769</v>
      </c>
      <c r="HF106" s="245" t="s">
        <v>7335</v>
      </c>
      <c r="HG106" s="245">
        <v>0.5</v>
      </c>
      <c r="HH106" s="245" t="s">
        <v>1587</v>
      </c>
      <c r="HI106" s="245" t="s">
        <v>601</v>
      </c>
      <c r="HJ106" s="245">
        <v>1</v>
      </c>
      <c r="HK106" s="245" t="s">
        <v>1623</v>
      </c>
      <c r="HL106" s="245" t="s">
        <v>1624</v>
      </c>
      <c r="HM106" s="246">
        <v>43769</v>
      </c>
      <c r="HN106" s="244" t="s">
        <v>7336</v>
      </c>
      <c r="HO106" s="247">
        <v>2</v>
      </c>
      <c r="HP106" s="247" t="s">
        <v>1587</v>
      </c>
      <c r="HQ106" s="247" t="s">
        <v>601</v>
      </c>
      <c r="HR106" s="247">
        <v>1</v>
      </c>
      <c r="HS106" s="247" t="s">
        <v>1623</v>
      </c>
      <c r="HT106" s="247" t="s">
        <v>1624</v>
      </c>
      <c r="HU106" s="237">
        <v>43769</v>
      </c>
      <c r="HV106" s="245" t="s">
        <v>7337</v>
      </c>
      <c r="HW106" s="245">
        <v>2.5</v>
      </c>
      <c r="HX106" s="245" t="s">
        <v>1587</v>
      </c>
      <c r="HY106" s="245" t="s">
        <v>601</v>
      </c>
      <c r="HZ106" s="245">
        <v>1</v>
      </c>
      <c r="IA106" s="245" t="s">
        <v>1623</v>
      </c>
      <c r="IB106" s="245" t="s">
        <v>1624</v>
      </c>
      <c r="IC106" s="246">
        <v>43769</v>
      </c>
      <c r="ID106" s="244" t="s">
        <v>7338</v>
      </c>
      <c r="IE106" s="247">
        <v>1.5</v>
      </c>
      <c r="IF106" s="247" t="s">
        <v>1587</v>
      </c>
      <c r="IG106" s="247" t="s">
        <v>601</v>
      </c>
      <c r="IH106" s="247">
        <v>1</v>
      </c>
      <c r="II106" s="247" t="s">
        <v>1623</v>
      </c>
      <c r="IJ106" s="247" t="s">
        <v>1624</v>
      </c>
      <c r="IK106" s="237">
        <v>43769</v>
      </c>
      <c r="IL106" s="245" t="s">
        <v>7339</v>
      </c>
      <c r="IM106" s="245">
        <v>2.5</v>
      </c>
      <c r="IN106" s="245" t="s">
        <v>1587</v>
      </c>
      <c r="IO106" s="245" t="s">
        <v>601</v>
      </c>
      <c r="IP106" s="245">
        <v>1</v>
      </c>
      <c r="IQ106" s="245" t="s">
        <v>1623</v>
      </c>
      <c r="IR106" s="245" t="s">
        <v>1624</v>
      </c>
      <c r="IS106" s="246">
        <v>43769</v>
      </c>
    </row>
    <row r="107" spans="1:253" s="11" customFormat="1" ht="13.2" x14ac:dyDescent="0.25">
      <c r="A107" s="11" t="s">
        <v>1366</v>
      </c>
      <c r="B107" s="11" t="s">
        <v>691</v>
      </c>
      <c r="C107" s="11" t="s">
        <v>1922</v>
      </c>
      <c r="D107" s="11" t="s">
        <v>241</v>
      </c>
      <c r="E107" s="11" t="s">
        <v>240</v>
      </c>
      <c r="F107" s="11" t="s">
        <v>7340</v>
      </c>
      <c r="G107" s="235">
        <v>209594000</v>
      </c>
      <c r="H107" s="236" t="s">
        <v>3326</v>
      </c>
      <c r="I107" s="236" t="s">
        <v>600</v>
      </c>
      <c r="J107" s="236">
        <v>2</v>
      </c>
      <c r="K107" s="236" t="s">
        <v>1842</v>
      </c>
      <c r="L107" s="236" t="s">
        <v>1576</v>
      </c>
      <c r="M107" s="237">
        <v>44110</v>
      </c>
      <c r="N107" s="244" t="s">
        <v>7341</v>
      </c>
      <c r="O107" s="239">
        <v>770880</v>
      </c>
      <c r="P107" s="239" t="s">
        <v>1551</v>
      </c>
      <c r="Q107" s="239" t="s">
        <v>600</v>
      </c>
      <c r="R107" s="239">
        <v>2</v>
      </c>
      <c r="S107" s="239" t="s">
        <v>1843</v>
      </c>
      <c r="T107" s="239" t="s">
        <v>3529</v>
      </c>
      <c r="U107" s="240">
        <v>44110</v>
      </c>
      <c r="V107" s="244" t="s">
        <v>7342</v>
      </c>
      <c r="W107" s="236">
        <v>209594000</v>
      </c>
      <c r="X107" s="236" t="s">
        <v>3327</v>
      </c>
      <c r="Y107" s="236" t="s">
        <v>600</v>
      </c>
      <c r="Z107" s="236">
        <v>2</v>
      </c>
      <c r="AA107" s="236" t="s">
        <v>1844</v>
      </c>
      <c r="AB107" s="236" t="s">
        <v>1576</v>
      </c>
      <c r="AC107" s="237">
        <v>44110</v>
      </c>
      <c r="AD107" s="244" t="s">
        <v>7343</v>
      </c>
      <c r="AE107" s="241">
        <v>64359000</v>
      </c>
      <c r="AF107" s="241" t="s">
        <v>3328</v>
      </c>
      <c r="AG107" s="241" t="s">
        <v>599</v>
      </c>
      <c r="AH107" s="241">
        <v>3</v>
      </c>
      <c r="AI107" s="241" t="s">
        <v>3531</v>
      </c>
      <c r="AJ107" s="241" t="s">
        <v>3530</v>
      </c>
      <c r="AK107" s="242">
        <v>44110</v>
      </c>
      <c r="AL107" s="244" t="s">
        <v>7344</v>
      </c>
      <c r="AM107" s="236">
        <v>204000</v>
      </c>
      <c r="AN107" s="236" t="s">
        <v>1579</v>
      </c>
      <c r="AO107" s="236" t="s">
        <v>600</v>
      </c>
      <c r="AP107" s="236">
        <v>2</v>
      </c>
      <c r="AQ107" s="236" t="s">
        <v>1845</v>
      </c>
      <c r="AR107" s="236" t="s">
        <v>1578</v>
      </c>
      <c r="AS107" s="237">
        <v>43742</v>
      </c>
      <c r="AT107" s="245" t="s">
        <v>7345</v>
      </c>
      <c r="AU107" s="241" t="s">
        <v>393</v>
      </c>
      <c r="AV107" s="241" t="s">
        <v>393</v>
      </c>
      <c r="AW107" s="241" t="s">
        <v>393</v>
      </c>
      <c r="AX107" s="241" t="s">
        <v>393</v>
      </c>
      <c r="AY107" s="241" t="s">
        <v>832</v>
      </c>
      <c r="AZ107" s="241" t="s">
        <v>393</v>
      </c>
      <c r="BA107" s="242">
        <v>43742</v>
      </c>
      <c r="BB107" s="244" t="s">
        <v>7346</v>
      </c>
      <c r="BC107" s="236" t="s">
        <v>393</v>
      </c>
      <c r="BD107" s="236" t="s">
        <v>393</v>
      </c>
      <c r="BE107" s="236" t="s">
        <v>393</v>
      </c>
      <c r="BF107" s="236" t="s">
        <v>393</v>
      </c>
      <c r="BG107" s="236" t="s">
        <v>1577</v>
      </c>
      <c r="BH107" s="236" t="s">
        <v>393</v>
      </c>
      <c r="BI107" s="237">
        <v>43742</v>
      </c>
      <c r="BJ107" s="245" t="s">
        <v>7347</v>
      </c>
      <c r="BK107" s="245">
        <v>763</v>
      </c>
      <c r="BL107" s="245" t="s">
        <v>3761</v>
      </c>
      <c r="BM107" s="245" t="s">
        <v>599</v>
      </c>
      <c r="BN107" s="245">
        <v>3</v>
      </c>
      <c r="BO107" s="245" t="s">
        <v>3763</v>
      </c>
      <c r="BP107" s="241" t="s">
        <v>3532</v>
      </c>
      <c r="BQ107" s="246">
        <v>44132</v>
      </c>
      <c r="BR107" s="244" t="s">
        <v>7348</v>
      </c>
      <c r="BS107" s="247" t="s">
        <v>393</v>
      </c>
      <c r="BT107" s="247" t="s">
        <v>393</v>
      </c>
      <c r="BU107" s="247" t="s">
        <v>393</v>
      </c>
      <c r="BV107" s="247" t="s">
        <v>393</v>
      </c>
      <c r="BW107" s="247" t="s">
        <v>829</v>
      </c>
      <c r="BX107" s="247" t="s">
        <v>393</v>
      </c>
      <c r="BY107" s="237">
        <v>43503</v>
      </c>
      <c r="BZ107" s="245" t="s">
        <v>7349</v>
      </c>
      <c r="CA107" s="245" t="s">
        <v>393</v>
      </c>
      <c r="CB107" s="245" t="s">
        <v>393</v>
      </c>
      <c r="CC107" s="245" t="s">
        <v>393</v>
      </c>
      <c r="CD107" s="245" t="s">
        <v>393</v>
      </c>
      <c r="CE107" s="245" t="s">
        <v>829</v>
      </c>
      <c r="CF107" s="245" t="s">
        <v>393</v>
      </c>
      <c r="CG107" s="246">
        <v>43503</v>
      </c>
      <c r="CH107" s="244" t="s">
        <v>7350</v>
      </c>
      <c r="CI107" s="245" t="e">
        <v>#N/A</v>
      </c>
      <c r="CJ107" s="245" t="e">
        <v>#N/A</v>
      </c>
      <c r="CK107" s="245" t="e">
        <v>#N/A</v>
      </c>
      <c r="CL107" s="245" t="e">
        <v>#N/A</v>
      </c>
      <c r="CM107" s="245" t="e">
        <v>#N/A</v>
      </c>
      <c r="CN107" s="245" t="e">
        <v>#N/A</v>
      </c>
      <c r="CO107" s="248" t="e">
        <v>#N/A</v>
      </c>
      <c r="CP107" s="245" t="s">
        <v>7351</v>
      </c>
      <c r="CQ107" s="247" t="s">
        <v>393</v>
      </c>
      <c r="CR107" s="247" t="s">
        <v>827</v>
      </c>
      <c r="CS107" s="247" t="s">
        <v>393</v>
      </c>
      <c r="CT107" s="247" t="s">
        <v>393</v>
      </c>
      <c r="CU107" s="247" t="s">
        <v>830</v>
      </c>
      <c r="CV107" s="247" t="s">
        <v>882</v>
      </c>
      <c r="CW107" s="237">
        <v>43503</v>
      </c>
      <c r="CX107" s="245" t="s">
        <v>7352</v>
      </c>
      <c r="CY107" s="241">
        <v>3039000</v>
      </c>
      <c r="CZ107" s="241" t="s">
        <v>3329</v>
      </c>
      <c r="DA107" s="241" t="s">
        <v>600</v>
      </c>
      <c r="DB107" s="241">
        <v>2</v>
      </c>
      <c r="DC107" s="241" t="s">
        <v>3534</v>
      </c>
      <c r="DD107" s="241" t="s">
        <v>3533</v>
      </c>
      <c r="DE107" s="243">
        <v>44110</v>
      </c>
      <c r="DF107" s="244" t="s">
        <v>7353</v>
      </c>
      <c r="DG107" s="236">
        <v>145236000</v>
      </c>
      <c r="DH107" s="247" t="s">
        <v>3329</v>
      </c>
      <c r="DI107" s="247" t="s">
        <v>600</v>
      </c>
      <c r="DJ107" s="247">
        <v>2</v>
      </c>
      <c r="DK107" s="247" t="s">
        <v>3534</v>
      </c>
      <c r="DL107" s="247" t="s">
        <v>3533</v>
      </c>
      <c r="DM107" s="237">
        <v>44110</v>
      </c>
      <c r="DN107" s="245" t="s">
        <v>7354</v>
      </c>
      <c r="DO107" s="241">
        <v>61320000</v>
      </c>
      <c r="DP107" s="245" t="s">
        <v>3329</v>
      </c>
      <c r="DQ107" s="245" t="s">
        <v>600</v>
      </c>
      <c r="DR107" s="245">
        <v>2</v>
      </c>
      <c r="DS107" s="245" t="s">
        <v>3534</v>
      </c>
      <c r="DT107" s="245" t="s">
        <v>3533</v>
      </c>
      <c r="DU107" s="246">
        <v>44110</v>
      </c>
      <c r="DV107" s="244" t="s">
        <v>7355</v>
      </c>
      <c r="DW107" s="236">
        <v>2021000</v>
      </c>
      <c r="DX107" s="247" t="s">
        <v>3329</v>
      </c>
      <c r="DY107" s="247" t="s">
        <v>600</v>
      </c>
      <c r="DZ107" s="247">
        <v>2</v>
      </c>
      <c r="EA107" s="247" t="s">
        <v>3534</v>
      </c>
      <c r="EB107" s="247" t="s">
        <v>3533</v>
      </c>
      <c r="EC107" s="237">
        <v>44110</v>
      </c>
      <c r="ED107" s="245" t="s">
        <v>7356</v>
      </c>
      <c r="EE107" s="241">
        <v>1018000</v>
      </c>
      <c r="EF107" s="245" t="s">
        <v>3329</v>
      </c>
      <c r="EG107" s="245" t="s">
        <v>600</v>
      </c>
      <c r="EH107" s="245">
        <v>2</v>
      </c>
      <c r="EI107" s="245" t="s">
        <v>3534</v>
      </c>
      <c r="EJ107" s="245" t="s">
        <v>3533</v>
      </c>
      <c r="EK107" s="246">
        <v>44110</v>
      </c>
      <c r="EL107" s="244" t="s">
        <v>7357</v>
      </c>
      <c r="EM107" s="236">
        <v>0</v>
      </c>
      <c r="EN107" s="247" t="s">
        <v>3329</v>
      </c>
      <c r="EO107" s="247" t="s">
        <v>600</v>
      </c>
      <c r="EP107" s="247">
        <v>2</v>
      </c>
      <c r="EQ107" s="247" t="s">
        <v>3534</v>
      </c>
      <c r="ER107" s="247" t="s">
        <v>3533</v>
      </c>
      <c r="ES107" s="237">
        <v>44110</v>
      </c>
      <c r="ET107" s="245" t="s">
        <v>7358</v>
      </c>
      <c r="EU107" s="245">
        <v>800</v>
      </c>
      <c r="EV107" s="245" t="s">
        <v>3761</v>
      </c>
      <c r="EW107" s="245" t="s">
        <v>599</v>
      </c>
      <c r="EX107" s="245">
        <v>3</v>
      </c>
      <c r="EY107" s="245" t="s">
        <v>3762</v>
      </c>
      <c r="EZ107" s="245" t="s">
        <v>3532</v>
      </c>
      <c r="FA107" s="246">
        <v>44132</v>
      </c>
      <c r="FB107" s="244" t="s">
        <v>7359</v>
      </c>
      <c r="FC107" s="247">
        <v>5</v>
      </c>
      <c r="FD107" s="247" t="s">
        <v>826</v>
      </c>
      <c r="FE107" s="247" t="s">
        <v>601</v>
      </c>
      <c r="FF107" s="247">
        <v>1</v>
      </c>
      <c r="FG107" s="247" t="s">
        <v>831</v>
      </c>
      <c r="FH107" s="247">
        <v>0</v>
      </c>
      <c r="FI107" s="237">
        <v>43503</v>
      </c>
      <c r="FJ107" s="244" t="s">
        <v>7360</v>
      </c>
      <c r="FK107" s="245" t="s">
        <v>393</v>
      </c>
      <c r="FL107" s="245" t="s">
        <v>750</v>
      </c>
      <c r="FM107" s="245" t="s">
        <v>393</v>
      </c>
      <c r="FN107" s="245" t="s">
        <v>393</v>
      </c>
      <c r="FO107" s="245" t="s">
        <v>1315</v>
      </c>
      <c r="FP107" s="241" t="s">
        <v>1314</v>
      </c>
      <c r="FQ107" s="242">
        <v>43578</v>
      </c>
      <c r="FR107" s="244" t="s">
        <v>7361</v>
      </c>
      <c r="FS107" s="247" t="s">
        <v>393</v>
      </c>
      <c r="FT107" s="247" t="s">
        <v>1217</v>
      </c>
      <c r="FU107" s="247" t="s">
        <v>393</v>
      </c>
      <c r="FV107" s="247" t="s">
        <v>393</v>
      </c>
      <c r="FW107" s="247" t="s">
        <v>1315</v>
      </c>
      <c r="FX107" s="247" t="s">
        <v>1314</v>
      </c>
      <c r="FY107" s="237">
        <v>43578</v>
      </c>
      <c r="FZ107" s="245" t="s">
        <v>7362</v>
      </c>
      <c r="GA107" s="245">
        <v>2</v>
      </c>
      <c r="GB107" s="245" t="s">
        <v>1587</v>
      </c>
      <c r="GC107" s="245" t="s">
        <v>601</v>
      </c>
      <c r="GD107" s="245">
        <v>1</v>
      </c>
      <c r="GE107" s="245" t="s">
        <v>1623</v>
      </c>
      <c r="GF107" s="245" t="s">
        <v>1624</v>
      </c>
      <c r="GG107" s="246">
        <v>43767</v>
      </c>
      <c r="GH107" s="244" t="s">
        <v>7363</v>
      </c>
      <c r="GI107" s="247">
        <v>1</v>
      </c>
      <c r="GJ107" s="247" t="s">
        <v>1587</v>
      </c>
      <c r="GK107" s="247" t="s">
        <v>600</v>
      </c>
      <c r="GL107" s="247">
        <v>2</v>
      </c>
      <c r="GM107" s="247" t="s">
        <v>1623</v>
      </c>
      <c r="GN107" s="247" t="s">
        <v>1624</v>
      </c>
      <c r="GO107" s="237">
        <v>43767</v>
      </c>
      <c r="GP107" s="245" t="s">
        <v>7364</v>
      </c>
      <c r="GQ107" s="245">
        <v>1</v>
      </c>
      <c r="GR107" s="245" t="s">
        <v>1587</v>
      </c>
      <c r="GS107" s="245" t="s">
        <v>600</v>
      </c>
      <c r="GT107" s="245">
        <v>2</v>
      </c>
      <c r="GU107" s="245" t="s">
        <v>1623</v>
      </c>
      <c r="GV107" s="245" t="s">
        <v>1624</v>
      </c>
      <c r="GW107" s="246">
        <v>43767</v>
      </c>
      <c r="GX107" s="244" t="s">
        <v>7365</v>
      </c>
      <c r="GY107" s="247">
        <v>1</v>
      </c>
      <c r="GZ107" s="247" t="s">
        <v>1587</v>
      </c>
      <c r="HA107" s="247" t="s">
        <v>600</v>
      </c>
      <c r="HB107" s="247">
        <v>2</v>
      </c>
      <c r="HC107" s="247" t="s">
        <v>1623</v>
      </c>
      <c r="HD107" s="247" t="s">
        <v>1624</v>
      </c>
      <c r="HE107" s="237">
        <v>43767</v>
      </c>
      <c r="HF107" s="245" t="s">
        <v>7366</v>
      </c>
      <c r="HG107" s="245">
        <v>0</v>
      </c>
      <c r="HH107" s="245" t="s">
        <v>1587</v>
      </c>
      <c r="HI107" s="245" t="s">
        <v>600</v>
      </c>
      <c r="HJ107" s="245">
        <v>2</v>
      </c>
      <c r="HK107" s="245" t="s">
        <v>1623</v>
      </c>
      <c r="HL107" s="245" t="s">
        <v>1624</v>
      </c>
      <c r="HM107" s="246">
        <v>43767</v>
      </c>
      <c r="HN107" s="244" t="s">
        <v>7367</v>
      </c>
      <c r="HO107" s="247">
        <v>2</v>
      </c>
      <c r="HP107" s="247" t="s">
        <v>1587</v>
      </c>
      <c r="HQ107" s="247" t="s">
        <v>601</v>
      </c>
      <c r="HR107" s="247">
        <v>1</v>
      </c>
      <c r="HS107" s="247" t="s">
        <v>1623</v>
      </c>
      <c r="HT107" s="247" t="s">
        <v>1624</v>
      </c>
      <c r="HU107" s="237">
        <v>43767</v>
      </c>
      <c r="HV107" s="245" t="s">
        <v>7368</v>
      </c>
      <c r="HW107" s="245">
        <v>1</v>
      </c>
      <c r="HX107" s="245" t="s">
        <v>1587</v>
      </c>
      <c r="HY107" s="245" t="s">
        <v>600</v>
      </c>
      <c r="HZ107" s="245">
        <v>2</v>
      </c>
      <c r="IA107" s="245" t="s">
        <v>1623</v>
      </c>
      <c r="IB107" s="245" t="s">
        <v>1624</v>
      </c>
      <c r="IC107" s="246">
        <v>43767</v>
      </c>
      <c r="ID107" s="244" t="s">
        <v>7369</v>
      </c>
      <c r="IE107" s="247">
        <v>1</v>
      </c>
      <c r="IF107" s="247" t="s">
        <v>1587</v>
      </c>
      <c r="IG107" s="247" t="s">
        <v>600</v>
      </c>
      <c r="IH107" s="247">
        <v>2</v>
      </c>
      <c r="II107" s="247" t="s">
        <v>1623</v>
      </c>
      <c r="IJ107" s="247" t="s">
        <v>1624</v>
      </c>
      <c r="IK107" s="237">
        <v>43767</v>
      </c>
      <c r="IL107" s="245" t="s">
        <v>7370</v>
      </c>
      <c r="IM107" s="245">
        <v>3</v>
      </c>
      <c r="IN107" s="245" t="s">
        <v>1587</v>
      </c>
      <c r="IO107" s="245" t="s">
        <v>601</v>
      </c>
      <c r="IP107" s="245">
        <v>1</v>
      </c>
      <c r="IQ107" s="245" t="s">
        <v>1623</v>
      </c>
      <c r="IR107" s="245" t="s">
        <v>1624</v>
      </c>
      <c r="IS107" s="246">
        <v>43767</v>
      </c>
    </row>
    <row r="108" spans="1:253" s="11" customFormat="1" ht="13.2" x14ac:dyDescent="0.25">
      <c r="A108" s="11" t="s">
        <v>1121</v>
      </c>
      <c r="B108" s="11" t="s">
        <v>650</v>
      </c>
      <c r="C108" s="11" t="s">
        <v>1122</v>
      </c>
      <c r="D108" s="11" t="s">
        <v>241</v>
      </c>
      <c r="E108" s="11" t="s">
        <v>240</v>
      </c>
      <c r="F108" s="11" t="s">
        <v>7371</v>
      </c>
      <c r="G108" s="235">
        <v>209594000</v>
      </c>
      <c r="H108" s="236" t="s">
        <v>3326</v>
      </c>
      <c r="I108" s="236" t="s">
        <v>600</v>
      </c>
      <c r="J108" s="236">
        <v>2</v>
      </c>
      <c r="K108" s="236" t="s">
        <v>1842</v>
      </c>
      <c r="L108" s="236" t="s">
        <v>1576</v>
      </c>
      <c r="M108" s="237">
        <v>44110</v>
      </c>
      <c r="N108" s="244" t="s">
        <v>7372</v>
      </c>
      <c r="O108" s="239">
        <v>13297</v>
      </c>
      <c r="P108" s="239" t="s">
        <v>1326</v>
      </c>
      <c r="Q108" s="239" t="s">
        <v>601</v>
      </c>
      <c r="R108" s="239">
        <v>1</v>
      </c>
      <c r="S108" s="239" t="s">
        <v>1847</v>
      </c>
      <c r="T108" s="239" t="s">
        <v>828</v>
      </c>
      <c r="U108" s="240">
        <v>43605</v>
      </c>
      <c r="V108" s="244" t="s">
        <v>7373</v>
      </c>
      <c r="W108" s="236">
        <v>4450000</v>
      </c>
      <c r="X108" s="236" t="s">
        <v>1326</v>
      </c>
      <c r="Y108" s="236" t="s">
        <v>600</v>
      </c>
      <c r="Z108" s="236">
        <v>2</v>
      </c>
      <c r="AA108" s="236" t="s">
        <v>1848</v>
      </c>
      <c r="AB108" s="236" t="s">
        <v>828</v>
      </c>
      <c r="AC108" s="237">
        <v>43605</v>
      </c>
      <c r="AD108" s="244" t="s">
        <v>7374</v>
      </c>
      <c r="AE108" s="241" t="s">
        <v>393</v>
      </c>
      <c r="AF108" s="241" t="s">
        <v>393</v>
      </c>
      <c r="AG108" s="241" t="s">
        <v>600</v>
      </c>
      <c r="AH108" s="241">
        <v>2</v>
      </c>
      <c r="AI108" s="241" t="s">
        <v>1124</v>
      </c>
      <c r="AJ108" s="241" t="s">
        <v>393</v>
      </c>
      <c r="AK108" s="242">
        <v>43523</v>
      </c>
      <c r="AL108" s="244" t="s">
        <v>7375</v>
      </c>
      <c r="AM108" s="236" t="s">
        <v>393</v>
      </c>
      <c r="AN108" s="236" t="s">
        <v>393</v>
      </c>
      <c r="AO108" s="236" t="s">
        <v>393</v>
      </c>
      <c r="AP108" s="236" t="s">
        <v>393</v>
      </c>
      <c r="AQ108" s="236" t="s">
        <v>2095</v>
      </c>
      <c r="AR108" s="236" t="s">
        <v>393</v>
      </c>
      <c r="AS108" s="237">
        <v>43859</v>
      </c>
      <c r="AT108" s="245" t="s">
        <v>7376</v>
      </c>
      <c r="AU108" s="241" t="s">
        <v>393</v>
      </c>
      <c r="AV108" s="241" t="s">
        <v>393</v>
      </c>
      <c r="AW108" s="241" t="s">
        <v>600</v>
      </c>
      <c r="AX108" s="241">
        <v>2</v>
      </c>
      <c r="AY108" s="241" t="s">
        <v>1125</v>
      </c>
      <c r="AZ108" s="241" t="s">
        <v>393</v>
      </c>
      <c r="BA108" s="242">
        <v>43523</v>
      </c>
      <c r="BB108" s="244" t="s">
        <v>7377</v>
      </c>
      <c r="BC108" s="236" t="s">
        <v>393</v>
      </c>
      <c r="BD108" s="236" t="s">
        <v>393</v>
      </c>
      <c r="BE108" s="236" t="s">
        <v>600</v>
      </c>
      <c r="BF108" s="236">
        <v>2</v>
      </c>
      <c r="BG108" s="236" t="s">
        <v>1126</v>
      </c>
      <c r="BH108" s="236" t="s">
        <v>393</v>
      </c>
      <c r="BI108" s="237">
        <v>43523</v>
      </c>
      <c r="BJ108" s="245" t="s">
        <v>7378</v>
      </c>
      <c r="BK108" s="245">
        <v>37</v>
      </c>
      <c r="BL108" s="245" t="s">
        <v>3724</v>
      </c>
      <c r="BM108" s="245" t="s">
        <v>599</v>
      </c>
      <c r="BN108" s="245">
        <v>3</v>
      </c>
      <c r="BO108" s="245" t="s">
        <v>3764</v>
      </c>
      <c r="BP108" s="241" t="s">
        <v>1718</v>
      </c>
      <c r="BQ108" s="246">
        <v>44132</v>
      </c>
      <c r="BR108" s="244" t="s">
        <v>7379</v>
      </c>
      <c r="BS108" s="247" t="s">
        <v>393</v>
      </c>
      <c r="BT108" s="247" t="s">
        <v>393</v>
      </c>
      <c r="BU108" s="247" t="s">
        <v>600</v>
      </c>
      <c r="BV108" s="247">
        <v>2</v>
      </c>
      <c r="BW108" s="247" t="s">
        <v>1127</v>
      </c>
      <c r="BX108" s="247" t="s">
        <v>393</v>
      </c>
      <c r="BY108" s="237">
        <v>43523</v>
      </c>
      <c r="BZ108" s="245" t="s">
        <v>7380</v>
      </c>
      <c r="CA108" s="245" t="s">
        <v>393</v>
      </c>
      <c r="CB108" s="245" t="s">
        <v>393</v>
      </c>
      <c r="CC108" s="245" t="s">
        <v>393</v>
      </c>
      <c r="CD108" s="245" t="s">
        <v>393</v>
      </c>
      <c r="CE108" s="245" t="s">
        <v>1128</v>
      </c>
      <c r="CF108" s="245" t="s">
        <v>393</v>
      </c>
      <c r="CG108" s="246">
        <v>43523</v>
      </c>
      <c r="CH108" s="244" t="s">
        <v>7381</v>
      </c>
      <c r="CI108" s="245" t="e">
        <v>#N/A</v>
      </c>
      <c r="CJ108" s="245" t="e">
        <v>#N/A</v>
      </c>
      <c r="CK108" s="245" t="e">
        <v>#N/A</v>
      </c>
      <c r="CL108" s="245" t="e">
        <v>#N/A</v>
      </c>
      <c r="CM108" s="245" t="e">
        <v>#N/A</v>
      </c>
      <c r="CN108" s="245" t="e">
        <v>#N/A</v>
      </c>
      <c r="CO108" s="248" t="e">
        <v>#N/A</v>
      </c>
      <c r="CP108" s="245" t="s">
        <v>7382</v>
      </c>
      <c r="CQ108" s="247" t="s">
        <v>393</v>
      </c>
      <c r="CR108" s="247" t="s">
        <v>393</v>
      </c>
      <c r="CS108" s="247" t="s">
        <v>600</v>
      </c>
      <c r="CT108" s="247">
        <v>2</v>
      </c>
      <c r="CU108" s="247" t="s">
        <v>1129</v>
      </c>
      <c r="CV108" s="247" t="s">
        <v>393</v>
      </c>
      <c r="CW108" s="237">
        <v>43523</v>
      </c>
      <c r="CX108" s="245" t="s">
        <v>7383</v>
      </c>
      <c r="CY108" s="241" t="s">
        <v>393</v>
      </c>
      <c r="CZ108" s="241" t="s">
        <v>393</v>
      </c>
      <c r="DA108" s="241" t="s">
        <v>599</v>
      </c>
      <c r="DB108" s="241">
        <v>3</v>
      </c>
      <c r="DC108" s="241" t="s">
        <v>1650</v>
      </c>
      <c r="DD108" s="241" t="s">
        <v>393</v>
      </c>
      <c r="DE108" s="243">
        <v>43523</v>
      </c>
      <c r="DF108" s="244" t="s">
        <v>7384</v>
      </c>
      <c r="DG108" s="236" t="s">
        <v>393</v>
      </c>
      <c r="DH108" s="247" t="s">
        <v>393</v>
      </c>
      <c r="DI108" s="247" t="s">
        <v>599</v>
      </c>
      <c r="DJ108" s="247">
        <v>3</v>
      </c>
      <c r="DK108" s="247" t="s">
        <v>393</v>
      </c>
      <c r="DL108" s="247" t="s">
        <v>393</v>
      </c>
      <c r="DM108" s="237">
        <v>43796</v>
      </c>
      <c r="DN108" s="245" t="s">
        <v>7385</v>
      </c>
      <c r="DO108" s="241" t="s">
        <v>393</v>
      </c>
      <c r="DP108" s="245" t="s">
        <v>393</v>
      </c>
      <c r="DQ108" s="245" t="s">
        <v>599</v>
      </c>
      <c r="DR108" s="245">
        <v>3</v>
      </c>
      <c r="DS108" s="245" t="s">
        <v>1650</v>
      </c>
      <c r="DT108" s="245" t="s">
        <v>393</v>
      </c>
      <c r="DU108" s="246">
        <v>43523</v>
      </c>
      <c r="DV108" s="244" t="s">
        <v>7386</v>
      </c>
      <c r="DW108" s="236" t="s">
        <v>393</v>
      </c>
      <c r="DX108" s="247" t="s">
        <v>393</v>
      </c>
      <c r="DY108" s="247" t="s">
        <v>599</v>
      </c>
      <c r="DZ108" s="247">
        <v>3</v>
      </c>
      <c r="EA108" s="247" t="s">
        <v>1650</v>
      </c>
      <c r="EB108" s="247" t="s">
        <v>393</v>
      </c>
      <c r="EC108" s="237">
        <v>43523</v>
      </c>
      <c r="ED108" s="245" t="s">
        <v>7387</v>
      </c>
      <c r="EE108" s="241" t="s">
        <v>393</v>
      </c>
      <c r="EF108" s="245" t="s">
        <v>393</v>
      </c>
      <c r="EG108" s="245" t="s">
        <v>599</v>
      </c>
      <c r="EH108" s="245">
        <v>3</v>
      </c>
      <c r="EI108" s="245" t="s">
        <v>1650</v>
      </c>
      <c r="EJ108" s="245" t="s">
        <v>393</v>
      </c>
      <c r="EK108" s="246">
        <v>43523</v>
      </c>
      <c r="EL108" s="244" t="s">
        <v>7388</v>
      </c>
      <c r="EM108" s="236" t="s">
        <v>393</v>
      </c>
      <c r="EN108" s="247" t="s">
        <v>393</v>
      </c>
      <c r="EO108" s="247" t="s">
        <v>599</v>
      </c>
      <c r="EP108" s="247">
        <v>3</v>
      </c>
      <c r="EQ108" s="247" t="s">
        <v>1846</v>
      </c>
      <c r="ER108" s="247" t="s">
        <v>393</v>
      </c>
      <c r="ES108" s="237">
        <v>43523</v>
      </c>
      <c r="ET108" s="245" t="s">
        <v>7389</v>
      </c>
      <c r="EU108" s="245">
        <v>800</v>
      </c>
      <c r="EV108" s="245" t="s">
        <v>3761</v>
      </c>
      <c r="EW108" s="245" t="s">
        <v>599</v>
      </c>
      <c r="EX108" s="245">
        <v>3</v>
      </c>
      <c r="EY108" s="245" t="s">
        <v>3762</v>
      </c>
      <c r="EZ108" s="245" t="s">
        <v>3532</v>
      </c>
      <c r="FA108" s="246">
        <v>44132</v>
      </c>
      <c r="FB108" s="244" t="s">
        <v>7390</v>
      </c>
      <c r="FC108" s="247">
        <v>3</v>
      </c>
      <c r="FD108" s="247" t="s">
        <v>833</v>
      </c>
      <c r="FE108" s="247" t="s">
        <v>600</v>
      </c>
      <c r="FF108" s="247">
        <v>2</v>
      </c>
      <c r="FG108" s="247" t="s">
        <v>1130</v>
      </c>
      <c r="FH108" s="247" t="s">
        <v>1123</v>
      </c>
      <c r="FI108" s="237">
        <v>43523</v>
      </c>
      <c r="FJ108" s="244" t="s">
        <v>7391</v>
      </c>
      <c r="FK108" s="245" t="s">
        <v>393</v>
      </c>
      <c r="FL108" s="245" t="s">
        <v>1217</v>
      </c>
      <c r="FM108" s="245" t="s">
        <v>393</v>
      </c>
      <c r="FN108" s="245" t="s">
        <v>393</v>
      </c>
      <c r="FO108" s="245" t="s">
        <v>1315</v>
      </c>
      <c r="FP108" s="241" t="s">
        <v>1314</v>
      </c>
      <c r="FQ108" s="242">
        <v>43578</v>
      </c>
      <c r="FR108" s="244" t="s">
        <v>7392</v>
      </c>
      <c r="FS108" s="247" t="s">
        <v>393</v>
      </c>
      <c r="FT108" s="247" t="s">
        <v>750</v>
      </c>
      <c r="FU108" s="247" t="s">
        <v>393</v>
      </c>
      <c r="FV108" s="247" t="s">
        <v>393</v>
      </c>
      <c r="FW108" s="247" t="s">
        <v>1315</v>
      </c>
      <c r="FX108" s="247" t="s">
        <v>1314</v>
      </c>
      <c r="FY108" s="237">
        <v>43578</v>
      </c>
      <c r="FZ108" s="245" t="s">
        <v>7393</v>
      </c>
      <c r="GA108" s="245">
        <v>2</v>
      </c>
      <c r="GB108" s="245" t="s">
        <v>1587</v>
      </c>
      <c r="GC108" s="245" t="s">
        <v>601</v>
      </c>
      <c r="GD108" s="245">
        <v>1</v>
      </c>
      <c r="GE108" s="245" t="s">
        <v>1623</v>
      </c>
      <c r="GF108" s="245" t="s">
        <v>1624</v>
      </c>
      <c r="GG108" s="246">
        <v>43767</v>
      </c>
      <c r="GH108" s="244" t="s">
        <v>7394</v>
      </c>
      <c r="GI108" s="247">
        <v>1</v>
      </c>
      <c r="GJ108" s="247" t="s">
        <v>1587</v>
      </c>
      <c r="GK108" s="247" t="s">
        <v>599</v>
      </c>
      <c r="GL108" s="247">
        <v>3</v>
      </c>
      <c r="GM108" s="247" t="s">
        <v>1623</v>
      </c>
      <c r="GN108" s="247" t="s">
        <v>1624</v>
      </c>
      <c r="GO108" s="237">
        <v>43767</v>
      </c>
      <c r="GP108" s="245" t="s">
        <v>7395</v>
      </c>
      <c r="GQ108" s="245">
        <v>1</v>
      </c>
      <c r="GR108" s="245" t="s">
        <v>1587</v>
      </c>
      <c r="GS108" s="245" t="s">
        <v>600</v>
      </c>
      <c r="GT108" s="245">
        <v>2</v>
      </c>
      <c r="GU108" s="245" t="s">
        <v>1623</v>
      </c>
      <c r="GV108" s="245" t="s">
        <v>1624</v>
      </c>
      <c r="GW108" s="246">
        <v>43767</v>
      </c>
      <c r="GX108" s="244" t="s">
        <v>7396</v>
      </c>
      <c r="GY108" s="247">
        <v>0</v>
      </c>
      <c r="GZ108" s="247" t="s">
        <v>1587</v>
      </c>
      <c r="HA108" s="247" t="s">
        <v>599</v>
      </c>
      <c r="HB108" s="247">
        <v>3</v>
      </c>
      <c r="HC108" s="247" t="s">
        <v>1623</v>
      </c>
      <c r="HD108" s="247" t="s">
        <v>1624</v>
      </c>
      <c r="HE108" s="237">
        <v>43767</v>
      </c>
      <c r="HF108" s="245" t="s">
        <v>7397</v>
      </c>
      <c r="HG108" s="245">
        <v>0</v>
      </c>
      <c r="HH108" s="245" t="s">
        <v>1587</v>
      </c>
      <c r="HI108" s="245" t="s">
        <v>599</v>
      </c>
      <c r="HJ108" s="245">
        <v>3</v>
      </c>
      <c r="HK108" s="245" t="s">
        <v>1623</v>
      </c>
      <c r="HL108" s="245" t="s">
        <v>1624</v>
      </c>
      <c r="HM108" s="246">
        <v>43767</v>
      </c>
      <c r="HN108" s="244" t="s">
        <v>7398</v>
      </c>
      <c r="HO108" s="247">
        <v>2</v>
      </c>
      <c r="HP108" s="247" t="s">
        <v>1587</v>
      </c>
      <c r="HQ108" s="247" t="s">
        <v>600</v>
      </c>
      <c r="HR108" s="247">
        <v>2</v>
      </c>
      <c r="HS108" s="247" t="s">
        <v>1623</v>
      </c>
      <c r="HT108" s="247" t="s">
        <v>1624</v>
      </c>
      <c r="HU108" s="237">
        <v>43767</v>
      </c>
      <c r="HV108" s="245" t="s">
        <v>7399</v>
      </c>
      <c r="HW108" s="245">
        <v>1</v>
      </c>
      <c r="HX108" s="245" t="s">
        <v>1587</v>
      </c>
      <c r="HY108" s="245" t="s">
        <v>599</v>
      </c>
      <c r="HZ108" s="245">
        <v>3</v>
      </c>
      <c r="IA108" s="245" t="s">
        <v>1623</v>
      </c>
      <c r="IB108" s="245" t="s">
        <v>1624</v>
      </c>
      <c r="IC108" s="246">
        <v>43767</v>
      </c>
      <c r="ID108" s="244" t="s">
        <v>7400</v>
      </c>
      <c r="IE108" s="247">
        <v>1</v>
      </c>
      <c r="IF108" s="247" t="s">
        <v>1587</v>
      </c>
      <c r="IG108" s="247" t="s">
        <v>599</v>
      </c>
      <c r="IH108" s="247">
        <v>3</v>
      </c>
      <c r="II108" s="247" t="s">
        <v>1623</v>
      </c>
      <c r="IJ108" s="247" t="s">
        <v>1624</v>
      </c>
      <c r="IK108" s="237">
        <v>43767</v>
      </c>
      <c r="IL108" s="245" t="s">
        <v>7401</v>
      </c>
      <c r="IM108" s="245">
        <v>2</v>
      </c>
      <c r="IN108" s="245" t="s">
        <v>1587</v>
      </c>
      <c r="IO108" s="245" t="s">
        <v>600</v>
      </c>
      <c r="IP108" s="245">
        <v>2</v>
      </c>
      <c r="IQ108" s="245" t="s">
        <v>1623</v>
      </c>
      <c r="IR108" s="245" t="s">
        <v>1624</v>
      </c>
      <c r="IS108" s="246">
        <v>43767</v>
      </c>
    </row>
    <row r="109" spans="1:253" s="11" customFormat="1" ht="13.2" x14ac:dyDescent="0.25">
      <c r="A109" s="11" t="s">
        <v>765</v>
      </c>
      <c r="B109" s="11" t="s">
        <v>650</v>
      </c>
      <c r="C109" s="11" t="s">
        <v>658</v>
      </c>
      <c r="D109" s="11" t="s">
        <v>372</v>
      </c>
      <c r="E109" s="11" t="s">
        <v>237</v>
      </c>
      <c r="F109" s="11" t="s">
        <v>7402</v>
      </c>
      <c r="G109" s="235">
        <v>5200000</v>
      </c>
      <c r="H109" s="236" t="s">
        <v>2882</v>
      </c>
      <c r="I109" s="236" t="s">
        <v>600</v>
      </c>
      <c r="J109" s="236">
        <v>2</v>
      </c>
      <c r="K109" s="236" t="s">
        <v>2885</v>
      </c>
      <c r="L109" s="236" t="s">
        <v>2884</v>
      </c>
      <c r="M109" s="237">
        <v>44069</v>
      </c>
      <c r="N109" s="244" t="s">
        <v>7403</v>
      </c>
      <c r="O109" s="239">
        <v>6020</v>
      </c>
      <c r="P109" s="239" t="s">
        <v>1551</v>
      </c>
      <c r="Q109" s="239" t="s">
        <v>600</v>
      </c>
      <c r="R109" s="239">
        <v>2</v>
      </c>
      <c r="S109" s="239" t="s">
        <v>3441</v>
      </c>
      <c r="T109" s="239" t="s">
        <v>3440</v>
      </c>
      <c r="U109" s="240">
        <v>44103</v>
      </c>
      <c r="V109" s="244" t="s">
        <v>7404</v>
      </c>
      <c r="W109" s="236">
        <v>5200000</v>
      </c>
      <c r="X109" s="236" t="s">
        <v>2882</v>
      </c>
      <c r="Y109" s="236" t="s">
        <v>600</v>
      </c>
      <c r="Z109" s="236">
        <v>2</v>
      </c>
      <c r="AA109" s="236" t="s">
        <v>2886</v>
      </c>
      <c r="AB109" s="236" t="s">
        <v>2884</v>
      </c>
      <c r="AC109" s="237">
        <v>44111</v>
      </c>
      <c r="AD109" s="244" t="s">
        <v>7405</v>
      </c>
      <c r="AE109" s="241">
        <v>5200000</v>
      </c>
      <c r="AF109" s="241" t="s">
        <v>2882</v>
      </c>
      <c r="AG109" s="241" t="s">
        <v>600</v>
      </c>
      <c r="AH109" s="241">
        <v>2</v>
      </c>
      <c r="AI109" s="241" t="s">
        <v>2886</v>
      </c>
      <c r="AJ109" s="241" t="s">
        <v>2884</v>
      </c>
      <c r="AK109" s="242">
        <v>44069</v>
      </c>
      <c r="AL109" s="244" t="s">
        <v>7406</v>
      </c>
      <c r="AM109" s="236">
        <v>6365000</v>
      </c>
      <c r="AN109" s="236" t="s">
        <v>3824</v>
      </c>
      <c r="AO109" s="236" t="s">
        <v>600</v>
      </c>
      <c r="AP109" s="236">
        <v>2</v>
      </c>
      <c r="AQ109" s="236" t="s">
        <v>3847</v>
      </c>
      <c r="AR109" s="236" t="s">
        <v>3844</v>
      </c>
      <c r="AS109" s="237">
        <v>44130</v>
      </c>
      <c r="AT109" s="245" t="s">
        <v>7407</v>
      </c>
      <c r="AU109" s="241">
        <v>719</v>
      </c>
      <c r="AV109" s="241" t="s">
        <v>3282</v>
      </c>
      <c r="AW109" s="241" t="s">
        <v>599</v>
      </c>
      <c r="AX109" s="241">
        <v>3</v>
      </c>
      <c r="AY109" s="241" t="s">
        <v>3415</v>
      </c>
      <c r="AZ109" s="241" t="s">
        <v>1416</v>
      </c>
      <c r="BA109" s="242">
        <v>44102</v>
      </c>
      <c r="BB109" s="244" t="s">
        <v>7408</v>
      </c>
      <c r="BC109" s="236" t="s">
        <v>393</v>
      </c>
      <c r="BD109" s="236">
        <v>0</v>
      </c>
      <c r="BE109" s="236" t="s">
        <v>393</v>
      </c>
      <c r="BF109" s="236" t="s">
        <v>393</v>
      </c>
      <c r="BG109" s="236" t="s">
        <v>817</v>
      </c>
      <c r="BH109" s="236">
        <v>0</v>
      </c>
      <c r="BI109" s="237">
        <v>43503</v>
      </c>
      <c r="BJ109" s="245" t="s">
        <v>7409</v>
      </c>
      <c r="BK109" s="245">
        <v>9</v>
      </c>
      <c r="BL109" s="245" t="s">
        <v>3825</v>
      </c>
      <c r="BM109" s="245" t="s">
        <v>600</v>
      </c>
      <c r="BN109" s="245">
        <v>2</v>
      </c>
      <c r="BO109" s="245" t="s">
        <v>3848</v>
      </c>
      <c r="BP109" s="241" t="s">
        <v>1416</v>
      </c>
      <c r="BQ109" s="246">
        <v>44130</v>
      </c>
      <c r="BR109" s="244" t="s">
        <v>7410</v>
      </c>
      <c r="BS109" s="247">
        <v>160000</v>
      </c>
      <c r="BT109" s="247" t="s">
        <v>815</v>
      </c>
      <c r="BU109" s="247" t="s">
        <v>600</v>
      </c>
      <c r="BV109" s="247">
        <v>2</v>
      </c>
      <c r="BW109" s="247" t="s">
        <v>819</v>
      </c>
      <c r="BX109" s="247" t="s">
        <v>818</v>
      </c>
      <c r="BY109" s="237">
        <v>43503</v>
      </c>
      <c r="BZ109" s="245" t="s">
        <v>7411</v>
      </c>
      <c r="CA109" s="245">
        <v>11422</v>
      </c>
      <c r="CB109" s="245" t="s">
        <v>815</v>
      </c>
      <c r="CC109" s="245" t="s">
        <v>600</v>
      </c>
      <c r="CD109" s="245">
        <v>2</v>
      </c>
      <c r="CE109" s="245" t="s">
        <v>820</v>
      </c>
      <c r="CF109" s="245" t="s">
        <v>816</v>
      </c>
      <c r="CG109" s="246">
        <v>43503</v>
      </c>
      <c r="CH109" s="244" t="s">
        <v>7412</v>
      </c>
      <c r="CI109" s="245" t="e">
        <v>#N/A</v>
      </c>
      <c r="CJ109" s="245" t="e">
        <v>#N/A</v>
      </c>
      <c r="CK109" s="245" t="e">
        <v>#N/A</v>
      </c>
      <c r="CL109" s="245" t="e">
        <v>#N/A</v>
      </c>
      <c r="CM109" s="245" t="e">
        <v>#N/A</v>
      </c>
      <c r="CN109" s="245" t="e">
        <v>#N/A</v>
      </c>
      <c r="CO109" s="248" t="e">
        <v>#N/A</v>
      </c>
      <c r="CP109" s="245" t="s">
        <v>7413</v>
      </c>
      <c r="CQ109" s="247" t="s">
        <v>393</v>
      </c>
      <c r="CR109" s="247" t="s">
        <v>1890</v>
      </c>
      <c r="CS109" s="247" t="s">
        <v>393</v>
      </c>
      <c r="CT109" s="247" t="s">
        <v>393</v>
      </c>
      <c r="CU109" s="247" t="s">
        <v>1897</v>
      </c>
      <c r="CV109" s="247" t="s">
        <v>1892</v>
      </c>
      <c r="CW109" s="237">
        <v>43816</v>
      </c>
      <c r="CX109" s="245" t="s">
        <v>7414</v>
      </c>
      <c r="CY109" s="241">
        <v>2200000</v>
      </c>
      <c r="CZ109" s="241" t="s">
        <v>2883</v>
      </c>
      <c r="DA109" s="241" t="s">
        <v>600</v>
      </c>
      <c r="DB109" s="241">
        <v>2</v>
      </c>
      <c r="DC109" s="241" t="s">
        <v>2887</v>
      </c>
      <c r="DD109" s="241" t="s">
        <v>2884</v>
      </c>
      <c r="DE109" s="243">
        <v>44069</v>
      </c>
      <c r="DF109" s="244" t="s">
        <v>7415</v>
      </c>
      <c r="DG109" s="236">
        <v>0</v>
      </c>
      <c r="DH109" s="247" t="s">
        <v>2883</v>
      </c>
      <c r="DI109" s="247" t="s">
        <v>600</v>
      </c>
      <c r="DJ109" s="247">
        <v>2</v>
      </c>
      <c r="DK109" s="247" t="s">
        <v>2887</v>
      </c>
      <c r="DL109" s="247" t="s">
        <v>2884</v>
      </c>
      <c r="DM109" s="237">
        <v>44069</v>
      </c>
      <c r="DN109" s="245" t="s">
        <v>7416</v>
      </c>
      <c r="DO109" s="241">
        <v>3000000</v>
      </c>
      <c r="DP109" s="245" t="s">
        <v>2883</v>
      </c>
      <c r="DQ109" s="245" t="s">
        <v>600</v>
      </c>
      <c r="DR109" s="245">
        <v>2</v>
      </c>
      <c r="DS109" s="245" t="s">
        <v>2887</v>
      </c>
      <c r="DT109" s="245" t="s">
        <v>2884</v>
      </c>
      <c r="DU109" s="246">
        <v>44069</v>
      </c>
      <c r="DV109" s="244" t="s">
        <v>7417</v>
      </c>
      <c r="DW109" s="236">
        <v>396000</v>
      </c>
      <c r="DX109" s="247" t="s">
        <v>2883</v>
      </c>
      <c r="DY109" s="247" t="s">
        <v>600</v>
      </c>
      <c r="DZ109" s="247">
        <v>2</v>
      </c>
      <c r="EA109" s="247" t="s">
        <v>2887</v>
      </c>
      <c r="EB109" s="247" t="s">
        <v>2884</v>
      </c>
      <c r="EC109" s="237">
        <v>44069</v>
      </c>
      <c r="ED109" s="245" t="s">
        <v>7418</v>
      </c>
      <c r="EE109" s="241">
        <v>858000</v>
      </c>
      <c r="EF109" s="245" t="s">
        <v>2883</v>
      </c>
      <c r="EG109" s="245" t="s">
        <v>600</v>
      </c>
      <c r="EH109" s="245">
        <v>2</v>
      </c>
      <c r="EI109" s="245" t="s">
        <v>2887</v>
      </c>
      <c r="EJ109" s="245" t="s">
        <v>2884</v>
      </c>
      <c r="EK109" s="246">
        <v>44069</v>
      </c>
      <c r="EL109" s="244" t="s">
        <v>7419</v>
      </c>
      <c r="EM109" s="236">
        <v>946000</v>
      </c>
      <c r="EN109" s="247" t="s">
        <v>2883</v>
      </c>
      <c r="EO109" s="247" t="s">
        <v>600</v>
      </c>
      <c r="EP109" s="247">
        <v>2</v>
      </c>
      <c r="EQ109" s="247" t="s">
        <v>2887</v>
      </c>
      <c r="ER109" s="247" t="s">
        <v>2884</v>
      </c>
      <c r="ES109" s="237">
        <v>44069</v>
      </c>
      <c r="ET109" s="245" t="s">
        <v>7420</v>
      </c>
      <c r="EU109" s="245">
        <v>9</v>
      </c>
      <c r="EV109" s="245" t="s">
        <v>3825</v>
      </c>
      <c r="EW109" s="245" t="s">
        <v>600</v>
      </c>
      <c r="EX109" s="245">
        <v>2</v>
      </c>
      <c r="EY109" s="245" t="s">
        <v>3848</v>
      </c>
      <c r="EZ109" s="245" t="s">
        <v>1416</v>
      </c>
      <c r="FA109" s="246">
        <v>44130</v>
      </c>
      <c r="FB109" s="244" t="s">
        <v>7421</v>
      </c>
      <c r="FC109" s="247">
        <v>4</v>
      </c>
      <c r="FD109" s="247">
        <v>0</v>
      </c>
      <c r="FE109" s="247" t="s">
        <v>600</v>
      </c>
      <c r="FF109" s="247">
        <v>2</v>
      </c>
      <c r="FG109" s="247" t="s">
        <v>821</v>
      </c>
      <c r="FH109" s="247">
        <v>0</v>
      </c>
      <c r="FI109" s="237">
        <v>43503</v>
      </c>
      <c r="FJ109" s="244" t="s">
        <v>7422</v>
      </c>
      <c r="FK109" s="245" t="s">
        <v>393</v>
      </c>
      <c r="FL109" s="245">
        <v>0</v>
      </c>
      <c r="FM109" s="245" t="s">
        <v>393</v>
      </c>
      <c r="FN109" s="245" t="s">
        <v>393</v>
      </c>
      <c r="FO109" s="245">
        <v>0</v>
      </c>
      <c r="FP109" s="241">
        <v>0</v>
      </c>
      <c r="FQ109" s="242">
        <v>43503</v>
      </c>
      <c r="FR109" s="244" t="s">
        <v>7423</v>
      </c>
      <c r="FS109" s="247">
        <v>4950000</v>
      </c>
      <c r="FT109" s="247" t="s">
        <v>1303</v>
      </c>
      <c r="FU109" s="247" t="s">
        <v>600</v>
      </c>
      <c r="FV109" s="247">
        <v>2</v>
      </c>
      <c r="FW109" s="247" t="s">
        <v>1305</v>
      </c>
      <c r="FX109" s="247" t="s">
        <v>1304</v>
      </c>
      <c r="FY109" s="237">
        <v>43585</v>
      </c>
      <c r="FZ109" s="245" t="s">
        <v>7424</v>
      </c>
      <c r="GA109" s="245">
        <v>2</v>
      </c>
      <c r="GB109" s="245" t="s">
        <v>1587</v>
      </c>
      <c r="GC109" s="245" t="s">
        <v>600</v>
      </c>
      <c r="GD109" s="245">
        <v>2</v>
      </c>
      <c r="GE109" s="245" t="s">
        <v>1623</v>
      </c>
      <c r="GF109" s="245" t="s">
        <v>1624</v>
      </c>
      <c r="GG109" s="246">
        <v>43770</v>
      </c>
      <c r="GH109" s="244" t="s">
        <v>7425</v>
      </c>
      <c r="GI109" s="247">
        <v>3</v>
      </c>
      <c r="GJ109" s="247" t="s">
        <v>1587</v>
      </c>
      <c r="GK109" s="247" t="s">
        <v>600</v>
      </c>
      <c r="GL109" s="247">
        <v>2</v>
      </c>
      <c r="GM109" s="247" t="s">
        <v>1623</v>
      </c>
      <c r="GN109" s="247" t="s">
        <v>1624</v>
      </c>
      <c r="GO109" s="237">
        <v>43770</v>
      </c>
      <c r="GP109" s="245" t="s">
        <v>7426</v>
      </c>
      <c r="GQ109" s="245">
        <v>3</v>
      </c>
      <c r="GR109" s="245" t="s">
        <v>1587</v>
      </c>
      <c r="GS109" s="245" t="s">
        <v>600</v>
      </c>
      <c r="GT109" s="245">
        <v>2</v>
      </c>
      <c r="GU109" s="245" t="s">
        <v>1623</v>
      </c>
      <c r="GV109" s="245" t="s">
        <v>1624</v>
      </c>
      <c r="GW109" s="246">
        <v>43770</v>
      </c>
      <c r="GX109" s="244" t="s">
        <v>7427</v>
      </c>
      <c r="GY109" s="247">
        <v>1</v>
      </c>
      <c r="GZ109" s="247" t="s">
        <v>1587</v>
      </c>
      <c r="HA109" s="247" t="s">
        <v>600</v>
      </c>
      <c r="HB109" s="247">
        <v>2</v>
      </c>
      <c r="HC109" s="247" t="s">
        <v>1623</v>
      </c>
      <c r="HD109" s="247" t="s">
        <v>1624</v>
      </c>
      <c r="HE109" s="237">
        <v>43770</v>
      </c>
      <c r="HF109" s="245" t="s">
        <v>7428</v>
      </c>
      <c r="HG109" s="245">
        <v>2</v>
      </c>
      <c r="HH109" s="245" t="s">
        <v>1587</v>
      </c>
      <c r="HI109" s="245" t="s">
        <v>600</v>
      </c>
      <c r="HJ109" s="245">
        <v>2</v>
      </c>
      <c r="HK109" s="245" t="s">
        <v>1623</v>
      </c>
      <c r="HL109" s="245" t="s">
        <v>1624</v>
      </c>
      <c r="HM109" s="246">
        <v>43770</v>
      </c>
      <c r="HN109" s="244" t="s">
        <v>7429</v>
      </c>
      <c r="HO109" s="247">
        <v>3</v>
      </c>
      <c r="HP109" s="247" t="s">
        <v>1587</v>
      </c>
      <c r="HQ109" s="247" t="s">
        <v>600</v>
      </c>
      <c r="HR109" s="247">
        <v>2</v>
      </c>
      <c r="HS109" s="247" t="s">
        <v>1623</v>
      </c>
      <c r="HT109" s="247" t="s">
        <v>1624</v>
      </c>
      <c r="HU109" s="237">
        <v>43770</v>
      </c>
      <c r="HV109" s="245" t="s">
        <v>7430</v>
      </c>
      <c r="HW109" s="245">
        <v>3</v>
      </c>
      <c r="HX109" s="245" t="s">
        <v>1587</v>
      </c>
      <c r="HY109" s="245" t="s">
        <v>600</v>
      </c>
      <c r="HZ109" s="245">
        <v>2</v>
      </c>
      <c r="IA109" s="245" t="s">
        <v>1623</v>
      </c>
      <c r="IB109" s="245" t="s">
        <v>1624</v>
      </c>
      <c r="IC109" s="246">
        <v>43770</v>
      </c>
      <c r="ID109" s="244" t="s">
        <v>7431</v>
      </c>
      <c r="IE109" s="247">
        <v>1</v>
      </c>
      <c r="IF109" s="247" t="s">
        <v>1587</v>
      </c>
      <c r="IG109" s="247" t="s">
        <v>600</v>
      </c>
      <c r="IH109" s="247">
        <v>2</v>
      </c>
      <c r="II109" s="247" t="s">
        <v>1623</v>
      </c>
      <c r="IJ109" s="247" t="s">
        <v>1624</v>
      </c>
      <c r="IK109" s="237">
        <v>43770</v>
      </c>
      <c r="IL109" s="245" t="s">
        <v>7432</v>
      </c>
      <c r="IM109" s="245">
        <v>2</v>
      </c>
      <c r="IN109" s="245" t="s">
        <v>1587</v>
      </c>
      <c r="IO109" s="245" t="s">
        <v>600</v>
      </c>
      <c r="IP109" s="245">
        <v>2</v>
      </c>
      <c r="IQ109" s="245" t="s">
        <v>1623</v>
      </c>
      <c r="IR109" s="245" t="s">
        <v>1624</v>
      </c>
      <c r="IS109" s="246">
        <v>43770</v>
      </c>
    </row>
    <row r="110" spans="1:253" s="11" customFormat="1" ht="13.2" x14ac:dyDescent="0.25">
      <c r="A110" s="11" t="s">
        <v>771</v>
      </c>
      <c r="B110" s="11" t="s">
        <v>1280</v>
      </c>
      <c r="C110" s="11" t="s">
        <v>668</v>
      </c>
      <c r="D110" s="11" t="s">
        <v>251</v>
      </c>
      <c r="E110" s="11" t="s">
        <v>250</v>
      </c>
      <c r="F110" s="11" t="s">
        <v>7433</v>
      </c>
      <c r="G110" s="235">
        <v>31989000</v>
      </c>
      <c r="H110" s="236" t="s">
        <v>1983</v>
      </c>
      <c r="I110" s="236" t="s">
        <v>600</v>
      </c>
      <c r="J110" s="236">
        <v>2</v>
      </c>
      <c r="K110" s="236" t="s">
        <v>1998</v>
      </c>
      <c r="L110" s="236" t="s">
        <v>1997</v>
      </c>
      <c r="M110" s="237">
        <v>43867</v>
      </c>
      <c r="N110" s="244" t="s">
        <v>7434</v>
      </c>
      <c r="O110" s="239">
        <v>178440</v>
      </c>
      <c r="P110" s="239" t="s">
        <v>1984</v>
      </c>
      <c r="Q110" s="239" t="s">
        <v>600</v>
      </c>
      <c r="R110" s="239">
        <v>2</v>
      </c>
      <c r="S110" s="239" t="s">
        <v>2000</v>
      </c>
      <c r="T110" s="239" t="s">
        <v>1999</v>
      </c>
      <c r="U110" s="240">
        <v>43867</v>
      </c>
      <c r="V110" s="244" t="s">
        <v>7435</v>
      </c>
      <c r="W110" s="236">
        <v>16328000</v>
      </c>
      <c r="X110" s="236" t="s">
        <v>942</v>
      </c>
      <c r="Y110" s="236" t="s">
        <v>600</v>
      </c>
      <c r="Z110" s="236">
        <v>2</v>
      </c>
      <c r="AA110" s="236" t="s">
        <v>2001</v>
      </c>
      <c r="AB110" s="236" t="s">
        <v>943</v>
      </c>
      <c r="AC110" s="237">
        <v>43867</v>
      </c>
      <c r="AD110" s="244" t="s">
        <v>7436</v>
      </c>
      <c r="AE110" s="241">
        <v>1098000</v>
      </c>
      <c r="AF110" s="241" t="s">
        <v>3343</v>
      </c>
      <c r="AG110" s="241" t="s">
        <v>600</v>
      </c>
      <c r="AH110" s="241">
        <v>2</v>
      </c>
      <c r="AI110" s="241" t="s">
        <v>3566</v>
      </c>
      <c r="AJ110" s="241" t="s">
        <v>3565</v>
      </c>
      <c r="AK110" s="242">
        <v>44110</v>
      </c>
      <c r="AL110" s="244" t="s">
        <v>7437</v>
      </c>
      <c r="AM110" s="236">
        <v>830000</v>
      </c>
      <c r="AN110" s="236" t="s">
        <v>3344</v>
      </c>
      <c r="AO110" s="236" t="s">
        <v>600</v>
      </c>
      <c r="AP110" s="236">
        <v>2</v>
      </c>
      <c r="AQ110" s="236" t="s">
        <v>3567</v>
      </c>
      <c r="AR110" s="236" t="s">
        <v>1730</v>
      </c>
      <c r="AS110" s="237">
        <v>44110</v>
      </c>
      <c r="AT110" s="245" t="s">
        <v>7438</v>
      </c>
      <c r="AU110" s="241" t="s">
        <v>393</v>
      </c>
      <c r="AV110" s="241">
        <v>0</v>
      </c>
      <c r="AW110" s="241" t="s">
        <v>600</v>
      </c>
      <c r="AX110" s="241">
        <v>2</v>
      </c>
      <c r="AY110" s="241" t="s">
        <v>945</v>
      </c>
      <c r="AZ110" s="241">
        <v>0</v>
      </c>
      <c r="BA110" s="242">
        <v>43511</v>
      </c>
      <c r="BB110" s="244" t="s">
        <v>7439</v>
      </c>
      <c r="BC110" s="236" t="s">
        <v>393</v>
      </c>
      <c r="BD110" s="236" t="s">
        <v>944</v>
      </c>
      <c r="BE110" s="236" t="s">
        <v>600</v>
      </c>
      <c r="BF110" s="236">
        <v>2</v>
      </c>
      <c r="BG110" s="236" t="s">
        <v>946</v>
      </c>
      <c r="BH110" s="236" t="s">
        <v>947</v>
      </c>
      <c r="BI110" s="237">
        <v>43511</v>
      </c>
      <c r="BJ110" s="245" t="s">
        <v>7440</v>
      </c>
      <c r="BK110" s="245">
        <v>3</v>
      </c>
      <c r="BL110" s="245" t="s">
        <v>3345</v>
      </c>
      <c r="BM110" s="245" t="s">
        <v>599</v>
      </c>
      <c r="BN110" s="245">
        <v>3</v>
      </c>
      <c r="BO110" s="245" t="s">
        <v>3568</v>
      </c>
      <c r="BP110" s="241" t="s">
        <v>2238</v>
      </c>
      <c r="BQ110" s="246">
        <v>44110</v>
      </c>
      <c r="BR110" s="244" t="s">
        <v>7441</v>
      </c>
      <c r="BS110" s="247">
        <v>0</v>
      </c>
      <c r="BT110" s="247">
        <v>0</v>
      </c>
      <c r="BU110" s="247" t="s">
        <v>600</v>
      </c>
      <c r="BV110" s="247">
        <v>2</v>
      </c>
      <c r="BW110" s="247">
        <v>0</v>
      </c>
      <c r="BX110" s="247">
        <v>0</v>
      </c>
      <c r="BY110" s="237">
        <v>43511</v>
      </c>
      <c r="BZ110" s="245" t="s">
        <v>7442</v>
      </c>
      <c r="CA110" s="245">
        <v>0</v>
      </c>
      <c r="CB110" s="245">
        <v>0</v>
      </c>
      <c r="CC110" s="245" t="s">
        <v>600</v>
      </c>
      <c r="CD110" s="245">
        <v>2</v>
      </c>
      <c r="CE110" s="245">
        <v>0</v>
      </c>
      <c r="CF110" s="245">
        <v>0</v>
      </c>
      <c r="CG110" s="246">
        <v>43511</v>
      </c>
      <c r="CH110" s="244" t="s">
        <v>7443</v>
      </c>
      <c r="CI110" s="245" t="e">
        <v>#N/A</v>
      </c>
      <c r="CJ110" s="245" t="e">
        <v>#N/A</v>
      </c>
      <c r="CK110" s="245" t="e">
        <v>#N/A</v>
      </c>
      <c r="CL110" s="245" t="e">
        <v>#N/A</v>
      </c>
      <c r="CM110" s="245" t="e">
        <v>#N/A</v>
      </c>
      <c r="CN110" s="245" t="e">
        <v>#N/A</v>
      </c>
      <c r="CO110" s="248" t="e">
        <v>#N/A</v>
      </c>
      <c r="CP110" s="245" t="s">
        <v>7444</v>
      </c>
      <c r="CQ110" s="247" t="s">
        <v>393</v>
      </c>
      <c r="CR110" s="247">
        <v>0</v>
      </c>
      <c r="CS110" s="247" t="s">
        <v>600</v>
      </c>
      <c r="CT110" s="247">
        <v>2</v>
      </c>
      <c r="CU110" s="247" t="s">
        <v>950</v>
      </c>
      <c r="CV110" s="247">
        <v>0</v>
      </c>
      <c r="CW110" s="237">
        <v>43511</v>
      </c>
      <c r="CX110" s="245" t="s">
        <v>7445</v>
      </c>
      <c r="CY110" s="241">
        <v>885000</v>
      </c>
      <c r="CZ110" s="241" t="s">
        <v>1985</v>
      </c>
      <c r="DA110" s="241" t="s">
        <v>599</v>
      </c>
      <c r="DB110" s="241">
        <v>3</v>
      </c>
      <c r="DC110" s="241" t="s">
        <v>2003</v>
      </c>
      <c r="DD110" s="241" t="s">
        <v>2002</v>
      </c>
      <c r="DE110" s="243">
        <v>43867</v>
      </c>
      <c r="DF110" s="244" t="s">
        <v>7446</v>
      </c>
      <c r="DG110" s="236">
        <v>15443000</v>
      </c>
      <c r="DH110" s="247" t="s">
        <v>1985</v>
      </c>
      <c r="DI110" s="247" t="s">
        <v>599</v>
      </c>
      <c r="DJ110" s="247">
        <v>3</v>
      </c>
      <c r="DK110" s="247" t="s">
        <v>2003</v>
      </c>
      <c r="DL110" s="247" t="s">
        <v>2002</v>
      </c>
      <c r="DM110" s="237">
        <v>43867</v>
      </c>
      <c r="DN110" s="245" t="s">
        <v>7447</v>
      </c>
      <c r="DO110" s="241">
        <v>0</v>
      </c>
      <c r="DP110" s="245" t="s">
        <v>1985</v>
      </c>
      <c r="DQ110" s="245" t="s">
        <v>599</v>
      </c>
      <c r="DR110" s="245">
        <v>3</v>
      </c>
      <c r="DS110" s="245" t="s">
        <v>2003</v>
      </c>
      <c r="DT110" s="245" t="s">
        <v>2002</v>
      </c>
      <c r="DU110" s="246">
        <v>43867</v>
      </c>
      <c r="DV110" s="244" t="s">
        <v>7448</v>
      </c>
      <c r="DW110" s="236">
        <v>885000</v>
      </c>
      <c r="DX110" s="247" t="s">
        <v>1985</v>
      </c>
      <c r="DY110" s="247" t="s">
        <v>599</v>
      </c>
      <c r="DZ110" s="247">
        <v>3</v>
      </c>
      <c r="EA110" s="247" t="s">
        <v>2003</v>
      </c>
      <c r="EB110" s="247" t="s">
        <v>2002</v>
      </c>
      <c r="EC110" s="237">
        <v>43867</v>
      </c>
      <c r="ED110" s="245" t="s">
        <v>7449</v>
      </c>
      <c r="EE110" s="241">
        <v>0</v>
      </c>
      <c r="EF110" s="245" t="s">
        <v>1985</v>
      </c>
      <c r="EG110" s="245" t="s">
        <v>599</v>
      </c>
      <c r="EH110" s="245">
        <v>3</v>
      </c>
      <c r="EI110" s="245" t="s">
        <v>2003</v>
      </c>
      <c r="EJ110" s="245" t="s">
        <v>2002</v>
      </c>
      <c r="EK110" s="246">
        <v>43867</v>
      </c>
      <c r="EL110" s="244" t="s">
        <v>7450</v>
      </c>
      <c r="EM110" s="236">
        <v>0</v>
      </c>
      <c r="EN110" s="247" t="s">
        <v>1985</v>
      </c>
      <c r="EO110" s="247" t="s">
        <v>599</v>
      </c>
      <c r="EP110" s="247">
        <v>3</v>
      </c>
      <c r="EQ110" s="247" t="s">
        <v>2003</v>
      </c>
      <c r="ER110" s="247" t="s">
        <v>2002</v>
      </c>
      <c r="ES110" s="237">
        <v>43867</v>
      </c>
      <c r="ET110" s="245" t="s">
        <v>7451</v>
      </c>
      <c r="EU110" s="245">
        <v>3</v>
      </c>
      <c r="EV110" s="245" t="s">
        <v>3345</v>
      </c>
      <c r="EW110" s="245" t="s">
        <v>599</v>
      </c>
      <c r="EX110" s="245">
        <v>3</v>
      </c>
      <c r="EY110" s="245" t="s">
        <v>3568</v>
      </c>
      <c r="EZ110" s="245" t="s">
        <v>2238</v>
      </c>
      <c r="FA110" s="246">
        <v>44110</v>
      </c>
      <c r="FB110" s="244" t="s">
        <v>7452</v>
      </c>
      <c r="FC110" s="247">
        <v>2</v>
      </c>
      <c r="FD110" s="247">
        <v>0</v>
      </c>
      <c r="FE110" s="247" t="s">
        <v>600</v>
      </c>
      <c r="FF110" s="247">
        <v>2</v>
      </c>
      <c r="FG110" s="247">
        <v>0</v>
      </c>
      <c r="FH110" s="247">
        <v>0</v>
      </c>
      <c r="FI110" s="237">
        <v>43511</v>
      </c>
      <c r="FJ110" s="244" t="s">
        <v>7453</v>
      </c>
      <c r="FK110" s="245">
        <v>0</v>
      </c>
      <c r="FL110" s="245">
        <v>0</v>
      </c>
      <c r="FM110" s="245" t="s">
        <v>600</v>
      </c>
      <c r="FN110" s="245">
        <v>2</v>
      </c>
      <c r="FO110" s="245" t="s">
        <v>948</v>
      </c>
      <c r="FP110" s="241">
        <v>0</v>
      </c>
      <c r="FQ110" s="242">
        <v>43511</v>
      </c>
      <c r="FR110" s="244" t="s">
        <v>7454</v>
      </c>
      <c r="FS110" s="247">
        <v>0</v>
      </c>
      <c r="FT110" s="247">
        <v>0</v>
      </c>
      <c r="FU110" s="247" t="s">
        <v>600</v>
      </c>
      <c r="FV110" s="247">
        <v>2</v>
      </c>
      <c r="FW110" s="247" t="s">
        <v>949</v>
      </c>
      <c r="FX110" s="247">
        <v>0</v>
      </c>
      <c r="FY110" s="237">
        <v>43511</v>
      </c>
      <c r="FZ110" s="245" t="s">
        <v>7455</v>
      </c>
      <c r="GA110" s="245">
        <v>0</v>
      </c>
      <c r="GB110" s="245" t="s">
        <v>1587</v>
      </c>
      <c r="GC110" s="245" t="s">
        <v>600</v>
      </c>
      <c r="GD110" s="245">
        <v>2</v>
      </c>
      <c r="GE110" s="245" t="s">
        <v>1623</v>
      </c>
      <c r="GF110" s="245" t="s">
        <v>1624</v>
      </c>
      <c r="GG110" s="246">
        <v>43770</v>
      </c>
      <c r="GH110" s="244" t="s">
        <v>7456</v>
      </c>
      <c r="GI110" s="247">
        <v>0</v>
      </c>
      <c r="GJ110" s="247" t="s">
        <v>1587</v>
      </c>
      <c r="GK110" s="247" t="s">
        <v>600</v>
      </c>
      <c r="GL110" s="247">
        <v>2</v>
      </c>
      <c r="GM110" s="247" t="s">
        <v>1623</v>
      </c>
      <c r="GN110" s="247" t="s">
        <v>1624</v>
      </c>
      <c r="GO110" s="237">
        <v>43770</v>
      </c>
      <c r="GP110" s="245" t="s">
        <v>7457</v>
      </c>
      <c r="GQ110" s="245">
        <v>0</v>
      </c>
      <c r="GR110" s="245" t="s">
        <v>1587</v>
      </c>
      <c r="GS110" s="245" t="s">
        <v>600</v>
      </c>
      <c r="GT110" s="245">
        <v>2</v>
      </c>
      <c r="GU110" s="245" t="s">
        <v>1623</v>
      </c>
      <c r="GV110" s="245" t="s">
        <v>1624</v>
      </c>
      <c r="GW110" s="246">
        <v>43770</v>
      </c>
      <c r="GX110" s="244" t="s">
        <v>7458</v>
      </c>
      <c r="GY110" s="247">
        <v>0</v>
      </c>
      <c r="GZ110" s="247" t="s">
        <v>1587</v>
      </c>
      <c r="HA110" s="247" t="s">
        <v>600</v>
      </c>
      <c r="HB110" s="247">
        <v>2</v>
      </c>
      <c r="HC110" s="247" t="s">
        <v>1623</v>
      </c>
      <c r="HD110" s="247" t="s">
        <v>1624</v>
      </c>
      <c r="HE110" s="237">
        <v>43770</v>
      </c>
      <c r="HF110" s="245" t="s">
        <v>7459</v>
      </c>
      <c r="HG110" s="245">
        <v>0</v>
      </c>
      <c r="HH110" s="245" t="s">
        <v>1587</v>
      </c>
      <c r="HI110" s="245" t="s">
        <v>600</v>
      </c>
      <c r="HJ110" s="245">
        <v>2</v>
      </c>
      <c r="HK110" s="245" t="s">
        <v>1623</v>
      </c>
      <c r="HL110" s="245" t="s">
        <v>1624</v>
      </c>
      <c r="HM110" s="246">
        <v>43770</v>
      </c>
      <c r="HN110" s="244" t="s">
        <v>7460</v>
      </c>
      <c r="HO110" s="247">
        <v>1</v>
      </c>
      <c r="HP110" s="247" t="s">
        <v>1587</v>
      </c>
      <c r="HQ110" s="247" t="s">
        <v>600</v>
      </c>
      <c r="HR110" s="247">
        <v>2</v>
      </c>
      <c r="HS110" s="247" t="s">
        <v>1623</v>
      </c>
      <c r="HT110" s="247" t="s">
        <v>1624</v>
      </c>
      <c r="HU110" s="237">
        <v>43770</v>
      </c>
      <c r="HV110" s="245" t="s">
        <v>7461</v>
      </c>
      <c r="HW110" s="245">
        <v>0</v>
      </c>
      <c r="HX110" s="245" t="s">
        <v>1587</v>
      </c>
      <c r="HY110" s="245" t="s">
        <v>600</v>
      </c>
      <c r="HZ110" s="245">
        <v>2</v>
      </c>
      <c r="IA110" s="245" t="s">
        <v>1623</v>
      </c>
      <c r="IB110" s="245" t="s">
        <v>1624</v>
      </c>
      <c r="IC110" s="246">
        <v>43770</v>
      </c>
      <c r="ID110" s="244" t="s">
        <v>7462</v>
      </c>
      <c r="IE110" s="247">
        <v>0</v>
      </c>
      <c r="IF110" s="247" t="s">
        <v>1587</v>
      </c>
      <c r="IG110" s="247" t="s">
        <v>600</v>
      </c>
      <c r="IH110" s="247">
        <v>2</v>
      </c>
      <c r="II110" s="247" t="s">
        <v>1623</v>
      </c>
      <c r="IJ110" s="247" t="s">
        <v>1624</v>
      </c>
      <c r="IK110" s="237">
        <v>43770</v>
      </c>
      <c r="IL110" s="245" t="s">
        <v>7463</v>
      </c>
      <c r="IM110" s="245">
        <v>2</v>
      </c>
      <c r="IN110" s="245" t="s">
        <v>1587</v>
      </c>
      <c r="IO110" s="245" t="s">
        <v>600</v>
      </c>
      <c r="IP110" s="245">
        <v>2</v>
      </c>
      <c r="IQ110" s="245" t="s">
        <v>1623</v>
      </c>
      <c r="IR110" s="245" t="s">
        <v>1624</v>
      </c>
      <c r="IS110" s="246">
        <v>43770</v>
      </c>
    </row>
    <row r="111" spans="1:253" s="11" customFormat="1" ht="13.2" x14ac:dyDescent="0.25">
      <c r="A111" s="11" t="s">
        <v>1823</v>
      </c>
      <c r="B111" s="11" t="s">
        <v>3258</v>
      </c>
      <c r="C111" s="11" t="s">
        <v>1923</v>
      </c>
      <c r="D111" s="11" t="s">
        <v>253</v>
      </c>
      <c r="E111" s="11" t="s">
        <v>252</v>
      </c>
      <c r="F111" s="11" t="s">
        <v>7464</v>
      </c>
      <c r="G111" s="235">
        <v>100979000</v>
      </c>
      <c r="H111" s="236" t="s">
        <v>876</v>
      </c>
      <c r="I111" s="236" t="s">
        <v>1364</v>
      </c>
      <c r="J111" s="236">
        <v>2</v>
      </c>
      <c r="K111" s="236" t="s">
        <v>1429</v>
      </c>
      <c r="L111" s="236" t="s">
        <v>1871</v>
      </c>
      <c r="M111" s="237">
        <v>43815</v>
      </c>
      <c r="N111" s="244" t="s">
        <v>7465</v>
      </c>
      <c r="O111" s="239">
        <v>171124</v>
      </c>
      <c r="P111" s="239" t="s">
        <v>2268</v>
      </c>
      <c r="Q111" s="239" t="s">
        <v>601</v>
      </c>
      <c r="R111" s="239">
        <v>1</v>
      </c>
      <c r="S111" s="239" t="s">
        <v>2424</v>
      </c>
      <c r="T111" s="239" t="s">
        <v>1753</v>
      </c>
      <c r="U111" s="240">
        <v>43987</v>
      </c>
      <c r="V111" s="244" t="s">
        <v>7466</v>
      </c>
      <c r="W111" s="236">
        <v>34270000</v>
      </c>
      <c r="X111" s="236" t="s">
        <v>2268</v>
      </c>
      <c r="Y111" s="236" t="s">
        <v>600</v>
      </c>
      <c r="Z111" s="236">
        <v>2</v>
      </c>
      <c r="AA111" s="236" t="s">
        <v>2425</v>
      </c>
      <c r="AB111" s="236" t="s">
        <v>1754</v>
      </c>
      <c r="AC111" s="237">
        <v>44111</v>
      </c>
      <c r="AD111" s="244" t="s">
        <v>7467</v>
      </c>
      <c r="AE111" s="241">
        <v>231000</v>
      </c>
      <c r="AF111" s="241" t="s">
        <v>3298</v>
      </c>
      <c r="AG111" s="241" t="s">
        <v>600</v>
      </c>
      <c r="AH111" s="241">
        <v>2</v>
      </c>
      <c r="AI111" s="241" t="s">
        <v>3467</v>
      </c>
      <c r="AJ111" s="241" t="s">
        <v>3466</v>
      </c>
      <c r="AK111" s="242">
        <v>44106</v>
      </c>
      <c r="AL111" s="244" t="s">
        <v>7468</v>
      </c>
      <c r="AM111" s="236">
        <v>231000</v>
      </c>
      <c r="AN111" s="236" t="s">
        <v>3298</v>
      </c>
      <c r="AO111" s="236" t="s">
        <v>600</v>
      </c>
      <c r="AP111" s="236">
        <v>2</v>
      </c>
      <c r="AQ111" s="236" t="s">
        <v>3468</v>
      </c>
      <c r="AR111" s="236" t="s">
        <v>3466</v>
      </c>
      <c r="AS111" s="237">
        <v>44106</v>
      </c>
      <c r="AT111" s="245" t="s">
        <v>7469</v>
      </c>
      <c r="AU111" s="241" t="s">
        <v>393</v>
      </c>
      <c r="AV111" s="241" t="s">
        <v>393</v>
      </c>
      <c r="AW111" s="241" t="s">
        <v>393</v>
      </c>
      <c r="AX111" s="241" t="s">
        <v>393</v>
      </c>
      <c r="AY111" s="241" t="s">
        <v>1884</v>
      </c>
      <c r="AZ111" s="241" t="s">
        <v>393</v>
      </c>
      <c r="BA111" s="242">
        <v>43815</v>
      </c>
      <c r="BB111" s="244" t="s">
        <v>7470</v>
      </c>
      <c r="BC111" s="236" t="s">
        <v>393</v>
      </c>
      <c r="BD111" s="236" t="s">
        <v>393</v>
      </c>
      <c r="BE111" s="236" t="s">
        <v>393</v>
      </c>
      <c r="BF111" s="236" t="s">
        <v>393</v>
      </c>
      <c r="BG111" s="236" t="s">
        <v>1886</v>
      </c>
      <c r="BH111" s="236" t="s">
        <v>393</v>
      </c>
      <c r="BI111" s="237">
        <v>43819</v>
      </c>
      <c r="BJ111" s="245" t="s">
        <v>7471</v>
      </c>
      <c r="BK111" s="245">
        <v>339</v>
      </c>
      <c r="BL111" s="245" t="s">
        <v>3724</v>
      </c>
      <c r="BM111" s="245" t="s">
        <v>600</v>
      </c>
      <c r="BN111" s="245">
        <v>2</v>
      </c>
      <c r="BO111" s="245" t="s">
        <v>3765</v>
      </c>
      <c r="BP111" s="241" t="s">
        <v>1718</v>
      </c>
      <c r="BQ111" s="246">
        <v>44132</v>
      </c>
      <c r="BR111" s="244" t="s">
        <v>7472</v>
      </c>
      <c r="BS111" s="247" t="e">
        <v>#N/A</v>
      </c>
      <c r="BT111" s="247" t="e">
        <v>#N/A</v>
      </c>
      <c r="BU111" s="247" t="e">
        <v>#N/A</v>
      </c>
      <c r="BV111" s="247" t="e">
        <v>#N/A</v>
      </c>
      <c r="BW111" s="247" t="e">
        <v>#N/A</v>
      </c>
      <c r="BX111" s="247" t="e">
        <v>#N/A</v>
      </c>
      <c r="BY111" s="237" t="e">
        <v>#N/A</v>
      </c>
      <c r="BZ111" s="245" t="s">
        <v>7473</v>
      </c>
      <c r="CA111" s="245" t="e">
        <v>#N/A</v>
      </c>
      <c r="CB111" s="245" t="e">
        <v>#N/A</v>
      </c>
      <c r="CC111" s="245" t="e">
        <v>#N/A</v>
      </c>
      <c r="CD111" s="245" t="e">
        <v>#N/A</v>
      </c>
      <c r="CE111" s="245" t="e">
        <v>#N/A</v>
      </c>
      <c r="CF111" s="245" t="e">
        <v>#N/A</v>
      </c>
      <c r="CG111" s="246" t="e">
        <v>#N/A</v>
      </c>
      <c r="CH111" s="244" t="s">
        <v>7474</v>
      </c>
      <c r="CI111" s="245" t="e">
        <v>#N/A</v>
      </c>
      <c r="CJ111" s="245" t="e">
        <v>#N/A</v>
      </c>
      <c r="CK111" s="245" t="e">
        <v>#N/A</v>
      </c>
      <c r="CL111" s="245" t="e">
        <v>#N/A</v>
      </c>
      <c r="CM111" s="245" t="e">
        <v>#N/A</v>
      </c>
      <c r="CN111" s="245" t="e">
        <v>#N/A</v>
      </c>
      <c r="CO111" s="248" t="e">
        <v>#N/A</v>
      </c>
      <c r="CP111" s="245" t="s">
        <v>7475</v>
      </c>
      <c r="CQ111" s="247" t="s">
        <v>393</v>
      </c>
      <c r="CR111" s="247" t="s">
        <v>393</v>
      </c>
      <c r="CS111" s="247" t="s">
        <v>393</v>
      </c>
      <c r="CT111" s="247" t="s">
        <v>393</v>
      </c>
      <c r="CU111" s="247" t="s">
        <v>1884</v>
      </c>
      <c r="CV111" s="247" t="s">
        <v>393</v>
      </c>
      <c r="CW111" s="237">
        <v>43815</v>
      </c>
      <c r="CX111" s="245" t="s">
        <v>7476</v>
      </c>
      <c r="CY111" s="241">
        <v>231000</v>
      </c>
      <c r="CZ111" s="241" t="s">
        <v>3301</v>
      </c>
      <c r="DA111" s="241" t="s">
        <v>600</v>
      </c>
      <c r="DB111" s="241">
        <v>2</v>
      </c>
      <c r="DC111" s="241" t="s">
        <v>3470</v>
      </c>
      <c r="DD111" s="241" t="s">
        <v>3469</v>
      </c>
      <c r="DE111" s="243">
        <v>44106</v>
      </c>
      <c r="DF111" s="244" t="s">
        <v>7477</v>
      </c>
      <c r="DG111" s="236">
        <v>34039000</v>
      </c>
      <c r="DH111" s="247" t="s">
        <v>3299</v>
      </c>
      <c r="DI111" s="247" t="s">
        <v>600</v>
      </c>
      <c r="DJ111" s="247">
        <v>2</v>
      </c>
      <c r="DK111" s="247" t="s">
        <v>3470</v>
      </c>
      <c r="DL111" s="247" t="s">
        <v>3469</v>
      </c>
      <c r="DM111" s="237">
        <v>44106</v>
      </c>
      <c r="DN111" s="245" t="s">
        <v>7478</v>
      </c>
      <c r="DO111" s="241">
        <v>0</v>
      </c>
      <c r="DP111" s="245" t="s">
        <v>3300</v>
      </c>
      <c r="DQ111" s="245" t="s">
        <v>600</v>
      </c>
      <c r="DR111" s="245">
        <v>2</v>
      </c>
      <c r="DS111" s="245" t="s">
        <v>3470</v>
      </c>
      <c r="DT111" s="245" t="s">
        <v>3469</v>
      </c>
      <c r="DU111" s="246">
        <v>44106</v>
      </c>
      <c r="DV111" s="244" t="s">
        <v>7479</v>
      </c>
      <c r="DW111" s="236">
        <v>231000</v>
      </c>
      <c r="DX111" s="247" t="s">
        <v>3301</v>
      </c>
      <c r="DY111" s="247" t="s">
        <v>600</v>
      </c>
      <c r="DZ111" s="247">
        <v>2</v>
      </c>
      <c r="EA111" s="247" t="s">
        <v>3470</v>
      </c>
      <c r="EB111" s="247" t="s">
        <v>3469</v>
      </c>
      <c r="EC111" s="237">
        <v>44106</v>
      </c>
      <c r="ED111" s="245" t="s">
        <v>7480</v>
      </c>
      <c r="EE111" s="241">
        <v>0</v>
      </c>
      <c r="EF111" s="245" t="s">
        <v>3302</v>
      </c>
      <c r="EG111" s="245" t="s">
        <v>600</v>
      </c>
      <c r="EH111" s="245">
        <v>2</v>
      </c>
      <c r="EI111" s="245" t="s">
        <v>3470</v>
      </c>
      <c r="EJ111" s="245" t="s">
        <v>3469</v>
      </c>
      <c r="EK111" s="246">
        <v>44106</v>
      </c>
      <c r="EL111" s="244" t="s">
        <v>7481</v>
      </c>
      <c r="EM111" s="236">
        <v>0</v>
      </c>
      <c r="EN111" s="247" t="s">
        <v>3303</v>
      </c>
      <c r="EO111" s="247" t="s">
        <v>600</v>
      </c>
      <c r="EP111" s="247">
        <v>2</v>
      </c>
      <c r="EQ111" s="247" t="s">
        <v>3470</v>
      </c>
      <c r="ER111" s="247" t="s">
        <v>3469</v>
      </c>
      <c r="ES111" s="237">
        <v>44106</v>
      </c>
      <c r="ET111" s="245" t="s">
        <v>7482</v>
      </c>
      <c r="EU111" s="245">
        <v>339</v>
      </c>
      <c r="EV111" s="245" t="s">
        <v>3724</v>
      </c>
      <c r="EW111" s="245" t="s">
        <v>600</v>
      </c>
      <c r="EX111" s="245">
        <v>2</v>
      </c>
      <c r="EY111" s="245" t="s">
        <v>3765</v>
      </c>
      <c r="EZ111" s="245" t="s">
        <v>1718</v>
      </c>
      <c r="FA111" s="246">
        <v>44132</v>
      </c>
      <c r="FB111" s="244" t="s">
        <v>7483</v>
      </c>
      <c r="FC111" s="247">
        <v>4</v>
      </c>
      <c r="FD111" s="247" t="s">
        <v>393</v>
      </c>
      <c r="FE111" s="247" t="s">
        <v>600</v>
      </c>
      <c r="FF111" s="247">
        <v>2</v>
      </c>
      <c r="FG111" s="247" t="s">
        <v>1885</v>
      </c>
      <c r="FH111" s="247" t="s">
        <v>393</v>
      </c>
      <c r="FI111" s="237">
        <v>43815</v>
      </c>
      <c r="FJ111" s="244" t="s">
        <v>7484</v>
      </c>
      <c r="FK111" s="245" t="e">
        <v>#N/A</v>
      </c>
      <c r="FL111" s="245" t="e">
        <v>#N/A</v>
      </c>
      <c r="FM111" s="245" t="e">
        <v>#N/A</v>
      </c>
      <c r="FN111" s="245" t="e">
        <v>#N/A</v>
      </c>
      <c r="FO111" s="245" t="e">
        <v>#N/A</v>
      </c>
      <c r="FP111" s="241" t="e">
        <v>#N/A</v>
      </c>
      <c r="FQ111" s="242" t="e">
        <v>#N/A</v>
      </c>
      <c r="FR111" s="244" t="s">
        <v>7485</v>
      </c>
      <c r="FS111" s="247" t="e">
        <v>#N/A</v>
      </c>
      <c r="FT111" s="247" t="e">
        <v>#N/A</v>
      </c>
      <c r="FU111" s="247" t="e">
        <v>#N/A</v>
      </c>
      <c r="FV111" s="247" t="e">
        <v>#N/A</v>
      </c>
      <c r="FW111" s="247" t="e">
        <v>#N/A</v>
      </c>
      <c r="FX111" s="247" t="e">
        <v>#N/A</v>
      </c>
      <c r="FY111" s="237" t="e">
        <v>#N/A</v>
      </c>
      <c r="FZ111" s="245" t="s">
        <v>7486</v>
      </c>
      <c r="GA111" s="245">
        <v>0</v>
      </c>
      <c r="GB111" s="245" t="s">
        <v>1587</v>
      </c>
      <c r="GC111" s="245" t="s">
        <v>601</v>
      </c>
      <c r="GD111" s="245">
        <v>1</v>
      </c>
      <c r="GE111" s="245" t="s">
        <v>1883</v>
      </c>
      <c r="GF111" s="245" t="s">
        <v>393</v>
      </c>
      <c r="GG111" s="246">
        <v>43815</v>
      </c>
      <c r="GH111" s="244" t="s">
        <v>7487</v>
      </c>
      <c r="GI111" s="247">
        <v>0</v>
      </c>
      <c r="GJ111" s="247" t="s">
        <v>1587</v>
      </c>
      <c r="GK111" s="247" t="s">
        <v>601</v>
      </c>
      <c r="GL111" s="247">
        <v>1</v>
      </c>
      <c r="GM111" s="247" t="s">
        <v>1883</v>
      </c>
      <c r="GN111" s="247" t="s">
        <v>393</v>
      </c>
      <c r="GO111" s="237">
        <v>43815</v>
      </c>
      <c r="GP111" s="245" t="s">
        <v>7488</v>
      </c>
      <c r="GQ111" s="245">
        <v>0</v>
      </c>
      <c r="GR111" s="245" t="s">
        <v>1587</v>
      </c>
      <c r="GS111" s="245" t="s">
        <v>601</v>
      </c>
      <c r="GT111" s="245">
        <v>1</v>
      </c>
      <c r="GU111" s="245" t="s">
        <v>1883</v>
      </c>
      <c r="GV111" s="245" t="s">
        <v>393</v>
      </c>
      <c r="GW111" s="246">
        <v>43815</v>
      </c>
      <c r="GX111" s="244" t="s">
        <v>7489</v>
      </c>
      <c r="GY111" s="247">
        <v>0</v>
      </c>
      <c r="GZ111" s="247" t="s">
        <v>1587</v>
      </c>
      <c r="HA111" s="247" t="s">
        <v>601</v>
      </c>
      <c r="HB111" s="247">
        <v>1</v>
      </c>
      <c r="HC111" s="247" t="s">
        <v>1883</v>
      </c>
      <c r="HD111" s="247" t="s">
        <v>393</v>
      </c>
      <c r="HE111" s="237">
        <v>43815</v>
      </c>
      <c r="HF111" s="245" t="s">
        <v>7490</v>
      </c>
      <c r="HG111" s="245">
        <v>0</v>
      </c>
      <c r="HH111" s="245" t="s">
        <v>1587</v>
      </c>
      <c r="HI111" s="245" t="s">
        <v>601</v>
      </c>
      <c r="HJ111" s="245">
        <v>1</v>
      </c>
      <c r="HK111" s="245" t="s">
        <v>1883</v>
      </c>
      <c r="HL111" s="245" t="s">
        <v>393</v>
      </c>
      <c r="HM111" s="246">
        <v>43815</v>
      </c>
      <c r="HN111" s="244" t="s">
        <v>7491</v>
      </c>
      <c r="HO111" s="247">
        <v>2</v>
      </c>
      <c r="HP111" s="247" t="s">
        <v>1587</v>
      </c>
      <c r="HQ111" s="247" t="s">
        <v>601</v>
      </c>
      <c r="HR111" s="247">
        <v>1</v>
      </c>
      <c r="HS111" s="247" t="s">
        <v>1883</v>
      </c>
      <c r="HT111" s="247" t="s">
        <v>393</v>
      </c>
      <c r="HU111" s="237">
        <v>43815</v>
      </c>
      <c r="HV111" s="245" t="s">
        <v>7492</v>
      </c>
      <c r="HW111" s="245">
        <v>1</v>
      </c>
      <c r="HX111" s="245" t="s">
        <v>1587</v>
      </c>
      <c r="HY111" s="245" t="s">
        <v>601</v>
      </c>
      <c r="HZ111" s="245">
        <v>1</v>
      </c>
      <c r="IA111" s="245" t="s">
        <v>1883</v>
      </c>
      <c r="IB111" s="245" t="s">
        <v>393</v>
      </c>
      <c r="IC111" s="246">
        <v>43815</v>
      </c>
      <c r="ID111" s="244" t="s">
        <v>7493</v>
      </c>
      <c r="IE111" s="247">
        <v>1</v>
      </c>
      <c r="IF111" s="247" t="s">
        <v>1587</v>
      </c>
      <c r="IG111" s="247" t="s">
        <v>601</v>
      </c>
      <c r="IH111" s="247">
        <v>1</v>
      </c>
      <c r="II111" s="247" t="s">
        <v>1883</v>
      </c>
      <c r="IJ111" s="247" t="s">
        <v>393</v>
      </c>
      <c r="IK111" s="237">
        <v>43815</v>
      </c>
      <c r="IL111" s="245" t="s">
        <v>7494</v>
      </c>
      <c r="IM111" s="245">
        <v>3</v>
      </c>
      <c r="IN111" s="245" t="s">
        <v>1587</v>
      </c>
      <c r="IO111" s="245" t="s">
        <v>601</v>
      </c>
      <c r="IP111" s="245">
        <v>1</v>
      </c>
      <c r="IQ111" s="245" t="s">
        <v>1883</v>
      </c>
      <c r="IR111" s="245" t="s">
        <v>393</v>
      </c>
      <c r="IS111" s="246">
        <v>43815</v>
      </c>
    </row>
    <row r="112" spans="1:253" s="11" customFormat="1" ht="13.2" x14ac:dyDescent="0.25">
      <c r="A112" s="11" t="s">
        <v>908</v>
      </c>
      <c r="B112" s="11" t="s">
        <v>650</v>
      </c>
      <c r="C112" s="11" t="s">
        <v>1179</v>
      </c>
      <c r="D112" s="11" t="s">
        <v>253</v>
      </c>
      <c r="E112" s="11" t="s">
        <v>252</v>
      </c>
      <c r="F112" s="11" t="s">
        <v>7495</v>
      </c>
      <c r="G112" s="235">
        <v>100979000</v>
      </c>
      <c r="H112" s="236" t="s">
        <v>876</v>
      </c>
      <c r="I112" s="236" t="s">
        <v>600</v>
      </c>
      <c r="J112" s="236">
        <v>2</v>
      </c>
      <c r="K112" s="236" t="s">
        <v>1429</v>
      </c>
      <c r="L112" s="236" t="s">
        <v>877</v>
      </c>
      <c r="M112" s="237">
        <v>43644</v>
      </c>
      <c r="N112" s="244" t="s">
        <v>7496</v>
      </c>
      <c r="O112" s="239">
        <v>138354</v>
      </c>
      <c r="P112" s="239" t="s">
        <v>1752</v>
      </c>
      <c r="Q112" s="239" t="s">
        <v>600</v>
      </c>
      <c r="R112" s="239">
        <v>2</v>
      </c>
      <c r="S112" s="239" t="s">
        <v>1755</v>
      </c>
      <c r="T112" s="239" t="s">
        <v>1753</v>
      </c>
      <c r="U112" s="240">
        <v>43798</v>
      </c>
      <c r="V112" s="244" t="s">
        <v>7497</v>
      </c>
      <c r="W112" s="236">
        <v>24136000</v>
      </c>
      <c r="X112" s="236" t="s">
        <v>722</v>
      </c>
      <c r="Y112" s="236" t="s">
        <v>600</v>
      </c>
      <c r="Z112" s="236">
        <v>2</v>
      </c>
      <c r="AA112" s="236" t="s">
        <v>1756</v>
      </c>
      <c r="AB112" s="236" t="s">
        <v>1754</v>
      </c>
      <c r="AC112" s="237">
        <v>43798</v>
      </c>
      <c r="AD112" s="244" t="s">
        <v>7498</v>
      </c>
      <c r="AE112" s="241">
        <v>152000</v>
      </c>
      <c r="AF112" s="241" t="s">
        <v>3304</v>
      </c>
      <c r="AG112" s="241" t="s">
        <v>599</v>
      </c>
      <c r="AH112" s="241">
        <v>3</v>
      </c>
      <c r="AI112" s="241" t="s">
        <v>2087</v>
      </c>
      <c r="AJ112" s="241" t="s">
        <v>3471</v>
      </c>
      <c r="AK112" s="242">
        <v>44106</v>
      </c>
      <c r="AL112" s="244" t="s">
        <v>7499</v>
      </c>
      <c r="AM112" s="236">
        <v>152000</v>
      </c>
      <c r="AN112" s="236" t="s">
        <v>3305</v>
      </c>
      <c r="AO112" s="236" t="s">
        <v>600</v>
      </c>
      <c r="AP112" s="236">
        <v>2</v>
      </c>
      <c r="AQ112" s="236" t="s">
        <v>2200</v>
      </c>
      <c r="AR112" s="236" t="s">
        <v>3472</v>
      </c>
      <c r="AS112" s="237">
        <v>44106</v>
      </c>
      <c r="AT112" s="245" t="s">
        <v>7500</v>
      </c>
      <c r="AU112" s="241" t="s">
        <v>393</v>
      </c>
      <c r="AV112" s="241" t="s">
        <v>393</v>
      </c>
      <c r="AW112" s="241" t="s">
        <v>393</v>
      </c>
      <c r="AX112" s="241" t="s">
        <v>393</v>
      </c>
      <c r="AY112" s="241" t="s">
        <v>393</v>
      </c>
      <c r="AZ112" s="241" t="s">
        <v>393</v>
      </c>
      <c r="BA112" s="242">
        <v>43798</v>
      </c>
      <c r="BB112" s="244" t="s">
        <v>7501</v>
      </c>
      <c r="BC112" s="236" t="s">
        <v>393</v>
      </c>
      <c r="BD112" s="236" t="s">
        <v>393</v>
      </c>
      <c r="BE112" s="236" t="s">
        <v>393</v>
      </c>
      <c r="BF112" s="236" t="s">
        <v>393</v>
      </c>
      <c r="BG112" s="236" t="s">
        <v>1886</v>
      </c>
      <c r="BH112" s="236" t="s">
        <v>393</v>
      </c>
      <c r="BI112" s="237">
        <v>43819</v>
      </c>
      <c r="BJ112" s="245" t="s">
        <v>7502</v>
      </c>
      <c r="BK112" s="245">
        <v>339</v>
      </c>
      <c r="BL112" s="245" t="s">
        <v>3724</v>
      </c>
      <c r="BM112" s="245" t="s">
        <v>600</v>
      </c>
      <c r="BN112" s="245">
        <v>2</v>
      </c>
      <c r="BO112" s="245" t="s">
        <v>3766</v>
      </c>
      <c r="BP112" s="241" t="s">
        <v>1718</v>
      </c>
      <c r="BQ112" s="246">
        <v>44132</v>
      </c>
      <c r="BR112" s="244" t="s">
        <v>7503</v>
      </c>
      <c r="BS112" s="247" t="s">
        <v>393</v>
      </c>
      <c r="BT112" s="247" t="s">
        <v>393</v>
      </c>
      <c r="BU112" s="247" t="s">
        <v>393</v>
      </c>
      <c r="BV112" s="247" t="s">
        <v>393</v>
      </c>
      <c r="BW112" s="247" t="s">
        <v>393</v>
      </c>
      <c r="BX112" s="247" t="s">
        <v>393</v>
      </c>
      <c r="BY112" s="237">
        <v>43798</v>
      </c>
      <c r="BZ112" s="245" t="s">
        <v>7504</v>
      </c>
      <c r="CA112" s="245" t="s">
        <v>393</v>
      </c>
      <c r="CB112" s="245" t="s">
        <v>393</v>
      </c>
      <c r="CC112" s="245" t="s">
        <v>393</v>
      </c>
      <c r="CD112" s="245" t="s">
        <v>393</v>
      </c>
      <c r="CE112" s="245" t="s">
        <v>393</v>
      </c>
      <c r="CF112" s="245" t="s">
        <v>393</v>
      </c>
      <c r="CG112" s="246">
        <v>43798</v>
      </c>
      <c r="CH112" s="244" t="s">
        <v>7505</v>
      </c>
      <c r="CI112" s="245" t="e">
        <v>#N/A</v>
      </c>
      <c r="CJ112" s="245" t="e">
        <v>#N/A</v>
      </c>
      <c r="CK112" s="245" t="e">
        <v>#N/A</v>
      </c>
      <c r="CL112" s="245" t="e">
        <v>#N/A</v>
      </c>
      <c r="CM112" s="245" t="e">
        <v>#N/A</v>
      </c>
      <c r="CN112" s="245" t="e">
        <v>#N/A</v>
      </c>
      <c r="CO112" s="248" t="e">
        <v>#N/A</v>
      </c>
      <c r="CP112" s="245" t="s">
        <v>7506</v>
      </c>
      <c r="CQ112" s="247" t="s">
        <v>393</v>
      </c>
      <c r="CR112" s="247" t="s">
        <v>393</v>
      </c>
      <c r="CS112" s="247" t="s">
        <v>393</v>
      </c>
      <c r="CT112" s="247" t="s">
        <v>393</v>
      </c>
      <c r="CU112" s="247" t="s">
        <v>393</v>
      </c>
      <c r="CV112" s="247" t="s">
        <v>393</v>
      </c>
      <c r="CW112" s="237">
        <v>43798</v>
      </c>
      <c r="CX112" s="245" t="s">
        <v>7507</v>
      </c>
      <c r="CY112" s="241">
        <v>151000</v>
      </c>
      <c r="CZ112" s="241" t="s">
        <v>3662</v>
      </c>
      <c r="DA112" s="241" t="s">
        <v>599</v>
      </c>
      <c r="DB112" s="241">
        <v>3</v>
      </c>
      <c r="DC112" s="241" t="s">
        <v>3674</v>
      </c>
      <c r="DD112" s="241" t="s">
        <v>3473</v>
      </c>
      <c r="DE112" s="243">
        <v>44119</v>
      </c>
      <c r="DF112" s="244" t="s">
        <v>7508</v>
      </c>
      <c r="DG112" s="236">
        <v>23985000</v>
      </c>
      <c r="DH112" s="247" t="s">
        <v>3660</v>
      </c>
      <c r="DI112" s="247" t="s">
        <v>599</v>
      </c>
      <c r="DJ112" s="247">
        <v>3</v>
      </c>
      <c r="DK112" s="247" t="s">
        <v>3674</v>
      </c>
      <c r="DL112" s="247" t="s">
        <v>3473</v>
      </c>
      <c r="DM112" s="237">
        <v>44119</v>
      </c>
      <c r="DN112" s="245" t="s">
        <v>7509</v>
      </c>
      <c r="DO112" s="241">
        <v>2000</v>
      </c>
      <c r="DP112" s="245" t="s">
        <v>3661</v>
      </c>
      <c r="DQ112" s="245" t="s">
        <v>599</v>
      </c>
      <c r="DR112" s="245">
        <v>3</v>
      </c>
      <c r="DS112" s="245" t="s">
        <v>3674</v>
      </c>
      <c r="DT112" s="245" t="s">
        <v>3473</v>
      </c>
      <c r="DU112" s="246">
        <v>44119</v>
      </c>
      <c r="DV112" s="244" t="s">
        <v>7510</v>
      </c>
      <c r="DW112" s="236">
        <v>151000</v>
      </c>
      <c r="DX112" s="247" t="s">
        <v>3662</v>
      </c>
      <c r="DY112" s="247" t="s">
        <v>599</v>
      </c>
      <c r="DZ112" s="247">
        <v>3</v>
      </c>
      <c r="EA112" s="247" t="s">
        <v>3674</v>
      </c>
      <c r="EB112" s="247" t="s">
        <v>3473</v>
      </c>
      <c r="EC112" s="237">
        <v>44119</v>
      </c>
      <c r="ED112" s="245" t="s">
        <v>7511</v>
      </c>
      <c r="EE112" s="241">
        <v>0</v>
      </c>
      <c r="EF112" s="245" t="s">
        <v>3663</v>
      </c>
      <c r="EG112" s="245" t="s">
        <v>599</v>
      </c>
      <c r="EH112" s="245">
        <v>3</v>
      </c>
      <c r="EI112" s="245" t="s">
        <v>3674</v>
      </c>
      <c r="EJ112" s="245" t="s">
        <v>3473</v>
      </c>
      <c r="EK112" s="246">
        <v>44119</v>
      </c>
      <c r="EL112" s="244" t="s">
        <v>7512</v>
      </c>
      <c r="EM112" s="236">
        <v>0</v>
      </c>
      <c r="EN112" s="247" t="s">
        <v>3664</v>
      </c>
      <c r="EO112" s="247" t="s">
        <v>599</v>
      </c>
      <c r="EP112" s="247">
        <v>3</v>
      </c>
      <c r="EQ112" s="247" t="s">
        <v>3674</v>
      </c>
      <c r="ER112" s="247" t="s">
        <v>3473</v>
      </c>
      <c r="ES112" s="237">
        <v>44119</v>
      </c>
      <c r="ET112" s="245" t="s">
        <v>7513</v>
      </c>
      <c r="EU112" s="245">
        <v>339</v>
      </c>
      <c r="EV112" s="245" t="s">
        <v>3724</v>
      </c>
      <c r="EW112" s="245" t="s">
        <v>600</v>
      </c>
      <c r="EX112" s="245">
        <v>2</v>
      </c>
      <c r="EY112" s="245" t="s">
        <v>3765</v>
      </c>
      <c r="EZ112" s="245" t="s">
        <v>1718</v>
      </c>
      <c r="FA112" s="246">
        <v>44132</v>
      </c>
      <c r="FB112" s="244" t="s">
        <v>7514</v>
      </c>
      <c r="FC112" s="247">
        <v>4</v>
      </c>
      <c r="FD112" s="247">
        <v>0</v>
      </c>
      <c r="FE112" s="247">
        <v>0</v>
      </c>
      <c r="FF112" s="247" t="b">
        <v>0</v>
      </c>
      <c r="FG112" s="247" t="s">
        <v>1757</v>
      </c>
      <c r="FH112" s="247">
        <v>0</v>
      </c>
      <c r="FI112" s="237">
        <v>43798</v>
      </c>
      <c r="FJ112" s="244" t="s">
        <v>7515</v>
      </c>
      <c r="FK112" s="245" t="s">
        <v>393</v>
      </c>
      <c r="FL112" s="245" t="s">
        <v>1217</v>
      </c>
      <c r="FM112" s="245" t="s">
        <v>393</v>
      </c>
      <c r="FN112" s="245" t="s">
        <v>393</v>
      </c>
      <c r="FO112" s="245">
        <v>0</v>
      </c>
      <c r="FP112" s="241">
        <v>0</v>
      </c>
      <c r="FQ112" s="242">
        <v>43578</v>
      </c>
      <c r="FR112" s="244" t="s">
        <v>7516</v>
      </c>
      <c r="FS112" s="247" t="s">
        <v>393</v>
      </c>
      <c r="FT112" s="247" t="s">
        <v>750</v>
      </c>
      <c r="FU112" s="247" t="s">
        <v>393</v>
      </c>
      <c r="FV112" s="247" t="s">
        <v>393</v>
      </c>
      <c r="FW112" s="247">
        <v>0</v>
      </c>
      <c r="FX112" s="247">
        <v>0</v>
      </c>
      <c r="FY112" s="237">
        <v>43578</v>
      </c>
      <c r="FZ112" s="245" t="s">
        <v>7517</v>
      </c>
      <c r="GA112" s="245">
        <v>0</v>
      </c>
      <c r="GB112" s="245" t="s">
        <v>1587</v>
      </c>
      <c r="GC112" s="245" t="s">
        <v>601</v>
      </c>
      <c r="GD112" s="245">
        <v>1</v>
      </c>
      <c r="GE112" s="245" t="s">
        <v>1623</v>
      </c>
      <c r="GF112" s="245" t="s">
        <v>1624</v>
      </c>
      <c r="GG112" s="246">
        <v>43770</v>
      </c>
      <c r="GH112" s="244" t="s">
        <v>7518</v>
      </c>
      <c r="GI112" s="247">
        <v>0</v>
      </c>
      <c r="GJ112" s="247" t="s">
        <v>1587</v>
      </c>
      <c r="GK112" s="247" t="s">
        <v>601</v>
      </c>
      <c r="GL112" s="247">
        <v>1</v>
      </c>
      <c r="GM112" s="247" t="s">
        <v>1623</v>
      </c>
      <c r="GN112" s="247" t="s">
        <v>1624</v>
      </c>
      <c r="GO112" s="237">
        <v>43770</v>
      </c>
      <c r="GP112" s="245" t="s">
        <v>7519</v>
      </c>
      <c r="GQ112" s="245">
        <v>0</v>
      </c>
      <c r="GR112" s="245" t="s">
        <v>1587</v>
      </c>
      <c r="GS112" s="245" t="s">
        <v>601</v>
      </c>
      <c r="GT112" s="245">
        <v>1</v>
      </c>
      <c r="GU112" s="245" t="s">
        <v>1623</v>
      </c>
      <c r="GV112" s="245" t="s">
        <v>1624</v>
      </c>
      <c r="GW112" s="246">
        <v>43770</v>
      </c>
      <c r="GX112" s="244" t="s">
        <v>7520</v>
      </c>
      <c r="GY112" s="247">
        <v>0</v>
      </c>
      <c r="GZ112" s="247" t="s">
        <v>1587</v>
      </c>
      <c r="HA112" s="247" t="s">
        <v>601</v>
      </c>
      <c r="HB112" s="247">
        <v>1</v>
      </c>
      <c r="HC112" s="247" t="s">
        <v>1623</v>
      </c>
      <c r="HD112" s="247" t="s">
        <v>1624</v>
      </c>
      <c r="HE112" s="237">
        <v>43770</v>
      </c>
      <c r="HF112" s="245" t="s">
        <v>7521</v>
      </c>
      <c r="HG112" s="245">
        <v>0</v>
      </c>
      <c r="HH112" s="245" t="s">
        <v>1587</v>
      </c>
      <c r="HI112" s="245" t="s">
        <v>601</v>
      </c>
      <c r="HJ112" s="245">
        <v>1</v>
      </c>
      <c r="HK112" s="245" t="s">
        <v>1623</v>
      </c>
      <c r="HL112" s="245" t="s">
        <v>1624</v>
      </c>
      <c r="HM112" s="246">
        <v>43770</v>
      </c>
      <c r="HN112" s="244" t="s">
        <v>7522</v>
      </c>
      <c r="HO112" s="247">
        <v>1</v>
      </c>
      <c r="HP112" s="247" t="s">
        <v>1587</v>
      </c>
      <c r="HQ112" s="247" t="s">
        <v>601</v>
      </c>
      <c r="HR112" s="247">
        <v>1</v>
      </c>
      <c r="HS112" s="247" t="s">
        <v>1623</v>
      </c>
      <c r="HT112" s="247" t="s">
        <v>1624</v>
      </c>
      <c r="HU112" s="237">
        <v>43770</v>
      </c>
      <c r="HV112" s="245" t="s">
        <v>7523</v>
      </c>
      <c r="HW112" s="245">
        <v>1</v>
      </c>
      <c r="HX112" s="245" t="s">
        <v>1587</v>
      </c>
      <c r="HY112" s="245" t="s">
        <v>601</v>
      </c>
      <c r="HZ112" s="245">
        <v>1</v>
      </c>
      <c r="IA112" s="245" t="s">
        <v>1623</v>
      </c>
      <c r="IB112" s="245" t="s">
        <v>1624</v>
      </c>
      <c r="IC112" s="246">
        <v>43770</v>
      </c>
      <c r="ID112" s="244" t="s">
        <v>7524</v>
      </c>
      <c r="IE112" s="247">
        <v>1</v>
      </c>
      <c r="IF112" s="247" t="s">
        <v>1587</v>
      </c>
      <c r="IG112" s="247" t="s">
        <v>601</v>
      </c>
      <c r="IH112" s="247">
        <v>1</v>
      </c>
      <c r="II112" s="247" t="s">
        <v>1623</v>
      </c>
      <c r="IJ112" s="247" t="s">
        <v>1624</v>
      </c>
      <c r="IK112" s="237">
        <v>43770</v>
      </c>
      <c r="IL112" s="245" t="s">
        <v>7525</v>
      </c>
      <c r="IM112" s="245">
        <v>2</v>
      </c>
      <c r="IN112" s="245" t="s">
        <v>1587</v>
      </c>
      <c r="IO112" s="245" t="s">
        <v>601</v>
      </c>
      <c r="IP112" s="245">
        <v>1</v>
      </c>
      <c r="IQ112" s="245" t="s">
        <v>1623</v>
      </c>
      <c r="IR112" s="245" t="s">
        <v>1624</v>
      </c>
      <c r="IS112" s="246">
        <v>43770</v>
      </c>
    </row>
    <row r="113" spans="1:253" s="11" customFormat="1" ht="13.2" x14ac:dyDescent="0.25">
      <c r="A113" s="11" t="s">
        <v>1824</v>
      </c>
      <c r="B113" s="11" t="s">
        <v>1826</v>
      </c>
      <c r="C113" s="11" t="s">
        <v>1825</v>
      </c>
      <c r="D113" s="11" t="s">
        <v>253</v>
      </c>
      <c r="E113" s="11" t="s">
        <v>252</v>
      </c>
      <c r="F113" s="11" t="s">
        <v>7526</v>
      </c>
      <c r="G113" s="235">
        <v>100979000</v>
      </c>
      <c r="H113" s="236" t="s">
        <v>876</v>
      </c>
      <c r="I113" s="236" t="s">
        <v>600</v>
      </c>
      <c r="J113" s="236">
        <v>2</v>
      </c>
      <c r="K113" s="236" t="s">
        <v>1876</v>
      </c>
      <c r="L113" s="236" t="s">
        <v>1871</v>
      </c>
      <c r="M113" s="237">
        <v>43815</v>
      </c>
      <c r="N113" s="244" t="s">
        <v>7527</v>
      </c>
      <c r="O113" s="239">
        <v>138354</v>
      </c>
      <c r="P113" s="239" t="s">
        <v>1868</v>
      </c>
      <c r="Q113" s="239" t="s">
        <v>600</v>
      </c>
      <c r="R113" s="239">
        <v>2</v>
      </c>
      <c r="S113" s="239" t="s">
        <v>1877</v>
      </c>
      <c r="T113" s="239" t="s">
        <v>1872</v>
      </c>
      <c r="U113" s="240">
        <v>43815</v>
      </c>
      <c r="V113" s="244" t="s">
        <v>7528</v>
      </c>
      <c r="W113" s="236">
        <v>10134000</v>
      </c>
      <c r="X113" s="236" t="s">
        <v>1868</v>
      </c>
      <c r="Y113" s="236" t="s">
        <v>600</v>
      </c>
      <c r="Z113" s="236">
        <v>2</v>
      </c>
      <c r="AA113" s="236" t="s">
        <v>1878</v>
      </c>
      <c r="AB113" s="236" t="s">
        <v>1872</v>
      </c>
      <c r="AC113" s="237">
        <v>43815</v>
      </c>
      <c r="AD113" s="244" t="s">
        <v>7529</v>
      </c>
      <c r="AE113" s="241">
        <v>79000</v>
      </c>
      <c r="AF113" s="241" t="s">
        <v>3306</v>
      </c>
      <c r="AG113" s="241" t="s">
        <v>599</v>
      </c>
      <c r="AH113" s="241">
        <v>3</v>
      </c>
      <c r="AI113" s="241" t="s">
        <v>3475</v>
      </c>
      <c r="AJ113" s="241" t="s">
        <v>3474</v>
      </c>
      <c r="AK113" s="242">
        <v>44106</v>
      </c>
      <c r="AL113" s="244" t="s">
        <v>7530</v>
      </c>
      <c r="AM113" s="236">
        <v>79000</v>
      </c>
      <c r="AN113" s="236" t="s">
        <v>3306</v>
      </c>
      <c r="AO113" s="236" t="s">
        <v>600</v>
      </c>
      <c r="AP113" s="236">
        <v>2</v>
      </c>
      <c r="AQ113" s="236" t="s">
        <v>3476</v>
      </c>
      <c r="AR113" s="236" t="s">
        <v>3474</v>
      </c>
      <c r="AS113" s="237">
        <v>44106</v>
      </c>
      <c r="AT113" s="245" t="s">
        <v>7531</v>
      </c>
      <c r="AU113" s="241">
        <v>563</v>
      </c>
      <c r="AV113" s="241" t="s">
        <v>1870</v>
      </c>
      <c r="AW113" s="241" t="s">
        <v>1364</v>
      </c>
      <c r="AX113" s="241">
        <v>2</v>
      </c>
      <c r="AY113" s="241" t="s">
        <v>1879</v>
      </c>
      <c r="AZ113" s="241" t="s">
        <v>393</v>
      </c>
      <c r="BA113" s="242">
        <v>43815</v>
      </c>
      <c r="BB113" s="244" t="s">
        <v>7532</v>
      </c>
      <c r="BC113" s="236" t="s">
        <v>393</v>
      </c>
      <c r="BD113" s="236" t="s">
        <v>393</v>
      </c>
      <c r="BE113" s="236" t="s">
        <v>393</v>
      </c>
      <c r="BF113" s="236" t="s">
        <v>393</v>
      </c>
      <c r="BG113" s="236" t="s">
        <v>1886</v>
      </c>
      <c r="BH113" s="236" t="s">
        <v>393</v>
      </c>
      <c r="BI113" s="237">
        <v>43819</v>
      </c>
      <c r="BJ113" s="245" t="s">
        <v>7533</v>
      </c>
      <c r="BK113" s="245">
        <v>0</v>
      </c>
      <c r="BL113" s="245" t="s">
        <v>2267</v>
      </c>
      <c r="BM113" s="245" t="s">
        <v>601</v>
      </c>
      <c r="BN113" s="245">
        <v>1</v>
      </c>
      <c r="BO113" s="245" t="s">
        <v>2426</v>
      </c>
      <c r="BP113" s="241" t="s">
        <v>2273</v>
      </c>
      <c r="BQ113" s="246">
        <v>43987</v>
      </c>
      <c r="BR113" s="244" t="s">
        <v>7534</v>
      </c>
      <c r="BS113" s="247">
        <v>21681</v>
      </c>
      <c r="BT113" s="247" t="s">
        <v>1869</v>
      </c>
      <c r="BU113" s="247" t="s">
        <v>1364</v>
      </c>
      <c r="BV113" s="247">
        <v>2</v>
      </c>
      <c r="BW113" s="247" t="s">
        <v>1881</v>
      </c>
      <c r="BX113" s="247" t="s">
        <v>1873</v>
      </c>
      <c r="BY113" s="237">
        <v>43815</v>
      </c>
      <c r="BZ113" s="245" t="s">
        <v>7535</v>
      </c>
      <c r="CA113" s="245">
        <v>25795</v>
      </c>
      <c r="CB113" s="245" t="s">
        <v>1869</v>
      </c>
      <c r="CC113" s="245" t="s">
        <v>1364</v>
      </c>
      <c r="CD113" s="245">
        <v>2</v>
      </c>
      <c r="CE113" s="245" t="s">
        <v>1881</v>
      </c>
      <c r="CF113" s="245" t="s">
        <v>1873</v>
      </c>
      <c r="CG113" s="246">
        <v>43815</v>
      </c>
      <c r="CH113" s="244" t="s">
        <v>7536</v>
      </c>
      <c r="CI113" s="245" t="e">
        <v>#N/A</v>
      </c>
      <c r="CJ113" s="245" t="e">
        <v>#N/A</v>
      </c>
      <c r="CK113" s="245" t="e">
        <v>#N/A</v>
      </c>
      <c r="CL113" s="245" t="e">
        <v>#N/A</v>
      </c>
      <c r="CM113" s="245" t="e">
        <v>#N/A</v>
      </c>
      <c r="CN113" s="245" t="e">
        <v>#N/A</v>
      </c>
      <c r="CO113" s="248" t="e">
        <v>#N/A</v>
      </c>
      <c r="CP113" s="245" t="s">
        <v>7537</v>
      </c>
      <c r="CQ113" s="247" t="s">
        <v>393</v>
      </c>
      <c r="CR113" s="247" t="s">
        <v>393</v>
      </c>
      <c r="CS113" s="247" t="s">
        <v>393</v>
      </c>
      <c r="CT113" s="247" t="s">
        <v>393</v>
      </c>
      <c r="CU113" s="247" t="s">
        <v>1880</v>
      </c>
      <c r="CV113" s="247" t="s">
        <v>393</v>
      </c>
      <c r="CW113" s="237">
        <v>43815</v>
      </c>
      <c r="CX113" s="245" t="s">
        <v>7538</v>
      </c>
      <c r="CY113" s="241">
        <v>79000</v>
      </c>
      <c r="CZ113" s="241" t="s">
        <v>3309</v>
      </c>
      <c r="DA113" s="241" t="s">
        <v>600</v>
      </c>
      <c r="DB113" s="241">
        <v>2</v>
      </c>
      <c r="DC113" s="241" t="s">
        <v>3478</v>
      </c>
      <c r="DD113" s="241" t="s">
        <v>3477</v>
      </c>
      <c r="DE113" s="243">
        <v>44106</v>
      </c>
      <c r="DF113" s="244" t="s">
        <v>7539</v>
      </c>
      <c r="DG113" s="236">
        <v>10056000</v>
      </c>
      <c r="DH113" s="247" t="s">
        <v>3307</v>
      </c>
      <c r="DI113" s="247" t="s">
        <v>600</v>
      </c>
      <c r="DJ113" s="247">
        <v>2</v>
      </c>
      <c r="DK113" s="247" t="s">
        <v>3478</v>
      </c>
      <c r="DL113" s="247" t="s">
        <v>3477</v>
      </c>
      <c r="DM113" s="237">
        <v>44106</v>
      </c>
      <c r="DN113" s="245" t="s">
        <v>7540</v>
      </c>
      <c r="DO113" s="241">
        <v>0</v>
      </c>
      <c r="DP113" s="245" t="s">
        <v>3308</v>
      </c>
      <c r="DQ113" s="245" t="s">
        <v>600</v>
      </c>
      <c r="DR113" s="245">
        <v>2</v>
      </c>
      <c r="DS113" s="245" t="s">
        <v>3478</v>
      </c>
      <c r="DT113" s="245" t="s">
        <v>3477</v>
      </c>
      <c r="DU113" s="246">
        <v>44106</v>
      </c>
      <c r="DV113" s="244" t="s">
        <v>7541</v>
      </c>
      <c r="DW113" s="236">
        <v>79000</v>
      </c>
      <c r="DX113" s="247" t="s">
        <v>3309</v>
      </c>
      <c r="DY113" s="247" t="s">
        <v>600</v>
      </c>
      <c r="DZ113" s="247">
        <v>2</v>
      </c>
      <c r="EA113" s="247" t="s">
        <v>3478</v>
      </c>
      <c r="EB113" s="247" t="s">
        <v>3477</v>
      </c>
      <c r="EC113" s="237">
        <v>44106</v>
      </c>
      <c r="ED113" s="245" t="s">
        <v>7542</v>
      </c>
      <c r="EE113" s="241">
        <v>0</v>
      </c>
      <c r="EF113" s="245" t="s">
        <v>3310</v>
      </c>
      <c r="EG113" s="245" t="s">
        <v>600</v>
      </c>
      <c r="EH113" s="245">
        <v>2</v>
      </c>
      <c r="EI113" s="245" t="s">
        <v>3478</v>
      </c>
      <c r="EJ113" s="245" t="s">
        <v>3477</v>
      </c>
      <c r="EK113" s="246">
        <v>44106</v>
      </c>
      <c r="EL113" s="244" t="s">
        <v>7543</v>
      </c>
      <c r="EM113" s="236">
        <v>0</v>
      </c>
      <c r="EN113" s="247" t="s">
        <v>3311</v>
      </c>
      <c r="EO113" s="247" t="s">
        <v>600</v>
      </c>
      <c r="EP113" s="247">
        <v>2</v>
      </c>
      <c r="EQ113" s="247" t="s">
        <v>3478</v>
      </c>
      <c r="ER113" s="247" t="s">
        <v>3477</v>
      </c>
      <c r="ES113" s="237">
        <v>44106</v>
      </c>
      <c r="ET113" s="245" t="s">
        <v>7544</v>
      </c>
      <c r="EU113" s="245">
        <v>339</v>
      </c>
      <c r="EV113" s="245" t="s">
        <v>3724</v>
      </c>
      <c r="EW113" s="245" t="s">
        <v>600</v>
      </c>
      <c r="EX113" s="245">
        <v>2</v>
      </c>
      <c r="EY113" s="245" t="s">
        <v>3765</v>
      </c>
      <c r="EZ113" s="245" t="s">
        <v>1718</v>
      </c>
      <c r="FA113" s="246">
        <v>44132</v>
      </c>
      <c r="FB113" s="244" t="s">
        <v>7545</v>
      </c>
      <c r="FC113" s="247">
        <v>3</v>
      </c>
      <c r="FD113" s="247" t="s">
        <v>393</v>
      </c>
      <c r="FE113" s="247" t="s">
        <v>601</v>
      </c>
      <c r="FF113" s="247">
        <v>1</v>
      </c>
      <c r="FG113" s="247" t="s">
        <v>1882</v>
      </c>
      <c r="FH113" s="247" t="s">
        <v>393</v>
      </c>
      <c r="FI113" s="237">
        <v>43815</v>
      </c>
      <c r="FJ113" s="244" t="s">
        <v>7546</v>
      </c>
      <c r="FK113" s="245" t="e">
        <v>#N/A</v>
      </c>
      <c r="FL113" s="245" t="e">
        <v>#N/A</v>
      </c>
      <c r="FM113" s="245" t="e">
        <v>#N/A</v>
      </c>
      <c r="FN113" s="245" t="e">
        <v>#N/A</v>
      </c>
      <c r="FO113" s="245" t="e">
        <v>#N/A</v>
      </c>
      <c r="FP113" s="241" t="e">
        <v>#N/A</v>
      </c>
      <c r="FQ113" s="242" t="e">
        <v>#N/A</v>
      </c>
      <c r="FR113" s="244" t="s">
        <v>7547</v>
      </c>
      <c r="FS113" s="247" t="e">
        <v>#N/A</v>
      </c>
      <c r="FT113" s="247" t="e">
        <v>#N/A</v>
      </c>
      <c r="FU113" s="247" t="e">
        <v>#N/A</v>
      </c>
      <c r="FV113" s="247" t="e">
        <v>#N/A</v>
      </c>
      <c r="FW113" s="247" t="e">
        <v>#N/A</v>
      </c>
      <c r="FX113" s="247" t="e">
        <v>#N/A</v>
      </c>
      <c r="FY113" s="237" t="e">
        <v>#N/A</v>
      </c>
      <c r="FZ113" s="245" t="s">
        <v>7548</v>
      </c>
      <c r="GA113" s="245">
        <v>0</v>
      </c>
      <c r="GB113" s="245" t="s">
        <v>1587</v>
      </c>
      <c r="GC113" s="245" t="s">
        <v>601</v>
      </c>
      <c r="GD113" s="245">
        <v>1</v>
      </c>
      <c r="GE113" s="245" t="s">
        <v>1883</v>
      </c>
      <c r="GF113" s="245" t="s">
        <v>393</v>
      </c>
      <c r="GG113" s="246">
        <v>43815</v>
      </c>
      <c r="GH113" s="244" t="s">
        <v>7549</v>
      </c>
      <c r="GI113" s="247">
        <v>0</v>
      </c>
      <c r="GJ113" s="247" t="s">
        <v>1587</v>
      </c>
      <c r="GK113" s="247" t="s">
        <v>601</v>
      </c>
      <c r="GL113" s="247">
        <v>1</v>
      </c>
      <c r="GM113" s="247" t="s">
        <v>1883</v>
      </c>
      <c r="GN113" s="247" t="s">
        <v>393</v>
      </c>
      <c r="GO113" s="237">
        <v>43815</v>
      </c>
      <c r="GP113" s="245" t="s">
        <v>7550</v>
      </c>
      <c r="GQ113" s="245">
        <v>0</v>
      </c>
      <c r="GR113" s="245" t="s">
        <v>1587</v>
      </c>
      <c r="GS113" s="245" t="s">
        <v>601</v>
      </c>
      <c r="GT113" s="245">
        <v>1</v>
      </c>
      <c r="GU113" s="245" t="s">
        <v>1883</v>
      </c>
      <c r="GV113" s="245" t="s">
        <v>393</v>
      </c>
      <c r="GW113" s="246">
        <v>43815</v>
      </c>
      <c r="GX113" s="244" t="s">
        <v>7551</v>
      </c>
      <c r="GY113" s="247">
        <v>0</v>
      </c>
      <c r="GZ113" s="247" t="s">
        <v>1587</v>
      </c>
      <c r="HA113" s="247" t="s">
        <v>601</v>
      </c>
      <c r="HB113" s="247">
        <v>1</v>
      </c>
      <c r="HC113" s="247" t="s">
        <v>1883</v>
      </c>
      <c r="HD113" s="247" t="s">
        <v>393</v>
      </c>
      <c r="HE113" s="237">
        <v>43815</v>
      </c>
      <c r="HF113" s="245" t="s">
        <v>7552</v>
      </c>
      <c r="HG113" s="245">
        <v>0</v>
      </c>
      <c r="HH113" s="245" t="s">
        <v>1587</v>
      </c>
      <c r="HI113" s="245" t="s">
        <v>601</v>
      </c>
      <c r="HJ113" s="245">
        <v>1</v>
      </c>
      <c r="HK113" s="245" t="s">
        <v>1883</v>
      </c>
      <c r="HL113" s="245" t="s">
        <v>393</v>
      </c>
      <c r="HM113" s="246">
        <v>43815</v>
      </c>
      <c r="HN113" s="244" t="s">
        <v>7553</v>
      </c>
      <c r="HO113" s="247">
        <v>3</v>
      </c>
      <c r="HP113" s="247" t="s">
        <v>1587</v>
      </c>
      <c r="HQ113" s="247" t="s">
        <v>601</v>
      </c>
      <c r="HR113" s="247">
        <v>1</v>
      </c>
      <c r="HS113" s="247" t="s">
        <v>1883</v>
      </c>
      <c r="HT113" s="247" t="s">
        <v>393</v>
      </c>
      <c r="HU113" s="237">
        <v>43815</v>
      </c>
      <c r="HV113" s="245" t="s">
        <v>7554</v>
      </c>
      <c r="HW113" s="245">
        <v>0</v>
      </c>
      <c r="HX113" s="245" t="s">
        <v>1587</v>
      </c>
      <c r="HY113" s="245" t="s">
        <v>601</v>
      </c>
      <c r="HZ113" s="245">
        <v>1</v>
      </c>
      <c r="IA113" s="245" t="s">
        <v>1883</v>
      </c>
      <c r="IB113" s="245" t="s">
        <v>393</v>
      </c>
      <c r="IC113" s="246">
        <v>43815</v>
      </c>
      <c r="ID113" s="244" t="s">
        <v>7555</v>
      </c>
      <c r="IE113" s="247">
        <v>1</v>
      </c>
      <c r="IF113" s="247" t="s">
        <v>1587</v>
      </c>
      <c r="IG113" s="247" t="s">
        <v>601</v>
      </c>
      <c r="IH113" s="247">
        <v>1</v>
      </c>
      <c r="II113" s="247" t="s">
        <v>1883</v>
      </c>
      <c r="IJ113" s="247" t="s">
        <v>393</v>
      </c>
      <c r="IK113" s="237">
        <v>43815</v>
      </c>
      <c r="IL113" s="245" t="s">
        <v>7556</v>
      </c>
      <c r="IM113" s="245">
        <v>2</v>
      </c>
      <c r="IN113" s="245" t="s">
        <v>1587</v>
      </c>
      <c r="IO113" s="245" t="s">
        <v>601</v>
      </c>
      <c r="IP113" s="245">
        <v>1</v>
      </c>
      <c r="IQ113" s="245" t="s">
        <v>1883</v>
      </c>
      <c r="IR113" s="245" t="s">
        <v>393</v>
      </c>
      <c r="IS113" s="246">
        <v>43815</v>
      </c>
    </row>
    <row r="114" spans="1:253" s="11" customFormat="1" ht="13.2" x14ac:dyDescent="0.25">
      <c r="A114" s="11" t="s">
        <v>1101</v>
      </c>
      <c r="B114" s="11" t="s">
        <v>1280</v>
      </c>
      <c r="C114" s="11" t="s">
        <v>807</v>
      </c>
      <c r="D114" s="11" t="s">
        <v>264</v>
      </c>
      <c r="E114" s="11" t="s">
        <v>263</v>
      </c>
      <c r="F114" s="11" t="s">
        <v>7557</v>
      </c>
      <c r="G114" s="235">
        <v>9661000</v>
      </c>
      <c r="H114" s="236" t="s">
        <v>956</v>
      </c>
      <c r="I114" s="236" t="s">
        <v>600</v>
      </c>
      <c r="J114" s="236">
        <v>2</v>
      </c>
      <c r="K114" s="236" t="s">
        <v>959</v>
      </c>
      <c r="L114" s="236" t="s">
        <v>958</v>
      </c>
      <c r="M114" s="237">
        <v>43511</v>
      </c>
      <c r="N114" s="244" t="s">
        <v>7558</v>
      </c>
      <c r="O114" s="239">
        <v>10646</v>
      </c>
      <c r="P114" s="239" t="s">
        <v>957</v>
      </c>
      <c r="Q114" s="239" t="s">
        <v>600</v>
      </c>
      <c r="R114" s="239">
        <v>2</v>
      </c>
      <c r="S114" s="239" t="s">
        <v>961</v>
      </c>
      <c r="T114" s="239" t="s">
        <v>960</v>
      </c>
      <c r="U114" s="240">
        <v>43511</v>
      </c>
      <c r="V114" s="244" t="s">
        <v>7559</v>
      </c>
      <c r="W114" s="236">
        <v>4576000</v>
      </c>
      <c r="X114" s="236" t="s">
        <v>2857</v>
      </c>
      <c r="Y114" s="236" t="s">
        <v>600</v>
      </c>
      <c r="Z114" s="236">
        <v>2</v>
      </c>
      <c r="AA114" s="236" t="s">
        <v>2119</v>
      </c>
      <c r="AB114" s="236" t="s">
        <v>2858</v>
      </c>
      <c r="AC114" s="237">
        <v>44069</v>
      </c>
      <c r="AD114" s="244" t="s">
        <v>7560</v>
      </c>
      <c r="AE114" s="241">
        <v>149000</v>
      </c>
      <c r="AF114" s="241" t="s">
        <v>1367</v>
      </c>
      <c r="AG114" s="241" t="s">
        <v>600</v>
      </c>
      <c r="AH114" s="241">
        <v>2</v>
      </c>
      <c r="AI114" s="241" t="s">
        <v>3920</v>
      </c>
      <c r="AJ114" s="241" t="s">
        <v>3943</v>
      </c>
      <c r="AK114" s="242">
        <v>44134</v>
      </c>
      <c r="AL114" s="244" t="s">
        <v>7561</v>
      </c>
      <c r="AM114" s="236">
        <v>149000</v>
      </c>
      <c r="AN114" s="236" t="s">
        <v>2611</v>
      </c>
      <c r="AO114" s="236" t="s">
        <v>600</v>
      </c>
      <c r="AP114" s="236">
        <v>2</v>
      </c>
      <c r="AQ114" s="236" t="s">
        <v>3936</v>
      </c>
      <c r="AR114" s="236" t="s">
        <v>3939</v>
      </c>
      <c r="AS114" s="237">
        <v>44134</v>
      </c>
      <c r="AT114" s="245" t="s">
        <v>7562</v>
      </c>
      <c r="AU114" s="241" t="s">
        <v>393</v>
      </c>
      <c r="AV114" s="241" t="s">
        <v>720</v>
      </c>
      <c r="AW114" s="241" t="s">
        <v>600</v>
      </c>
      <c r="AX114" s="241">
        <v>2</v>
      </c>
      <c r="AY114" s="241" t="s">
        <v>963</v>
      </c>
      <c r="AZ114" s="241" t="s">
        <v>962</v>
      </c>
      <c r="BA114" s="242">
        <v>43511</v>
      </c>
      <c r="BB114" s="244" t="s">
        <v>7563</v>
      </c>
      <c r="BC114" s="236" t="s">
        <v>393</v>
      </c>
      <c r="BD114" s="236" t="s">
        <v>720</v>
      </c>
      <c r="BE114" s="236" t="s">
        <v>600</v>
      </c>
      <c r="BF114" s="236">
        <v>2</v>
      </c>
      <c r="BG114" s="236" t="s">
        <v>964</v>
      </c>
      <c r="BH114" s="236" t="s">
        <v>962</v>
      </c>
      <c r="BI114" s="237">
        <v>43511</v>
      </c>
      <c r="BJ114" s="245" t="s">
        <v>7564</v>
      </c>
      <c r="BK114" s="245" t="s">
        <v>393</v>
      </c>
      <c r="BL114" s="245" t="s">
        <v>393</v>
      </c>
      <c r="BM114" s="245" t="s">
        <v>393</v>
      </c>
      <c r="BN114" s="245" t="s">
        <v>393</v>
      </c>
      <c r="BO114" s="245" t="s">
        <v>3935</v>
      </c>
      <c r="BP114" s="241" t="s">
        <v>393</v>
      </c>
      <c r="BQ114" s="246">
        <v>44134</v>
      </c>
      <c r="BR114" s="244" t="s">
        <v>7565</v>
      </c>
      <c r="BS114" s="247">
        <v>0</v>
      </c>
      <c r="BT114" s="247">
        <v>0</v>
      </c>
      <c r="BU114" s="247" t="s">
        <v>600</v>
      </c>
      <c r="BV114" s="247">
        <v>2</v>
      </c>
      <c r="BW114" s="247" t="s">
        <v>965</v>
      </c>
      <c r="BX114" s="247">
        <v>0</v>
      </c>
      <c r="BY114" s="237">
        <v>43511</v>
      </c>
      <c r="BZ114" s="245" t="s">
        <v>7566</v>
      </c>
      <c r="CA114" s="245">
        <v>0</v>
      </c>
      <c r="CB114" s="245">
        <v>0</v>
      </c>
      <c r="CC114" s="245" t="s">
        <v>600</v>
      </c>
      <c r="CD114" s="245">
        <v>2</v>
      </c>
      <c r="CE114" s="245" t="s">
        <v>965</v>
      </c>
      <c r="CF114" s="245">
        <v>0</v>
      </c>
      <c r="CG114" s="246">
        <v>43511</v>
      </c>
      <c r="CH114" s="244" t="s">
        <v>7567</v>
      </c>
      <c r="CI114" s="245" t="e">
        <v>#N/A</v>
      </c>
      <c r="CJ114" s="245" t="e">
        <v>#N/A</v>
      </c>
      <c r="CK114" s="245" t="e">
        <v>#N/A</v>
      </c>
      <c r="CL114" s="245" t="e">
        <v>#N/A</v>
      </c>
      <c r="CM114" s="245" t="e">
        <v>#N/A</v>
      </c>
      <c r="CN114" s="245" t="e">
        <v>#N/A</v>
      </c>
      <c r="CO114" s="248" t="e">
        <v>#N/A</v>
      </c>
      <c r="CP114" s="245" t="s">
        <v>7568</v>
      </c>
      <c r="CQ114" s="247">
        <v>0</v>
      </c>
      <c r="CR114" s="247">
        <v>0</v>
      </c>
      <c r="CS114" s="247" t="s">
        <v>600</v>
      </c>
      <c r="CT114" s="247">
        <v>2</v>
      </c>
      <c r="CU114" s="247" t="s">
        <v>966</v>
      </c>
      <c r="CV114" s="247">
        <v>0</v>
      </c>
      <c r="CW114" s="237">
        <v>43511</v>
      </c>
      <c r="CX114" s="245" t="s">
        <v>7569</v>
      </c>
      <c r="CY114" s="241">
        <v>149000</v>
      </c>
      <c r="CZ114" s="241" t="s">
        <v>2611</v>
      </c>
      <c r="DA114" s="241" t="s">
        <v>600</v>
      </c>
      <c r="DB114" s="241">
        <v>2</v>
      </c>
      <c r="DC114" s="241" t="s">
        <v>3925</v>
      </c>
      <c r="DD114" s="241" t="s">
        <v>3940</v>
      </c>
      <c r="DE114" s="243">
        <v>44134</v>
      </c>
      <c r="DF114" s="244" t="s">
        <v>7570</v>
      </c>
      <c r="DG114" s="236">
        <v>4427000</v>
      </c>
      <c r="DH114" s="247" t="s">
        <v>2857</v>
      </c>
      <c r="DI114" s="247" t="s">
        <v>600</v>
      </c>
      <c r="DJ114" s="247">
        <v>2</v>
      </c>
      <c r="DK114" s="247" t="s">
        <v>3938</v>
      </c>
      <c r="DL114" s="247" t="s">
        <v>2858</v>
      </c>
      <c r="DM114" s="237">
        <v>44134</v>
      </c>
      <c r="DN114" s="245" t="s">
        <v>7571</v>
      </c>
      <c r="DO114" s="241">
        <v>0</v>
      </c>
      <c r="DP114" s="245" t="s">
        <v>2611</v>
      </c>
      <c r="DQ114" s="245" t="s">
        <v>600</v>
      </c>
      <c r="DR114" s="245">
        <v>2</v>
      </c>
      <c r="DS114" s="245" t="s">
        <v>3937</v>
      </c>
      <c r="DT114" s="245" t="s">
        <v>3939</v>
      </c>
      <c r="DU114" s="246">
        <v>44134</v>
      </c>
      <c r="DV114" s="244" t="s">
        <v>7572</v>
      </c>
      <c r="DW114" s="236">
        <v>149000</v>
      </c>
      <c r="DX114" s="247" t="s">
        <v>2611</v>
      </c>
      <c r="DY114" s="247" t="s">
        <v>600</v>
      </c>
      <c r="DZ114" s="247">
        <v>2</v>
      </c>
      <c r="EA114" s="247" t="s">
        <v>3925</v>
      </c>
      <c r="EB114" s="247" t="s">
        <v>3940</v>
      </c>
      <c r="EC114" s="237">
        <v>44134</v>
      </c>
      <c r="ED114" s="245" t="s">
        <v>7573</v>
      </c>
      <c r="EE114" s="241">
        <v>0</v>
      </c>
      <c r="EF114" s="245" t="s">
        <v>2611</v>
      </c>
      <c r="EG114" s="245" t="s">
        <v>600</v>
      </c>
      <c r="EH114" s="245">
        <v>2</v>
      </c>
      <c r="EI114" s="245" t="s">
        <v>3937</v>
      </c>
      <c r="EJ114" s="245" t="s">
        <v>3941</v>
      </c>
      <c r="EK114" s="246">
        <v>44134</v>
      </c>
      <c r="EL114" s="244" t="s">
        <v>7574</v>
      </c>
      <c r="EM114" s="236">
        <v>0</v>
      </c>
      <c r="EN114" s="247" t="s">
        <v>2611</v>
      </c>
      <c r="EO114" s="247" t="s">
        <v>600</v>
      </c>
      <c r="EP114" s="247">
        <v>2</v>
      </c>
      <c r="EQ114" s="247" t="s">
        <v>3937</v>
      </c>
      <c r="ER114" s="247" t="s">
        <v>3942</v>
      </c>
      <c r="ES114" s="237">
        <v>44134</v>
      </c>
      <c r="ET114" s="245" t="s">
        <v>7575</v>
      </c>
      <c r="EU114" s="245" t="s">
        <v>393</v>
      </c>
      <c r="EV114" s="245" t="s">
        <v>393</v>
      </c>
      <c r="EW114" s="245" t="s">
        <v>393</v>
      </c>
      <c r="EX114" s="245" t="s">
        <v>393</v>
      </c>
      <c r="EY114" s="245" t="s">
        <v>3935</v>
      </c>
      <c r="EZ114" s="245" t="s">
        <v>393</v>
      </c>
      <c r="FA114" s="246">
        <v>44134</v>
      </c>
      <c r="FB114" s="244" t="s">
        <v>7576</v>
      </c>
      <c r="FC114" s="247">
        <v>2</v>
      </c>
      <c r="FD114" s="247">
        <v>0</v>
      </c>
      <c r="FE114" s="247" t="s">
        <v>600</v>
      </c>
      <c r="FF114" s="247">
        <v>2</v>
      </c>
      <c r="FG114" s="247">
        <v>0</v>
      </c>
      <c r="FH114" s="247">
        <v>0</v>
      </c>
      <c r="FI114" s="237">
        <v>43511</v>
      </c>
      <c r="FJ114" s="244" t="s">
        <v>7577</v>
      </c>
      <c r="FK114" s="245">
        <v>0</v>
      </c>
      <c r="FL114" s="245">
        <v>0</v>
      </c>
      <c r="FM114" s="245" t="s">
        <v>600</v>
      </c>
      <c r="FN114" s="245">
        <v>2</v>
      </c>
      <c r="FO114" s="245" t="s">
        <v>967</v>
      </c>
      <c r="FP114" s="241">
        <v>0</v>
      </c>
      <c r="FQ114" s="242">
        <v>43511</v>
      </c>
      <c r="FR114" s="244" t="s">
        <v>7578</v>
      </c>
      <c r="FS114" s="247">
        <v>0</v>
      </c>
      <c r="FT114" s="247">
        <v>0</v>
      </c>
      <c r="FU114" s="247" t="s">
        <v>600</v>
      </c>
      <c r="FV114" s="247">
        <v>2</v>
      </c>
      <c r="FW114" s="247">
        <v>0</v>
      </c>
      <c r="FX114" s="247">
        <v>0</v>
      </c>
      <c r="FY114" s="237">
        <v>43511</v>
      </c>
      <c r="FZ114" s="245" t="s">
        <v>7579</v>
      </c>
      <c r="GA114" s="245">
        <v>0</v>
      </c>
      <c r="GB114" s="245" t="s">
        <v>1587</v>
      </c>
      <c r="GC114" s="245" t="s">
        <v>601</v>
      </c>
      <c r="GD114" s="245">
        <v>1</v>
      </c>
      <c r="GE114" s="245" t="s">
        <v>1623</v>
      </c>
      <c r="GF114" s="245" t="s">
        <v>1624</v>
      </c>
      <c r="GG114" s="246">
        <v>43769</v>
      </c>
      <c r="GH114" s="244" t="s">
        <v>7580</v>
      </c>
      <c r="GI114" s="247">
        <v>0</v>
      </c>
      <c r="GJ114" s="247" t="s">
        <v>1587</v>
      </c>
      <c r="GK114" s="247" t="s">
        <v>601</v>
      </c>
      <c r="GL114" s="247">
        <v>1</v>
      </c>
      <c r="GM114" s="247" t="s">
        <v>1623</v>
      </c>
      <c r="GN114" s="247" t="s">
        <v>1624</v>
      </c>
      <c r="GO114" s="237">
        <v>43769</v>
      </c>
      <c r="GP114" s="245" t="s">
        <v>7581</v>
      </c>
      <c r="GQ114" s="245">
        <v>0</v>
      </c>
      <c r="GR114" s="245" t="s">
        <v>1587</v>
      </c>
      <c r="GS114" s="245" t="s">
        <v>601</v>
      </c>
      <c r="GT114" s="245">
        <v>1</v>
      </c>
      <c r="GU114" s="245" t="s">
        <v>1623</v>
      </c>
      <c r="GV114" s="245" t="s">
        <v>1624</v>
      </c>
      <c r="GW114" s="246">
        <v>43769</v>
      </c>
      <c r="GX114" s="244" t="s">
        <v>7582</v>
      </c>
      <c r="GY114" s="247">
        <v>2</v>
      </c>
      <c r="GZ114" s="247" t="s">
        <v>1587</v>
      </c>
      <c r="HA114" s="247" t="s">
        <v>601</v>
      </c>
      <c r="HB114" s="247">
        <v>1</v>
      </c>
      <c r="HC114" s="247" t="s">
        <v>1623</v>
      </c>
      <c r="HD114" s="247" t="s">
        <v>1624</v>
      </c>
      <c r="HE114" s="237">
        <v>43769</v>
      </c>
      <c r="HF114" s="245" t="s">
        <v>7583</v>
      </c>
      <c r="HG114" s="245">
        <v>0</v>
      </c>
      <c r="HH114" s="245" t="s">
        <v>1587</v>
      </c>
      <c r="HI114" s="245" t="s">
        <v>601</v>
      </c>
      <c r="HJ114" s="245">
        <v>1</v>
      </c>
      <c r="HK114" s="245" t="s">
        <v>1623</v>
      </c>
      <c r="HL114" s="245" t="s">
        <v>1624</v>
      </c>
      <c r="HM114" s="246">
        <v>43769</v>
      </c>
      <c r="HN114" s="244" t="s">
        <v>7584</v>
      </c>
      <c r="HO114" s="247">
        <v>0</v>
      </c>
      <c r="HP114" s="247" t="s">
        <v>1587</v>
      </c>
      <c r="HQ114" s="247" t="s">
        <v>601</v>
      </c>
      <c r="HR114" s="247">
        <v>1</v>
      </c>
      <c r="HS114" s="247" t="s">
        <v>1623</v>
      </c>
      <c r="HT114" s="247" t="s">
        <v>1624</v>
      </c>
      <c r="HU114" s="237">
        <v>43769</v>
      </c>
      <c r="HV114" s="245" t="s">
        <v>7585</v>
      </c>
      <c r="HW114" s="245">
        <v>0</v>
      </c>
      <c r="HX114" s="245" t="s">
        <v>1587</v>
      </c>
      <c r="HY114" s="245" t="s">
        <v>601</v>
      </c>
      <c r="HZ114" s="245">
        <v>1</v>
      </c>
      <c r="IA114" s="245" t="s">
        <v>1623</v>
      </c>
      <c r="IB114" s="245" t="s">
        <v>1624</v>
      </c>
      <c r="IC114" s="246">
        <v>43769</v>
      </c>
      <c r="ID114" s="244" t="s">
        <v>7586</v>
      </c>
      <c r="IE114" s="247">
        <v>0</v>
      </c>
      <c r="IF114" s="247" t="s">
        <v>1587</v>
      </c>
      <c r="IG114" s="247" t="s">
        <v>601</v>
      </c>
      <c r="IH114" s="247">
        <v>1</v>
      </c>
      <c r="II114" s="247" t="s">
        <v>1623</v>
      </c>
      <c r="IJ114" s="247" t="s">
        <v>1624</v>
      </c>
      <c r="IK114" s="237">
        <v>43769</v>
      </c>
      <c r="IL114" s="245" t="s">
        <v>7587</v>
      </c>
      <c r="IM114" s="245">
        <v>0</v>
      </c>
      <c r="IN114" s="245" t="s">
        <v>1587</v>
      </c>
      <c r="IO114" s="245" t="s">
        <v>601</v>
      </c>
      <c r="IP114" s="245">
        <v>1</v>
      </c>
      <c r="IQ114" s="245" t="s">
        <v>1623</v>
      </c>
      <c r="IR114" s="245" t="s">
        <v>1624</v>
      </c>
      <c r="IS114" s="246">
        <v>43769</v>
      </c>
    </row>
    <row r="115" spans="1:253" s="11" customFormat="1" ht="13.2" x14ac:dyDescent="0.25">
      <c r="A115" s="11" t="s">
        <v>778</v>
      </c>
      <c r="B115" s="11" t="s">
        <v>651</v>
      </c>
      <c r="C115" s="11" t="s">
        <v>673</v>
      </c>
      <c r="D115" s="11" t="s">
        <v>278</v>
      </c>
      <c r="E115" s="11" t="s">
        <v>277</v>
      </c>
      <c r="F115" s="11" t="s">
        <v>7588</v>
      </c>
      <c r="G115" s="235">
        <v>16303000</v>
      </c>
      <c r="H115" s="236" t="s">
        <v>2688</v>
      </c>
      <c r="I115" s="236" t="s">
        <v>600</v>
      </c>
      <c r="J115" s="236">
        <v>2</v>
      </c>
      <c r="K115" s="236" t="s">
        <v>2690</v>
      </c>
      <c r="L115" s="236" t="s">
        <v>2689</v>
      </c>
      <c r="M115" s="237">
        <v>44015</v>
      </c>
      <c r="N115" s="244" t="s">
        <v>7589</v>
      </c>
      <c r="O115" s="239">
        <v>192530</v>
      </c>
      <c r="P115" s="239" t="s">
        <v>3295</v>
      </c>
      <c r="Q115" s="239" t="s">
        <v>601</v>
      </c>
      <c r="R115" s="239">
        <v>1</v>
      </c>
      <c r="S115" s="239" t="s">
        <v>706</v>
      </c>
      <c r="T115" s="239" t="s">
        <v>3511</v>
      </c>
      <c r="U115" s="240">
        <v>44109</v>
      </c>
      <c r="V115" s="244" t="s">
        <v>7590</v>
      </c>
      <c r="W115" s="236">
        <v>16303000</v>
      </c>
      <c r="X115" s="236" t="s">
        <v>2688</v>
      </c>
      <c r="Y115" s="236" t="s">
        <v>600</v>
      </c>
      <c r="Z115" s="236">
        <v>2</v>
      </c>
      <c r="AA115" s="236" t="s">
        <v>2690</v>
      </c>
      <c r="AB115" s="236" t="s">
        <v>2689</v>
      </c>
      <c r="AC115" s="237">
        <v>44015</v>
      </c>
      <c r="AD115" s="244" t="s">
        <v>7591</v>
      </c>
      <c r="AE115" s="241">
        <v>2926000</v>
      </c>
      <c r="AF115" s="241" t="s">
        <v>2691</v>
      </c>
      <c r="AG115" s="241" t="s">
        <v>600</v>
      </c>
      <c r="AH115" s="241">
        <v>2</v>
      </c>
      <c r="AI115" s="241" t="s">
        <v>2692</v>
      </c>
      <c r="AJ115" s="241" t="s">
        <v>707</v>
      </c>
      <c r="AK115" s="242">
        <v>44015</v>
      </c>
      <c r="AL115" s="244" t="s">
        <v>7592</v>
      </c>
      <c r="AM115" s="236" t="s">
        <v>393</v>
      </c>
      <c r="AN115" s="236" t="s">
        <v>393</v>
      </c>
      <c r="AO115" s="236" t="s">
        <v>393</v>
      </c>
      <c r="AP115" s="236" t="s">
        <v>393</v>
      </c>
      <c r="AQ115" s="236" t="s">
        <v>692</v>
      </c>
      <c r="AR115" s="236" t="s">
        <v>393</v>
      </c>
      <c r="AS115" s="237">
        <v>43811</v>
      </c>
      <c r="AT115" s="245" t="s">
        <v>7593</v>
      </c>
      <c r="AU115" s="241">
        <v>0</v>
      </c>
      <c r="AV115" s="241">
        <v>0</v>
      </c>
      <c r="AW115" s="241" t="s">
        <v>600</v>
      </c>
      <c r="AX115" s="241">
        <v>2</v>
      </c>
      <c r="AY115" s="241">
        <v>0</v>
      </c>
      <c r="AZ115" s="241">
        <v>0</v>
      </c>
      <c r="BA115" s="242">
        <v>43489</v>
      </c>
      <c r="BB115" s="244" t="s">
        <v>7594</v>
      </c>
      <c r="BC115" s="236">
        <v>0</v>
      </c>
      <c r="BD115" s="236">
        <v>0</v>
      </c>
      <c r="BE115" s="236" t="s">
        <v>600</v>
      </c>
      <c r="BF115" s="236">
        <v>2</v>
      </c>
      <c r="BG115" s="236">
        <v>0</v>
      </c>
      <c r="BH115" s="236">
        <v>0</v>
      </c>
      <c r="BI115" s="237">
        <v>43489</v>
      </c>
      <c r="BJ115" s="245" t="s">
        <v>7595</v>
      </c>
      <c r="BK115" s="245">
        <v>0</v>
      </c>
      <c r="BL115" s="245">
        <v>0</v>
      </c>
      <c r="BM115" s="245" t="s">
        <v>600</v>
      </c>
      <c r="BN115" s="245">
        <v>2</v>
      </c>
      <c r="BO115" s="245">
        <v>0</v>
      </c>
      <c r="BP115" s="241">
        <v>0</v>
      </c>
      <c r="BQ115" s="246">
        <v>43489</v>
      </c>
      <c r="BR115" s="244" t="s">
        <v>7596</v>
      </c>
      <c r="BS115" s="247">
        <v>0</v>
      </c>
      <c r="BT115" s="247">
        <v>0</v>
      </c>
      <c r="BU115" s="247" t="s">
        <v>600</v>
      </c>
      <c r="BV115" s="247">
        <v>2</v>
      </c>
      <c r="BW115" s="247">
        <v>0</v>
      </c>
      <c r="BX115" s="247">
        <v>0</v>
      </c>
      <c r="BY115" s="237">
        <v>43489</v>
      </c>
      <c r="BZ115" s="245" t="s">
        <v>7597</v>
      </c>
      <c r="CA115" s="245">
        <v>0</v>
      </c>
      <c r="CB115" s="245">
        <v>0</v>
      </c>
      <c r="CC115" s="245" t="s">
        <v>600</v>
      </c>
      <c r="CD115" s="245">
        <v>2</v>
      </c>
      <c r="CE115" s="245">
        <v>0</v>
      </c>
      <c r="CF115" s="245">
        <v>0</v>
      </c>
      <c r="CG115" s="246">
        <v>43489</v>
      </c>
      <c r="CH115" s="244" t="s">
        <v>7598</v>
      </c>
      <c r="CI115" s="245" t="e">
        <v>#N/A</v>
      </c>
      <c r="CJ115" s="245" t="e">
        <v>#N/A</v>
      </c>
      <c r="CK115" s="245" t="e">
        <v>#N/A</v>
      </c>
      <c r="CL115" s="245" t="e">
        <v>#N/A</v>
      </c>
      <c r="CM115" s="245" t="e">
        <v>#N/A</v>
      </c>
      <c r="CN115" s="245" t="e">
        <v>#N/A</v>
      </c>
      <c r="CO115" s="248" t="e">
        <v>#N/A</v>
      </c>
      <c r="CP115" s="245" t="s">
        <v>7599</v>
      </c>
      <c r="CQ115" s="247" t="s">
        <v>393</v>
      </c>
      <c r="CR115" s="247">
        <v>0</v>
      </c>
      <c r="CS115" s="247" t="s">
        <v>599</v>
      </c>
      <c r="CT115" s="247">
        <v>3</v>
      </c>
      <c r="CU115" s="247" t="s">
        <v>694</v>
      </c>
      <c r="CV115" s="247">
        <v>0</v>
      </c>
      <c r="CW115" s="237">
        <v>43489</v>
      </c>
      <c r="CX115" s="245" t="s">
        <v>7600</v>
      </c>
      <c r="CY115" s="241">
        <v>437000</v>
      </c>
      <c r="CZ115" s="241" t="s">
        <v>2691</v>
      </c>
      <c r="DA115" s="241" t="s">
        <v>600</v>
      </c>
      <c r="DB115" s="241">
        <v>2</v>
      </c>
      <c r="DC115" s="241" t="s">
        <v>2693</v>
      </c>
      <c r="DD115" s="241" t="s">
        <v>707</v>
      </c>
      <c r="DE115" s="243">
        <v>44015</v>
      </c>
      <c r="DF115" s="244" t="s">
        <v>7601</v>
      </c>
      <c r="DG115" s="236">
        <v>13377000</v>
      </c>
      <c r="DH115" s="247" t="s">
        <v>2691</v>
      </c>
      <c r="DI115" s="247" t="s">
        <v>600</v>
      </c>
      <c r="DJ115" s="247">
        <v>2</v>
      </c>
      <c r="DK115" s="247" t="s">
        <v>2693</v>
      </c>
      <c r="DL115" s="247" t="s">
        <v>707</v>
      </c>
      <c r="DM115" s="237">
        <v>44015</v>
      </c>
      <c r="DN115" s="245" t="s">
        <v>7602</v>
      </c>
      <c r="DO115" s="241">
        <v>2489000</v>
      </c>
      <c r="DP115" s="245" t="s">
        <v>2691</v>
      </c>
      <c r="DQ115" s="245" t="s">
        <v>600</v>
      </c>
      <c r="DR115" s="245">
        <v>2</v>
      </c>
      <c r="DS115" s="245" t="s">
        <v>2693</v>
      </c>
      <c r="DT115" s="245" t="s">
        <v>707</v>
      </c>
      <c r="DU115" s="246">
        <v>44015</v>
      </c>
      <c r="DV115" s="244" t="s">
        <v>7603</v>
      </c>
      <c r="DW115" s="236">
        <v>437000</v>
      </c>
      <c r="DX115" s="247" t="s">
        <v>2691</v>
      </c>
      <c r="DY115" s="247" t="s">
        <v>600</v>
      </c>
      <c r="DZ115" s="247">
        <v>2</v>
      </c>
      <c r="EA115" s="247" t="s">
        <v>2693</v>
      </c>
      <c r="EB115" s="247" t="s">
        <v>707</v>
      </c>
      <c r="EC115" s="237">
        <v>44015</v>
      </c>
      <c r="ED115" s="245" t="s">
        <v>7604</v>
      </c>
      <c r="EE115" s="241">
        <v>0</v>
      </c>
      <c r="EF115" s="245" t="s">
        <v>2691</v>
      </c>
      <c r="EG115" s="245" t="s">
        <v>600</v>
      </c>
      <c r="EH115" s="245">
        <v>2</v>
      </c>
      <c r="EI115" s="245" t="s">
        <v>2693</v>
      </c>
      <c r="EJ115" s="245" t="s">
        <v>707</v>
      </c>
      <c r="EK115" s="246">
        <v>44015</v>
      </c>
      <c r="EL115" s="244" t="s">
        <v>7605</v>
      </c>
      <c r="EM115" s="236">
        <v>0</v>
      </c>
      <c r="EN115" s="247" t="s">
        <v>2691</v>
      </c>
      <c r="EO115" s="247" t="s">
        <v>600</v>
      </c>
      <c r="EP115" s="247">
        <v>2</v>
      </c>
      <c r="EQ115" s="247" t="s">
        <v>2693</v>
      </c>
      <c r="ER115" s="247" t="s">
        <v>707</v>
      </c>
      <c r="ES115" s="237">
        <v>44015</v>
      </c>
      <c r="ET115" s="245" t="s">
        <v>7606</v>
      </c>
      <c r="EU115" s="245">
        <v>0</v>
      </c>
      <c r="EV115" s="245">
        <v>0</v>
      </c>
      <c r="EW115" s="245" t="s">
        <v>600</v>
      </c>
      <c r="EX115" s="245">
        <v>2</v>
      </c>
      <c r="EY115" s="245">
        <v>0</v>
      </c>
      <c r="EZ115" s="245">
        <v>0</v>
      </c>
      <c r="FA115" s="246">
        <v>43489</v>
      </c>
      <c r="FB115" s="244" t="s">
        <v>7607</v>
      </c>
      <c r="FC115" s="247">
        <v>4</v>
      </c>
      <c r="FD115" s="247">
        <v>0</v>
      </c>
      <c r="FE115" s="247" t="s">
        <v>601</v>
      </c>
      <c r="FF115" s="247">
        <v>1</v>
      </c>
      <c r="FG115" s="247" t="s">
        <v>693</v>
      </c>
      <c r="FH115" s="247">
        <v>0</v>
      </c>
      <c r="FI115" s="237">
        <v>43489</v>
      </c>
      <c r="FJ115" s="244" t="s">
        <v>7608</v>
      </c>
      <c r="FK115" s="245">
        <v>0</v>
      </c>
      <c r="FL115" s="245">
        <v>0</v>
      </c>
      <c r="FM115" s="245" t="s">
        <v>600</v>
      </c>
      <c r="FN115" s="245">
        <v>2</v>
      </c>
      <c r="FO115" s="245">
        <v>0</v>
      </c>
      <c r="FP115" s="241">
        <v>0</v>
      </c>
      <c r="FQ115" s="242">
        <v>43580</v>
      </c>
      <c r="FR115" s="244" t="s">
        <v>7609</v>
      </c>
      <c r="FS115" s="247">
        <v>0</v>
      </c>
      <c r="FT115" s="247">
        <v>0</v>
      </c>
      <c r="FU115" s="247" t="s">
        <v>600</v>
      </c>
      <c r="FV115" s="247">
        <v>2</v>
      </c>
      <c r="FW115" s="247">
        <v>0</v>
      </c>
      <c r="FX115" s="247">
        <v>0</v>
      </c>
      <c r="FY115" s="237">
        <v>43580</v>
      </c>
      <c r="FZ115" s="245" t="s">
        <v>7610</v>
      </c>
      <c r="GA115" s="245">
        <v>0</v>
      </c>
      <c r="GB115" s="245" t="s">
        <v>1587</v>
      </c>
      <c r="GC115" s="245" t="s">
        <v>601</v>
      </c>
      <c r="GD115" s="245">
        <v>1</v>
      </c>
      <c r="GE115" s="245" t="s">
        <v>1623</v>
      </c>
      <c r="GF115" s="245" t="s">
        <v>1624</v>
      </c>
      <c r="GG115" s="246">
        <v>43769</v>
      </c>
      <c r="GH115" s="244" t="s">
        <v>7611</v>
      </c>
      <c r="GI115" s="247">
        <v>0</v>
      </c>
      <c r="GJ115" s="247" t="s">
        <v>1587</v>
      </c>
      <c r="GK115" s="247" t="s">
        <v>601</v>
      </c>
      <c r="GL115" s="247">
        <v>1</v>
      </c>
      <c r="GM115" s="247" t="s">
        <v>1623</v>
      </c>
      <c r="GN115" s="247" t="s">
        <v>1624</v>
      </c>
      <c r="GO115" s="237">
        <v>43769</v>
      </c>
      <c r="GP115" s="245" t="s">
        <v>7612</v>
      </c>
      <c r="GQ115" s="245">
        <v>0</v>
      </c>
      <c r="GR115" s="245" t="s">
        <v>1587</v>
      </c>
      <c r="GS115" s="245" t="s">
        <v>601</v>
      </c>
      <c r="GT115" s="245">
        <v>1</v>
      </c>
      <c r="GU115" s="245" t="s">
        <v>1623</v>
      </c>
      <c r="GV115" s="245" t="s">
        <v>1624</v>
      </c>
      <c r="GW115" s="246">
        <v>43769</v>
      </c>
      <c r="GX115" s="244" t="s">
        <v>7613</v>
      </c>
      <c r="GY115" s="247">
        <v>2</v>
      </c>
      <c r="GZ115" s="247" t="s">
        <v>1587</v>
      </c>
      <c r="HA115" s="247" t="s">
        <v>601</v>
      </c>
      <c r="HB115" s="247">
        <v>1</v>
      </c>
      <c r="HC115" s="247" t="s">
        <v>1623</v>
      </c>
      <c r="HD115" s="247" t="s">
        <v>1624</v>
      </c>
      <c r="HE115" s="237">
        <v>43769</v>
      </c>
      <c r="HF115" s="245" t="s">
        <v>7614</v>
      </c>
      <c r="HG115" s="245">
        <v>0</v>
      </c>
      <c r="HH115" s="245" t="s">
        <v>1587</v>
      </c>
      <c r="HI115" s="245" t="s">
        <v>601</v>
      </c>
      <c r="HJ115" s="245">
        <v>1</v>
      </c>
      <c r="HK115" s="245" t="s">
        <v>1623</v>
      </c>
      <c r="HL115" s="245" t="s">
        <v>1624</v>
      </c>
      <c r="HM115" s="246">
        <v>43769</v>
      </c>
      <c r="HN115" s="244" t="s">
        <v>7615</v>
      </c>
      <c r="HO115" s="247">
        <v>0</v>
      </c>
      <c r="HP115" s="247" t="s">
        <v>1587</v>
      </c>
      <c r="HQ115" s="247" t="s">
        <v>601</v>
      </c>
      <c r="HR115" s="247">
        <v>1</v>
      </c>
      <c r="HS115" s="247" t="s">
        <v>1623</v>
      </c>
      <c r="HT115" s="247" t="s">
        <v>1624</v>
      </c>
      <c r="HU115" s="237">
        <v>43769</v>
      </c>
      <c r="HV115" s="245" t="s">
        <v>7616</v>
      </c>
      <c r="HW115" s="245">
        <v>0</v>
      </c>
      <c r="HX115" s="245" t="s">
        <v>1587</v>
      </c>
      <c r="HY115" s="245" t="s">
        <v>601</v>
      </c>
      <c r="HZ115" s="245">
        <v>1</v>
      </c>
      <c r="IA115" s="245" t="s">
        <v>1623</v>
      </c>
      <c r="IB115" s="245" t="s">
        <v>1624</v>
      </c>
      <c r="IC115" s="246">
        <v>43769</v>
      </c>
      <c r="ID115" s="244" t="s">
        <v>7617</v>
      </c>
      <c r="IE115" s="247">
        <v>1</v>
      </c>
      <c r="IF115" s="247" t="s">
        <v>1587</v>
      </c>
      <c r="IG115" s="247" t="s">
        <v>601</v>
      </c>
      <c r="IH115" s="247">
        <v>1</v>
      </c>
      <c r="II115" s="247" t="s">
        <v>1623</v>
      </c>
      <c r="IJ115" s="247" t="s">
        <v>1624</v>
      </c>
      <c r="IK115" s="237">
        <v>43769</v>
      </c>
      <c r="IL115" s="245" t="s">
        <v>7618</v>
      </c>
      <c r="IM115" s="245">
        <v>0</v>
      </c>
      <c r="IN115" s="245" t="s">
        <v>1587</v>
      </c>
      <c r="IO115" s="245" t="s">
        <v>601</v>
      </c>
      <c r="IP115" s="245">
        <v>1</v>
      </c>
      <c r="IQ115" s="245" t="s">
        <v>1623</v>
      </c>
      <c r="IR115" s="245" t="s">
        <v>1624</v>
      </c>
      <c r="IS115" s="246">
        <v>43769</v>
      </c>
    </row>
    <row r="116" spans="1:253" s="11" customFormat="1" ht="13.2" x14ac:dyDescent="0.25">
      <c r="A116" s="11" t="s">
        <v>1102</v>
      </c>
      <c r="B116" s="11" t="s">
        <v>691</v>
      </c>
      <c r="C116" s="11" t="s">
        <v>592</v>
      </c>
      <c r="D116" s="11" t="s">
        <v>294</v>
      </c>
      <c r="E116" s="11" t="s">
        <v>293</v>
      </c>
      <c r="F116" s="11" t="s">
        <v>7619</v>
      </c>
      <c r="G116" s="235">
        <v>12300000</v>
      </c>
      <c r="H116" s="236" t="s">
        <v>2074</v>
      </c>
      <c r="I116" s="236" t="s">
        <v>600</v>
      </c>
      <c r="J116" s="236">
        <v>2</v>
      </c>
      <c r="K116" s="236" t="s">
        <v>2089</v>
      </c>
      <c r="L116" s="236" t="s">
        <v>2088</v>
      </c>
      <c r="M116" s="237">
        <v>43868</v>
      </c>
      <c r="N116" s="244" t="s">
        <v>7620</v>
      </c>
      <c r="O116" s="239">
        <v>627340</v>
      </c>
      <c r="P116" s="239" t="s">
        <v>1603</v>
      </c>
      <c r="Q116" s="239" t="s">
        <v>601</v>
      </c>
      <c r="R116" s="239">
        <v>1</v>
      </c>
      <c r="S116" s="239" t="s">
        <v>1345</v>
      </c>
      <c r="T116" s="239" t="s">
        <v>1604</v>
      </c>
      <c r="U116" s="240">
        <v>43759</v>
      </c>
      <c r="V116" s="244" t="s">
        <v>7621</v>
      </c>
      <c r="W116" s="236">
        <v>12300000</v>
      </c>
      <c r="X116" s="236" t="s">
        <v>2074</v>
      </c>
      <c r="Y116" s="236" t="s">
        <v>600</v>
      </c>
      <c r="Z116" s="236">
        <v>2</v>
      </c>
      <c r="AA116" s="236" t="s">
        <v>2089</v>
      </c>
      <c r="AB116" s="236" t="s">
        <v>2088</v>
      </c>
      <c r="AC116" s="237">
        <v>43868</v>
      </c>
      <c r="AD116" s="244" t="s">
        <v>7622</v>
      </c>
      <c r="AE116" s="241">
        <v>12300000</v>
      </c>
      <c r="AF116" s="241" t="s">
        <v>2074</v>
      </c>
      <c r="AG116" s="241" t="s">
        <v>600</v>
      </c>
      <c r="AH116" s="241">
        <v>2</v>
      </c>
      <c r="AI116" s="241" t="s">
        <v>2090</v>
      </c>
      <c r="AJ116" s="241" t="s">
        <v>2088</v>
      </c>
      <c r="AK116" s="242">
        <v>43868</v>
      </c>
      <c r="AL116" s="244" t="s">
        <v>7623</v>
      </c>
      <c r="AM116" s="236">
        <v>3939000</v>
      </c>
      <c r="AN116" s="236" t="s">
        <v>2392</v>
      </c>
      <c r="AO116" s="236" t="s">
        <v>599</v>
      </c>
      <c r="AP116" s="236">
        <v>3</v>
      </c>
      <c r="AQ116" s="236" t="s">
        <v>2092</v>
      </c>
      <c r="AR116" s="236" t="s">
        <v>2091</v>
      </c>
      <c r="AS116" s="237">
        <v>44036</v>
      </c>
      <c r="AT116" s="245" t="s">
        <v>7624</v>
      </c>
      <c r="AU116" s="241" t="s">
        <v>393</v>
      </c>
      <c r="AV116" s="241" t="s">
        <v>1353</v>
      </c>
      <c r="AW116" s="241" t="s">
        <v>393</v>
      </c>
      <c r="AX116" s="241" t="s">
        <v>393</v>
      </c>
      <c r="AY116" s="241" t="s">
        <v>1354</v>
      </c>
      <c r="AZ116" s="241" t="s">
        <v>760</v>
      </c>
      <c r="BA116" s="242">
        <v>43612</v>
      </c>
      <c r="BB116" s="244" t="s">
        <v>7625</v>
      </c>
      <c r="BC116" s="236" t="s">
        <v>393</v>
      </c>
      <c r="BD116" s="236" t="s">
        <v>393</v>
      </c>
      <c r="BE116" s="236" t="s">
        <v>393</v>
      </c>
      <c r="BF116" s="236" t="s">
        <v>393</v>
      </c>
      <c r="BG116" s="236" t="s">
        <v>393</v>
      </c>
      <c r="BH116" s="236" t="s">
        <v>393</v>
      </c>
      <c r="BI116" s="237">
        <v>43759</v>
      </c>
      <c r="BJ116" s="245" t="s">
        <v>7626</v>
      </c>
      <c r="BK116" s="245">
        <v>1629</v>
      </c>
      <c r="BL116" s="245" t="s">
        <v>4101</v>
      </c>
      <c r="BM116" s="245" t="s">
        <v>600</v>
      </c>
      <c r="BN116" s="245">
        <v>2</v>
      </c>
      <c r="BO116" s="245" t="s">
        <v>4096</v>
      </c>
      <c r="BP116" s="241" t="s">
        <v>4094</v>
      </c>
      <c r="BQ116" s="246">
        <v>44140</v>
      </c>
      <c r="BR116" s="244" t="s">
        <v>7627</v>
      </c>
      <c r="BS116" s="247" t="s">
        <v>393</v>
      </c>
      <c r="BT116" s="247">
        <v>0</v>
      </c>
      <c r="BU116" s="247" t="s">
        <v>393</v>
      </c>
      <c r="BV116" s="247" t="s">
        <v>393</v>
      </c>
      <c r="BW116" s="247">
        <v>0</v>
      </c>
      <c r="BX116" s="247">
        <v>0</v>
      </c>
      <c r="BY116" s="237">
        <v>43496</v>
      </c>
      <c r="BZ116" s="245" t="s">
        <v>7628</v>
      </c>
      <c r="CA116" s="245" t="s">
        <v>393</v>
      </c>
      <c r="CB116" s="245">
        <v>0</v>
      </c>
      <c r="CC116" s="245" t="s">
        <v>393</v>
      </c>
      <c r="CD116" s="245" t="s">
        <v>393</v>
      </c>
      <c r="CE116" s="245">
        <v>0</v>
      </c>
      <c r="CF116" s="245">
        <v>0</v>
      </c>
      <c r="CG116" s="246">
        <v>43496</v>
      </c>
      <c r="CH116" s="244" t="s">
        <v>7629</v>
      </c>
      <c r="CI116" s="245" t="e">
        <v>#N/A</v>
      </c>
      <c r="CJ116" s="245" t="e">
        <v>#N/A</v>
      </c>
      <c r="CK116" s="245" t="e">
        <v>#N/A</v>
      </c>
      <c r="CL116" s="245" t="e">
        <v>#N/A</v>
      </c>
      <c r="CM116" s="245" t="e">
        <v>#N/A</v>
      </c>
      <c r="CN116" s="245" t="e">
        <v>#N/A</v>
      </c>
      <c r="CO116" s="248" t="e">
        <v>#N/A</v>
      </c>
      <c r="CP116" s="245" t="s">
        <v>7630</v>
      </c>
      <c r="CQ116" s="247" t="s">
        <v>393</v>
      </c>
      <c r="CR116" s="247" t="s">
        <v>393</v>
      </c>
      <c r="CS116" s="247" t="s">
        <v>393</v>
      </c>
      <c r="CT116" s="247" t="s">
        <v>393</v>
      </c>
      <c r="CU116" s="247" t="s">
        <v>393</v>
      </c>
      <c r="CV116" s="247" t="s">
        <v>393</v>
      </c>
      <c r="CW116" s="237">
        <v>43759</v>
      </c>
      <c r="CX116" s="245" t="s">
        <v>7631</v>
      </c>
      <c r="CY116" s="241">
        <v>5200000</v>
      </c>
      <c r="CZ116" s="241" t="s">
        <v>2772</v>
      </c>
      <c r="DA116" s="241" t="s">
        <v>600</v>
      </c>
      <c r="DB116" s="241">
        <v>2</v>
      </c>
      <c r="DC116" s="241" t="s">
        <v>2771</v>
      </c>
      <c r="DD116" s="241" t="s">
        <v>2091</v>
      </c>
      <c r="DE116" s="243">
        <v>44039</v>
      </c>
      <c r="DF116" s="244" t="s">
        <v>7632</v>
      </c>
      <c r="DG116" s="236">
        <v>0</v>
      </c>
      <c r="DH116" s="247" t="s">
        <v>2074</v>
      </c>
      <c r="DI116" s="247" t="s">
        <v>600</v>
      </c>
      <c r="DJ116" s="247">
        <v>2</v>
      </c>
      <c r="DK116" s="247" t="s">
        <v>2093</v>
      </c>
      <c r="DL116" s="247" t="s">
        <v>2088</v>
      </c>
      <c r="DM116" s="237">
        <v>43868</v>
      </c>
      <c r="DN116" s="245" t="s">
        <v>7633</v>
      </c>
      <c r="DO116" s="241">
        <v>7100000</v>
      </c>
      <c r="DP116" s="245" t="s">
        <v>2772</v>
      </c>
      <c r="DQ116" s="245" t="s">
        <v>600</v>
      </c>
      <c r="DR116" s="245">
        <v>2</v>
      </c>
      <c r="DS116" s="245" t="s">
        <v>2771</v>
      </c>
      <c r="DT116" s="245" t="s">
        <v>2091</v>
      </c>
      <c r="DU116" s="246">
        <v>44039</v>
      </c>
      <c r="DV116" s="244" t="s">
        <v>7634</v>
      </c>
      <c r="DW116" s="236">
        <v>2060000</v>
      </c>
      <c r="DX116" s="247" t="s">
        <v>2772</v>
      </c>
      <c r="DY116" s="247" t="s">
        <v>600</v>
      </c>
      <c r="DZ116" s="247">
        <v>2</v>
      </c>
      <c r="EA116" s="247" t="s">
        <v>2771</v>
      </c>
      <c r="EB116" s="247" t="s">
        <v>2091</v>
      </c>
      <c r="EC116" s="237">
        <v>44039</v>
      </c>
      <c r="ED116" s="245" t="s">
        <v>7635</v>
      </c>
      <c r="EE116" s="241">
        <v>2400000</v>
      </c>
      <c r="EF116" s="245" t="s">
        <v>2074</v>
      </c>
      <c r="EG116" s="245" t="s">
        <v>600</v>
      </c>
      <c r="EH116" s="245">
        <v>2</v>
      </c>
      <c r="EI116" s="245" t="s">
        <v>2093</v>
      </c>
      <c r="EJ116" s="245" t="s">
        <v>2088</v>
      </c>
      <c r="EK116" s="246">
        <v>43868</v>
      </c>
      <c r="EL116" s="244" t="s">
        <v>7636</v>
      </c>
      <c r="EM116" s="236">
        <v>740000</v>
      </c>
      <c r="EN116" s="247" t="s">
        <v>2074</v>
      </c>
      <c r="EO116" s="247" t="s">
        <v>600</v>
      </c>
      <c r="EP116" s="247">
        <v>2</v>
      </c>
      <c r="EQ116" s="247" t="s">
        <v>2093</v>
      </c>
      <c r="ER116" s="247" t="s">
        <v>2088</v>
      </c>
      <c r="ES116" s="237">
        <v>43868</v>
      </c>
      <c r="ET116" s="245" t="s">
        <v>7637</v>
      </c>
      <c r="EU116" s="245">
        <v>1301</v>
      </c>
      <c r="EV116" s="245" t="s">
        <v>2760</v>
      </c>
      <c r="EW116" s="245" t="s">
        <v>1581</v>
      </c>
      <c r="EX116" s="245">
        <v>3</v>
      </c>
      <c r="EY116" s="245" t="s">
        <v>2870</v>
      </c>
      <c r="EZ116" s="245" t="s">
        <v>2393</v>
      </c>
      <c r="FA116" s="246">
        <v>44064</v>
      </c>
      <c r="FB116" s="244" t="s">
        <v>7638</v>
      </c>
      <c r="FC116" s="247">
        <v>5</v>
      </c>
      <c r="FD116" s="247">
        <v>0</v>
      </c>
      <c r="FE116" s="247" t="s">
        <v>601</v>
      </c>
      <c r="FF116" s="247">
        <v>1</v>
      </c>
      <c r="FG116" s="247">
        <v>0</v>
      </c>
      <c r="FH116" s="247">
        <v>0</v>
      </c>
      <c r="FI116" s="237">
        <v>43496</v>
      </c>
      <c r="FJ116" s="244" t="s">
        <v>7639</v>
      </c>
      <c r="FK116" s="245" t="s">
        <v>393</v>
      </c>
      <c r="FL116" s="245">
        <v>0</v>
      </c>
      <c r="FM116" s="245" t="s">
        <v>393</v>
      </c>
      <c r="FN116" s="245" t="s">
        <v>393</v>
      </c>
      <c r="FO116" s="245">
        <v>0</v>
      </c>
      <c r="FP116" s="241">
        <v>0</v>
      </c>
      <c r="FQ116" s="242">
        <v>43496</v>
      </c>
      <c r="FR116" s="244" t="s">
        <v>7640</v>
      </c>
      <c r="FS116" s="247" t="s">
        <v>393</v>
      </c>
      <c r="FT116" s="247">
        <v>0</v>
      </c>
      <c r="FU116" s="247" t="s">
        <v>393</v>
      </c>
      <c r="FV116" s="247" t="s">
        <v>393</v>
      </c>
      <c r="FW116" s="247">
        <v>0</v>
      </c>
      <c r="FX116" s="247">
        <v>0</v>
      </c>
      <c r="FY116" s="237">
        <v>43496</v>
      </c>
      <c r="FZ116" s="245" t="s">
        <v>7641</v>
      </c>
      <c r="GA116" s="245">
        <v>1</v>
      </c>
      <c r="GB116" s="245" t="s">
        <v>1587</v>
      </c>
      <c r="GC116" s="245" t="s">
        <v>601</v>
      </c>
      <c r="GD116" s="245">
        <v>1</v>
      </c>
      <c r="GE116" s="245" t="s">
        <v>1623</v>
      </c>
      <c r="GF116" s="245" t="s">
        <v>1624</v>
      </c>
      <c r="GG116" s="246">
        <v>43759</v>
      </c>
      <c r="GH116" s="244" t="s">
        <v>7642</v>
      </c>
      <c r="GI116" s="247">
        <v>3</v>
      </c>
      <c r="GJ116" s="247" t="s">
        <v>1587</v>
      </c>
      <c r="GK116" s="247" t="s">
        <v>601</v>
      </c>
      <c r="GL116" s="247">
        <v>1</v>
      </c>
      <c r="GM116" s="247" t="s">
        <v>1623</v>
      </c>
      <c r="GN116" s="247" t="s">
        <v>1624</v>
      </c>
      <c r="GO116" s="237">
        <v>43759</v>
      </c>
      <c r="GP116" s="245" t="s">
        <v>7643</v>
      </c>
      <c r="GQ116" s="245">
        <v>2</v>
      </c>
      <c r="GR116" s="245" t="s">
        <v>1587</v>
      </c>
      <c r="GS116" s="245" t="s">
        <v>601</v>
      </c>
      <c r="GT116" s="245">
        <v>1</v>
      </c>
      <c r="GU116" s="245" t="s">
        <v>1623</v>
      </c>
      <c r="GV116" s="245" t="s">
        <v>1624</v>
      </c>
      <c r="GW116" s="246">
        <v>43759</v>
      </c>
      <c r="GX116" s="244" t="s">
        <v>7644</v>
      </c>
      <c r="GY116" s="247">
        <v>3</v>
      </c>
      <c r="GZ116" s="247" t="s">
        <v>1587</v>
      </c>
      <c r="HA116" s="247" t="s">
        <v>601</v>
      </c>
      <c r="HB116" s="247">
        <v>1</v>
      </c>
      <c r="HC116" s="247" t="s">
        <v>1623</v>
      </c>
      <c r="HD116" s="247" t="s">
        <v>1624</v>
      </c>
      <c r="HE116" s="237">
        <v>43759</v>
      </c>
      <c r="HF116" s="245" t="s">
        <v>7645</v>
      </c>
      <c r="HG116" s="245">
        <v>2</v>
      </c>
      <c r="HH116" s="245" t="s">
        <v>1587</v>
      </c>
      <c r="HI116" s="245" t="s">
        <v>601</v>
      </c>
      <c r="HJ116" s="245">
        <v>1</v>
      </c>
      <c r="HK116" s="245" t="s">
        <v>1623</v>
      </c>
      <c r="HL116" s="245" t="s">
        <v>1624</v>
      </c>
      <c r="HM116" s="246">
        <v>43759</v>
      </c>
      <c r="HN116" s="244" t="s">
        <v>7646</v>
      </c>
      <c r="HO116" s="247">
        <v>3</v>
      </c>
      <c r="HP116" s="247" t="s">
        <v>1587</v>
      </c>
      <c r="HQ116" s="247" t="s">
        <v>601</v>
      </c>
      <c r="HR116" s="247">
        <v>1</v>
      </c>
      <c r="HS116" s="247" t="s">
        <v>1623</v>
      </c>
      <c r="HT116" s="247" t="s">
        <v>1624</v>
      </c>
      <c r="HU116" s="237">
        <v>43759</v>
      </c>
      <c r="HV116" s="245" t="s">
        <v>7647</v>
      </c>
      <c r="HW116" s="245">
        <v>2</v>
      </c>
      <c r="HX116" s="245" t="s">
        <v>1587</v>
      </c>
      <c r="HY116" s="245" t="s">
        <v>601</v>
      </c>
      <c r="HZ116" s="245">
        <v>1</v>
      </c>
      <c r="IA116" s="245" t="s">
        <v>1623</v>
      </c>
      <c r="IB116" s="245" t="s">
        <v>1624</v>
      </c>
      <c r="IC116" s="246">
        <v>43759</v>
      </c>
      <c r="ID116" s="244" t="s">
        <v>7648</v>
      </c>
      <c r="IE116" s="247">
        <v>2</v>
      </c>
      <c r="IF116" s="247" t="s">
        <v>1587</v>
      </c>
      <c r="IG116" s="247" t="s">
        <v>601</v>
      </c>
      <c r="IH116" s="247">
        <v>1</v>
      </c>
      <c r="II116" s="247" t="s">
        <v>1623</v>
      </c>
      <c r="IJ116" s="247" t="s">
        <v>1624</v>
      </c>
      <c r="IK116" s="237">
        <v>43759</v>
      </c>
      <c r="IL116" s="245" t="s">
        <v>7649</v>
      </c>
      <c r="IM116" s="245">
        <v>2</v>
      </c>
      <c r="IN116" s="245" t="s">
        <v>1587</v>
      </c>
      <c r="IO116" s="245" t="s">
        <v>601</v>
      </c>
      <c r="IP116" s="245">
        <v>1</v>
      </c>
      <c r="IQ116" s="245" t="s">
        <v>1623</v>
      </c>
      <c r="IR116" s="245" t="s">
        <v>1624</v>
      </c>
      <c r="IS116" s="246">
        <v>43759</v>
      </c>
    </row>
    <row r="117" spans="1:253" s="11" customFormat="1" ht="13.2" x14ac:dyDescent="0.25">
      <c r="A117" s="11" t="s">
        <v>1266</v>
      </c>
      <c r="B117" s="11" t="s">
        <v>1280</v>
      </c>
      <c r="C117" s="11" t="s">
        <v>1269</v>
      </c>
      <c r="D117" s="11" t="s">
        <v>294</v>
      </c>
      <c r="E117" s="11" t="s">
        <v>293</v>
      </c>
      <c r="F117" s="11" t="s">
        <v>7650</v>
      </c>
      <c r="G117" s="235">
        <v>12328000</v>
      </c>
      <c r="H117" s="236" t="s">
        <v>1350</v>
      </c>
      <c r="I117" s="236" t="s">
        <v>600</v>
      </c>
      <c r="J117" s="236">
        <v>2</v>
      </c>
      <c r="K117" s="236" t="s">
        <v>1352</v>
      </c>
      <c r="L117" s="236" t="s">
        <v>1351</v>
      </c>
      <c r="M117" s="237">
        <v>43612</v>
      </c>
      <c r="N117" s="260" t="s">
        <v>7651</v>
      </c>
      <c r="O117" s="239">
        <v>28220</v>
      </c>
      <c r="P117" s="239" t="s">
        <v>2762</v>
      </c>
      <c r="Q117" s="239" t="s">
        <v>601</v>
      </c>
      <c r="R117" s="239">
        <v>1</v>
      </c>
      <c r="S117" s="239" t="s">
        <v>2764</v>
      </c>
      <c r="T117" s="239" t="s">
        <v>2763</v>
      </c>
      <c r="U117" s="240">
        <v>44036</v>
      </c>
      <c r="V117" s="260" t="s">
        <v>7652</v>
      </c>
      <c r="W117" s="236">
        <v>1261000</v>
      </c>
      <c r="X117" s="236" t="s">
        <v>2762</v>
      </c>
      <c r="Y117" s="236" t="s">
        <v>601</v>
      </c>
      <c r="Z117" s="236">
        <v>1</v>
      </c>
      <c r="AA117" s="236" t="s">
        <v>2765</v>
      </c>
      <c r="AB117" s="236" t="s">
        <v>2763</v>
      </c>
      <c r="AC117" s="237">
        <v>44036</v>
      </c>
      <c r="AD117" s="260" t="s">
        <v>7653</v>
      </c>
      <c r="AE117" s="241">
        <v>36000</v>
      </c>
      <c r="AF117" s="241" t="s">
        <v>2185</v>
      </c>
      <c r="AG117" s="241" t="s">
        <v>599</v>
      </c>
      <c r="AH117" s="241">
        <v>3</v>
      </c>
      <c r="AI117" s="241" t="s">
        <v>2766</v>
      </c>
      <c r="AJ117" s="241" t="s">
        <v>2763</v>
      </c>
      <c r="AK117" s="242">
        <v>44036</v>
      </c>
      <c r="AL117" s="260" t="s">
        <v>7654</v>
      </c>
      <c r="AM117" s="236">
        <v>36000</v>
      </c>
      <c r="AN117" s="236" t="s">
        <v>2185</v>
      </c>
      <c r="AO117" s="236" t="s">
        <v>599</v>
      </c>
      <c r="AP117" s="236">
        <v>3</v>
      </c>
      <c r="AQ117" s="236" t="s">
        <v>2766</v>
      </c>
      <c r="AR117" s="236" t="s">
        <v>2763</v>
      </c>
      <c r="AS117" s="237">
        <v>44036</v>
      </c>
      <c r="AT117" s="261" t="s">
        <v>7655</v>
      </c>
      <c r="AU117" s="241" t="s">
        <v>393</v>
      </c>
      <c r="AV117" s="241" t="s">
        <v>393</v>
      </c>
      <c r="AW117" s="241" t="s">
        <v>393</v>
      </c>
      <c r="AX117" s="241" t="s">
        <v>393</v>
      </c>
      <c r="AY117" s="241" t="s">
        <v>988</v>
      </c>
      <c r="AZ117" s="241" t="s">
        <v>393</v>
      </c>
      <c r="BA117" s="242">
        <v>43584</v>
      </c>
      <c r="BB117" s="260" t="s">
        <v>7656</v>
      </c>
      <c r="BC117" s="236" t="s">
        <v>393</v>
      </c>
      <c r="BD117" s="236" t="s">
        <v>393</v>
      </c>
      <c r="BE117" s="236" t="s">
        <v>393</v>
      </c>
      <c r="BF117" s="236" t="s">
        <v>393</v>
      </c>
      <c r="BG117" s="236" t="s">
        <v>988</v>
      </c>
      <c r="BH117" s="236" t="s">
        <v>393</v>
      </c>
      <c r="BI117" s="237">
        <v>43584</v>
      </c>
      <c r="BJ117" s="261" t="s">
        <v>7657</v>
      </c>
      <c r="BK117" s="261" t="s">
        <v>393</v>
      </c>
      <c r="BL117" s="261" t="s">
        <v>393</v>
      </c>
      <c r="BM117" s="261" t="s">
        <v>393</v>
      </c>
      <c r="BN117" s="261" t="s">
        <v>393</v>
      </c>
      <c r="BO117" s="261" t="s">
        <v>2871</v>
      </c>
      <c r="BP117" s="241" t="s">
        <v>1139</v>
      </c>
      <c r="BQ117" s="262">
        <v>44064</v>
      </c>
      <c r="BR117" s="260" t="s">
        <v>7658</v>
      </c>
      <c r="BS117" s="263">
        <v>0</v>
      </c>
      <c r="BT117" s="263" t="s">
        <v>393</v>
      </c>
      <c r="BU117" s="263" t="s">
        <v>601</v>
      </c>
      <c r="BV117" s="263">
        <v>1</v>
      </c>
      <c r="BW117" s="263" t="s">
        <v>393</v>
      </c>
      <c r="BX117" s="263" t="s">
        <v>393</v>
      </c>
      <c r="BY117" s="237">
        <v>43584</v>
      </c>
      <c r="BZ117" s="261" t="s">
        <v>7659</v>
      </c>
      <c r="CA117" s="261">
        <v>0</v>
      </c>
      <c r="CB117" s="261" t="s">
        <v>393</v>
      </c>
      <c r="CC117" s="261" t="s">
        <v>601</v>
      </c>
      <c r="CD117" s="261">
        <v>1</v>
      </c>
      <c r="CE117" s="261" t="s">
        <v>393</v>
      </c>
      <c r="CF117" s="261" t="s">
        <v>393</v>
      </c>
      <c r="CG117" s="262">
        <v>43584</v>
      </c>
      <c r="CH117" s="260" t="s">
        <v>7660</v>
      </c>
      <c r="CI117" s="261" t="e">
        <v>#N/A</v>
      </c>
      <c r="CJ117" s="261" t="e">
        <v>#N/A</v>
      </c>
      <c r="CK117" s="261" t="e">
        <v>#N/A</v>
      </c>
      <c r="CL117" s="261" t="e">
        <v>#N/A</v>
      </c>
      <c r="CM117" s="261" t="e">
        <v>#N/A</v>
      </c>
      <c r="CN117" s="261" t="e">
        <v>#N/A</v>
      </c>
      <c r="CO117" s="264" t="e">
        <v>#N/A</v>
      </c>
      <c r="CP117" s="261" t="s">
        <v>7661</v>
      </c>
      <c r="CQ117" s="263">
        <v>0</v>
      </c>
      <c r="CR117" s="263" t="s">
        <v>393</v>
      </c>
      <c r="CS117" s="263" t="s">
        <v>601</v>
      </c>
      <c r="CT117" s="263">
        <v>1</v>
      </c>
      <c r="CU117" s="263" t="s">
        <v>393</v>
      </c>
      <c r="CV117" s="263" t="s">
        <v>393</v>
      </c>
      <c r="CW117" s="237">
        <v>43584</v>
      </c>
      <c r="CX117" s="261" t="s">
        <v>7662</v>
      </c>
      <c r="CY117" s="241">
        <v>36000</v>
      </c>
      <c r="CZ117" s="241" t="s">
        <v>2185</v>
      </c>
      <c r="DA117" s="241" t="s">
        <v>600</v>
      </c>
      <c r="DB117" s="241">
        <v>2</v>
      </c>
      <c r="DC117" s="241" t="s">
        <v>2767</v>
      </c>
      <c r="DD117" s="241" t="s">
        <v>2763</v>
      </c>
      <c r="DE117" s="243">
        <v>44036</v>
      </c>
      <c r="DF117" s="260" t="s">
        <v>7663</v>
      </c>
      <c r="DG117" s="236">
        <v>1227000</v>
      </c>
      <c r="DH117" s="263" t="s">
        <v>1272</v>
      </c>
      <c r="DI117" s="263" t="s">
        <v>600</v>
      </c>
      <c r="DJ117" s="263">
        <v>2</v>
      </c>
      <c r="DK117" s="263" t="s">
        <v>1274</v>
      </c>
      <c r="DL117" s="263" t="s">
        <v>1273</v>
      </c>
      <c r="DM117" s="237">
        <v>43584</v>
      </c>
      <c r="DN117" s="261" t="s">
        <v>7664</v>
      </c>
      <c r="DO117" s="241">
        <v>0</v>
      </c>
      <c r="DP117" s="261" t="s">
        <v>393</v>
      </c>
      <c r="DQ117" s="261" t="s">
        <v>600</v>
      </c>
      <c r="DR117" s="261">
        <v>2</v>
      </c>
      <c r="DS117" s="261" t="s">
        <v>1275</v>
      </c>
      <c r="DT117" s="261" t="s">
        <v>393</v>
      </c>
      <c r="DU117" s="262">
        <v>43584</v>
      </c>
      <c r="DV117" s="260" t="s">
        <v>7665</v>
      </c>
      <c r="DW117" s="236">
        <v>2000</v>
      </c>
      <c r="DX117" s="263" t="s">
        <v>2185</v>
      </c>
      <c r="DY117" s="263" t="s">
        <v>600</v>
      </c>
      <c r="DZ117" s="263">
        <v>2</v>
      </c>
      <c r="EA117" s="263" t="s">
        <v>2767</v>
      </c>
      <c r="EB117" s="263" t="s">
        <v>2763</v>
      </c>
      <c r="EC117" s="237">
        <v>44036</v>
      </c>
      <c r="ED117" s="261" t="s">
        <v>7666</v>
      </c>
      <c r="EE117" s="241">
        <v>34000</v>
      </c>
      <c r="EF117" s="261" t="s">
        <v>2185</v>
      </c>
      <c r="EG117" s="261" t="s">
        <v>600</v>
      </c>
      <c r="EH117" s="261">
        <v>2</v>
      </c>
      <c r="EI117" s="261" t="s">
        <v>2767</v>
      </c>
      <c r="EJ117" s="261" t="s">
        <v>2763</v>
      </c>
      <c r="EK117" s="262">
        <v>44036</v>
      </c>
      <c r="EL117" s="260" t="s">
        <v>7667</v>
      </c>
      <c r="EM117" s="236">
        <v>0</v>
      </c>
      <c r="EN117" s="263" t="s">
        <v>393</v>
      </c>
      <c r="EO117" s="263" t="s">
        <v>393</v>
      </c>
      <c r="EP117" s="263" t="s">
        <v>393</v>
      </c>
      <c r="EQ117" s="263" t="s">
        <v>3401</v>
      </c>
      <c r="ER117" s="263" t="s">
        <v>393</v>
      </c>
      <c r="ES117" s="237">
        <v>44036</v>
      </c>
      <c r="ET117" s="261" t="s">
        <v>7668</v>
      </c>
      <c r="EU117" s="261">
        <v>1301</v>
      </c>
      <c r="EV117" s="261" t="s">
        <v>2760</v>
      </c>
      <c r="EW117" s="261" t="s">
        <v>1581</v>
      </c>
      <c r="EX117" s="261">
        <v>3</v>
      </c>
      <c r="EY117" s="261" t="s">
        <v>2872</v>
      </c>
      <c r="EZ117" s="261" t="s">
        <v>2761</v>
      </c>
      <c r="FA117" s="262">
        <v>44064</v>
      </c>
      <c r="FB117" s="260" t="s">
        <v>7669</v>
      </c>
      <c r="FC117" s="263">
        <v>2</v>
      </c>
      <c r="FD117" s="263" t="s">
        <v>393</v>
      </c>
      <c r="FE117" s="263" t="s">
        <v>600</v>
      </c>
      <c r="FF117" s="263">
        <v>2</v>
      </c>
      <c r="FG117" s="263" t="s">
        <v>1276</v>
      </c>
      <c r="FH117" s="263" t="s">
        <v>393</v>
      </c>
      <c r="FI117" s="237">
        <v>43584</v>
      </c>
      <c r="FJ117" s="260" t="s">
        <v>7670</v>
      </c>
      <c r="FK117" s="261" t="s">
        <v>393</v>
      </c>
      <c r="FL117" s="261" t="s">
        <v>393</v>
      </c>
      <c r="FM117" s="261" t="s">
        <v>393</v>
      </c>
      <c r="FN117" s="261" t="s">
        <v>393</v>
      </c>
      <c r="FO117" s="261" t="s">
        <v>988</v>
      </c>
      <c r="FP117" s="241" t="s">
        <v>393</v>
      </c>
      <c r="FQ117" s="242">
        <v>43584</v>
      </c>
      <c r="FR117" s="260" t="s">
        <v>7671</v>
      </c>
      <c r="FS117" s="263" t="s">
        <v>393</v>
      </c>
      <c r="FT117" s="263" t="s">
        <v>393</v>
      </c>
      <c r="FU117" s="263" t="s">
        <v>393</v>
      </c>
      <c r="FV117" s="263" t="s">
        <v>393</v>
      </c>
      <c r="FW117" s="263" t="s">
        <v>988</v>
      </c>
      <c r="FX117" s="263" t="s">
        <v>393</v>
      </c>
      <c r="FY117" s="237">
        <v>43584</v>
      </c>
      <c r="FZ117" s="261" t="s">
        <v>7672</v>
      </c>
      <c r="GA117" s="261">
        <v>1</v>
      </c>
      <c r="GB117" s="261" t="s">
        <v>1587</v>
      </c>
      <c r="GC117" s="261" t="s">
        <v>601</v>
      </c>
      <c r="GD117" s="261">
        <v>1</v>
      </c>
      <c r="GE117" s="261" t="s">
        <v>1623</v>
      </c>
      <c r="GF117" s="261" t="s">
        <v>1624</v>
      </c>
      <c r="GG117" s="262">
        <v>43769</v>
      </c>
      <c r="GH117" s="260" t="s">
        <v>7673</v>
      </c>
      <c r="GI117" s="263">
        <v>3</v>
      </c>
      <c r="GJ117" s="263" t="s">
        <v>1587</v>
      </c>
      <c r="GK117" s="263" t="s">
        <v>601</v>
      </c>
      <c r="GL117" s="263">
        <v>1</v>
      </c>
      <c r="GM117" s="263" t="s">
        <v>1623</v>
      </c>
      <c r="GN117" s="263" t="s">
        <v>1624</v>
      </c>
      <c r="GO117" s="237">
        <v>43769</v>
      </c>
      <c r="GP117" s="261" t="s">
        <v>7674</v>
      </c>
      <c r="GQ117" s="261">
        <v>2</v>
      </c>
      <c r="GR117" s="261" t="s">
        <v>1587</v>
      </c>
      <c r="GS117" s="261" t="s">
        <v>601</v>
      </c>
      <c r="GT117" s="261">
        <v>1</v>
      </c>
      <c r="GU117" s="261" t="s">
        <v>1623</v>
      </c>
      <c r="GV117" s="261" t="s">
        <v>1624</v>
      </c>
      <c r="GW117" s="262">
        <v>43769</v>
      </c>
      <c r="GX117" s="260" t="s">
        <v>7675</v>
      </c>
      <c r="GY117" s="263">
        <v>3</v>
      </c>
      <c r="GZ117" s="263" t="s">
        <v>1587</v>
      </c>
      <c r="HA117" s="263" t="s">
        <v>601</v>
      </c>
      <c r="HB117" s="263">
        <v>1</v>
      </c>
      <c r="HC117" s="263" t="s">
        <v>1623</v>
      </c>
      <c r="HD117" s="263" t="s">
        <v>1624</v>
      </c>
      <c r="HE117" s="237">
        <v>43769</v>
      </c>
      <c r="HF117" s="261" t="s">
        <v>7676</v>
      </c>
      <c r="HG117" s="261">
        <v>2</v>
      </c>
      <c r="HH117" s="261" t="s">
        <v>1587</v>
      </c>
      <c r="HI117" s="261" t="s">
        <v>601</v>
      </c>
      <c r="HJ117" s="261">
        <v>1</v>
      </c>
      <c r="HK117" s="261" t="s">
        <v>1623</v>
      </c>
      <c r="HL117" s="261" t="s">
        <v>1624</v>
      </c>
      <c r="HM117" s="262">
        <v>43769</v>
      </c>
      <c r="HN117" s="260" t="s">
        <v>7677</v>
      </c>
      <c r="HO117" s="263">
        <v>2</v>
      </c>
      <c r="HP117" s="263" t="s">
        <v>1587</v>
      </c>
      <c r="HQ117" s="263" t="s">
        <v>601</v>
      </c>
      <c r="HR117" s="263">
        <v>1</v>
      </c>
      <c r="HS117" s="263" t="s">
        <v>1623</v>
      </c>
      <c r="HT117" s="263" t="s">
        <v>1624</v>
      </c>
      <c r="HU117" s="237">
        <v>43769</v>
      </c>
      <c r="HV117" s="261" t="s">
        <v>7678</v>
      </c>
      <c r="HW117" s="261">
        <v>2</v>
      </c>
      <c r="HX117" s="261" t="s">
        <v>1587</v>
      </c>
      <c r="HY117" s="261" t="s">
        <v>601</v>
      </c>
      <c r="HZ117" s="261">
        <v>1</v>
      </c>
      <c r="IA117" s="261" t="s">
        <v>1623</v>
      </c>
      <c r="IB117" s="261" t="s">
        <v>1624</v>
      </c>
      <c r="IC117" s="262">
        <v>43769</v>
      </c>
      <c r="ID117" s="260" t="s">
        <v>7679</v>
      </c>
      <c r="IE117" s="263">
        <v>2</v>
      </c>
      <c r="IF117" s="263" t="s">
        <v>1587</v>
      </c>
      <c r="IG117" s="263" t="s">
        <v>601</v>
      </c>
      <c r="IH117" s="263">
        <v>1</v>
      </c>
      <c r="II117" s="263" t="s">
        <v>1623</v>
      </c>
      <c r="IJ117" s="263" t="s">
        <v>1624</v>
      </c>
      <c r="IK117" s="237">
        <v>43769</v>
      </c>
      <c r="IL117" s="261" t="s">
        <v>7680</v>
      </c>
      <c r="IM117" s="261">
        <v>2</v>
      </c>
      <c r="IN117" s="261" t="s">
        <v>1587</v>
      </c>
      <c r="IO117" s="261" t="s">
        <v>601</v>
      </c>
      <c r="IP117" s="261">
        <v>1</v>
      </c>
      <c r="IQ117" s="261" t="s">
        <v>1623</v>
      </c>
      <c r="IR117" s="261" t="s">
        <v>1624</v>
      </c>
      <c r="IS117" s="262">
        <v>43769</v>
      </c>
    </row>
    <row r="118" spans="1:253" s="11" customFormat="1" ht="13.2" x14ac:dyDescent="0.25">
      <c r="A118" s="11" t="s">
        <v>1676</v>
      </c>
      <c r="B118" s="11" t="s">
        <v>1279</v>
      </c>
      <c r="C118" s="11" t="s">
        <v>2388</v>
      </c>
      <c r="D118" s="11" t="s">
        <v>294</v>
      </c>
      <c r="E118" s="11" t="s">
        <v>293</v>
      </c>
      <c r="F118" s="11" t="s">
        <v>7681</v>
      </c>
      <c r="G118" s="235">
        <v>14430000</v>
      </c>
      <c r="H118" s="236" t="s">
        <v>1698</v>
      </c>
      <c r="I118" s="236" t="s">
        <v>601</v>
      </c>
      <c r="J118" s="236">
        <v>1</v>
      </c>
      <c r="K118" s="236" t="s">
        <v>1709</v>
      </c>
      <c r="L118" s="236" t="s">
        <v>1708</v>
      </c>
      <c r="M118" s="237">
        <v>43798</v>
      </c>
      <c r="N118" s="244" t="s">
        <v>7682</v>
      </c>
      <c r="O118" s="239">
        <v>255047</v>
      </c>
      <c r="P118" s="239" t="s">
        <v>1699</v>
      </c>
      <c r="Q118" s="239" t="s">
        <v>601</v>
      </c>
      <c r="R118" s="239">
        <v>1</v>
      </c>
      <c r="S118" s="239" t="s">
        <v>1711</v>
      </c>
      <c r="T118" s="239" t="s">
        <v>1710</v>
      </c>
      <c r="U118" s="240">
        <v>43798</v>
      </c>
      <c r="V118" s="244" t="s">
        <v>7683</v>
      </c>
      <c r="W118" s="236">
        <v>5300000</v>
      </c>
      <c r="X118" s="236" t="s">
        <v>1700</v>
      </c>
      <c r="Y118" s="236" t="s">
        <v>600</v>
      </c>
      <c r="Z118" s="236">
        <v>2</v>
      </c>
      <c r="AA118" s="236" t="s">
        <v>1713</v>
      </c>
      <c r="AB118" s="236" t="s">
        <v>1712</v>
      </c>
      <c r="AC118" s="237">
        <v>43798</v>
      </c>
      <c r="AD118" s="244" t="s">
        <v>7684</v>
      </c>
      <c r="AE118" s="241">
        <v>536000</v>
      </c>
      <c r="AF118" s="241" t="s">
        <v>1700</v>
      </c>
      <c r="AG118" s="241">
        <v>0</v>
      </c>
      <c r="AH118" s="241" t="b">
        <v>0</v>
      </c>
      <c r="AI118" s="241" t="s">
        <v>1714</v>
      </c>
      <c r="AJ118" s="241" t="s">
        <v>1712</v>
      </c>
      <c r="AK118" s="242">
        <v>43798</v>
      </c>
      <c r="AL118" s="244" t="s">
        <v>7685</v>
      </c>
      <c r="AM118" s="236">
        <v>285000</v>
      </c>
      <c r="AN118" s="236" t="s">
        <v>1700</v>
      </c>
      <c r="AO118" s="236" t="s">
        <v>600</v>
      </c>
      <c r="AP118" s="236">
        <v>2</v>
      </c>
      <c r="AQ118" s="236" t="s">
        <v>1793</v>
      </c>
      <c r="AR118" s="236" t="s">
        <v>1792</v>
      </c>
      <c r="AS118" s="237">
        <v>43810</v>
      </c>
      <c r="AT118" s="245" t="s">
        <v>7686</v>
      </c>
      <c r="AU118" s="241" t="s">
        <v>393</v>
      </c>
      <c r="AV118" s="241" t="s">
        <v>393</v>
      </c>
      <c r="AW118" s="241" t="s">
        <v>393</v>
      </c>
      <c r="AX118" s="241" t="s">
        <v>393</v>
      </c>
      <c r="AY118" s="241" t="s">
        <v>1715</v>
      </c>
      <c r="AZ118" s="241" t="s">
        <v>393</v>
      </c>
      <c r="BA118" s="242">
        <v>43798</v>
      </c>
      <c r="BB118" s="244" t="s">
        <v>7687</v>
      </c>
      <c r="BC118" s="236" t="s">
        <v>393</v>
      </c>
      <c r="BD118" s="236" t="s">
        <v>393</v>
      </c>
      <c r="BE118" s="236" t="s">
        <v>393</v>
      </c>
      <c r="BF118" s="236" t="s">
        <v>393</v>
      </c>
      <c r="BG118" s="236" t="s">
        <v>1715</v>
      </c>
      <c r="BH118" s="236" t="s">
        <v>393</v>
      </c>
      <c r="BI118" s="237">
        <v>43798</v>
      </c>
      <c r="BJ118" s="245" t="s">
        <v>7688</v>
      </c>
      <c r="BK118" s="245">
        <v>17</v>
      </c>
      <c r="BL118" s="245" t="s">
        <v>1700</v>
      </c>
      <c r="BM118" s="245" t="s">
        <v>599</v>
      </c>
      <c r="BN118" s="245">
        <v>3</v>
      </c>
      <c r="BO118" s="245" t="s">
        <v>1716</v>
      </c>
      <c r="BP118" s="241" t="s">
        <v>1712</v>
      </c>
      <c r="BQ118" s="246">
        <v>43798</v>
      </c>
      <c r="BR118" s="244" t="s">
        <v>7689</v>
      </c>
      <c r="BS118" s="247" t="s">
        <v>393</v>
      </c>
      <c r="BT118" s="247" t="s">
        <v>393</v>
      </c>
      <c r="BU118" s="247" t="s">
        <v>393</v>
      </c>
      <c r="BV118" s="247" t="s">
        <v>393</v>
      </c>
      <c r="BW118" s="247" t="s">
        <v>1715</v>
      </c>
      <c r="BX118" s="247" t="s">
        <v>393</v>
      </c>
      <c r="BY118" s="237">
        <v>43798</v>
      </c>
      <c r="BZ118" s="245" t="s">
        <v>7690</v>
      </c>
      <c r="CA118" s="245" t="s">
        <v>393</v>
      </c>
      <c r="CB118" s="245" t="s">
        <v>393</v>
      </c>
      <c r="CC118" s="245" t="s">
        <v>393</v>
      </c>
      <c r="CD118" s="245" t="s">
        <v>393</v>
      </c>
      <c r="CE118" s="245" t="s">
        <v>1715</v>
      </c>
      <c r="CF118" s="245" t="s">
        <v>393</v>
      </c>
      <c r="CG118" s="246">
        <v>43798</v>
      </c>
      <c r="CH118" s="244" t="s">
        <v>7691</v>
      </c>
      <c r="CI118" s="245" t="e">
        <v>#N/A</v>
      </c>
      <c r="CJ118" s="245" t="e">
        <v>#N/A</v>
      </c>
      <c r="CK118" s="245" t="e">
        <v>#N/A</v>
      </c>
      <c r="CL118" s="245" t="e">
        <v>#N/A</v>
      </c>
      <c r="CM118" s="245" t="e">
        <v>#N/A</v>
      </c>
      <c r="CN118" s="245" t="e">
        <v>#N/A</v>
      </c>
      <c r="CO118" s="248" t="e">
        <v>#N/A</v>
      </c>
      <c r="CP118" s="245" t="s">
        <v>7692</v>
      </c>
      <c r="CQ118" s="247" t="s">
        <v>393</v>
      </c>
      <c r="CR118" s="247" t="s">
        <v>393</v>
      </c>
      <c r="CS118" s="247" t="s">
        <v>393</v>
      </c>
      <c r="CT118" s="247" t="s">
        <v>393</v>
      </c>
      <c r="CU118" s="247" t="s">
        <v>1715</v>
      </c>
      <c r="CV118" s="247" t="s">
        <v>393</v>
      </c>
      <c r="CW118" s="237">
        <v>43798</v>
      </c>
      <c r="CX118" s="245" t="s">
        <v>7693</v>
      </c>
      <c r="CY118" s="241">
        <v>285000</v>
      </c>
      <c r="CZ118" s="241" t="s">
        <v>1700</v>
      </c>
      <c r="DA118" s="241" t="s">
        <v>600</v>
      </c>
      <c r="DB118" s="241">
        <v>2</v>
      </c>
      <c r="DC118" s="241" t="s">
        <v>1793</v>
      </c>
      <c r="DD118" s="241" t="s">
        <v>1792</v>
      </c>
      <c r="DE118" s="243">
        <v>43810</v>
      </c>
      <c r="DF118" s="244" t="s">
        <v>7694</v>
      </c>
      <c r="DG118" s="236">
        <v>4764000</v>
      </c>
      <c r="DH118" s="247" t="s">
        <v>1700</v>
      </c>
      <c r="DI118" s="247" t="s">
        <v>600</v>
      </c>
      <c r="DJ118" s="247">
        <v>2</v>
      </c>
      <c r="DK118" s="247" t="s">
        <v>1793</v>
      </c>
      <c r="DL118" s="247" t="s">
        <v>1792</v>
      </c>
      <c r="DM118" s="237">
        <v>43810</v>
      </c>
      <c r="DN118" s="245" t="s">
        <v>7695</v>
      </c>
      <c r="DO118" s="241">
        <v>251000</v>
      </c>
      <c r="DP118" s="245" t="s">
        <v>1700</v>
      </c>
      <c r="DQ118" s="245" t="s">
        <v>600</v>
      </c>
      <c r="DR118" s="245">
        <v>2</v>
      </c>
      <c r="DS118" s="245" t="s">
        <v>1793</v>
      </c>
      <c r="DT118" s="245" t="s">
        <v>1792</v>
      </c>
      <c r="DU118" s="246">
        <v>43810</v>
      </c>
      <c r="DV118" s="244" t="s">
        <v>7696</v>
      </c>
      <c r="DW118" s="236">
        <v>285000</v>
      </c>
      <c r="DX118" s="247" t="s">
        <v>1700</v>
      </c>
      <c r="DY118" s="247" t="s">
        <v>600</v>
      </c>
      <c r="DZ118" s="247">
        <v>2</v>
      </c>
      <c r="EA118" s="247" t="s">
        <v>1793</v>
      </c>
      <c r="EB118" s="247" t="s">
        <v>1792</v>
      </c>
      <c r="EC118" s="237">
        <v>43810</v>
      </c>
      <c r="ED118" s="245" t="s">
        <v>7697</v>
      </c>
      <c r="EE118" s="241">
        <v>0</v>
      </c>
      <c r="EF118" s="245" t="s">
        <v>1700</v>
      </c>
      <c r="EG118" s="245" t="s">
        <v>600</v>
      </c>
      <c r="EH118" s="245">
        <v>2</v>
      </c>
      <c r="EI118" s="245" t="s">
        <v>1717</v>
      </c>
      <c r="EJ118" s="245" t="s">
        <v>1712</v>
      </c>
      <c r="EK118" s="246">
        <v>43798</v>
      </c>
      <c r="EL118" s="244" t="s">
        <v>7698</v>
      </c>
      <c r="EM118" s="236">
        <v>0</v>
      </c>
      <c r="EN118" s="247" t="s">
        <v>1700</v>
      </c>
      <c r="EO118" s="247" t="s">
        <v>600</v>
      </c>
      <c r="EP118" s="247">
        <v>2</v>
      </c>
      <c r="EQ118" s="247" t="s">
        <v>1717</v>
      </c>
      <c r="ER118" s="247" t="s">
        <v>1712</v>
      </c>
      <c r="ES118" s="237">
        <v>43798</v>
      </c>
      <c r="ET118" s="245" t="s">
        <v>7699</v>
      </c>
      <c r="EU118" s="245">
        <v>1301</v>
      </c>
      <c r="EV118" s="245" t="s">
        <v>2760</v>
      </c>
      <c r="EW118" s="245" t="s">
        <v>1581</v>
      </c>
      <c r="EX118" s="245">
        <v>3</v>
      </c>
      <c r="EY118" s="245" t="s">
        <v>2872</v>
      </c>
      <c r="EZ118" s="245" t="s">
        <v>2761</v>
      </c>
      <c r="FA118" s="246">
        <v>44064</v>
      </c>
      <c r="FB118" s="244" t="s">
        <v>7700</v>
      </c>
      <c r="FC118" s="247">
        <v>3</v>
      </c>
      <c r="FD118" s="247" t="s">
        <v>1700</v>
      </c>
      <c r="FE118" s="247" t="s">
        <v>599</v>
      </c>
      <c r="FF118" s="247">
        <v>3</v>
      </c>
      <c r="FG118" s="247" t="s">
        <v>1717</v>
      </c>
      <c r="FH118" s="247" t="s">
        <v>1712</v>
      </c>
      <c r="FI118" s="237">
        <v>43798</v>
      </c>
      <c r="FJ118" s="244" t="s">
        <v>7701</v>
      </c>
      <c r="FK118" s="245" t="e">
        <v>#N/A</v>
      </c>
      <c r="FL118" s="245" t="e">
        <v>#N/A</v>
      </c>
      <c r="FM118" s="245" t="e">
        <v>#N/A</v>
      </c>
      <c r="FN118" s="245" t="e">
        <v>#N/A</v>
      </c>
      <c r="FO118" s="245" t="e">
        <v>#N/A</v>
      </c>
      <c r="FP118" s="241" t="e">
        <v>#N/A</v>
      </c>
      <c r="FQ118" s="242" t="e">
        <v>#N/A</v>
      </c>
      <c r="FR118" s="244" t="s">
        <v>7702</v>
      </c>
      <c r="FS118" s="247" t="e">
        <v>#N/A</v>
      </c>
      <c r="FT118" s="247" t="e">
        <v>#N/A</v>
      </c>
      <c r="FU118" s="247" t="e">
        <v>#N/A</v>
      </c>
      <c r="FV118" s="247" t="e">
        <v>#N/A</v>
      </c>
      <c r="FW118" s="247" t="e">
        <v>#N/A</v>
      </c>
      <c r="FX118" s="247" t="e">
        <v>#N/A</v>
      </c>
      <c r="FY118" s="237" t="e">
        <v>#N/A</v>
      </c>
      <c r="FZ118" s="245" t="s">
        <v>7703</v>
      </c>
      <c r="GA118" s="245">
        <v>1</v>
      </c>
      <c r="GB118" s="245" t="s">
        <v>1587</v>
      </c>
      <c r="GC118" s="245" t="s">
        <v>600</v>
      </c>
      <c r="GD118" s="245">
        <v>2</v>
      </c>
      <c r="GE118" s="245" t="s">
        <v>393</v>
      </c>
      <c r="GF118" s="245" t="s">
        <v>393</v>
      </c>
      <c r="GG118" s="246">
        <v>43798</v>
      </c>
      <c r="GH118" s="244" t="s">
        <v>7704</v>
      </c>
      <c r="GI118" s="247">
        <v>3</v>
      </c>
      <c r="GJ118" s="247" t="s">
        <v>1587</v>
      </c>
      <c r="GK118" s="247" t="s">
        <v>601</v>
      </c>
      <c r="GL118" s="247">
        <v>1</v>
      </c>
      <c r="GM118" s="247" t="s">
        <v>393</v>
      </c>
      <c r="GN118" s="247" t="s">
        <v>393</v>
      </c>
      <c r="GO118" s="237">
        <v>43798</v>
      </c>
      <c r="GP118" s="245" t="s">
        <v>7705</v>
      </c>
      <c r="GQ118" s="245">
        <v>2</v>
      </c>
      <c r="GR118" s="245" t="s">
        <v>1587</v>
      </c>
      <c r="GS118" s="245" t="s">
        <v>600</v>
      </c>
      <c r="GT118" s="245">
        <v>2</v>
      </c>
      <c r="GU118" s="245" t="s">
        <v>393</v>
      </c>
      <c r="GV118" s="245" t="s">
        <v>393</v>
      </c>
      <c r="GW118" s="246">
        <v>43798</v>
      </c>
      <c r="GX118" s="244" t="s">
        <v>7706</v>
      </c>
      <c r="GY118" s="247">
        <v>3</v>
      </c>
      <c r="GZ118" s="247" t="s">
        <v>1587</v>
      </c>
      <c r="HA118" s="247" t="s">
        <v>601</v>
      </c>
      <c r="HB118" s="247">
        <v>1</v>
      </c>
      <c r="HC118" s="247" t="s">
        <v>393</v>
      </c>
      <c r="HD118" s="247" t="s">
        <v>393</v>
      </c>
      <c r="HE118" s="237">
        <v>43798</v>
      </c>
      <c r="HF118" s="245" t="s">
        <v>7707</v>
      </c>
      <c r="HG118" s="245">
        <v>2</v>
      </c>
      <c r="HH118" s="245" t="s">
        <v>1587</v>
      </c>
      <c r="HI118" s="245" t="s">
        <v>600</v>
      </c>
      <c r="HJ118" s="245">
        <v>2</v>
      </c>
      <c r="HK118" s="245" t="s">
        <v>393</v>
      </c>
      <c r="HL118" s="245" t="s">
        <v>393</v>
      </c>
      <c r="HM118" s="246">
        <v>43798</v>
      </c>
      <c r="HN118" s="244" t="s">
        <v>7708</v>
      </c>
      <c r="HO118" s="247">
        <v>3</v>
      </c>
      <c r="HP118" s="247" t="s">
        <v>1587</v>
      </c>
      <c r="HQ118" s="247" t="s">
        <v>601</v>
      </c>
      <c r="HR118" s="247">
        <v>1</v>
      </c>
      <c r="HS118" s="247" t="s">
        <v>393</v>
      </c>
      <c r="HT118" s="247" t="s">
        <v>393</v>
      </c>
      <c r="HU118" s="237">
        <v>43798</v>
      </c>
      <c r="HV118" s="245" t="s">
        <v>7709</v>
      </c>
      <c r="HW118" s="245">
        <v>2</v>
      </c>
      <c r="HX118" s="245" t="s">
        <v>1587</v>
      </c>
      <c r="HY118" s="245" t="s">
        <v>600</v>
      </c>
      <c r="HZ118" s="245">
        <v>2</v>
      </c>
      <c r="IA118" s="245" t="s">
        <v>393</v>
      </c>
      <c r="IB118" s="245" t="s">
        <v>393</v>
      </c>
      <c r="IC118" s="246">
        <v>43798</v>
      </c>
      <c r="ID118" s="244" t="s">
        <v>7710</v>
      </c>
      <c r="IE118" s="247">
        <v>2</v>
      </c>
      <c r="IF118" s="247" t="s">
        <v>1587</v>
      </c>
      <c r="IG118" s="247" t="s">
        <v>601</v>
      </c>
      <c r="IH118" s="247">
        <v>1</v>
      </c>
      <c r="II118" s="247" t="s">
        <v>393</v>
      </c>
      <c r="IJ118" s="247" t="s">
        <v>393</v>
      </c>
      <c r="IK118" s="237">
        <v>43798</v>
      </c>
      <c r="IL118" s="245" t="s">
        <v>7711</v>
      </c>
      <c r="IM118" s="245">
        <v>3</v>
      </c>
      <c r="IN118" s="245" t="s">
        <v>1587</v>
      </c>
      <c r="IO118" s="245" t="s">
        <v>601</v>
      </c>
      <c r="IP118" s="245">
        <v>1</v>
      </c>
      <c r="IQ118" s="245" t="s">
        <v>393</v>
      </c>
      <c r="IR118" s="245" t="s">
        <v>393</v>
      </c>
      <c r="IS118" s="246">
        <v>43798</v>
      </c>
    </row>
    <row r="119" spans="1:253" s="11" customFormat="1" ht="13.2" x14ac:dyDescent="0.25">
      <c r="A119" s="11" t="s">
        <v>1103</v>
      </c>
      <c r="B119" s="11" t="s">
        <v>691</v>
      </c>
      <c r="C119" s="11" t="s">
        <v>593</v>
      </c>
      <c r="D119" s="11" t="s">
        <v>299</v>
      </c>
      <c r="E119" s="11" t="s">
        <v>298</v>
      </c>
      <c r="F119" s="11" t="s">
        <v>7712</v>
      </c>
      <c r="G119" s="235">
        <v>11685000</v>
      </c>
      <c r="H119" s="236" t="s">
        <v>1492</v>
      </c>
      <c r="I119" s="236" t="s">
        <v>600</v>
      </c>
      <c r="J119" s="236">
        <v>2</v>
      </c>
      <c r="K119" s="236" t="s">
        <v>1493</v>
      </c>
      <c r="L119" s="236" t="s">
        <v>1423</v>
      </c>
      <c r="M119" s="237">
        <v>43676</v>
      </c>
      <c r="N119" s="244" t="s">
        <v>7713</v>
      </c>
      <c r="O119" s="239">
        <v>644000</v>
      </c>
      <c r="P119" s="239" t="s">
        <v>1424</v>
      </c>
      <c r="Q119" s="239" t="s">
        <v>601</v>
      </c>
      <c r="R119" s="239">
        <v>1</v>
      </c>
      <c r="S119" s="239" t="s">
        <v>1425</v>
      </c>
      <c r="T119" s="239" t="s">
        <v>1426</v>
      </c>
      <c r="U119" s="240">
        <v>43644</v>
      </c>
      <c r="V119" s="244" t="s">
        <v>7714</v>
      </c>
      <c r="W119" s="236">
        <v>11685000</v>
      </c>
      <c r="X119" s="236" t="s">
        <v>1492</v>
      </c>
      <c r="Y119" s="236" t="s">
        <v>600</v>
      </c>
      <c r="Z119" s="236">
        <v>2</v>
      </c>
      <c r="AA119" s="236" t="s">
        <v>1493</v>
      </c>
      <c r="AB119" s="236" t="s">
        <v>1423</v>
      </c>
      <c r="AC119" s="237">
        <v>43676</v>
      </c>
      <c r="AD119" s="244" t="s">
        <v>7715</v>
      </c>
      <c r="AE119" s="241">
        <v>11685000</v>
      </c>
      <c r="AF119" s="241" t="s">
        <v>1492</v>
      </c>
      <c r="AG119" s="241" t="s">
        <v>600</v>
      </c>
      <c r="AH119" s="241">
        <v>2</v>
      </c>
      <c r="AI119" s="241" t="s">
        <v>1493</v>
      </c>
      <c r="AJ119" s="241" t="s">
        <v>1423</v>
      </c>
      <c r="AK119" s="242">
        <v>43676</v>
      </c>
      <c r="AL119" s="244" t="s">
        <v>7716</v>
      </c>
      <c r="AM119" s="236">
        <v>3853000</v>
      </c>
      <c r="AN119" s="236" t="s">
        <v>2865</v>
      </c>
      <c r="AO119" s="236" t="s">
        <v>600</v>
      </c>
      <c r="AP119" s="236">
        <v>2</v>
      </c>
      <c r="AQ119" s="236" t="s">
        <v>2868</v>
      </c>
      <c r="AR119" s="236" t="s">
        <v>2777</v>
      </c>
      <c r="AS119" s="237">
        <v>44064</v>
      </c>
      <c r="AT119" s="245" t="s">
        <v>7717</v>
      </c>
      <c r="AU119" s="241" t="s">
        <v>393</v>
      </c>
      <c r="AV119" s="241">
        <v>0</v>
      </c>
      <c r="AW119" s="241" t="s">
        <v>600</v>
      </c>
      <c r="AX119" s="241">
        <v>2</v>
      </c>
      <c r="AY119" s="241">
        <v>0</v>
      </c>
      <c r="AZ119" s="241">
        <v>0</v>
      </c>
      <c r="BA119" s="242">
        <v>43510</v>
      </c>
      <c r="BB119" s="244" t="s">
        <v>7718</v>
      </c>
      <c r="BC119" s="236">
        <v>600000</v>
      </c>
      <c r="BD119" s="236" t="s">
        <v>1526</v>
      </c>
      <c r="BE119" s="236" t="s">
        <v>599</v>
      </c>
      <c r="BF119" s="236">
        <v>3</v>
      </c>
      <c r="BG119" s="236" t="s">
        <v>1527</v>
      </c>
      <c r="BH119" s="236" t="s">
        <v>1494</v>
      </c>
      <c r="BI119" s="237">
        <v>43700</v>
      </c>
      <c r="BJ119" s="245" t="s">
        <v>7719</v>
      </c>
      <c r="BK119" s="245">
        <v>1494</v>
      </c>
      <c r="BL119" s="245" t="s">
        <v>4102</v>
      </c>
      <c r="BM119" s="245" t="s">
        <v>600</v>
      </c>
      <c r="BN119" s="245">
        <v>2</v>
      </c>
      <c r="BO119" s="245" t="s">
        <v>4096</v>
      </c>
      <c r="BP119" s="241" t="s">
        <v>4094</v>
      </c>
      <c r="BQ119" s="246">
        <v>44140</v>
      </c>
      <c r="BR119" s="244" t="s">
        <v>7720</v>
      </c>
      <c r="BS119" s="247" t="s">
        <v>393</v>
      </c>
      <c r="BT119" s="247">
        <v>0</v>
      </c>
      <c r="BU119" s="247" t="s">
        <v>600</v>
      </c>
      <c r="BV119" s="247">
        <v>2</v>
      </c>
      <c r="BW119" s="247">
        <v>0</v>
      </c>
      <c r="BX119" s="247">
        <v>0</v>
      </c>
      <c r="BY119" s="237">
        <v>43510</v>
      </c>
      <c r="BZ119" s="245" t="s">
        <v>7721</v>
      </c>
      <c r="CA119" s="245" t="s">
        <v>393</v>
      </c>
      <c r="CB119" s="245">
        <v>0</v>
      </c>
      <c r="CC119" s="245" t="s">
        <v>393</v>
      </c>
      <c r="CD119" s="245" t="s">
        <v>393</v>
      </c>
      <c r="CE119" s="245">
        <v>0</v>
      </c>
      <c r="CF119" s="245">
        <v>0</v>
      </c>
      <c r="CG119" s="246">
        <v>43510</v>
      </c>
      <c r="CH119" s="244" t="s">
        <v>7722</v>
      </c>
      <c r="CI119" s="245" t="e">
        <v>#N/A</v>
      </c>
      <c r="CJ119" s="245" t="e">
        <v>#N/A</v>
      </c>
      <c r="CK119" s="245" t="e">
        <v>#N/A</v>
      </c>
      <c r="CL119" s="245" t="e">
        <v>#N/A</v>
      </c>
      <c r="CM119" s="245" t="e">
        <v>#N/A</v>
      </c>
      <c r="CN119" s="245" t="e">
        <v>#N/A</v>
      </c>
      <c r="CO119" s="248" t="e">
        <v>#N/A</v>
      </c>
      <c r="CP119" s="245" t="s">
        <v>7723</v>
      </c>
      <c r="CQ119" s="247">
        <v>14369</v>
      </c>
      <c r="CR119" s="247" t="s">
        <v>442</v>
      </c>
      <c r="CS119" s="247" t="s">
        <v>600</v>
      </c>
      <c r="CT119" s="247">
        <v>2</v>
      </c>
      <c r="CU119" s="247" t="s">
        <v>933</v>
      </c>
      <c r="CV119" s="247" t="s">
        <v>926</v>
      </c>
      <c r="CW119" s="237">
        <v>43510</v>
      </c>
      <c r="CX119" s="245" t="s">
        <v>7724</v>
      </c>
      <c r="CY119" s="241">
        <v>7200000</v>
      </c>
      <c r="CZ119" s="241" t="s">
        <v>1567</v>
      </c>
      <c r="DA119" s="241" t="s">
        <v>600</v>
      </c>
      <c r="DB119" s="241">
        <v>2</v>
      </c>
      <c r="DC119" s="241" t="s">
        <v>1566</v>
      </c>
      <c r="DD119" s="241" t="s">
        <v>1568</v>
      </c>
      <c r="DE119" s="243">
        <v>43735</v>
      </c>
      <c r="DF119" s="244" t="s">
        <v>7725</v>
      </c>
      <c r="DG119" s="236">
        <v>0</v>
      </c>
      <c r="DH119" s="247" t="s">
        <v>1567</v>
      </c>
      <c r="DI119" s="247" t="s">
        <v>600</v>
      </c>
      <c r="DJ119" s="247">
        <v>2</v>
      </c>
      <c r="DK119" s="247" t="s">
        <v>1566</v>
      </c>
      <c r="DL119" s="247" t="s">
        <v>1568</v>
      </c>
      <c r="DM119" s="237">
        <v>43735</v>
      </c>
      <c r="DN119" s="245" t="s">
        <v>7726</v>
      </c>
      <c r="DO119" s="241">
        <v>4430000</v>
      </c>
      <c r="DP119" s="245" t="s">
        <v>1567</v>
      </c>
      <c r="DQ119" s="245" t="s">
        <v>600</v>
      </c>
      <c r="DR119" s="245">
        <v>2</v>
      </c>
      <c r="DS119" s="245" t="s">
        <v>1566</v>
      </c>
      <c r="DT119" s="245" t="s">
        <v>1568</v>
      </c>
      <c r="DU119" s="246">
        <v>43735</v>
      </c>
      <c r="DV119" s="244" t="s">
        <v>7727</v>
      </c>
      <c r="DW119" s="236">
        <v>5260000</v>
      </c>
      <c r="DX119" s="247" t="s">
        <v>1567</v>
      </c>
      <c r="DY119" s="247" t="s">
        <v>600</v>
      </c>
      <c r="DZ119" s="247">
        <v>2</v>
      </c>
      <c r="EA119" s="247" t="s">
        <v>1566</v>
      </c>
      <c r="EB119" s="247" t="s">
        <v>1568</v>
      </c>
      <c r="EC119" s="237">
        <v>43735</v>
      </c>
      <c r="ED119" s="245" t="s">
        <v>7728</v>
      </c>
      <c r="EE119" s="241">
        <v>1930000</v>
      </c>
      <c r="EF119" s="245" t="s">
        <v>1567</v>
      </c>
      <c r="EG119" s="245" t="s">
        <v>600</v>
      </c>
      <c r="EH119" s="245">
        <v>2</v>
      </c>
      <c r="EI119" s="245" t="s">
        <v>1566</v>
      </c>
      <c r="EJ119" s="245" t="s">
        <v>1568</v>
      </c>
      <c r="EK119" s="246">
        <v>43735</v>
      </c>
      <c r="EL119" s="244" t="s">
        <v>7729</v>
      </c>
      <c r="EM119" s="236">
        <v>10000</v>
      </c>
      <c r="EN119" s="247" t="s">
        <v>1567</v>
      </c>
      <c r="EO119" s="247" t="s">
        <v>600</v>
      </c>
      <c r="EP119" s="247">
        <v>2</v>
      </c>
      <c r="EQ119" s="247" t="s">
        <v>1566</v>
      </c>
      <c r="ER119" s="247" t="s">
        <v>1568</v>
      </c>
      <c r="ES119" s="237">
        <v>43735</v>
      </c>
      <c r="ET119" s="245" t="s">
        <v>7730</v>
      </c>
      <c r="EU119" s="245">
        <v>1470</v>
      </c>
      <c r="EV119" s="245" t="s">
        <v>2866</v>
      </c>
      <c r="EW119" s="245" t="s">
        <v>599</v>
      </c>
      <c r="EX119" s="245">
        <v>3</v>
      </c>
      <c r="EY119" s="245" t="s">
        <v>2869</v>
      </c>
      <c r="EZ119" s="245" t="s">
        <v>812</v>
      </c>
      <c r="FA119" s="246">
        <v>44064</v>
      </c>
      <c r="FB119" s="244" t="s">
        <v>7731</v>
      </c>
      <c r="FC119" s="247">
        <v>5</v>
      </c>
      <c r="FD119" s="247" t="s">
        <v>1149</v>
      </c>
      <c r="FE119" s="247" t="s">
        <v>601</v>
      </c>
      <c r="FF119" s="247">
        <v>1</v>
      </c>
      <c r="FG119" s="247" t="s">
        <v>1427</v>
      </c>
      <c r="FH119" s="247" t="s">
        <v>1149</v>
      </c>
      <c r="FI119" s="237">
        <v>43644</v>
      </c>
      <c r="FJ119" s="244" t="s">
        <v>7732</v>
      </c>
      <c r="FK119" s="245" t="s">
        <v>393</v>
      </c>
      <c r="FL119" s="245">
        <v>0</v>
      </c>
      <c r="FM119" s="245" t="s">
        <v>600</v>
      </c>
      <c r="FN119" s="245">
        <v>2</v>
      </c>
      <c r="FO119" s="245">
        <v>0</v>
      </c>
      <c r="FP119" s="241">
        <v>0</v>
      </c>
      <c r="FQ119" s="242">
        <v>43510</v>
      </c>
      <c r="FR119" s="244" t="s">
        <v>7733</v>
      </c>
      <c r="FS119" s="247">
        <v>1500000</v>
      </c>
      <c r="FT119" s="247" t="s">
        <v>917</v>
      </c>
      <c r="FU119" s="247" t="s">
        <v>600</v>
      </c>
      <c r="FV119" s="247">
        <v>2</v>
      </c>
      <c r="FW119" s="247">
        <v>0</v>
      </c>
      <c r="FX119" s="247" t="s">
        <v>925</v>
      </c>
      <c r="FY119" s="237">
        <v>43510</v>
      </c>
      <c r="FZ119" s="245" t="s">
        <v>7734</v>
      </c>
      <c r="GA119" s="245">
        <v>2</v>
      </c>
      <c r="GB119" s="245" t="s">
        <v>1587</v>
      </c>
      <c r="GC119" s="245" t="s">
        <v>601</v>
      </c>
      <c r="GD119" s="245">
        <v>1</v>
      </c>
      <c r="GE119" s="245" t="s">
        <v>1623</v>
      </c>
      <c r="GF119" s="245" t="s">
        <v>1624</v>
      </c>
      <c r="GG119" s="246">
        <v>43768</v>
      </c>
      <c r="GH119" s="244" t="s">
        <v>7735</v>
      </c>
      <c r="GI119" s="247">
        <v>3</v>
      </c>
      <c r="GJ119" s="247" t="s">
        <v>1587</v>
      </c>
      <c r="GK119" s="247" t="s">
        <v>601</v>
      </c>
      <c r="GL119" s="247">
        <v>1</v>
      </c>
      <c r="GM119" s="247" t="s">
        <v>1623</v>
      </c>
      <c r="GN119" s="247" t="s">
        <v>1624</v>
      </c>
      <c r="GO119" s="237">
        <v>43768</v>
      </c>
      <c r="GP119" s="245" t="s">
        <v>7736</v>
      </c>
      <c r="GQ119" s="245">
        <v>3</v>
      </c>
      <c r="GR119" s="245" t="s">
        <v>1587</v>
      </c>
      <c r="GS119" s="245" t="s">
        <v>601</v>
      </c>
      <c r="GT119" s="245">
        <v>1</v>
      </c>
      <c r="GU119" s="245" t="s">
        <v>1623</v>
      </c>
      <c r="GV119" s="245" t="s">
        <v>1624</v>
      </c>
      <c r="GW119" s="246">
        <v>43768</v>
      </c>
      <c r="GX119" s="244" t="s">
        <v>7737</v>
      </c>
      <c r="GY119" s="247">
        <v>0</v>
      </c>
      <c r="GZ119" s="247" t="s">
        <v>1587</v>
      </c>
      <c r="HA119" s="247" t="s">
        <v>601</v>
      </c>
      <c r="HB119" s="247">
        <v>1</v>
      </c>
      <c r="HC119" s="247" t="s">
        <v>1623</v>
      </c>
      <c r="HD119" s="247" t="s">
        <v>1624</v>
      </c>
      <c r="HE119" s="237">
        <v>43768</v>
      </c>
      <c r="HF119" s="245" t="s">
        <v>7738</v>
      </c>
      <c r="HG119" s="245">
        <v>0</v>
      </c>
      <c r="HH119" s="245" t="s">
        <v>1587</v>
      </c>
      <c r="HI119" s="245" t="s">
        <v>601</v>
      </c>
      <c r="HJ119" s="245">
        <v>1</v>
      </c>
      <c r="HK119" s="245" t="s">
        <v>1623</v>
      </c>
      <c r="HL119" s="245" t="s">
        <v>1624</v>
      </c>
      <c r="HM119" s="246">
        <v>43768</v>
      </c>
      <c r="HN119" s="244" t="s">
        <v>7739</v>
      </c>
      <c r="HO119" s="247">
        <v>2</v>
      </c>
      <c r="HP119" s="247" t="s">
        <v>1587</v>
      </c>
      <c r="HQ119" s="247" t="s">
        <v>601</v>
      </c>
      <c r="HR119" s="247">
        <v>1</v>
      </c>
      <c r="HS119" s="247" t="s">
        <v>1623</v>
      </c>
      <c r="HT119" s="247" t="s">
        <v>1624</v>
      </c>
      <c r="HU119" s="237">
        <v>43768</v>
      </c>
      <c r="HV119" s="245" t="s">
        <v>7740</v>
      </c>
      <c r="HW119" s="245">
        <v>3</v>
      </c>
      <c r="HX119" s="245" t="s">
        <v>1587</v>
      </c>
      <c r="HY119" s="245" t="s">
        <v>601</v>
      </c>
      <c r="HZ119" s="245">
        <v>1</v>
      </c>
      <c r="IA119" s="245" t="s">
        <v>1623</v>
      </c>
      <c r="IB119" s="245" t="s">
        <v>1624</v>
      </c>
      <c r="IC119" s="246">
        <v>43768</v>
      </c>
      <c r="ID119" s="244" t="s">
        <v>7741</v>
      </c>
      <c r="IE119" s="247">
        <v>3</v>
      </c>
      <c r="IF119" s="247" t="s">
        <v>1587</v>
      </c>
      <c r="IG119" s="247" t="s">
        <v>601</v>
      </c>
      <c r="IH119" s="247">
        <v>1</v>
      </c>
      <c r="II119" s="247" t="s">
        <v>1623</v>
      </c>
      <c r="IJ119" s="247" t="s">
        <v>1624</v>
      </c>
      <c r="IK119" s="237">
        <v>43768</v>
      </c>
      <c r="IL119" s="245" t="s">
        <v>7742</v>
      </c>
      <c r="IM119" s="245">
        <v>3</v>
      </c>
      <c r="IN119" s="245" t="s">
        <v>1587</v>
      </c>
      <c r="IO119" s="245" t="s">
        <v>601</v>
      </c>
      <c r="IP119" s="245">
        <v>1</v>
      </c>
      <c r="IQ119" s="245" t="s">
        <v>1623</v>
      </c>
      <c r="IR119" s="245" t="s">
        <v>1624</v>
      </c>
      <c r="IS119" s="246">
        <v>43768</v>
      </c>
    </row>
    <row r="120" spans="1:253" s="11" customFormat="1" ht="13.2" x14ac:dyDescent="0.25">
      <c r="A120" s="11" t="s">
        <v>1104</v>
      </c>
      <c r="B120" s="11" t="s">
        <v>691</v>
      </c>
      <c r="C120" s="11" t="s">
        <v>1924</v>
      </c>
      <c r="D120" s="11" t="s">
        <v>305</v>
      </c>
      <c r="E120" s="11" t="s">
        <v>304</v>
      </c>
      <c r="F120" s="11" t="s">
        <v>7743</v>
      </c>
      <c r="G120" s="235">
        <v>43000000</v>
      </c>
      <c r="H120" s="236" t="s">
        <v>2071</v>
      </c>
      <c r="I120" s="236" t="s">
        <v>601</v>
      </c>
      <c r="J120" s="236">
        <v>1</v>
      </c>
      <c r="K120" s="236" t="s">
        <v>2076</v>
      </c>
      <c r="L120" s="236" t="s">
        <v>2075</v>
      </c>
      <c r="M120" s="237">
        <v>43868</v>
      </c>
      <c r="N120" s="260" t="s">
        <v>7744</v>
      </c>
      <c r="O120" s="239">
        <v>1840687</v>
      </c>
      <c r="P120" s="239" t="s">
        <v>2072</v>
      </c>
      <c r="Q120" s="239" t="s">
        <v>601</v>
      </c>
      <c r="R120" s="239">
        <v>1</v>
      </c>
      <c r="S120" s="239" t="s">
        <v>2077</v>
      </c>
      <c r="T120" s="239" t="s">
        <v>1368</v>
      </c>
      <c r="U120" s="240">
        <v>43868</v>
      </c>
      <c r="V120" s="260" t="s">
        <v>7745</v>
      </c>
      <c r="W120" s="236">
        <v>43000000</v>
      </c>
      <c r="X120" s="236" t="s">
        <v>2071</v>
      </c>
      <c r="Y120" s="236" t="s">
        <v>601</v>
      </c>
      <c r="Z120" s="236">
        <v>1</v>
      </c>
      <c r="AA120" s="236" t="s">
        <v>2078</v>
      </c>
      <c r="AB120" s="236" t="s">
        <v>2075</v>
      </c>
      <c r="AC120" s="237">
        <v>43868</v>
      </c>
      <c r="AD120" s="260" t="s">
        <v>7746</v>
      </c>
      <c r="AE120" s="241">
        <v>26600000</v>
      </c>
      <c r="AF120" s="241" t="s">
        <v>2773</v>
      </c>
      <c r="AG120" s="241" t="s">
        <v>600</v>
      </c>
      <c r="AH120" s="241">
        <v>2</v>
      </c>
      <c r="AI120" s="241" t="s">
        <v>2775</v>
      </c>
      <c r="AJ120" s="241" t="s">
        <v>2774</v>
      </c>
      <c r="AK120" s="242">
        <v>44039</v>
      </c>
      <c r="AL120" s="260" t="s">
        <v>7747</v>
      </c>
      <c r="AM120" s="236">
        <v>3200000</v>
      </c>
      <c r="AN120" s="236" t="s">
        <v>2071</v>
      </c>
      <c r="AO120" s="236" t="s">
        <v>600</v>
      </c>
      <c r="AP120" s="236">
        <v>2</v>
      </c>
      <c r="AQ120" s="236" t="s">
        <v>2079</v>
      </c>
      <c r="AR120" s="236" t="s">
        <v>2075</v>
      </c>
      <c r="AS120" s="237">
        <v>43868</v>
      </c>
      <c r="AT120" s="261" t="s">
        <v>7748</v>
      </c>
      <c r="AU120" s="241" t="s">
        <v>393</v>
      </c>
      <c r="AV120" s="241" t="s">
        <v>393</v>
      </c>
      <c r="AW120" s="241" t="s">
        <v>393</v>
      </c>
      <c r="AX120" s="241" t="s">
        <v>393</v>
      </c>
      <c r="AY120" s="241" t="s">
        <v>1471</v>
      </c>
      <c r="AZ120" s="241" t="s">
        <v>393</v>
      </c>
      <c r="BA120" s="242">
        <v>43868</v>
      </c>
      <c r="BB120" s="260" t="s">
        <v>7749</v>
      </c>
      <c r="BC120" s="236" t="s">
        <v>393</v>
      </c>
      <c r="BD120" s="236" t="s">
        <v>393</v>
      </c>
      <c r="BE120" s="236" t="s">
        <v>393</v>
      </c>
      <c r="BF120" s="236" t="s">
        <v>393</v>
      </c>
      <c r="BG120" s="236" t="s">
        <v>1471</v>
      </c>
      <c r="BH120" s="236" t="s">
        <v>393</v>
      </c>
      <c r="BI120" s="237">
        <v>43868</v>
      </c>
      <c r="BJ120" s="261" t="s">
        <v>7750</v>
      </c>
      <c r="BK120" s="261">
        <v>677</v>
      </c>
      <c r="BL120" s="261" t="s">
        <v>4104</v>
      </c>
      <c r="BM120" s="261" t="s">
        <v>600</v>
      </c>
      <c r="BN120" s="261">
        <v>2</v>
      </c>
      <c r="BO120" s="261" t="s">
        <v>4096</v>
      </c>
      <c r="BP120" s="241" t="s">
        <v>4094</v>
      </c>
      <c r="BQ120" s="262">
        <v>44140</v>
      </c>
      <c r="BR120" s="260" t="s">
        <v>7751</v>
      </c>
      <c r="BS120" s="263" t="s">
        <v>393</v>
      </c>
      <c r="BT120" s="263" t="s">
        <v>393</v>
      </c>
      <c r="BU120" s="263" t="s">
        <v>393</v>
      </c>
      <c r="BV120" s="263" t="s">
        <v>393</v>
      </c>
      <c r="BW120" s="263" t="s">
        <v>1471</v>
      </c>
      <c r="BX120" s="263" t="s">
        <v>393</v>
      </c>
      <c r="BY120" s="237">
        <v>43868</v>
      </c>
      <c r="BZ120" s="261" t="s">
        <v>7752</v>
      </c>
      <c r="CA120" s="261" t="s">
        <v>393</v>
      </c>
      <c r="CB120" s="261" t="s">
        <v>393</v>
      </c>
      <c r="CC120" s="261" t="s">
        <v>393</v>
      </c>
      <c r="CD120" s="261" t="s">
        <v>393</v>
      </c>
      <c r="CE120" s="261" t="s">
        <v>1471</v>
      </c>
      <c r="CF120" s="261" t="s">
        <v>393</v>
      </c>
      <c r="CG120" s="262">
        <v>43868</v>
      </c>
      <c r="CH120" s="260" t="s">
        <v>7753</v>
      </c>
      <c r="CI120" s="261" t="e">
        <v>#N/A</v>
      </c>
      <c r="CJ120" s="261" t="e">
        <v>#N/A</v>
      </c>
      <c r="CK120" s="261" t="e">
        <v>#N/A</v>
      </c>
      <c r="CL120" s="261" t="e">
        <v>#N/A</v>
      </c>
      <c r="CM120" s="261" t="e">
        <v>#N/A</v>
      </c>
      <c r="CN120" s="261" t="e">
        <v>#N/A</v>
      </c>
      <c r="CO120" s="264" t="e">
        <v>#N/A</v>
      </c>
      <c r="CP120" s="261" t="s">
        <v>7754</v>
      </c>
      <c r="CQ120" s="263" t="s">
        <v>393</v>
      </c>
      <c r="CR120" s="263" t="s">
        <v>393</v>
      </c>
      <c r="CS120" s="263" t="s">
        <v>393</v>
      </c>
      <c r="CT120" s="263" t="s">
        <v>393</v>
      </c>
      <c r="CU120" s="263" t="s">
        <v>1471</v>
      </c>
      <c r="CV120" s="263" t="s">
        <v>393</v>
      </c>
      <c r="CW120" s="237">
        <v>43868</v>
      </c>
      <c r="CX120" s="261" t="s">
        <v>7755</v>
      </c>
      <c r="CY120" s="241">
        <v>9300000</v>
      </c>
      <c r="CZ120" s="241" t="s">
        <v>2071</v>
      </c>
      <c r="DA120" s="241" t="s">
        <v>600</v>
      </c>
      <c r="DB120" s="241">
        <v>2</v>
      </c>
      <c r="DC120" s="241" t="s">
        <v>2080</v>
      </c>
      <c r="DD120" s="241" t="s">
        <v>2075</v>
      </c>
      <c r="DE120" s="243">
        <v>43868</v>
      </c>
      <c r="DF120" s="260" t="s">
        <v>7756</v>
      </c>
      <c r="DG120" s="236">
        <v>16400000</v>
      </c>
      <c r="DH120" s="263" t="s">
        <v>2776</v>
      </c>
      <c r="DI120" s="263" t="s">
        <v>600</v>
      </c>
      <c r="DJ120" s="263">
        <v>2</v>
      </c>
      <c r="DK120" s="263" t="s">
        <v>2080</v>
      </c>
      <c r="DL120" s="263" t="s">
        <v>2075</v>
      </c>
      <c r="DM120" s="237">
        <v>44039</v>
      </c>
      <c r="DN120" s="261" t="s">
        <v>7757</v>
      </c>
      <c r="DO120" s="241">
        <v>17300000</v>
      </c>
      <c r="DP120" s="261" t="s">
        <v>2776</v>
      </c>
      <c r="DQ120" s="261" t="s">
        <v>600</v>
      </c>
      <c r="DR120" s="261">
        <v>2</v>
      </c>
      <c r="DS120" s="261" t="s">
        <v>2080</v>
      </c>
      <c r="DT120" s="261" t="s">
        <v>2075</v>
      </c>
      <c r="DU120" s="262">
        <v>44039</v>
      </c>
      <c r="DV120" s="260" t="s">
        <v>7758</v>
      </c>
      <c r="DW120" s="236">
        <v>4400000</v>
      </c>
      <c r="DX120" s="263" t="s">
        <v>2071</v>
      </c>
      <c r="DY120" s="263" t="s">
        <v>600</v>
      </c>
      <c r="DZ120" s="263">
        <v>2</v>
      </c>
      <c r="EA120" s="263" t="s">
        <v>2080</v>
      </c>
      <c r="EB120" s="263" t="s">
        <v>2075</v>
      </c>
      <c r="EC120" s="237">
        <v>43868</v>
      </c>
      <c r="ED120" s="261" t="s">
        <v>7759</v>
      </c>
      <c r="EE120" s="241">
        <v>1000000</v>
      </c>
      <c r="EF120" s="261" t="s">
        <v>2071</v>
      </c>
      <c r="EG120" s="261" t="s">
        <v>600</v>
      </c>
      <c r="EH120" s="261">
        <v>2</v>
      </c>
      <c r="EI120" s="261" t="s">
        <v>2080</v>
      </c>
      <c r="EJ120" s="261" t="s">
        <v>2075</v>
      </c>
      <c r="EK120" s="262">
        <v>43868</v>
      </c>
      <c r="EL120" s="260" t="s">
        <v>7760</v>
      </c>
      <c r="EM120" s="236">
        <v>3900000</v>
      </c>
      <c r="EN120" s="263" t="s">
        <v>2071</v>
      </c>
      <c r="EO120" s="263" t="s">
        <v>600</v>
      </c>
      <c r="EP120" s="263">
        <v>2</v>
      </c>
      <c r="EQ120" s="263" t="s">
        <v>2080</v>
      </c>
      <c r="ER120" s="263" t="s">
        <v>2075</v>
      </c>
      <c r="ES120" s="237">
        <v>43868</v>
      </c>
      <c r="ET120" s="261" t="s">
        <v>7761</v>
      </c>
      <c r="EU120" s="261">
        <v>588</v>
      </c>
      <c r="EV120" s="261" t="s">
        <v>2861</v>
      </c>
      <c r="EW120" s="261" t="s">
        <v>1581</v>
      </c>
      <c r="EX120" s="261">
        <v>3</v>
      </c>
      <c r="EY120" s="261" t="s">
        <v>2864</v>
      </c>
      <c r="EZ120" s="261" t="s">
        <v>2862</v>
      </c>
      <c r="FA120" s="262">
        <v>44064</v>
      </c>
      <c r="FB120" s="260" t="s">
        <v>7762</v>
      </c>
      <c r="FC120" s="263">
        <v>5</v>
      </c>
      <c r="FD120" s="263" t="s">
        <v>2071</v>
      </c>
      <c r="FE120" s="263" t="s">
        <v>601</v>
      </c>
      <c r="FF120" s="263">
        <v>1</v>
      </c>
      <c r="FG120" s="263" t="s">
        <v>2080</v>
      </c>
      <c r="FH120" s="263" t="s">
        <v>2075</v>
      </c>
      <c r="FI120" s="237">
        <v>43868</v>
      </c>
      <c r="FJ120" s="260" t="s">
        <v>7763</v>
      </c>
      <c r="FK120" s="261" t="s">
        <v>393</v>
      </c>
      <c r="FL120" s="261">
        <v>0</v>
      </c>
      <c r="FM120" s="261" t="s">
        <v>600</v>
      </c>
      <c r="FN120" s="261">
        <v>2</v>
      </c>
      <c r="FO120" s="261" t="s">
        <v>811</v>
      </c>
      <c r="FP120" s="241">
        <v>0</v>
      </c>
      <c r="FQ120" s="242">
        <v>43511</v>
      </c>
      <c r="FR120" s="260" t="s">
        <v>7764</v>
      </c>
      <c r="FS120" s="263" t="s">
        <v>393</v>
      </c>
      <c r="FT120" s="263">
        <v>0</v>
      </c>
      <c r="FU120" s="263" t="s">
        <v>600</v>
      </c>
      <c r="FV120" s="263">
        <v>2</v>
      </c>
      <c r="FW120" s="263" t="s">
        <v>811</v>
      </c>
      <c r="FX120" s="263">
        <v>0</v>
      </c>
      <c r="FY120" s="237">
        <v>43511</v>
      </c>
      <c r="FZ120" s="261" t="s">
        <v>7765</v>
      </c>
      <c r="GA120" s="261">
        <v>2</v>
      </c>
      <c r="GB120" s="261" t="s">
        <v>1587</v>
      </c>
      <c r="GC120" s="261" t="s">
        <v>601</v>
      </c>
      <c r="GD120" s="261">
        <v>1</v>
      </c>
      <c r="GE120" s="261" t="s">
        <v>1623</v>
      </c>
      <c r="GF120" s="261" t="s">
        <v>1624</v>
      </c>
      <c r="GG120" s="262">
        <v>43768</v>
      </c>
      <c r="GH120" s="260" t="s">
        <v>7766</v>
      </c>
      <c r="GI120" s="263">
        <v>2</v>
      </c>
      <c r="GJ120" s="263" t="s">
        <v>1587</v>
      </c>
      <c r="GK120" s="263" t="s">
        <v>601</v>
      </c>
      <c r="GL120" s="263">
        <v>1</v>
      </c>
      <c r="GM120" s="263" t="s">
        <v>1623</v>
      </c>
      <c r="GN120" s="263" t="s">
        <v>1624</v>
      </c>
      <c r="GO120" s="237">
        <v>43768</v>
      </c>
      <c r="GP120" s="261" t="s">
        <v>7767</v>
      </c>
      <c r="GQ120" s="261">
        <v>2</v>
      </c>
      <c r="GR120" s="261" t="s">
        <v>1587</v>
      </c>
      <c r="GS120" s="261" t="s">
        <v>601</v>
      </c>
      <c r="GT120" s="261">
        <v>1</v>
      </c>
      <c r="GU120" s="261" t="s">
        <v>1623</v>
      </c>
      <c r="GV120" s="261" t="s">
        <v>1624</v>
      </c>
      <c r="GW120" s="262">
        <v>43768</v>
      </c>
      <c r="GX120" s="260" t="s">
        <v>7768</v>
      </c>
      <c r="GY120" s="263">
        <v>2</v>
      </c>
      <c r="GZ120" s="263" t="s">
        <v>1587</v>
      </c>
      <c r="HA120" s="263" t="s">
        <v>601</v>
      </c>
      <c r="HB120" s="263">
        <v>1</v>
      </c>
      <c r="HC120" s="263" t="s">
        <v>1623</v>
      </c>
      <c r="HD120" s="263" t="s">
        <v>1624</v>
      </c>
      <c r="HE120" s="237">
        <v>43768</v>
      </c>
      <c r="HF120" s="261" t="s">
        <v>7769</v>
      </c>
      <c r="HG120" s="261">
        <v>2</v>
      </c>
      <c r="HH120" s="261" t="s">
        <v>1587</v>
      </c>
      <c r="HI120" s="261" t="s">
        <v>601</v>
      </c>
      <c r="HJ120" s="261">
        <v>1</v>
      </c>
      <c r="HK120" s="261" t="s">
        <v>1623</v>
      </c>
      <c r="HL120" s="261" t="s">
        <v>1624</v>
      </c>
      <c r="HM120" s="262">
        <v>43768</v>
      </c>
      <c r="HN120" s="260" t="s">
        <v>7770</v>
      </c>
      <c r="HO120" s="263">
        <v>2</v>
      </c>
      <c r="HP120" s="263" t="s">
        <v>1587</v>
      </c>
      <c r="HQ120" s="263" t="s">
        <v>601</v>
      </c>
      <c r="HR120" s="263">
        <v>1</v>
      </c>
      <c r="HS120" s="263" t="s">
        <v>1623</v>
      </c>
      <c r="HT120" s="263" t="s">
        <v>1624</v>
      </c>
      <c r="HU120" s="237">
        <v>43768</v>
      </c>
      <c r="HV120" s="261" t="s">
        <v>7771</v>
      </c>
      <c r="HW120" s="261">
        <v>2</v>
      </c>
      <c r="HX120" s="261" t="s">
        <v>1587</v>
      </c>
      <c r="HY120" s="261" t="s">
        <v>601</v>
      </c>
      <c r="HZ120" s="261">
        <v>1</v>
      </c>
      <c r="IA120" s="261" t="s">
        <v>1623</v>
      </c>
      <c r="IB120" s="261" t="s">
        <v>1624</v>
      </c>
      <c r="IC120" s="262">
        <v>43768</v>
      </c>
      <c r="ID120" s="260" t="s">
        <v>7772</v>
      </c>
      <c r="IE120" s="263">
        <v>2</v>
      </c>
      <c r="IF120" s="263" t="s">
        <v>1587</v>
      </c>
      <c r="IG120" s="263" t="s">
        <v>601</v>
      </c>
      <c r="IH120" s="263">
        <v>1</v>
      </c>
      <c r="II120" s="263" t="s">
        <v>1623</v>
      </c>
      <c r="IJ120" s="263" t="s">
        <v>1624</v>
      </c>
      <c r="IK120" s="237">
        <v>43768</v>
      </c>
      <c r="IL120" s="261" t="s">
        <v>7773</v>
      </c>
      <c r="IM120" s="261">
        <v>3</v>
      </c>
      <c r="IN120" s="261" t="s">
        <v>1587</v>
      </c>
      <c r="IO120" s="261" t="s">
        <v>601</v>
      </c>
      <c r="IP120" s="261">
        <v>1</v>
      </c>
      <c r="IQ120" s="261" t="s">
        <v>1623</v>
      </c>
      <c r="IR120" s="261" t="s">
        <v>1624</v>
      </c>
      <c r="IS120" s="262">
        <v>43768</v>
      </c>
    </row>
    <row r="121" spans="1:253" s="11" customFormat="1" ht="13.2" x14ac:dyDescent="0.25">
      <c r="A121" s="11" t="s">
        <v>1927</v>
      </c>
      <c r="B121" s="11" t="s">
        <v>1280</v>
      </c>
      <c r="C121" s="11" t="s">
        <v>1928</v>
      </c>
      <c r="D121" s="11" t="s">
        <v>305</v>
      </c>
      <c r="E121" s="11" t="s">
        <v>304</v>
      </c>
      <c r="F121" s="11" t="s">
        <v>7774</v>
      </c>
      <c r="G121" s="235">
        <v>43000000</v>
      </c>
      <c r="H121" s="236" t="s">
        <v>2071</v>
      </c>
      <c r="I121" s="236" t="s">
        <v>601</v>
      </c>
      <c r="J121" s="236">
        <v>1</v>
      </c>
      <c r="K121" s="236" t="s">
        <v>2076</v>
      </c>
      <c r="L121" s="236" t="s">
        <v>2075</v>
      </c>
      <c r="M121" s="237">
        <v>43868</v>
      </c>
      <c r="N121" s="244" t="s">
        <v>7775</v>
      </c>
      <c r="O121" s="239">
        <v>15000</v>
      </c>
      <c r="P121" s="239" t="s">
        <v>2072</v>
      </c>
      <c r="Q121" s="239" t="s">
        <v>601</v>
      </c>
      <c r="R121" s="239">
        <v>1</v>
      </c>
      <c r="S121" s="239" t="s">
        <v>2081</v>
      </c>
      <c r="T121" s="239" t="s">
        <v>1368</v>
      </c>
      <c r="U121" s="240">
        <v>43868</v>
      </c>
      <c r="V121" s="244" t="s">
        <v>7776</v>
      </c>
      <c r="W121" s="236">
        <v>1326000</v>
      </c>
      <c r="X121" s="236" t="s">
        <v>2073</v>
      </c>
      <c r="Y121" s="236" t="s">
        <v>600</v>
      </c>
      <c r="Z121" s="236">
        <v>2</v>
      </c>
      <c r="AA121" s="236" t="s">
        <v>2083</v>
      </c>
      <c r="AB121" s="236" t="s">
        <v>2082</v>
      </c>
      <c r="AC121" s="237">
        <v>43868</v>
      </c>
      <c r="AD121" s="244" t="s">
        <v>7777</v>
      </c>
      <c r="AE121" s="241">
        <v>1326000</v>
      </c>
      <c r="AF121" s="241" t="s">
        <v>2186</v>
      </c>
      <c r="AG121" s="241" t="s">
        <v>600</v>
      </c>
      <c r="AH121" s="241">
        <v>2</v>
      </c>
      <c r="AI121" s="241" t="s">
        <v>2201</v>
      </c>
      <c r="AJ121" s="241" t="s">
        <v>2082</v>
      </c>
      <c r="AK121" s="242">
        <v>43920</v>
      </c>
      <c r="AL121" s="244" t="s">
        <v>7778</v>
      </c>
      <c r="AM121" s="236">
        <v>1100000</v>
      </c>
      <c r="AN121" s="236" t="s">
        <v>2073</v>
      </c>
      <c r="AO121" s="236" t="s">
        <v>600</v>
      </c>
      <c r="AP121" s="236">
        <v>2</v>
      </c>
      <c r="AQ121" s="236" t="s">
        <v>2084</v>
      </c>
      <c r="AR121" s="236" t="s">
        <v>2082</v>
      </c>
      <c r="AS121" s="237">
        <v>43868</v>
      </c>
      <c r="AT121" s="245" t="s">
        <v>7779</v>
      </c>
      <c r="AU121" s="241" t="s">
        <v>393</v>
      </c>
      <c r="AV121" s="241" t="s">
        <v>393</v>
      </c>
      <c r="AW121" s="241" t="s">
        <v>393</v>
      </c>
      <c r="AX121" s="241" t="s">
        <v>393</v>
      </c>
      <c r="AY121" s="241" t="s">
        <v>393</v>
      </c>
      <c r="AZ121" s="241" t="s">
        <v>393</v>
      </c>
      <c r="BA121" s="242">
        <v>43868</v>
      </c>
      <c r="BB121" s="244" t="s">
        <v>7780</v>
      </c>
      <c r="BC121" s="236" t="s">
        <v>393</v>
      </c>
      <c r="BD121" s="236" t="s">
        <v>393</v>
      </c>
      <c r="BE121" s="236" t="s">
        <v>393</v>
      </c>
      <c r="BF121" s="236" t="s">
        <v>393</v>
      </c>
      <c r="BG121" s="236" t="s">
        <v>393</v>
      </c>
      <c r="BH121" s="236" t="s">
        <v>393</v>
      </c>
      <c r="BI121" s="237">
        <v>43868</v>
      </c>
      <c r="BJ121" s="245" t="s">
        <v>7781</v>
      </c>
      <c r="BK121" s="245" t="s">
        <v>393</v>
      </c>
      <c r="BL121" s="245" t="s">
        <v>393</v>
      </c>
      <c r="BM121" s="245" t="s">
        <v>393</v>
      </c>
      <c r="BN121" s="245" t="s">
        <v>393</v>
      </c>
      <c r="BO121" s="245" t="s">
        <v>2085</v>
      </c>
      <c r="BP121" s="241" t="s">
        <v>393</v>
      </c>
      <c r="BQ121" s="246">
        <v>43868</v>
      </c>
      <c r="BR121" s="244" t="s">
        <v>7782</v>
      </c>
      <c r="BS121" s="247" t="s">
        <v>393</v>
      </c>
      <c r="BT121" s="247" t="s">
        <v>393</v>
      </c>
      <c r="BU121" s="247" t="s">
        <v>393</v>
      </c>
      <c r="BV121" s="247" t="s">
        <v>393</v>
      </c>
      <c r="BW121" s="247" t="s">
        <v>393</v>
      </c>
      <c r="BX121" s="247" t="s">
        <v>393</v>
      </c>
      <c r="BY121" s="237">
        <v>43868</v>
      </c>
      <c r="BZ121" s="245" t="s">
        <v>7783</v>
      </c>
      <c r="CA121" s="245" t="s">
        <v>393</v>
      </c>
      <c r="CB121" s="245" t="s">
        <v>393</v>
      </c>
      <c r="CC121" s="245" t="s">
        <v>393</v>
      </c>
      <c r="CD121" s="245" t="s">
        <v>393</v>
      </c>
      <c r="CE121" s="245" t="s">
        <v>393</v>
      </c>
      <c r="CF121" s="245" t="s">
        <v>393</v>
      </c>
      <c r="CG121" s="246">
        <v>43868</v>
      </c>
      <c r="CH121" s="244" t="s">
        <v>7784</v>
      </c>
      <c r="CI121" s="245" t="e">
        <v>#N/A</v>
      </c>
      <c r="CJ121" s="245" t="e">
        <v>#N/A</v>
      </c>
      <c r="CK121" s="245" t="e">
        <v>#N/A</v>
      </c>
      <c r="CL121" s="245" t="e">
        <v>#N/A</v>
      </c>
      <c r="CM121" s="245" t="e">
        <v>#N/A</v>
      </c>
      <c r="CN121" s="245" t="e">
        <v>#N/A</v>
      </c>
      <c r="CO121" s="248" t="e">
        <v>#N/A</v>
      </c>
      <c r="CP121" s="245" t="s">
        <v>7785</v>
      </c>
      <c r="CQ121" s="247" t="s">
        <v>393</v>
      </c>
      <c r="CR121" s="247" t="s">
        <v>393</v>
      </c>
      <c r="CS121" s="247" t="s">
        <v>393</v>
      </c>
      <c r="CT121" s="247" t="s">
        <v>393</v>
      </c>
      <c r="CU121" s="247" t="s">
        <v>393</v>
      </c>
      <c r="CV121" s="247" t="s">
        <v>393</v>
      </c>
      <c r="CW121" s="237">
        <v>43868</v>
      </c>
      <c r="CX121" s="245" t="s">
        <v>7786</v>
      </c>
      <c r="CY121" s="241">
        <v>1100000</v>
      </c>
      <c r="CZ121" s="241" t="s">
        <v>2186</v>
      </c>
      <c r="DA121" s="241" t="s">
        <v>600</v>
      </c>
      <c r="DB121" s="241">
        <v>2</v>
      </c>
      <c r="DC121" s="241" t="s">
        <v>2086</v>
      </c>
      <c r="DD121" s="241" t="s">
        <v>2082</v>
      </c>
      <c r="DE121" s="243">
        <v>43920</v>
      </c>
      <c r="DF121" s="244" t="s">
        <v>7787</v>
      </c>
      <c r="DG121" s="236">
        <v>0</v>
      </c>
      <c r="DH121" s="247" t="s">
        <v>2186</v>
      </c>
      <c r="DI121" s="247" t="s">
        <v>600</v>
      </c>
      <c r="DJ121" s="247">
        <v>2</v>
      </c>
      <c r="DK121" s="247" t="s">
        <v>2086</v>
      </c>
      <c r="DL121" s="247" t="s">
        <v>2082</v>
      </c>
      <c r="DM121" s="237">
        <v>43920</v>
      </c>
      <c r="DN121" s="245" t="s">
        <v>7788</v>
      </c>
      <c r="DO121" s="241">
        <v>226000</v>
      </c>
      <c r="DP121" s="245" t="s">
        <v>2186</v>
      </c>
      <c r="DQ121" s="245" t="s">
        <v>600</v>
      </c>
      <c r="DR121" s="245">
        <v>2</v>
      </c>
      <c r="DS121" s="245" t="s">
        <v>2086</v>
      </c>
      <c r="DT121" s="245" t="s">
        <v>2082</v>
      </c>
      <c r="DU121" s="246">
        <v>43920</v>
      </c>
      <c r="DV121" s="244" t="s">
        <v>7789</v>
      </c>
      <c r="DW121" s="236">
        <v>400000</v>
      </c>
      <c r="DX121" s="247" t="s">
        <v>2186</v>
      </c>
      <c r="DY121" s="247" t="s">
        <v>600</v>
      </c>
      <c r="DZ121" s="247">
        <v>2</v>
      </c>
      <c r="EA121" s="247" t="s">
        <v>2086</v>
      </c>
      <c r="EB121" s="247" t="s">
        <v>2082</v>
      </c>
      <c r="EC121" s="237">
        <v>43920</v>
      </c>
      <c r="ED121" s="245" t="s">
        <v>7790</v>
      </c>
      <c r="EE121" s="241">
        <v>500000</v>
      </c>
      <c r="EF121" s="245" t="s">
        <v>2186</v>
      </c>
      <c r="EG121" s="245" t="s">
        <v>600</v>
      </c>
      <c r="EH121" s="245">
        <v>2</v>
      </c>
      <c r="EI121" s="245" t="s">
        <v>2086</v>
      </c>
      <c r="EJ121" s="245" t="s">
        <v>2082</v>
      </c>
      <c r="EK121" s="246">
        <v>43920</v>
      </c>
      <c r="EL121" s="244" t="s">
        <v>7791</v>
      </c>
      <c r="EM121" s="236">
        <v>200000</v>
      </c>
      <c r="EN121" s="247" t="s">
        <v>2186</v>
      </c>
      <c r="EO121" s="247" t="s">
        <v>600</v>
      </c>
      <c r="EP121" s="247">
        <v>2</v>
      </c>
      <c r="EQ121" s="247" t="s">
        <v>2086</v>
      </c>
      <c r="ER121" s="247" t="s">
        <v>2082</v>
      </c>
      <c r="ES121" s="237">
        <v>43920</v>
      </c>
      <c r="ET121" s="245" t="s">
        <v>7792</v>
      </c>
      <c r="EU121" s="245">
        <v>588</v>
      </c>
      <c r="EV121" s="245" t="s">
        <v>2861</v>
      </c>
      <c r="EW121" s="245" t="s">
        <v>1581</v>
      </c>
      <c r="EX121" s="245">
        <v>3</v>
      </c>
      <c r="EY121" s="245" t="s">
        <v>2864</v>
      </c>
      <c r="EZ121" s="245" t="s">
        <v>2862</v>
      </c>
      <c r="FA121" s="246">
        <v>44064</v>
      </c>
      <c r="FB121" s="244" t="s">
        <v>7793</v>
      </c>
      <c r="FC121" s="247">
        <v>2</v>
      </c>
      <c r="FD121" s="247" t="s">
        <v>2073</v>
      </c>
      <c r="FE121" s="247" t="s">
        <v>600</v>
      </c>
      <c r="FF121" s="247">
        <v>2</v>
      </c>
      <c r="FG121" s="247" t="s">
        <v>2086</v>
      </c>
      <c r="FH121" s="247" t="s">
        <v>2082</v>
      </c>
      <c r="FI121" s="237">
        <v>43868</v>
      </c>
      <c r="FJ121" s="244" t="s">
        <v>7794</v>
      </c>
      <c r="FK121" s="245" t="e">
        <v>#N/A</v>
      </c>
      <c r="FL121" s="245" t="e">
        <v>#N/A</v>
      </c>
      <c r="FM121" s="245" t="e">
        <v>#N/A</v>
      </c>
      <c r="FN121" s="245" t="e">
        <v>#N/A</v>
      </c>
      <c r="FO121" s="245" t="e">
        <v>#N/A</v>
      </c>
      <c r="FP121" s="241" t="e">
        <v>#N/A</v>
      </c>
      <c r="FQ121" s="242" t="e">
        <v>#N/A</v>
      </c>
      <c r="FR121" s="244" t="s">
        <v>7795</v>
      </c>
      <c r="FS121" s="247" t="e">
        <v>#N/A</v>
      </c>
      <c r="FT121" s="247" t="e">
        <v>#N/A</v>
      </c>
      <c r="FU121" s="247" t="e">
        <v>#N/A</v>
      </c>
      <c r="FV121" s="247" t="e">
        <v>#N/A</v>
      </c>
      <c r="FW121" s="247" t="e">
        <v>#N/A</v>
      </c>
      <c r="FX121" s="247" t="e">
        <v>#N/A</v>
      </c>
      <c r="FY121" s="237" t="e">
        <v>#N/A</v>
      </c>
      <c r="FZ121" s="245" t="s">
        <v>7796</v>
      </c>
      <c r="GA121" s="245">
        <v>2</v>
      </c>
      <c r="GB121" s="245" t="s">
        <v>1587</v>
      </c>
      <c r="GC121" s="245" t="s">
        <v>601</v>
      </c>
      <c r="GD121" s="245">
        <v>1</v>
      </c>
      <c r="GE121" s="245" t="s">
        <v>393</v>
      </c>
      <c r="GF121" s="245" t="s">
        <v>1723</v>
      </c>
      <c r="GG121" s="246">
        <v>43868</v>
      </c>
      <c r="GH121" s="244" t="s">
        <v>7797</v>
      </c>
      <c r="GI121" s="247">
        <v>3</v>
      </c>
      <c r="GJ121" s="247" t="s">
        <v>1587</v>
      </c>
      <c r="GK121" s="247" t="s">
        <v>601</v>
      </c>
      <c r="GL121" s="247">
        <v>1</v>
      </c>
      <c r="GM121" s="247" t="s">
        <v>393</v>
      </c>
      <c r="GN121" s="247" t="s">
        <v>1723</v>
      </c>
      <c r="GO121" s="237">
        <v>43868</v>
      </c>
      <c r="GP121" s="245" t="s">
        <v>7798</v>
      </c>
      <c r="GQ121" s="245">
        <v>2</v>
      </c>
      <c r="GR121" s="245" t="s">
        <v>1587</v>
      </c>
      <c r="GS121" s="245" t="s">
        <v>601</v>
      </c>
      <c r="GT121" s="245">
        <v>1</v>
      </c>
      <c r="GU121" s="245" t="s">
        <v>393</v>
      </c>
      <c r="GV121" s="245" t="s">
        <v>1723</v>
      </c>
      <c r="GW121" s="246">
        <v>43868</v>
      </c>
      <c r="GX121" s="244" t="s">
        <v>7799</v>
      </c>
      <c r="GY121" s="247">
        <v>2</v>
      </c>
      <c r="GZ121" s="247" t="s">
        <v>1587</v>
      </c>
      <c r="HA121" s="247" t="s">
        <v>601</v>
      </c>
      <c r="HB121" s="247">
        <v>1</v>
      </c>
      <c r="HC121" s="247" t="s">
        <v>393</v>
      </c>
      <c r="HD121" s="247" t="s">
        <v>1723</v>
      </c>
      <c r="HE121" s="237">
        <v>43868</v>
      </c>
      <c r="HF121" s="245" t="s">
        <v>7800</v>
      </c>
      <c r="HG121" s="245">
        <v>0</v>
      </c>
      <c r="HH121" s="245" t="s">
        <v>1587</v>
      </c>
      <c r="HI121" s="245" t="s">
        <v>601</v>
      </c>
      <c r="HJ121" s="245">
        <v>1</v>
      </c>
      <c r="HK121" s="245" t="s">
        <v>393</v>
      </c>
      <c r="HL121" s="245" t="s">
        <v>1723</v>
      </c>
      <c r="HM121" s="246">
        <v>43868</v>
      </c>
      <c r="HN121" s="244" t="s">
        <v>7801</v>
      </c>
      <c r="HO121" s="247" t="s">
        <v>393</v>
      </c>
      <c r="HP121" s="247" t="s">
        <v>1587</v>
      </c>
      <c r="HQ121" s="247" t="s">
        <v>393</v>
      </c>
      <c r="HR121" s="247" t="s">
        <v>393</v>
      </c>
      <c r="HS121" s="247" t="s">
        <v>393</v>
      </c>
      <c r="HT121" s="247" t="s">
        <v>1723</v>
      </c>
      <c r="HU121" s="237">
        <v>43868</v>
      </c>
      <c r="HV121" s="245" t="s">
        <v>7802</v>
      </c>
      <c r="HW121" s="245">
        <v>2</v>
      </c>
      <c r="HX121" s="245" t="s">
        <v>1587</v>
      </c>
      <c r="HY121" s="245" t="s">
        <v>601</v>
      </c>
      <c r="HZ121" s="245">
        <v>1</v>
      </c>
      <c r="IA121" s="245" t="s">
        <v>393</v>
      </c>
      <c r="IB121" s="245" t="s">
        <v>1723</v>
      </c>
      <c r="IC121" s="246">
        <v>43868</v>
      </c>
      <c r="ID121" s="244" t="s">
        <v>7803</v>
      </c>
      <c r="IE121" s="247">
        <v>2</v>
      </c>
      <c r="IF121" s="247" t="s">
        <v>1587</v>
      </c>
      <c r="IG121" s="247" t="s">
        <v>601</v>
      </c>
      <c r="IH121" s="247">
        <v>1</v>
      </c>
      <c r="II121" s="247" t="s">
        <v>393</v>
      </c>
      <c r="IJ121" s="247" t="s">
        <v>1723</v>
      </c>
      <c r="IK121" s="237">
        <v>43868</v>
      </c>
      <c r="IL121" s="245" t="s">
        <v>7804</v>
      </c>
      <c r="IM121" s="245">
        <v>3</v>
      </c>
      <c r="IN121" s="245" t="s">
        <v>1587</v>
      </c>
      <c r="IO121" s="245" t="s">
        <v>601</v>
      </c>
      <c r="IP121" s="245">
        <v>1</v>
      </c>
      <c r="IQ121" s="245" t="s">
        <v>393</v>
      </c>
      <c r="IR121" s="245" t="s">
        <v>1723</v>
      </c>
      <c r="IS121" s="246">
        <v>43868</v>
      </c>
    </row>
    <row r="122" spans="1:253" s="11" customFormat="1" ht="13.2" x14ac:dyDescent="0.25">
      <c r="A122" s="11" t="s">
        <v>2807</v>
      </c>
      <c r="B122" s="11" t="s">
        <v>1279</v>
      </c>
      <c r="C122" s="11" t="s">
        <v>2933</v>
      </c>
      <c r="D122" s="11" t="s">
        <v>305</v>
      </c>
      <c r="E122" s="11" t="s">
        <v>304</v>
      </c>
      <c r="F122" s="11" t="s">
        <v>7805</v>
      </c>
      <c r="G122" s="235">
        <v>43000000</v>
      </c>
      <c r="H122" s="236" t="s">
        <v>2860</v>
      </c>
      <c r="I122" s="236" t="s">
        <v>600</v>
      </c>
      <c r="J122" s="236">
        <v>2</v>
      </c>
      <c r="K122" s="236" t="s">
        <v>2076</v>
      </c>
      <c r="L122" s="236" t="s">
        <v>2075</v>
      </c>
      <c r="M122" s="237">
        <v>44064</v>
      </c>
      <c r="N122" s="260" t="s">
        <v>7806</v>
      </c>
      <c r="O122" s="239">
        <v>1840687</v>
      </c>
      <c r="P122" s="239" t="s">
        <v>2072</v>
      </c>
      <c r="Q122" s="239" t="s">
        <v>600</v>
      </c>
      <c r="R122" s="239">
        <v>2</v>
      </c>
      <c r="S122" s="239" t="s">
        <v>3602</v>
      </c>
      <c r="T122" s="239" t="s">
        <v>3601</v>
      </c>
      <c r="U122" s="240">
        <v>44110</v>
      </c>
      <c r="V122" s="260" t="s">
        <v>7807</v>
      </c>
      <c r="W122" s="236">
        <v>43000000</v>
      </c>
      <c r="X122" s="236" t="s">
        <v>2071</v>
      </c>
      <c r="Y122" s="236" t="s">
        <v>600</v>
      </c>
      <c r="Z122" s="236">
        <v>2</v>
      </c>
      <c r="AA122" s="236" t="s">
        <v>3680</v>
      </c>
      <c r="AB122" s="236" t="s">
        <v>2075</v>
      </c>
      <c r="AC122" s="237">
        <v>44120</v>
      </c>
      <c r="AD122" s="260" t="s">
        <v>7808</v>
      </c>
      <c r="AE122" s="241">
        <v>875000</v>
      </c>
      <c r="AF122" s="241" t="s">
        <v>4108</v>
      </c>
      <c r="AG122" s="241" t="s">
        <v>600</v>
      </c>
      <c r="AH122" s="241">
        <v>2</v>
      </c>
      <c r="AI122" s="241" t="s">
        <v>4110</v>
      </c>
      <c r="AJ122" s="241" t="s">
        <v>4109</v>
      </c>
      <c r="AK122" s="242">
        <v>44140</v>
      </c>
      <c r="AL122" s="260" t="s">
        <v>7809</v>
      </c>
      <c r="AM122" s="236">
        <v>480000</v>
      </c>
      <c r="AN122" s="236" t="s">
        <v>3376</v>
      </c>
      <c r="AO122" s="236" t="s">
        <v>600</v>
      </c>
      <c r="AP122" s="236">
        <v>2</v>
      </c>
      <c r="AQ122" s="236" t="s">
        <v>3622</v>
      </c>
      <c r="AR122" s="236" t="s">
        <v>3621</v>
      </c>
      <c r="AS122" s="237">
        <v>44110</v>
      </c>
      <c r="AT122" s="261" t="s">
        <v>7810</v>
      </c>
      <c r="AU122" s="241">
        <v>54</v>
      </c>
      <c r="AV122" s="241" t="s">
        <v>3377</v>
      </c>
      <c r="AW122" s="241" t="s">
        <v>599</v>
      </c>
      <c r="AX122" s="241">
        <v>3</v>
      </c>
      <c r="AY122" s="241" t="s">
        <v>3624</v>
      </c>
      <c r="AZ122" s="241" t="s">
        <v>3623</v>
      </c>
      <c r="BA122" s="242">
        <v>44110</v>
      </c>
      <c r="BB122" s="260" t="s">
        <v>7811</v>
      </c>
      <c r="BC122" s="236" t="s">
        <v>393</v>
      </c>
      <c r="BD122" s="236" t="s">
        <v>393</v>
      </c>
      <c r="BE122" s="236" t="s">
        <v>393</v>
      </c>
      <c r="BF122" s="236" t="s">
        <v>393</v>
      </c>
      <c r="BG122" s="236" t="s">
        <v>1471</v>
      </c>
      <c r="BH122" s="236" t="s">
        <v>393</v>
      </c>
      <c r="BI122" s="237">
        <v>44064</v>
      </c>
      <c r="BJ122" s="261" t="s">
        <v>7812</v>
      </c>
      <c r="BK122" s="261">
        <v>155</v>
      </c>
      <c r="BL122" s="261" t="s">
        <v>4111</v>
      </c>
      <c r="BM122" s="261" t="s">
        <v>600</v>
      </c>
      <c r="BN122" s="261">
        <v>2</v>
      </c>
      <c r="BO122" s="261" t="s">
        <v>4113</v>
      </c>
      <c r="BP122" s="241" t="s">
        <v>4112</v>
      </c>
      <c r="BQ122" s="262">
        <v>44140</v>
      </c>
      <c r="BR122" s="260" t="s">
        <v>7813</v>
      </c>
      <c r="BS122" s="263">
        <v>92600</v>
      </c>
      <c r="BT122" s="263" t="s">
        <v>3378</v>
      </c>
      <c r="BU122" s="263" t="s">
        <v>599</v>
      </c>
      <c r="BV122" s="263">
        <v>3</v>
      </c>
      <c r="BW122" s="263" t="s">
        <v>3625</v>
      </c>
      <c r="BX122" s="263" t="s">
        <v>1528</v>
      </c>
      <c r="BY122" s="237">
        <v>44110</v>
      </c>
      <c r="BZ122" s="261" t="s">
        <v>7814</v>
      </c>
      <c r="CA122" s="261">
        <v>79400</v>
      </c>
      <c r="CB122" s="261" t="s">
        <v>3378</v>
      </c>
      <c r="CC122" s="261" t="s">
        <v>599</v>
      </c>
      <c r="CD122" s="261">
        <v>3</v>
      </c>
      <c r="CE122" s="261" t="s">
        <v>3626</v>
      </c>
      <c r="CF122" s="261" t="s">
        <v>1528</v>
      </c>
      <c r="CG122" s="262">
        <v>44110</v>
      </c>
      <c r="CH122" s="260" t="s">
        <v>7815</v>
      </c>
      <c r="CI122" s="261" t="e">
        <v>#N/A</v>
      </c>
      <c r="CJ122" s="261" t="e">
        <v>#N/A</v>
      </c>
      <c r="CK122" s="261" t="e">
        <v>#N/A</v>
      </c>
      <c r="CL122" s="261" t="e">
        <v>#N/A</v>
      </c>
      <c r="CM122" s="261" t="e">
        <v>#N/A</v>
      </c>
      <c r="CN122" s="261" t="e">
        <v>#N/A</v>
      </c>
      <c r="CO122" s="264" t="e">
        <v>#N/A</v>
      </c>
      <c r="CP122" s="261" t="s">
        <v>7816</v>
      </c>
      <c r="CQ122" s="263" t="s">
        <v>393</v>
      </c>
      <c r="CR122" s="263" t="s">
        <v>393</v>
      </c>
      <c r="CS122" s="263" t="s">
        <v>393</v>
      </c>
      <c r="CT122" s="263" t="s">
        <v>393</v>
      </c>
      <c r="CU122" s="263" t="s">
        <v>1471</v>
      </c>
      <c r="CV122" s="263" t="s">
        <v>393</v>
      </c>
      <c r="CW122" s="237">
        <v>44064</v>
      </c>
      <c r="CX122" s="261" t="s">
        <v>7817</v>
      </c>
      <c r="CY122" s="241">
        <v>50000</v>
      </c>
      <c r="CZ122" s="241" t="s">
        <v>3667</v>
      </c>
      <c r="DA122" s="241" t="s">
        <v>599</v>
      </c>
      <c r="DB122" s="241">
        <v>3</v>
      </c>
      <c r="DC122" s="241" t="s">
        <v>1717</v>
      </c>
      <c r="DD122" s="241" t="s">
        <v>2863</v>
      </c>
      <c r="DE122" s="243">
        <v>44120</v>
      </c>
      <c r="DF122" s="260" t="s">
        <v>7818</v>
      </c>
      <c r="DG122" s="236">
        <v>42140000</v>
      </c>
      <c r="DH122" s="263" t="s">
        <v>3667</v>
      </c>
      <c r="DI122" s="263" t="s">
        <v>599</v>
      </c>
      <c r="DJ122" s="263">
        <v>3</v>
      </c>
      <c r="DK122" s="263" t="s">
        <v>1717</v>
      </c>
      <c r="DL122" s="263" t="s">
        <v>2863</v>
      </c>
      <c r="DM122" s="237">
        <v>44120</v>
      </c>
      <c r="DN122" s="261" t="s">
        <v>7819</v>
      </c>
      <c r="DO122" s="241">
        <v>810000</v>
      </c>
      <c r="DP122" s="261" t="s">
        <v>3667</v>
      </c>
      <c r="DQ122" s="261" t="s">
        <v>599</v>
      </c>
      <c r="DR122" s="261">
        <v>3</v>
      </c>
      <c r="DS122" s="261" t="s">
        <v>1717</v>
      </c>
      <c r="DT122" s="261" t="s">
        <v>2863</v>
      </c>
      <c r="DU122" s="262">
        <v>44120</v>
      </c>
      <c r="DV122" s="260" t="s">
        <v>7820</v>
      </c>
      <c r="DW122" s="236">
        <v>50000</v>
      </c>
      <c r="DX122" s="263" t="s">
        <v>3667</v>
      </c>
      <c r="DY122" s="263" t="s">
        <v>599</v>
      </c>
      <c r="DZ122" s="263">
        <v>3</v>
      </c>
      <c r="EA122" s="263" t="s">
        <v>1717</v>
      </c>
      <c r="EB122" s="263" t="s">
        <v>2863</v>
      </c>
      <c r="EC122" s="237">
        <v>44120</v>
      </c>
      <c r="ED122" s="261" t="s">
        <v>7821</v>
      </c>
      <c r="EE122" s="241">
        <v>0</v>
      </c>
      <c r="EF122" s="261" t="s">
        <v>3667</v>
      </c>
      <c r="EG122" s="261" t="s">
        <v>599</v>
      </c>
      <c r="EH122" s="261">
        <v>3</v>
      </c>
      <c r="EI122" s="261" t="s">
        <v>1717</v>
      </c>
      <c r="EJ122" s="261" t="s">
        <v>2863</v>
      </c>
      <c r="EK122" s="262">
        <v>44120</v>
      </c>
      <c r="EL122" s="260" t="s">
        <v>7822</v>
      </c>
      <c r="EM122" s="236">
        <v>0</v>
      </c>
      <c r="EN122" s="263" t="s">
        <v>3667</v>
      </c>
      <c r="EO122" s="263" t="s">
        <v>599</v>
      </c>
      <c r="EP122" s="263">
        <v>3</v>
      </c>
      <c r="EQ122" s="263" t="s">
        <v>1717</v>
      </c>
      <c r="ER122" s="263" t="s">
        <v>2863</v>
      </c>
      <c r="ES122" s="237">
        <v>44120</v>
      </c>
      <c r="ET122" s="261" t="s">
        <v>7823</v>
      </c>
      <c r="EU122" s="261">
        <v>588</v>
      </c>
      <c r="EV122" s="261" t="s">
        <v>2861</v>
      </c>
      <c r="EW122" s="261" t="s">
        <v>1581</v>
      </c>
      <c r="EX122" s="261">
        <v>3</v>
      </c>
      <c r="EY122" s="261" t="s">
        <v>2864</v>
      </c>
      <c r="EZ122" s="261" t="s">
        <v>2862</v>
      </c>
      <c r="FA122" s="262">
        <v>44064</v>
      </c>
      <c r="FB122" s="260" t="s">
        <v>7824</v>
      </c>
      <c r="FC122" s="263">
        <v>3</v>
      </c>
      <c r="FD122" s="263" t="s">
        <v>393</v>
      </c>
      <c r="FE122" s="263" t="s">
        <v>393</v>
      </c>
      <c r="FF122" s="263" t="s">
        <v>393</v>
      </c>
      <c r="FG122" s="263" t="s">
        <v>2394</v>
      </c>
      <c r="FH122" s="263" t="s">
        <v>393</v>
      </c>
      <c r="FI122" s="237">
        <v>44064</v>
      </c>
      <c r="FJ122" s="260" t="s">
        <v>7825</v>
      </c>
      <c r="FK122" s="261" t="s">
        <v>393</v>
      </c>
      <c r="FL122" s="261" t="s">
        <v>393</v>
      </c>
      <c r="FM122" s="261" t="s">
        <v>393</v>
      </c>
      <c r="FN122" s="261" t="s">
        <v>393</v>
      </c>
      <c r="FO122" s="261" t="s">
        <v>1471</v>
      </c>
      <c r="FP122" s="241" t="s">
        <v>393</v>
      </c>
      <c r="FQ122" s="242">
        <v>44064</v>
      </c>
      <c r="FR122" s="260" t="s">
        <v>7826</v>
      </c>
      <c r="FS122" s="263" t="s">
        <v>393</v>
      </c>
      <c r="FT122" s="263" t="s">
        <v>393</v>
      </c>
      <c r="FU122" s="263" t="s">
        <v>393</v>
      </c>
      <c r="FV122" s="263" t="s">
        <v>393</v>
      </c>
      <c r="FW122" s="263" t="s">
        <v>1471</v>
      </c>
      <c r="FX122" s="263" t="s">
        <v>393</v>
      </c>
      <c r="FY122" s="237">
        <v>44064</v>
      </c>
      <c r="FZ122" s="261" t="s">
        <v>7827</v>
      </c>
      <c r="GA122" s="261">
        <v>2</v>
      </c>
      <c r="GB122" s="261" t="s">
        <v>2096</v>
      </c>
      <c r="GC122" s="261" t="s">
        <v>600</v>
      </c>
      <c r="GD122" s="261">
        <v>2</v>
      </c>
      <c r="GE122" s="261" t="s">
        <v>2096</v>
      </c>
      <c r="GF122" s="261" t="s">
        <v>1314</v>
      </c>
      <c r="GG122" s="262">
        <v>44064</v>
      </c>
      <c r="GH122" s="260" t="s">
        <v>7828</v>
      </c>
      <c r="GI122" s="263">
        <v>2</v>
      </c>
      <c r="GJ122" s="263" t="s">
        <v>2096</v>
      </c>
      <c r="GK122" s="263" t="s">
        <v>600</v>
      </c>
      <c r="GL122" s="263">
        <v>2</v>
      </c>
      <c r="GM122" s="263" t="s">
        <v>2096</v>
      </c>
      <c r="GN122" s="263" t="s">
        <v>1314</v>
      </c>
      <c r="GO122" s="237">
        <v>44064</v>
      </c>
      <c r="GP122" s="261" t="s">
        <v>7829</v>
      </c>
      <c r="GQ122" s="261">
        <v>0</v>
      </c>
      <c r="GR122" s="261" t="s">
        <v>2096</v>
      </c>
      <c r="GS122" s="261" t="s">
        <v>600</v>
      </c>
      <c r="GT122" s="261">
        <v>2</v>
      </c>
      <c r="GU122" s="261" t="s">
        <v>2096</v>
      </c>
      <c r="GV122" s="261" t="s">
        <v>1314</v>
      </c>
      <c r="GW122" s="262">
        <v>44064</v>
      </c>
      <c r="GX122" s="260" t="s">
        <v>7830</v>
      </c>
      <c r="GY122" s="263">
        <v>0</v>
      </c>
      <c r="GZ122" s="263" t="s">
        <v>2096</v>
      </c>
      <c r="HA122" s="263" t="s">
        <v>600</v>
      </c>
      <c r="HB122" s="263">
        <v>2</v>
      </c>
      <c r="HC122" s="263" t="s">
        <v>2096</v>
      </c>
      <c r="HD122" s="263" t="s">
        <v>1314</v>
      </c>
      <c r="HE122" s="237">
        <v>44064</v>
      </c>
      <c r="HF122" s="261" t="s">
        <v>7831</v>
      </c>
      <c r="HG122" s="261">
        <v>0</v>
      </c>
      <c r="HH122" s="261" t="s">
        <v>2096</v>
      </c>
      <c r="HI122" s="261" t="s">
        <v>600</v>
      </c>
      <c r="HJ122" s="261">
        <v>2</v>
      </c>
      <c r="HK122" s="261" t="s">
        <v>2096</v>
      </c>
      <c r="HL122" s="261" t="s">
        <v>1314</v>
      </c>
      <c r="HM122" s="262">
        <v>44064</v>
      </c>
      <c r="HN122" s="260" t="s">
        <v>7832</v>
      </c>
      <c r="HO122" s="263">
        <v>3</v>
      </c>
      <c r="HP122" s="263" t="s">
        <v>2096</v>
      </c>
      <c r="HQ122" s="263" t="s">
        <v>600</v>
      </c>
      <c r="HR122" s="263">
        <v>2</v>
      </c>
      <c r="HS122" s="263" t="s">
        <v>2096</v>
      </c>
      <c r="HT122" s="263" t="s">
        <v>1314</v>
      </c>
      <c r="HU122" s="237">
        <v>44064</v>
      </c>
      <c r="HV122" s="261" t="s">
        <v>7833</v>
      </c>
      <c r="HW122" s="261">
        <v>1</v>
      </c>
      <c r="HX122" s="261" t="s">
        <v>2096</v>
      </c>
      <c r="HY122" s="261" t="s">
        <v>600</v>
      </c>
      <c r="HZ122" s="261">
        <v>2</v>
      </c>
      <c r="IA122" s="261" t="s">
        <v>2096</v>
      </c>
      <c r="IB122" s="261" t="s">
        <v>1314</v>
      </c>
      <c r="IC122" s="262">
        <v>44064</v>
      </c>
      <c r="ID122" s="260" t="s">
        <v>7834</v>
      </c>
      <c r="IE122" s="263">
        <v>1</v>
      </c>
      <c r="IF122" s="263" t="s">
        <v>2096</v>
      </c>
      <c r="IG122" s="263" t="s">
        <v>600</v>
      </c>
      <c r="IH122" s="263">
        <v>2</v>
      </c>
      <c r="II122" s="263" t="s">
        <v>2096</v>
      </c>
      <c r="IJ122" s="263" t="s">
        <v>1314</v>
      </c>
      <c r="IK122" s="237">
        <v>44064</v>
      </c>
      <c r="IL122" s="261" t="s">
        <v>7835</v>
      </c>
      <c r="IM122" s="261">
        <v>3</v>
      </c>
      <c r="IN122" s="261" t="s">
        <v>2096</v>
      </c>
      <c r="IO122" s="261" t="s">
        <v>600</v>
      </c>
      <c r="IP122" s="261">
        <v>2</v>
      </c>
      <c r="IQ122" s="261" t="s">
        <v>2096</v>
      </c>
      <c r="IR122" s="261" t="s">
        <v>1314</v>
      </c>
      <c r="IS122" s="262">
        <v>44064</v>
      </c>
    </row>
    <row r="123" spans="1:253" s="11" customFormat="1" ht="13.2" x14ac:dyDescent="0.25">
      <c r="A123" s="11" t="s">
        <v>761</v>
      </c>
      <c r="B123" s="11" t="s">
        <v>691</v>
      </c>
      <c r="C123" s="11" t="s">
        <v>594</v>
      </c>
      <c r="D123" s="11" t="s">
        <v>388</v>
      </c>
      <c r="E123" s="11" t="s">
        <v>313</v>
      </c>
      <c r="F123" s="11" t="s">
        <v>7836</v>
      </c>
      <c r="G123" s="235">
        <v>17070000</v>
      </c>
      <c r="H123" s="236" t="s">
        <v>2874</v>
      </c>
      <c r="I123" s="236" t="s">
        <v>600</v>
      </c>
      <c r="J123" s="236">
        <v>2</v>
      </c>
      <c r="K123" s="236" t="s">
        <v>2878</v>
      </c>
      <c r="L123" s="236" t="s">
        <v>2876</v>
      </c>
      <c r="M123" s="237">
        <v>44064</v>
      </c>
      <c r="N123" s="244" t="s">
        <v>7837</v>
      </c>
      <c r="O123" s="239">
        <v>183630</v>
      </c>
      <c r="P123" s="239" t="s">
        <v>1551</v>
      </c>
      <c r="Q123" s="239" t="s">
        <v>600</v>
      </c>
      <c r="R123" s="239">
        <v>2</v>
      </c>
      <c r="S123" s="239" t="s">
        <v>3435</v>
      </c>
      <c r="T123" s="239" t="s">
        <v>3434</v>
      </c>
      <c r="U123" s="240">
        <v>44103</v>
      </c>
      <c r="V123" s="244" t="s">
        <v>7838</v>
      </c>
      <c r="W123" s="236">
        <v>17070000</v>
      </c>
      <c r="X123" s="236" t="s">
        <v>2874</v>
      </c>
      <c r="Y123" s="236" t="s">
        <v>600</v>
      </c>
      <c r="Z123" s="236">
        <v>2</v>
      </c>
      <c r="AA123" s="236" t="s">
        <v>1590</v>
      </c>
      <c r="AB123" s="236" t="s">
        <v>2876</v>
      </c>
      <c r="AC123" s="237">
        <v>44064</v>
      </c>
      <c r="AD123" s="244" t="s">
        <v>7839</v>
      </c>
      <c r="AE123" s="241">
        <v>17070000</v>
      </c>
      <c r="AF123" s="241" t="s">
        <v>2874</v>
      </c>
      <c r="AG123" s="241" t="s">
        <v>600</v>
      </c>
      <c r="AH123" s="241">
        <v>2</v>
      </c>
      <c r="AI123" s="241" t="s">
        <v>744</v>
      </c>
      <c r="AJ123" s="241" t="s">
        <v>2876</v>
      </c>
      <c r="AK123" s="242">
        <v>44064</v>
      </c>
      <c r="AL123" s="244" t="s">
        <v>7840</v>
      </c>
      <c r="AM123" s="236">
        <v>12270000</v>
      </c>
      <c r="AN123" s="236" t="s">
        <v>3829</v>
      </c>
      <c r="AO123" s="236" t="s">
        <v>599</v>
      </c>
      <c r="AP123" s="236">
        <v>3</v>
      </c>
      <c r="AQ123" s="236" t="s">
        <v>2722</v>
      </c>
      <c r="AR123" s="236" t="s">
        <v>3436</v>
      </c>
      <c r="AS123" s="237">
        <v>44130</v>
      </c>
      <c r="AT123" s="245" t="s">
        <v>7841</v>
      </c>
      <c r="AU123" s="241" t="s">
        <v>393</v>
      </c>
      <c r="AV123" s="241" t="s">
        <v>1485</v>
      </c>
      <c r="AW123" s="241" t="s">
        <v>393</v>
      </c>
      <c r="AX123" s="241" t="s">
        <v>393</v>
      </c>
      <c r="AY123" s="241" t="s">
        <v>1591</v>
      </c>
      <c r="AZ123" s="241" t="s">
        <v>1430</v>
      </c>
      <c r="BA123" s="242">
        <v>43767</v>
      </c>
      <c r="BB123" s="244" t="s">
        <v>7842</v>
      </c>
      <c r="BC123" s="236" t="s">
        <v>393</v>
      </c>
      <c r="BD123" s="236" t="s">
        <v>393</v>
      </c>
      <c r="BE123" s="236" t="s">
        <v>393</v>
      </c>
      <c r="BF123" s="236" t="s">
        <v>393</v>
      </c>
      <c r="BG123" s="236" t="s">
        <v>745</v>
      </c>
      <c r="BH123" s="236">
        <v>0</v>
      </c>
      <c r="BI123" s="237">
        <v>43495</v>
      </c>
      <c r="BJ123" s="245" t="s">
        <v>7843</v>
      </c>
      <c r="BK123" s="245">
        <v>2887</v>
      </c>
      <c r="BL123" s="245" t="s">
        <v>3830</v>
      </c>
      <c r="BM123" s="245" t="s">
        <v>599</v>
      </c>
      <c r="BN123" s="245">
        <v>3</v>
      </c>
      <c r="BO123" s="245" t="s">
        <v>3437</v>
      </c>
      <c r="BP123" s="241" t="s">
        <v>812</v>
      </c>
      <c r="BQ123" s="246">
        <v>44130</v>
      </c>
      <c r="BR123" s="244" t="s">
        <v>7844</v>
      </c>
      <c r="BS123" s="247" t="s">
        <v>393</v>
      </c>
      <c r="BT123" s="247" t="s">
        <v>393</v>
      </c>
      <c r="BU123" s="247" t="s">
        <v>393</v>
      </c>
      <c r="BV123" s="247" t="s">
        <v>393</v>
      </c>
      <c r="BW123" s="247" t="s">
        <v>393</v>
      </c>
      <c r="BX123" s="247" t="s">
        <v>393</v>
      </c>
      <c r="BY123" s="237">
        <v>43767</v>
      </c>
      <c r="BZ123" s="245" t="s">
        <v>7845</v>
      </c>
      <c r="CA123" s="245" t="s">
        <v>393</v>
      </c>
      <c r="CB123" s="245" t="s">
        <v>393</v>
      </c>
      <c r="CC123" s="245" t="s">
        <v>393</v>
      </c>
      <c r="CD123" s="245" t="s">
        <v>393</v>
      </c>
      <c r="CE123" s="245" t="s">
        <v>393</v>
      </c>
      <c r="CF123" s="245" t="s">
        <v>393</v>
      </c>
      <c r="CG123" s="246">
        <v>43767</v>
      </c>
      <c r="CH123" s="244" t="s">
        <v>7846</v>
      </c>
      <c r="CI123" s="245" t="e">
        <v>#N/A</v>
      </c>
      <c r="CJ123" s="245" t="e">
        <v>#N/A</v>
      </c>
      <c r="CK123" s="245" t="e">
        <v>#N/A</v>
      </c>
      <c r="CL123" s="245" t="e">
        <v>#N/A</v>
      </c>
      <c r="CM123" s="245" t="e">
        <v>#N/A</v>
      </c>
      <c r="CN123" s="245" t="e">
        <v>#N/A</v>
      </c>
      <c r="CO123" s="248" t="e">
        <v>#N/A</v>
      </c>
      <c r="CP123" s="245" t="s">
        <v>7847</v>
      </c>
      <c r="CQ123" s="247" t="s">
        <v>393</v>
      </c>
      <c r="CR123" s="247" t="s">
        <v>2875</v>
      </c>
      <c r="CS123" s="247" t="s">
        <v>393</v>
      </c>
      <c r="CT123" s="247" t="s">
        <v>393</v>
      </c>
      <c r="CU123" s="247" t="s">
        <v>2879</v>
      </c>
      <c r="CV123" s="247" t="s">
        <v>2877</v>
      </c>
      <c r="CW123" s="237">
        <v>44064</v>
      </c>
      <c r="CX123" s="245" t="s">
        <v>7848</v>
      </c>
      <c r="CY123" s="241">
        <v>11708000</v>
      </c>
      <c r="CZ123" s="241" t="s">
        <v>756</v>
      </c>
      <c r="DA123" s="241" t="s">
        <v>599</v>
      </c>
      <c r="DB123" s="241">
        <v>3</v>
      </c>
      <c r="DC123" s="241" t="s">
        <v>1592</v>
      </c>
      <c r="DD123" s="241" t="s">
        <v>1588</v>
      </c>
      <c r="DE123" s="243">
        <v>43767</v>
      </c>
      <c r="DF123" s="244" t="s">
        <v>7849</v>
      </c>
      <c r="DG123" s="236">
        <v>0</v>
      </c>
      <c r="DH123" s="247" t="s">
        <v>756</v>
      </c>
      <c r="DI123" s="247" t="s">
        <v>599</v>
      </c>
      <c r="DJ123" s="247">
        <v>3</v>
      </c>
      <c r="DK123" s="247" t="s">
        <v>1592</v>
      </c>
      <c r="DL123" s="247" t="s">
        <v>1588</v>
      </c>
      <c r="DM123" s="237">
        <v>43767</v>
      </c>
      <c r="DN123" s="245" t="s">
        <v>7850</v>
      </c>
      <c r="DO123" s="241">
        <v>5362000</v>
      </c>
      <c r="DP123" s="245" t="s">
        <v>756</v>
      </c>
      <c r="DQ123" s="245" t="s">
        <v>1581</v>
      </c>
      <c r="DR123" s="245">
        <v>3</v>
      </c>
      <c r="DS123" s="245" t="s">
        <v>1592</v>
      </c>
      <c r="DT123" s="245" t="s">
        <v>1588</v>
      </c>
      <c r="DU123" s="246">
        <v>44064</v>
      </c>
      <c r="DV123" s="244" t="s">
        <v>7851</v>
      </c>
      <c r="DW123" s="236">
        <v>1969000</v>
      </c>
      <c r="DX123" s="247" t="s">
        <v>756</v>
      </c>
      <c r="DY123" s="247" t="s">
        <v>599</v>
      </c>
      <c r="DZ123" s="247">
        <v>3</v>
      </c>
      <c r="EA123" s="247" t="s">
        <v>1592</v>
      </c>
      <c r="EB123" s="247" t="s">
        <v>1588</v>
      </c>
      <c r="EC123" s="237">
        <v>43767</v>
      </c>
      <c r="ED123" s="245" t="s">
        <v>7852</v>
      </c>
      <c r="EE123" s="241">
        <v>8500000</v>
      </c>
      <c r="EF123" s="245" t="s">
        <v>756</v>
      </c>
      <c r="EG123" s="245" t="s">
        <v>599</v>
      </c>
      <c r="EH123" s="245">
        <v>3</v>
      </c>
      <c r="EI123" s="245" t="s">
        <v>1592</v>
      </c>
      <c r="EJ123" s="245" t="s">
        <v>1588</v>
      </c>
      <c r="EK123" s="246">
        <v>43767</v>
      </c>
      <c r="EL123" s="244" t="s">
        <v>7853</v>
      </c>
      <c r="EM123" s="236">
        <v>1239000</v>
      </c>
      <c r="EN123" s="247" t="s">
        <v>756</v>
      </c>
      <c r="EO123" s="247" t="s">
        <v>599</v>
      </c>
      <c r="EP123" s="247">
        <v>3</v>
      </c>
      <c r="EQ123" s="247" t="s">
        <v>1592</v>
      </c>
      <c r="ER123" s="247" t="s">
        <v>1588</v>
      </c>
      <c r="ES123" s="237">
        <v>43767</v>
      </c>
      <c r="ET123" s="245" t="s">
        <v>7854</v>
      </c>
      <c r="EU123" s="245">
        <v>2887</v>
      </c>
      <c r="EV123" s="245" t="s">
        <v>3830</v>
      </c>
      <c r="EW123" s="245" t="s">
        <v>599</v>
      </c>
      <c r="EX123" s="245">
        <v>3</v>
      </c>
      <c r="EY123" s="245" t="s">
        <v>3438</v>
      </c>
      <c r="EZ123" s="245" t="s">
        <v>812</v>
      </c>
      <c r="FA123" s="246">
        <v>44130</v>
      </c>
      <c r="FB123" s="244" t="s">
        <v>7855</v>
      </c>
      <c r="FC123" s="247">
        <v>5</v>
      </c>
      <c r="FD123" s="247">
        <v>0</v>
      </c>
      <c r="FE123" s="247" t="s">
        <v>601</v>
      </c>
      <c r="FF123" s="247">
        <v>1</v>
      </c>
      <c r="FG123" s="247" t="s">
        <v>746</v>
      </c>
      <c r="FH123" s="247">
        <v>0</v>
      </c>
      <c r="FI123" s="237">
        <v>43495</v>
      </c>
      <c r="FJ123" s="244" t="s">
        <v>7856</v>
      </c>
      <c r="FK123" s="245" t="s">
        <v>393</v>
      </c>
      <c r="FL123" s="245">
        <v>0</v>
      </c>
      <c r="FM123" s="245" t="s">
        <v>393</v>
      </c>
      <c r="FN123" s="245" t="s">
        <v>393</v>
      </c>
      <c r="FO123" s="245" t="s">
        <v>747</v>
      </c>
      <c r="FP123" s="241">
        <v>0</v>
      </c>
      <c r="FQ123" s="242">
        <v>43495</v>
      </c>
      <c r="FR123" s="244" t="s">
        <v>7857</v>
      </c>
      <c r="FS123" s="247">
        <v>1160000</v>
      </c>
      <c r="FT123" s="247" t="s">
        <v>748</v>
      </c>
      <c r="FU123" s="247" t="s">
        <v>600</v>
      </c>
      <c r="FV123" s="247">
        <v>2</v>
      </c>
      <c r="FW123" s="247" t="s">
        <v>757</v>
      </c>
      <c r="FX123" s="247" t="s">
        <v>749</v>
      </c>
      <c r="FY123" s="237">
        <v>43495</v>
      </c>
      <c r="FZ123" s="245" t="s">
        <v>7858</v>
      </c>
      <c r="GA123" s="245">
        <v>2</v>
      </c>
      <c r="GB123" s="245" t="s">
        <v>1587</v>
      </c>
      <c r="GC123" s="245" t="s">
        <v>1364</v>
      </c>
      <c r="GD123" s="245">
        <v>2</v>
      </c>
      <c r="GE123" s="245" t="s">
        <v>1623</v>
      </c>
      <c r="GF123" s="245" t="s">
        <v>1624</v>
      </c>
      <c r="GG123" s="246">
        <v>43767</v>
      </c>
      <c r="GH123" s="244" t="s">
        <v>7859</v>
      </c>
      <c r="GI123" s="247">
        <v>3</v>
      </c>
      <c r="GJ123" s="247" t="s">
        <v>1587</v>
      </c>
      <c r="GK123" s="247" t="s">
        <v>1364</v>
      </c>
      <c r="GL123" s="247">
        <v>2</v>
      </c>
      <c r="GM123" s="247" t="s">
        <v>1623</v>
      </c>
      <c r="GN123" s="247" t="s">
        <v>1624</v>
      </c>
      <c r="GO123" s="237">
        <v>43767</v>
      </c>
      <c r="GP123" s="245" t="s">
        <v>7860</v>
      </c>
      <c r="GQ123" s="245">
        <v>3</v>
      </c>
      <c r="GR123" s="245" t="s">
        <v>1587</v>
      </c>
      <c r="GS123" s="245" t="s">
        <v>1364</v>
      </c>
      <c r="GT123" s="245">
        <v>2</v>
      </c>
      <c r="GU123" s="245" t="s">
        <v>1623</v>
      </c>
      <c r="GV123" s="245" t="s">
        <v>1624</v>
      </c>
      <c r="GW123" s="246">
        <v>43767</v>
      </c>
      <c r="GX123" s="244" t="s">
        <v>7861</v>
      </c>
      <c r="GY123" s="247">
        <v>3</v>
      </c>
      <c r="GZ123" s="247" t="s">
        <v>1587</v>
      </c>
      <c r="HA123" s="247" t="s">
        <v>1364</v>
      </c>
      <c r="HB123" s="247">
        <v>2</v>
      </c>
      <c r="HC123" s="247" t="s">
        <v>1623</v>
      </c>
      <c r="HD123" s="247" t="s">
        <v>1624</v>
      </c>
      <c r="HE123" s="237">
        <v>43767</v>
      </c>
      <c r="HF123" s="245" t="s">
        <v>7862</v>
      </c>
      <c r="HG123" s="245">
        <v>3</v>
      </c>
      <c r="HH123" s="245" t="s">
        <v>1587</v>
      </c>
      <c r="HI123" s="245" t="s">
        <v>1364</v>
      </c>
      <c r="HJ123" s="245">
        <v>2</v>
      </c>
      <c r="HK123" s="245" t="s">
        <v>1623</v>
      </c>
      <c r="HL123" s="245" t="s">
        <v>1624</v>
      </c>
      <c r="HM123" s="246">
        <v>43767</v>
      </c>
      <c r="HN123" s="244" t="s">
        <v>7863</v>
      </c>
      <c r="HO123" s="247">
        <v>2</v>
      </c>
      <c r="HP123" s="247" t="s">
        <v>1587</v>
      </c>
      <c r="HQ123" s="247" t="s">
        <v>1364</v>
      </c>
      <c r="HR123" s="247">
        <v>2</v>
      </c>
      <c r="HS123" s="247" t="s">
        <v>1623</v>
      </c>
      <c r="HT123" s="247" t="s">
        <v>1624</v>
      </c>
      <c r="HU123" s="237">
        <v>43767</v>
      </c>
      <c r="HV123" s="245" t="s">
        <v>7864</v>
      </c>
      <c r="HW123" s="245">
        <v>3</v>
      </c>
      <c r="HX123" s="245" t="s">
        <v>1587</v>
      </c>
      <c r="HY123" s="245" t="s">
        <v>1364</v>
      </c>
      <c r="HZ123" s="245">
        <v>2</v>
      </c>
      <c r="IA123" s="245" t="s">
        <v>1623</v>
      </c>
      <c r="IB123" s="245" t="s">
        <v>1624</v>
      </c>
      <c r="IC123" s="246">
        <v>43767</v>
      </c>
      <c r="ID123" s="244" t="s">
        <v>7865</v>
      </c>
      <c r="IE123" s="247">
        <v>3</v>
      </c>
      <c r="IF123" s="247" t="s">
        <v>1587</v>
      </c>
      <c r="IG123" s="247" t="s">
        <v>1364</v>
      </c>
      <c r="IH123" s="247">
        <v>2</v>
      </c>
      <c r="II123" s="247" t="s">
        <v>1623</v>
      </c>
      <c r="IJ123" s="247" t="s">
        <v>1624</v>
      </c>
      <c r="IK123" s="237">
        <v>43767</v>
      </c>
      <c r="IL123" s="245" t="s">
        <v>7866</v>
      </c>
      <c r="IM123" s="245">
        <v>3</v>
      </c>
      <c r="IN123" s="245" t="s">
        <v>1587</v>
      </c>
      <c r="IO123" s="245" t="s">
        <v>1364</v>
      </c>
      <c r="IP123" s="245">
        <v>2</v>
      </c>
      <c r="IQ123" s="245" t="s">
        <v>1623</v>
      </c>
      <c r="IR123" s="245" t="s">
        <v>1624</v>
      </c>
      <c r="IS123" s="246">
        <v>43767</v>
      </c>
    </row>
    <row r="124" spans="1:253" s="11" customFormat="1" ht="13.2" x14ac:dyDescent="0.25">
      <c r="A124" s="11" t="s">
        <v>1250</v>
      </c>
      <c r="B124" s="11" t="s">
        <v>1281</v>
      </c>
      <c r="C124" s="11" t="s">
        <v>1254</v>
      </c>
      <c r="D124" s="11" t="s">
        <v>1258</v>
      </c>
      <c r="E124" s="11" t="s">
        <v>1262</v>
      </c>
      <c r="F124" s="11" t="s">
        <v>7867</v>
      </c>
      <c r="G124" s="235">
        <v>254040000</v>
      </c>
      <c r="H124" s="236" t="s">
        <v>3312</v>
      </c>
      <c r="I124" s="236" t="s">
        <v>600</v>
      </c>
      <c r="J124" s="236">
        <v>2</v>
      </c>
      <c r="K124" s="236" t="s">
        <v>3479</v>
      </c>
      <c r="L124" s="236" t="s">
        <v>3312</v>
      </c>
      <c r="M124" s="237">
        <v>44109</v>
      </c>
      <c r="N124" s="260" t="s">
        <v>7868</v>
      </c>
      <c r="O124" s="239">
        <v>497394.2</v>
      </c>
      <c r="P124" s="239" t="s">
        <v>3312</v>
      </c>
      <c r="Q124" s="239" t="s">
        <v>600</v>
      </c>
      <c r="R124" s="239">
        <v>2</v>
      </c>
      <c r="S124" s="239" t="s">
        <v>3479</v>
      </c>
      <c r="T124" s="239" t="s">
        <v>3312</v>
      </c>
      <c r="U124" s="240">
        <v>44109</v>
      </c>
      <c r="V124" s="260" t="s">
        <v>7869</v>
      </c>
      <c r="W124" s="236">
        <v>95602000</v>
      </c>
      <c r="X124" s="236" t="s">
        <v>3312</v>
      </c>
      <c r="Y124" s="236" t="s">
        <v>600</v>
      </c>
      <c r="Z124" s="236">
        <v>2</v>
      </c>
      <c r="AA124" s="236" t="s">
        <v>3479</v>
      </c>
      <c r="AB124" s="236" t="s">
        <v>3312</v>
      </c>
      <c r="AC124" s="237">
        <v>44109</v>
      </c>
      <c r="AD124" s="260" t="s">
        <v>7870</v>
      </c>
      <c r="AE124" s="241">
        <v>28688000</v>
      </c>
      <c r="AF124" s="241" t="s">
        <v>3312</v>
      </c>
      <c r="AG124" s="241" t="s">
        <v>600</v>
      </c>
      <c r="AH124" s="241">
        <v>2</v>
      </c>
      <c r="AI124" s="241" t="s">
        <v>3479</v>
      </c>
      <c r="AJ124" s="241" t="s">
        <v>3312</v>
      </c>
      <c r="AK124" s="242">
        <v>44109</v>
      </c>
      <c r="AL124" s="260" t="s">
        <v>7871</v>
      </c>
      <c r="AM124" s="236">
        <v>12263000</v>
      </c>
      <c r="AN124" s="236" t="s">
        <v>3312</v>
      </c>
      <c r="AO124" s="236" t="s">
        <v>600</v>
      </c>
      <c r="AP124" s="236">
        <v>2</v>
      </c>
      <c r="AQ124" s="236" t="s">
        <v>3479</v>
      </c>
      <c r="AR124" s="236" t="s">
        <v>3312</v>
      </c>
      <c r="AS124" s="237">
        <v>44109</v>
      </c>
      <c r="AT124" s="261" t="s">
        <v>7872</v>
      </c>
      <c r="AU124" s="241" t="s">
        <v>393</v>
      </c>
      <c r="AV124" s="241" t="s">
        <v>1327</v>
      </c>
      <c r="AW124" s="241" t="s">
        <v>1364</v>
      </c>
      <c r="AX124" s="241">
        <v>2</v>
      </c>
      <c r="AY124" s="241" t="s">
        <v>1328</v>
      </c>
      <c r="AZ124" s="241" t="s">
        <v>1327</v>
      </c>
      <c r="BA124" s="242">
        <v>43815</v>
      </c>
      <c r="BB124" s="260" t="s">
        <v>7873</v>
      </c>
      <c r="BC124" s="236" t="s">
        <v>393</v>
      </c>
      <c r="BD124" s="236" t="s">
        <v>1327</v>
      </c>
      <c r="BE124" s="236" t="s">
        <v>1364</v>
      </c>
      <c r="BF124" s="236">
        <v>2</v>
      </c>
      <c r="BG124" s="236" t="s">
        <v>1595</v>
      </c>
      <c r="BH124" s="236" t="s">
        <v>1327</v>
      </c>
      <c r="BI124" s="237">
        <v>43815</v>
      </c>
      <c r="BJ124" s="261" t="s">
        <v>7874</v>
      </c>
      <c r="BK124" s="261">
        <v>3037</v>
      </c>
      <c r="BL124" s="261" t="s">
        <v>3312</v>
      </c>
      <c r="BM124" s="261" t="s">
        <v>599</v>
      </c>
      <c r="BN124" s="261">
        <v>3</v>
      </c>
      <c r="BO124" s="261" t="s">
        <v>3479</v>
      </c>
      <c r="BP124" s="241" t="s">
        <v>3312</v>
      </c>
      <c r="BQ124" s="262">
        <v>44109</v>
      </c>
      <c r="BR124" s="260" t="s">
        <v>7875</v>
      </c>
      <c r="BS124" s="263" t="s">
        <v>393</v>
      </c>
      <c r="BT124" s="263" t="s">
        <v>1327</v>
      </c>
      <c r="BU124" s="263" t="s">
        <v>600</v>
      </c>
      <c r="BV124" s="263">
        <v>2</v>
      </c>
      <c r="BW124" s="263" t="s">
        <v>1329</v>
      </c>
      <c r="BX124" s="263" t="s">
        <v>1327</v>
      </c>
      <c r="BY124" s="237">
        <v>43606</v>
      </c>
      <c r="BZ124" s="261" t="s">
        <v>7876</v>
      </c>
      <c r="CA124" s="261" t="s">
        <v>393</v>
      </c>
      <c r="CB124" s="261" t="s">
        <v>1327</v>
      </c>
      <c r="CC124" s="261" t="s">
        <v>600</v>
      </c>
      <c r="CD124" s="261">
        <v>2</v>
      </c>
      <c r="CE124" s="261" t="s">
        <v>1329</v>
      </c>
      <c r="CF124" s="261" t="s">
        <v>1327</v>
      </c>
      <c r="CG124" s="262">
        <v>43606</v>
      </c>
      <c r="CH124" s="260" t="s">
        <v>7877</v>
      </c>
      <c r="CI124" s="261" t="e">
        <v>#N/A</v>
      </c>
      <c r="CJ124" s="261" t="e">
        <v>#N/A</v>
      </c>
      <c r="CK124" s="261" t="e">
        <v>#N/A</v>
      </c>
      <c r="CL124" s="261" t="e">
        <v>#N/A</v>
      </c>
      <c r="CM124" s="261" t="e">
        <v>#N/A</v>
      </c>
      <c r="CN124" s="261" t="e">
        <v>#N/A</v>
      </c>
      <c r="CO124" s="264" t="e">
        <v>#N/A</v>
      </c>
      <c r="CP124" s="261" t="s">
        <v>7878</v>
      </c>
      <c r="CQ124" s="263" t="s">
        <v>393</v>
      </c>
      <c r="CR124" s="263" t="s">
        <v>1327</v>
      </c>
      <c r="CS124" s="263" t="s">
        <v>600</v>
      </c>
      <c r="CT124" s="263">
        <v>2</v>
      </c>
      <c r="CU124" s="263" t="s">
        <v>1329</v>
      </c>
      <c r="CV124" s="263" t="s">
        <v>1327</v>
      </c>
      <c r="CW124" s="237">
        <v>43606</v>
      </c>
      <c r="CX124" s="261" t="s">
        <v>7879</v>
      </c>
      <c r="CY124" s="241">
        <v>15466000</v>
      </c>
      <c r="CZ124" s="241" t="s">
        <v>3312</v>
      </c>
      <c r="DA124" s="241" t="s">
        <v>600</v>
      </c>
      <c r="DB124" s="241">
        <v>2</v>
      </c>
      <c r="DC124" s="241" t="s">
        <v>3479</v>
      </c>
      <c r="DD124" s="241" t="s">
        <v>3312</v>
      </c>
      <c r="DE124" s="243">
        <v>44109</v>
      </c>
      <c r="DF124" s="260" t="s">
        <v>7880</v>
      </c>
      <c r="DG124" s="236">
        <v>66917000</v>
      </c>
      <c r="DH124" s="263" t="s">
        <v>3312</v>
      </c>
      <c r="DI124" s="263" t="s">
        <v>600</v>
      </c>
      <c r="DJ124" s="263">
        <v>2</v>
      </c>
      <c r="DK124" s="263" t="s">
        <v>3479</v>
      </c>
      <c r="DL124" s="263" t="s">
        <v>3312</v>
      </c>
      <c r="DM124" s="237">
        <v>44109</v>
      </c>
      <c r="DN124" s="261" t="s">
        <v>7881</v>
      </c>
      <c r="DO124" s="241">
        <v>13218000</v>
      </c>
      <c r="DP124" s="261" t="s">
        <v>3312</v>
      </c>
      <c r="DQ124" s="261" t="s">
        <v>600</v>
      </c>
      <c r="DR124" s="261">
        <v>2</v>
      </c>
      <c r="DS124" s="261" t="s">
        <v>3479</v>
      </c>
      <c r="DT124" s="261" t="s">
        <v>3312</v>
      </c>
      <c r="DU124" s="262">
        <v>44109</v>
      </c>
      <c r="DV124" s="260" t="s">
        <v>7882</v>
      </c>
      <c r="DW124" s="236">
        <v>4425000</v>
      </c>
      <c r="DX124" s="263" t="s">
        <v>3312</v>
      </c>
      <c r="DY124" s="263" t="s">
        <v>600</v>
      </c>
      <c r="DZ124" s="263">
        <v>2</v>
      </c>
      <c r="EA124" s="263" t="s">
        <v>3479</v>
      </c>
      <c r="EB124" s="263" t="s">
        <v>3312</v>
      </c>
      <c r="EC124" s="237">
        <v>44109</v>
      </c>
      <c r="ED124" s="261" t="s">
        <v>7883</v>
      </c>
      <c r="EE124" s="241">
        <v>9802000</v>
      </c>
      <c r="EF124" s="261" t="s">
        <v>3312</v>
      </c>
      <c r="EG124" s="261" t="s">
        <v>600</v>
      </c>
      <c r="EH124" s="261">
        <v>2</v>
      </c>
      <c r="EI124" s="261" t="s">
        <v>3479</v>
      </c>
      <c r="EJ124" s="261" t="s">
        <v>3312</v>
      </c>
      <c r="EK124" s="262">
        <v>44109</v>
      </c>
      <c r="EL124" s="260" t="s">
        <v>7884</v>
      </c>
      <c r="EM124" s="236">
        <v>1239000</v>
      </c>
      <c r="EN124" s="263" t="s">
        <v>3312</v>
      </c>
      <c r="EO124" s="263" t="s">
        <v>600</v>
      </c>
      <c r="EP124" s="263">
        <v>2</v>
      </c>
      <c r="EQ124" s="263" t="s">
        <v>3479</v>
      </c>
      <c r="ER124" s="263" t="s">
        <v>3312</v>
      </c>
      <c r="ES124" s="237">
        <v>44109</v>
      </c>
      <c r="ET124" s="261" t="s">
        <v>7885</v>
      </c>
      <c r="EU124" s="261">
        <v>3037</v>
      </c>
      <c r="EV124" s="261" t="s">
        <v>3312</v>
      </c>
      <c r="EW124" s="261" t="s">
        <v>599</v>
      </c>
      <c r="EX124" s="261">
        <v>3</v>
      </c>
      <c r="EY124" s="261" t="s">
        <v>3479</v>
      </c>
      <c r="EZ124" s="261" t="s">
        <v>3312</v>
      </c>
      <c r="FA124" s="262">
        <v>44109</v>
      </c>
      <c r="FB124" s="260" t="s">
        <v>7886</v>
      </c>
      <c r="FC124" s="263">
        <v>5</v>
      </c>
      <c r="FD124" s="263" t="s">
        <v>1327</v>
      </c>
      <c r="FE124" s="263" t="s">
        <v>600</v>
      </c>
      <c r="FF124" s="263">
        <v>2</v>
      </c>
      <c r="FG124" s="263" t="s">
        <v>1330</v>
      </c>
      <c r="FH124" s="263" t="s">
        <v>1327</v>
      </c>
      <c r="FI124" s="237">
        <v>43606</v>
      </c>
      <c r="FJ124" s="260" t="s">
        <v>7887</v>
      </c>
      <c r="FK124" s="261" t="e">
        <v>#N/A</v>
      </c>
      <c r="FL124" s="261" t="e">
        <v>#N/A</v>
      </c>
      <c r="FM124" s="261" t="e">
        <v>#N/A</v>
      </c>
      <c r="FN124" s="261" t="e">
        <v>#N/A</v>
      </c>
      <c r="FO124" s="261" t="e">
        <v>#N/A</v>
      </c>
      <c r="FP124" s="241" t="e">
        <v>#N/A</v>
      </c>
      <c r="FQ124" s="242" t="e">
        <v>#N/A</v>
      </c>
      <c r="FR124" s="260" t="s">
        <v>7888</v>
      </c>
      <c r="FS124" s="263" t="s">
        <v>393</v>
      </c>
      <c r="FT124" s="263" t="s">
        <v>393</v>
      </c>
      <c r="FU124" s="263" t="s">
        <v>393</v>
      </c>
      <c r="FV124" s="263" t="s">
        <v>393</v>
      </c>
      <c r="FW124" s="263" t="s">
        <v>393</v>
      </c>
      <c r="FX124" s="263" t="s">
        <v>393</v>
      </c>
      <c r="FY124" s="237">
        <v>44015</v>
      </c>
      <c r="FZ124" s="261" t="s">
        <v>7889</v>
      </c>
      <c r="GA124" s="261">
        <v>1.1666666666666701</v>
      </c>
      <c r="GB124" s="261" t="s">
        <v>1327</v>
      </c>
      <c r="GC124" s="261" t="s">
        <v>1364</v>
      </c>
      <c r="GD124" s="261">
        <v>2</v>
      </c>
      <c r="GE124" s="261" t="s">
        <v>1596</v>
      </c>
      <c r="GF124" s="261" t="s">
        <v>1327</v>
      </c>
      <c r="GG124" s="262">
        <v>43767</v>
      </c>
      <c r="GH124" s="260" t="s">
        <v>7890</v>
      </c>
      <c r="GI124" s="263">
        <v>1</v>
      </c>
      <c r="GJ124" s="263" t="s">
        <v>1327</v>
      </c>
      <c r="GK124" s="263" t="s">
        <v>1364</v>
      </c>
      <c r="GL124" s="263">
        <v>2</v>
      </c>
      <c r="GM124" s="263" t="s">
        <v>1596</v>
      </c>
      <c r="GN124" s="263" t="s">
        <v>1327</v>
      </c>
      <c r="GO124" s="237">
        <v>43767</v>
      </c>
      <c r="GP124" s="261" t="s">
        <v>7891</v>
      </c>
      <c r="GQ124" s="261">
        <v>1.1666666666666701</v>
      </c>
      <c r="GR124" s="261" t="s">
        <v>1327</v>
      </c>
      <c r="GS124" s="261" t="s">
        <v>1364</v>
      </c>
      <c r="GT124" s="261">
        <v>2</v>
      </c>
      <c r="GU124" s="261" t="s">
        <v>1596</v>
      </c>
      <c r="GV124" s="261" t="s">
        <v>1327</v>
      </c>
      <c r="GW124" s="262">
        <v>43767</v>
      </c>
      <c r="GX124" s="260" t="s">
        <v>7892</v>
      </c>
      <c r="GY124" s="263">
        <v>0.5</v>
      </c>
      <c r="GZ124" s="263" t="s">
        <v>1327</v>
      </c>
      <c r="HA124" s="263" t="s">
        <v>1364</v>
      </c>
      <c r="HB124" s="263">
        <v>2</v>
      </c>
      <c r="HC124" s="263" t="s">
        <v>1596</v>
      </c>
      <c r="HD124" s="263" t="s">
        <v>1327</v>
      </c>
      <c r="HE124" s="237">
        <v>43767</v>
      </c>
      <c r="HF124" s="261" t="s">
        <v>7893</v>
      </c>
      <c r="HG124" s="261">
        <v>1.3333333333333299</v>
      </c>
      <c r="HH124" s="261" t="s">
        <v>1327</v>
      </c>
      <c r="HI124" s="261" t="s">
        <v>1364</v>
      </c>
      <c r="HJ124" s="261">
        <v>2</v>
      </c>
      <c r="HK124" s="261" t="s">
        <v>1596</v>
      </c>
      <c r="HL124" s="261" t="s">
        <v>1327</v>
      </c>
      <c r="HM124" s="262">
        <v>43767</v>
      </c>
      <c r="HN124" s="260" t="s">
        <v>7894</v>
      </c>
      <c r="HO124" s="263">
        <v>1.6666666666666701</v>
      </c>
      <c r="HP124" s="263" t="s">
        <v>1327</v>
      </c>
      <c r="HQ124" s="263" t="s">
        <v>1364</v>
      </c>
      <c r="HR124" s="263">
        <v>2</v>
      </c>
      <c r="HS124" s="263" t="s">
        <v>1596</v>
      </c>
      <c r="HT124" s="263" t="s">
        <v>1327</v>
      </c>
      <c r="HU124" s="237">
        <v>43767</v>
      </c>
      <c r="HV124" s="261" t="s">
        <v>7895</v>
      </c>
      <c r="HW124" s="261">
        <v>0.66666666666666696</v>
      </c>
      <c r="HX124" s="261" t="s">
        <v>1327</v>
      </c>
      <c r="HY124" s="261" t="s">
        <v>1364</v>
      </c>
      <c r="HZ124" s="261">
        <v>2</v>
      </c>
      <c r="IA124" s="261" t="s">
        <v>1596</v>
      </c>
      <c r="IB124" s="261" t="s">
        <v>1327</v>
      </c>
      <c r="IC124" s="262">
        <v>43767</v>
      </c>
      <c r="ID124" s="260" t="s">
        <v>7896</v>
      </c>
      <c r="IE124" s="263">
        <v>1.8333333333333299</v>
      </c>
      <c r="IF124" s="263" t="s">
        <v>1327</v>
      </c>
      <c r="IG124" s="263" t="s">
        <v>1364</v>
      </c>
      <c r="IH124" s="263">
        <v>2</v>
      </c>
      <c r="II124" s="263" t="s">
        <v>1596</v>
      </c>
      <c r="IJ124" s="263" t="s">
        <v>1327</v>
      </c>
      <c r="IK124" s="237">
        <v>43767</v>
      </c>
      <c r="IL124" s="261" t="s">
        <v>7897</v>
      </c>
      <c r="IM124" s="261">
        <v>1.1666666666666701</v>
      </c>
      <c r="IN124" s="261" t="s">
        <v>1327</v>
      </c>
      <c r="IO124" s="261" t="s">
        <v>1364</v>
      </c>
      <c r="IP124" s="261">
        <v>2</v>
      </c>
      <c r="IQ124" s="261" t="s">
        <v>1596</v>
      </c>
      <c r="IR124" s="261" t="s">
        <v>1327</v>
      </c>
      <c r="IS124" s="262">
        <v>43767</v>
      </c>
    </row>
    <row r="125" spans="1:253" s="11" customFormat="1" ht="13.2" x14ac:dyDescent="0.25">
      <c r="A125" s="11" t="s">
        <v>791</v>
      </c>
      <c r="B125" s="11" t="s">
        <v>1280</v>
      </c>
      <c r="C125" s="11" t="s">
        <v>683</v>
      </c>
      <c r="D125" s="11" t="s">
        <v>389</v>
      </c>
      <c r="E125" s="11" t="s">
        <v>316</v>
      </c>
      <c r="F125" s="11" t="s">
        <v>7898</v>
      </c>
      <c r="G125" s="235">
        <v>58005000</v>
      </c>
      <c r="H125" s="236" t="s">
        <v>1983</v>
      </c>
      <c r="I125" s="236" t="s">
        <v>600</v>
      </c>
      <c r="J125" s="236">
        <v>2</v>
      </c>
      <c r="K125" s="236" t="s">
        <v>3919</v>
      </c>
      <c r="L125" s="236" t="s">
        <v>3918</v>
      </c>
      <c r="M125" s="237">
        <v>44134</v>
      </c>
      <c r="N125" s="244" t="s">
        <v>7899</v>
      </c>
      <c r="O125" s="239">
        <v>187000</v>
      </c>
      <c r="P125" s="239" t="s">
        <v>1385</v>
      </c>
      <c r="Q125" s="239" t="s">
        <v>600</v>
      </c>
      <c r="R125" s="239">
        <v>2</v>
      </c>
      <c r="S125" s="239" t="s">
        <v>1467</v>
      </c>
      <c r="T125" s="239" t="s">
        <v>1466</v>
      </c>
      <c r="U125" s="240">
        <v>43670</v>
      </c>
      <c r="V125" s="244" t="s">
        <v>7900</v>
      </c>
      <c r="W125" s="236">
        <v>11385000</v>
      </c>
      <c r="X125" s="236" t="s">
        <v>3922</v>
      </c>
      <c r="Y125" s="236" t="s">
        <v>600</v>
      </c>
      <c r="Z125" s="236">
        <v>2</v>
      </c>
      <c r="AA125" s="236" t="s">
        <v>3921</v>
      </c>
      <c r="AB125" s="236" t="s">
        <v>3923</v>
      </c>
      <c r="AC125" s="237">
        <v>44134</v>
      </c>
      <c r="AD125" s="244" t="s">
        <v>7901</v>
      </c>
      <c r="AE125" s="241">
        <v>276000</v>
      </c>
      <c r="AF125" s="241" t="s">
        <v>1612</v>
      </c>
      <c r="AG125" s="241" t="s">
        <v>600</v>
      </c>
      <c r="AH125" s="241">
        <v>2</v>
      </c>
      <c r="AI125" s="241" t="s">
        <v>3920</v>
      </c>
      <c r="AJ125" s="241" t="s">
        <v>1941</v>
      </c>
      <c r="AK125" s="242">
        <v>44134</v>
      </c>
      <c r="AL125" s="244" t="s">
        <v>7902</v>
      </c>
      <c r="AM125" s="236">
        <v>276000</v>
      </c>
      <c r="AN125" s="236" t="s">
        <v>1612</v>
      </c>
      <c r="AO125" s="236" t="s">
        <v>600</v>
      </c>
      <c r="AP125" s="236">
        <v>2</v>
      </c>
      <c r="AQ125" s="236" t="s">
        <v>3924</v>
      </c>
      <c r="AR125" s="236" t="s">
        <v>1941</v>
      </c>
      <c r="AS125" s="237">
        <v>44134</v>
      </c>
      <c r="AT125" s="245" t="s">
        <v>7903</v>
      </c>
      <c r="AU125" s="241">
        <v>0</v>
      </c>
      <c r="AV125" s="241" t="s">
        <v>393</v>
      </c>
      <c r="AW125" s="241" t="s">
        <v>393</v>
      </c>
      <c r="AX125" s="241" t="s">
        <v>393</v>
      </c>
      <c r="AY125" s="241" t="s">
        <v>393</v>
      </c>
      <c r="AZ125" s="241" t="s">
        <v>393</v>
      </c>
      <c r="BA125" s="242">
        <v>43670</v>
      </c>
      <c r="BB125" s="244" t="s">
        <v>7904</v>
      </c>
      <c r="BC125" s="236" t="s">
        <v>393</v>
      </c>
      <c r="BD125" s="236">
        <v>0</v>
      </c>
      <c r="BE125" s="236" t="s">
        <v>393</v>
      </c>
      <c r="BF125" s="236" t="s">
        <v>393</v>
      </c>
      <c r="BG125" s="236">
        <v>0</v>
      </c>
      <c r="BH125" s="236">
        <v>0</v>
      </c>
      <c r="BI125" s="237">
        <v>43495</v>
      </c>
      <c r="BJ125" s="245" t="s">
        <v>7905</v>
      </c>
      <c r="BK125" s="245">
        <v>0</v>
      </c>
      <c r="BL125" s="245" t="s">
        <v>1463</v>
      </c>
      <c r="BM125" s="245" t="s">
        <v>600</v>
      </c>
      <c r="BN125" s="245">
        <v>2</v>
      </c>
      <c r="BO125" s="245" t="s">
        <v>1464</v>
      </c>
      <c r="BP125" s="241" t="s">
        <v>812</v>
      </c>
      <c r="BQ125" s="246">
        <v>43670</v>
      </c>
      <c r="BR125" s="244" t="s">
        <v>7906</v>
      </c>
      <c r="BS125" s="247" t="s">
        <v>393</v>
      </c>
      <c r="BT125" s="247">
        <v>0</v>
      </c>
      <c r="BU125" s="247" t="s">
        <v>393</v>
      </c>
      <c r="BV125" s="247" t="s">
        <v>393</v>
      </c>
      <c r="BW125" s="247">
        <v>0</v>
      </c>
      <c r="BX125" s="247">
        <v>0</v>
      </c>
      <c r="BY125" s="237">
        <v>43495</v>
      </c>
      <c r="BZ125" s="245" t="s">
        <v>7907</v>
      </c>
      <c r="CA125" s="245" t="s">
        <v>393</v>
      </c>
      <c r="CB125" s="245">
        <v>0</v>
      </c>
      <c r="CC125" s="245" t="s">
        <v>393</v>
      </c>
      <c r="CD125" s="245" t="s">
        <v>393</v>
      </c>
      <c r="CE125" s="245">
        <v>0</v>
      </c>
      <c r="CF125" s="245">
        <v>0</v>
      </c>
      <c r="CG125" s="246">
        <v>43495</v>
      </c>
      <c r="CH125" s="244" t="s">
        <v>7908</v>
      </c>
      <c r="CI125" s="245" t="e">
        <v>#N/A</v>
      </c>
      <c r="CJ125" s="245" t="e">
        <v>#N/A</v>
      </c>
      <c r="CK125" s="245" t="e">
        <v>#N/A</v>
      </c>
      <c r="CL125" s="245" t="e">
        <v>#N/A</v>
      </c>
      <c r="CM125" s="245" t="e">
        <v>#N/A</v>
      </c>
      <c r="CN125" s="245" t="e">
        <v>#N/A</v>
      </c>
      <c r="CO125" s="248" t="e">
        <v>#N/A</v>
      </c>
      <c r="CP125" s="245" t="s">
        <v>7909</v>
      </c>
      <c r="CQ125" s="247" t="s">
        <v>393</v>
      </c>
      <c r="CR125" s="247">
        <v>0</v>
      </c>
      <c r="CS125" s="247" t="s">
        <v>393</v>
      </c>
      <c r="CT125" s="247" t="s">
        <v>393</v>
      </c>
      <c r="CU125" s="247">
        <v>0</v>
      </c>
      <c r="CV125" s="247">
        <v>0</v>
      </c>
      <c r="CW125" s="237">
        <v>43495</v>
      </c>
      <c r="CX125" s="245" t="s">
        <v>7910</v>
      </c>
      <c r="CY125" s="241">
        <v>276000</v>
      </c>
      <c r="CZ125" s="241" t="s">
        <v>1612</v>
      </c>
      <c r="DA125" s="241" t="s">
        <v>600</v>
      </c>
      <c r="DB125" s="241">
        <v>2</v>
      </c>
      <c r="DC125" s="241" t="s">
        <v>3925</v>
      </c>
      <c r="DD125" s="241" t="s">
        <v>1941</v>
      </c>
      <c r="DE125" s="243">
        <v>44134</v>
      </c>
      <c r="DF125" s="244" t="s">
        <v>7911</v>
      </c>
      <c r="DG125" s="236">
        <v>11385000</v>
      </c>
      <c r="DH125" s="247" t="s">
        <v>3922</v>
      </c>
      <c r="DI125" s="247" t="s">
        <v>600</v>
      </c>
      <c r="DJ125" s="247">
        <v>2</v>
      </c>
      <c r="DK125" s="247" t="s">
        <v>3926</v>
      </c>
      <c r="DL125" s="247" t="s">
        <v>3923</v>
      </c>
      <c r="DM125" s="237">
        <v>44134</v>
      </c>
      <c r="DN125" s="245" t="s">
        <v>7912</v>
      </c>
      <c r="DO125" s="241">
        <v>0</v>
      </c>
      <c r="DP125" s="245" t="s">
        <v>1554</v>
      </c>
      <c r="DQ125" s="245" t="s">
        <v>600</v>
      </c>
      <c r="DR125" s="245">
        <v>2</v>
      </c>
      <c r="DS125" s="245" t="s">
        <v>3648</v>
      </c>
      <c r="DT125" s="245" t="s">
        <v>1941</v>
      </c>
      <c r="DU125" s="246">
        <v>44113</v>
      </c>
      <c r="DV125" s="244" t="s">
        <v>7913</v>
      </c>
      <c r="DW125" s="236">
        <v>276000</v>
      </c>
      <c r="DX125" s="247" t="s">
        <v>1612</v>
      </c>
      <c r="DY125" s="247" t="s">
        <v>600</v>
      </c>
      <c r="DZ125" s="247">
        <v>2</v>
      </c>
      <c r="EA125" s="247" t="s">
        <v>3925</v>
      </c>
      <c r="EB125" s="247" t="s">
        <v>1941</v>
      </c>
      <c r="EC125" s="237">
        <v>44134</v>
      </c>
      <c r="ED125" s="245" t="s">
        <v>7914</v>
      </c>
      <c r="EE125" s="241">
        <v>0</v>
      </c>
      <c r="EF125" s="245" t="s">
        <v>1554</v>
      </c>
      <c r="EG125" s="245" t="s">
        <v>600</v>
      </c>
      <c r="EH125" s="245">
        <v>2</v>
      </c>
      <c r="EI125" s="245" t="s">
        <v>3648</v>
      </c>
      <c r="EJ125" s="245" t="s">
        <v>1941</v>
      </c>
      <c r="EK125" s="246">
        <v>44113</v>
      </c>
      <c r="EL125" s="244" t="s">
        <v>7915</v>
      </c>
      <c r="EM125" s="236">
        <v>0</v>
      </c>
      <c r="EN125" s="247" t="s">
        <v>1554</v>
      </c>
      <c r="EO125" s="247" t="s">
        <v>600</v>
      </c>
      <c r="EP125" s="247">
        <v>2</v>
      </c>
      <c r="EQ125" s="247" t="s">
        <v>3648</v>
      </c>
      <c r="ER125" s="247" t="s">
        <v>1941</v>
      </c>
      <c r="ES125" s="237">
        <v>44113</v>
      </c>
      <c r="ET125" s="245" t="s">
        <v>7916</v>
      </c>
      <c r="EU125" s="245">
        <v>0</v>
      </c>
      <c r="EV125" s="245" t="s">
        <v>879</v>
      </c>
      <c r="EW125" s="245" t="s">
        <v>600</v>
      </c>
      <c r="EX125" s="245">
        <v>2</v>
      </c>
      <c r="EY125" s="245" t="s">
        <v>1605</v>
      </c>
      <c r="EZ125" s="245" t="s">
        <v>882</v>
      </c>
      <c r="FA125" s="246">
        <v>43766</v>
      </c>
      <c r="FB125" s="244" t="s">
        <v>7917</v>
      </c>
      <c r="FC125" s="247">
        <v>2</v>
      </c>
      <c r="FD125" s="247">
        <v>0</v>
      </c>
      <c r="FE125" s="247" t="s">
        <v>601</v>
      </c>
      <c r="FF125" s="247">
        <v>1</v>
      </c>
      <c r="FG125" s="247">
        <v>0</v>
      </c>
      <c r="FH125" s="247">
        <v>0</v>
      </c>
      <c r="FI125" s="237">
        <v>43495</v>
      </c>
      <c r="FJ125" s="244" t="s">
        <v>7918</v>
      </c>
      <c r="FK125" s="245" t="s">
        <v>393</v>
      </c>
      <c r="FL125" s="245">
        <v>0</v>
      </c>
      <c r="FM125" s="245" t="s">
        <v>393</v>
      </c>
      <c r="FN125" s="245" t="s">
        <v>393</v>
      </c>
      <c r="FO125" s="245">
        <v>0</v>
      </c>
      <c r="FP125" s="241">
        <v>0</v>
      </c>
      <c r="FQ125" s="242">
        <v>43495</v>
      </c>
      <c r="FR125" s="244" t="s">
        <v>7919</v>
      </c>
      <c r="FS125" s="247" t="s">
        <v>393</v>
      </c>
      <c r="FT125" s="247">
        <v>0</v>
      </c>
      <c r="FU125" s="247" t="s">
        <v>393</v>
      </c>
      <c r="FV125" s="247" t="s">
        <v>393</v>
      </c>
      <c r="FW125" s="247">
        <v>0</v>
      </c>
      <c r="FX125" s="247">
        <v>0</v>
      </c>
      <c r="FY125" s="237">
        <v>43495</v>
      </c>
      <c r="FZ125" s="245" t="s">
        <v>7920</v>
      </c>
      <c r="GA125" s="245">
        <v>0</v>
      </c>
      <c r="GB125" s="245" t="s">
        <v>1587</v>
      </c>
      <c r="GC125" s="245" t="s">
        <v>601</v>
      </c>
      <c r="GD125" s="245">
        <v>1</v>
      </c>
      <c r="GE125" s="245" t="s">
        <v>1623</v>
      </c>
      <c r="GF125" s="245" t="s">
        <v>1624</v>
      </c>
      <c r="GG125" s="246">
        <v>43766</v>
      </c>
      <c r="GH125" s="244" t="s">
        <v>7921</v>
      </c>
      <c r="GI125" s="247">
        <v>0</v>
      </c>
      <c r="GJ125" s="247" t="s">
        <v>1587</v>
      </c>
      <c r="GK125" s="247" t="s">
        <v>601</v>
      </c>
      <c r="GL125" s="247">
        <v>1</v>
      </c>
      <c r="GM125" s="247" t="s">
        <v>1623</v>
      </c>
      <c r="GN125" s="247" t="s">
        <v>1624</v>
      </c>
      <c r="GO125" s="237">
        <v>43766</v>
      </c>
      <c r="GP125" s="245" t="s">
        <v>7922</v>
      </c>
      <c r="GQ125" s="245">
        <v>0</v>
      </c>
      <c r="GR125" s="245" t="s">
        <v>1587</v>
      </c>
      <c r="GS125" s="245" t="s">
        <v>601</v>
      </c>
      <c r="GT125" s="245">
        <v>1</v>
      </c>
      <c r="GU125" s="245" t="s">
        <v>1623</v>
      </c>
      <c r="GV125" s="245" t="s">
        <v>1624</v>
      </c>
      <c r="GW125" s="246">
        <v>43766</v>
      </c>
      <c r="GX125" s="244" t="s">
        <v>7923</v>
      </c>
      <c r="GY125" s="247">
        <v>0</v>
      </c>
      <c r="GZ125" s="247" t="s">
        <v>1587</v>
      </c>
      <c r="HA125" s="247" t="s">
        <v>601</v>
      </c>
      <c r="HB125" s="247">
        <v>1</v>
      </c>
      <c r="HC125" s="247" t="s">
        <v>1623</v>
      </c>
      <c r="HD125" s="247" t="s">
        <v>1624</v>
      </c>
      <c r="HE125" s="237">
        <v>43766</v>
      </c>
      <c r="HF125" s="245" t="s">
        <v>7924</v>
      </c>
      <c r="HG125" s="245">
        <v>0</v>
      </c>
      <c r="HH125" s="245" t="s">
        <v>1587</v>
      </c>
      <c r="HI125" s="245" t="s">
        <v>601</v>
      </c>
      <c r="HJ125" s="245">
        <v>1</v>
      </c>
      <c r="HK125" s="245" t="s">
        <v>1623</v>
      </c>
      <c r="HL125" s="245" t="s">
        <v>1624</v>
      </c>
      <c r="HM125" s="246">
        <v>43766</v>
      </c>
      <c r="HN125" s="244" t="s">
        <v>7925</v>
      </c>
      <c r="HO125" s="247">
        <v>2</v>
      </c>
      <c r="HP125" s="247" t="s">
        <v>1587</v>
      </c>
      <c r="HQ125" s="247" t="s">
        <v>601</v>
      </c>
      <c r="HR125" s="247">
        <v>1</v>
      </c>
      <c r="HS125" s="247" t="s">
        <v>1623</v>
      </c>
      <c r="HT125" s="247" t="s">
        <v>1624</v>
      </c>
      <c r="HU125" s="237">
        <v>43766</v>
      </c>
      <c r="HV125" s="245" t="s">
        <v>7926</v>
      </c>
      <c r="HW125" s="245">
        <v>0</v>
      </c>
      <c r="HX125" s="245" t="s">
        <v>1587</v>
      </c>
      <c r="HY125" s="245" t="s">
        <v>601</v>
      </c>
      <c r="HZ125" s="245">
        <v>1</v>
      </c>
      <c r="IA125" s="245" t="s">
        <v>1623</v>
      </c>
      <c r="IB125" s="245" t="s">
        <v>1624</v>
      </c>
      <c r="IC125" s="246">
        <v>43766</v>
      </c>
      <c r="ID125" s="244" t="s">
        <v>7927</v>
      </c>
      <c r="IE125" s="247">
        <v>1</v>
      </c>
      <c r="IF125" s="247" t="s">
        <v>1587</v>
      </c>
      <c r="IG125" s="247" t="s">
        <v>601</v>
      </c>
      <c r="IH125" s="247">
        <v>1</v>
      </c>
      <c r="II125" s="247" t="s">
        <v>1623</v>
      </c>
      <c r="IJ125" s="247" t="s">
        <v>1624</v>
      </c>
      <c r="IK125" s="237">
        <v>43766</v>
      </c>
      <c r="IL125" s="245" t="s">
        <v>7928</v>
      </c>
      <c r="IM125" s="245">
        <v>0</v>
      </c>
      <c r="IN125" s="245" t="s">
        <v>1587</v>
      </c>
      <c r="IO125" s="245" t="s">
        <v>601</v>
      </c>
      <c r="IP125" s="245">
        <v>1</v>
      </c>
      <c r="IQ125" s="245" t="s">
        <v>1623</v>
      </c>
      <c r="IR125" s="245" t="s">
        <v>1624</v>
      </c>
      <c r="IS125" s="246">
        <v>43766</v>
      </c>
    </row>
    <row r="126" spans="1:253" s="11" customFormat="1" ht="13.2" x14ac:dyDescent="0.25">
      <c r="A126" s="11" t="s">
        <v>1168</v>
      </c>
      <c r="B126" s="11" t="s">
        <v>3258</v>
      </c>
      <c r="C126" s="11" t="s">
        <v>595</v>
      </c>
      <c r="D126" s="11" t="s">
        <v>318</v>
      </c>
      <c r="E126" s="11" t="s">
        <v>317</v>
      </c>
      <c r="F126" s="11" t="s">
        <v>7929</v>
      </c>
      <c r="G126" s="235">
        <v>66141000</v>
      </c>
      <c r="H126" s="236" t="s">
        <v>1486</v>
      </c>
      <c r="I126" s="236" t="s">
        <v>1364</v>
      </c>
      <c r="J126" s="236">
        <v>2</v>
      </c>
      <c r="K126" s="236" t="s">
        <v>900</v>
      </c>
      <c r="L126" s="236" t="s">
        <v>899</v>
      </c>
      <c r="M126" s="237">
        <v>43676</v>
      </c>
      <c r="N126" s="260" t="s">
        <v>7930</v>
      </c>
      <c r="O126" s="239">
        <v>30342</v>
      </c>
      <c r="P126" s="239" t="s">
        <v>1486</v>
      </c>
      <c r="Q126" s="239" t="s">
        <v>1364</v>
      </c>
      <c r="R126" s="239">
        <v>2</v>
      </c>
      <c r="S126" s="239" t="s">
        <v>901</v>
      </c>
      <c r="T126" s="239" t="s">
        <v>899</v>
      </c>
      <c r="U126" s="240">
        <v>43676</v>
      </c>
      <c r="V126" s="260" t="s">
        <v>7931</v>
      </c>
      <c r="W126" s="236">
        <v>3549000</v>
      </c>
      <c r="X126" s="236" t="s">
        <v>3769</v>
      </c>
      <c r="Y126" s="236" t="s">
        <v>600</v>
      </c>
      <c r="Z126" s="236">
        <v>2</v>
      </c>
      <c r="AA126" s="236" t="s">
        <v>3773</v>
      </c>
      <c r="AB126" s="236" t="s">
        <v>3522</v>
      </c>
      <c r="AC126" s="237">
        <v>44132</v>
      </c>
      <c r="AD126" s="260" t="s">
        <v>7932</v>
      </c>
      <c r="AE126" s="241">
        <v>3549000</v>
      </c>
      <c r="AF126" s="241" t="s">
        <v>3769</v>
      </c>
      <c r="AG126" s="241" t="s">
        <v>600</v>
      </c>
      <c r="AH126" s="241">
        <v>2</v>
      </c>
      <c r="AI126" s="241" t="s">
        <v>3774</v>
      </c>
      <c r="AJ126" s="241" t="s">
        <v>3522</v>
      </c>
      <c r="AK126" s="242">
        <v>44132</v>
      </c>
      <c r="AL126" s="260" t="s">
        <v>7933</v>
      </c>
      <c r="AM126" s="236">
        <v>92000</v>
      </c>
      <c r="AN126" s="236" t="s">
        <v>3770</v>
      </c>
      <c r="AO126" s="236" t="s">
        <v>600</v>
      </c>
      <c r="AP126" s="236">
        <v>2</v>
      </c>
      <c r="AQ126" s="236" t="s">
        <v>3772</v>
      </c>
      <c r="AR126" s="236" t="s">
        <v>2656</v>
      </c>
      <c r="AS126" s="237">
        <v>44132</v>
      </c>
      <c r="AT126" s="261" t="s">
        <v>7934</v>
      </c>
      <c r="AU126" s="241" t="s">
        <v>393</v>
      </c>
      <c r="AV126" s="241" t="s">
        <v>393</v>
      </c>
      <c r="AW126" s="241" t="s">
        <v>393</v>
      </c>
      <c r="AX126" s="241" t="s">
        <v>393</v>
      </c>
      <c r="AY126" s="241" t="s">
        <v>393</v>
      </c>
      <c r="AZ126" s="241" t="s">
        <v>393</v>
      </c>
      <c r="BA126" s="242">
        <v>43859</v>
      </c>
      <c r="BB126" s="260" t="s">
        <v>7935</v>
      </c>
      <c r="BC126" s="236" t="s">
        <v>703</v>
      </c>
      <c r="BD126" s="236">
        <v>0</v>
      </c>
      <c r="BE126" s="236" t="s">
        <v>600</v>
      </c>
      <c r="BF126" s="236">
        <v>2</v>
      </c>
      <c r="BG126" s="236" t="s">
        <v>704</v>
      </c>
      <c r="BH126" s="236">
        <v>0</v>
      </c>
      <c r="BI126" s="237">
        <v>43509</v>
      </c>
      <c r="BJ126" s="261" t="s">
        <v>7936</v>
      </c>
      <c r="BK126" s="261">
        <v>49</v>
      </c>
      <c r="BL126" s="261" t="s">
        <v>3771</v>
      </c>
      <c r="BM126" s="261" t="s">
        <v>600</v>
      </c>
      <c r="BN126" s="261">
        <v>2</v>
      </c>
      <c r="BO126" s="261" t="s">
        <v>3775</v>
      </c>
      <c r="BP126" s="241" t="s">
        <v>898</v>
      </c>
      <c r="BQ126" s="262">
        <v>44132</v>
      </c>
      <c r="BR126" s="260" t="s">
        <v>7937</v>
      </c>
      <c r="BS126" s="263" t="s">
        <v>703</v>
      </c>
      <c r="BT126" s="263">
        <v>0</v>
      </c>
      <c r="BU126" s="263" t="s">
        <v>600</v>
      </c>
      <c r="BV126" s="263">
        <v>2</v>
      </c>
      <c r="BW126" s="263" t="s">
        <v>704</v>
      </c>
      <c r="BX126" s="263">
        <v>0</v>
      </c>
      <c r="BY126" s="237">
        <v>43509</v>
      </c>
      <c r="BZ126" s="261" t="s">
        <v>7938</v>
      </c>
      <c r="CA126" s="261" t="s">
        <v>703</v>
      </c>
      <c r="CB126" s="261">
        <v>0</v>
      </c>
      <c r="CC126" s="261" t="s">
        <v>393</v>
      </c>
      <c r="CD126" s="261" t="s">
        <v>393</v>
      </c>
      <c r="CE126" s="261" t="s">
        <v>704</v>
      </c>
      <c r="CF126" s="261">
        <v>0</v>
      </c>
      <c r="CG126" s="262">
        <v>43509</v>
      </c>
      <c r="CH126" s="260" t="s">
        <v>7939</v>
      </c>
      <c r="CI126" s="261" t="e">
        <v>#N/A</v>
      </c>
      <c r="CJ126" s="261" t="e">
        <v>#N/A</v>
      </c>
      <c r="CK126" s="261" t="e">
        <v>#N/A</v>
      </c>
      <c r="CL126" s="261" t="e">
        <v>#N/A</v>
      </c>
      <c r="CM126" s="261" t="e">
        <v>#N/A</v>
      </c>
      <c r="CN126" s="261" t="e">
        <v>#N/A</v>
      </c>
      <c r="CO126" s="264" t="e">
        <v>#N/A</v>
      </c>
      <c r="CP126" s="261" t="s">
        <v>7940</v>
      </c>
      <c r="CQ126" s="263" t="s">
        <v>703</v>
      </c>
      <c r="CR126" s="263">
        <v>0</v>
      </c>
      <c r="CS126" s="263" t="s">
        <v>600</v>
      </c>
      <c r="CT126" s="263">
        <v>2</v>
      </c>
      <c r="CU126" s="263" t="s">
        <v>704</v>
      </c>
      <c r="CV126" s="263">
        <v>0</v>
      </c>
      <c r="CW126" s="237">
        <v>43509</v>
      </c>
      <c r="CX126" s="261" t="s">
        <v>7941</v>
      </c>
      <c r="CY126" s="241">
        <v>92000</v>
      </c>
      <c r="CZ126" s="241" t="s">
        <v>3767</v>
      </c>
      <c r="DA126" s="241" t="s">
        <v>600</v>
      </c>
      <c r="DB126" s="241">
        <v>2</v>
      </c>
      <c r="DC126" s="241" t="s">
        <v>3523</v>
      </c>
      <c r="DD126" s="241" t="s">
        <v>3768</v>
      </c>
      <c r="DE126" s="243">
        <v>44132</v>
      </c>
      <c r="DF126" s="260" t="s">
        <v>7942</v>
      </c>
      <c r="DG126" s="236">
        <v>0</v>
      </c>
      <c r="DH126" s="263" t="s">
        <v>3767</v>
      </c>
      <c r="DI126" s="263" t="s">
        <v>600</v>
      </c>
      <c r="DJ126" s="263">
        <v>2</v>
      </c>
      <c r="DK126" s="263" t="s">
        <v>3523</v>
      </c>
      <c r="DL126" s="263" t="s">
        <v>3768</v>
      </c>
      <c r="DM126" s="237">
        <v>44132</v>
      </c>
      <c r="DN126" s="261" t="s">
        <v>7943</v>
      </c>
      <c r="DO126" s="241">
        <v>3458000</v>
      </c>
      <c r="DP126" s="261" t="s">
        <v>3767</v>
      </c>
      <c r="DQ126" s="261" t="s">
        <v>600</v>
      </c>
      <c r="DR126" s="261">
        <v>2</v>
      </c>
      <c r="DS126" s="261" t="s">
        <v>3523</v>
      </c>
      <c r="DT126" s="261" t="s">
        <v>3768</v>
      </c>
      <c r="DU126" s="262">
        <v>44132</v>
      </c>
      <c r="DV126" s="260" t="s">
        <v>7944</v>
      </c>
      <c r="DW126" s="236">
        <v>92000</v>
      </c>
      <c r="DX126" s="263" t="s">
        <v>3767</v>
      </c>
      <c r="DY126" s="263" t="s">
        <v>600</v>
      </c>
      <c r="DZ126" s="263">
        <v>2</v>
      </c>
      <c r="EA126" s="263" t="s">
        <v>3523</v>
      </c>
      <c r="EB126" s="263" t="s">
        <v>3768</v>
      </c>
      <c r="EC126" s="237">
        <v>44132</v>
      </c>
      <c r="ED126" s="261" t="s">
        <v>7945</v>
      </c>
      <c r="EE126" s="241">
        <v>0</v>
      </c>
      <c r="EF126" s="261" t="s">
        <v>3767</v>
      </c>
      <c r="EG126" s="261" t="s">
        <v>600</v>
      </c>
      <c r="EH126" s="261">
        <v>2</v>
      </c>
      <c r="EI126" s="261" t="s">
        <v>3523</v>
      </c>
      <c r="EJ126" s="261" t="s">
        <v>3768</v>
      </c>
      <c r="EK126" s="262">
        <v>44132</v>
      </c>
      <c r="EL126" s="260" t="s">
        <v>7946</v>
      </c>
      <c r="EM126" s="236">
        <v>0</v>
      </c>
      <c r="EN126" s="263" t="s">
        <v>3767</v>
      </c>
      <c r="EO126" s="263" t="s">
        <v>600</v>
      </c>
      <c r="EP126" s="263">
        <v>2</v>
      </c>
      <c r="EQ126" s="263" t="s">
        <v>3523</v>
      </c>
      <c r="ER126" s="263" t="s">
        <v>3768</v>
      </c>
      <c r="ES126" s="237">
        <v>44132</v>
      </c>
      <c r="ET126" s="261" t="s">
        <v>7947</v>
      </c>
      <c r="EU126" s="261">
        <v>49</v>
      </c>
      <c r="EV126" s="261" t="s">
        <v>3771</v>
      </c>
      <c r="EW126" s="261" t="s">
        <v>600</v>
      </c>
      <c r="EX126" s="261">
        <v>2</v>
      </c>
      <c r="EY126" s="261" t="s">
        <v>3775</v>
      </c>
      <c r="EZ126" s="261" t="s">
        <v>898</v>
      </c>
      <c r="FA126" s="262">
        <v>44132</v>
      </c>
      <c r="FB126" s="260" t="s">
        <v>7948</v>
      </c>
      <c r="FC126" s="263">
        <v>2</v>
      </c>
      <c r="FD126" s="263" t="s">
        <v>906</v>
      </c>
      <c r="FE126" s="263" t="s">
        <v>600</v>
      </c>
      <c r="FF126" s="263">
        <v>2</v>
      </c>
      <c r="FG126" s="263" t="s">
        <v>897</v>
      </c>
      <c r="FH126" s="263" t="s">
        <v>907</v>
      </c>
      <c r="FI126" s="237">
        <v>43509</v>
      </c>
      <c r="FJ126" s="260" t="s">
        <v>7949</v>
      </c>
      <c r="FK126" s="261" t="s">
        <v>703</v>
      </c>
      <c r="FL126" s="261">
        <v>0</v>
      </c>
      <c r="FM126" s="261" t="s">
        <v>600</v>
      </c>
      <c r="FN126" s="261">
        <v>2</v>
      </c>
      <c r="FO126" s="261" t="s">
        <v>704</v>
      </c>
      <c r="FP126" s="241">
        <v>0</v>
      </c>
      <c r="FQ126" s="242">
        <v>43509</v>
      </c>
      <c r="FR126" s="260" t="s">
        <v>7950</v>
      </c>
      <c r="FS126" s="263" t="s">
        <v>703</v>
      </c>
      <c r="FT126" s="263">
        <v>0</v>
      </c>
      <c r="FU126" s="263" t="s">
        <v>600</v>
      </c>
      <c r="FV126" s="263">
        <v>2</v>
      </c>
      <c r="FW126" s="263" t="s">
        <v>704</v>
      </c>
      <c r="FX126" s="263">
        <v>0</v>
      </c>
      <c r="FY126" s="237">
        <v>43509</v>
      </c>
      <c r="FZ126" s="261" t="s">
        <v>7951</v>
      </c>
      <c r="GA126" s="261">
        <v>0</v>
      </c>
      <c r="GB126" s="261" t="s">
        <v>1587</v>
      </c>
      <c r="GC126" s="261" t="s">
        <v>601</v>
      </c>
      <c r="GD126" s="261">
        <v>1</v>
      </c>
      <c r="GE126" s="261" t="s">
        <v>1623</v>
      </c>
      <c r="GF126" s="261" t="s">
        <v>1624</v>
      </c>
      <c r="GG126" s="262">
        <v>43770</v>
      </c>
      <c r="GH126" s="260" t="s">
        <v>7952</v>
      </c>
      <c r="GI126" s="263">
        <v>0</v>
      </c>
      <c r="GJ126" s="263" t="s">
        <v>1587</v>
      </c>
      <c r="GK126" s="263" t="s">
        <v>601</v>
      </c>
      <c r="GL126" s="263">
        <v>1</v>
      </c>
      <c r="GM126" s="263" t="s">
        <v>1623</v>
      </c>
      <c r="GN126" s="263" t="s">
        <v>1624</v>
      </c>
      <c r="GO126" s="237">
        <v>43770</v>
      </c>
      <c r="GP126" s="261" t="s">
        <v>7953</v>
      </c>
      <c r="GQ126" s="261">
        <v>0</v>
      </c>
      <c r="GR126" s="261" t="s">
        <v>1587</v>
      </c>
      <c r="GS126" s="261" t="s">
        <v>601</v>
      </c>
      <c r="GT126" s="261">
        <v>1</v>
      </c>
      <c r="GU126" s="261" t="s">
        <v>1623</v>
      </c>
      <c r="GV126" s="261" t="s">
        <v>1624</v>
      </c>
      <c r="GW126" s="262">
        <v>43770</v>
      </c>
      <c r="GX126" s="260" t="s">
        <v>7954</v>
      </c>
      <c r="GY126" s="263">
        <v>0</v>
      </c>
      <c r="GZ126" s="263" t="s">
        <v>1587</v>
      </c>
      <c r="HA126" s="263" t="s">
        <v>601</v>
      </c>
      <c r="HB126" s="263">
        <v>1</v>
      </c>
      <c r="HC126" s="263" t="s">
        <v>1623</v>
      </c>
      <c r="HD126" s="263" t="s">
        <v>1624</v>
      </c>
      <c r="HE126" s="237">
        <v>43770</v>
      </c>
      <c r="HF126" s="261" t="s">
        <v>7955</v>
      </c>
      <c r="HG126" s="261">
        <v>0</v>
      </c>
      <c r="HH126" s="261" t="s">
        <v>1587</v>
      </c>
      <c r="HI126" s="261" t="s">
        <v>601</v>
      </c>
      <c r="HJ126" s="261">
        <v>1</v>
      </c>
      <c r="HK126" s="261" t="s">
        <v>1623</v>
      </c>
      <c r="HL126" s="261" t="s">
        <v>1624</v>
      </c>
      <c r="HM126" s="262">
        <v>43770</v>
      </c>
      <c r="HN126" s="260" t="s">
        <v>7956</v>
      </c>
      <c r="HO126" s="263">
        <v>0</v>
      </c>
      <c r="HP126" s="263" t="s">
        <v>1587</v>
      </c>
      <c r="HQ126" s="263" t="s">
        <v>601</v>
      </c>
      <c r="HR126" s="263">
        <v>1</v>
      </c>
      <c r="HS126" s="263" t="s">
        <v>1623</v>
      </c>
      <c r="HT126" s="263" t="s">
        <v>1624</v>
      </c>
      <c r="HU126" s="237">
        <v>43770</v>
      </c>
      <c r="HV126" s="261" t="s">
        <v>7957</v>
      </c>
      <c r="HW126" s="261">
        <v>1</v>
      </c>
      <c r="HX126" s="261" t="s">
        <v>1587</v>
      </c>
      <c r="HY126" s="261" t="s">
        <v>601</v>
      </c>
      <c r="HZ126" s="261">
        <v>1</v>
      </c>
      <c r="IA126" s="261" t="s">
        <v>1623</v>
      </c>
      <c r="IB126" s="261" t="s">
        <v>1624</v>
      </c>
      <c r="IC126" s="262">
        <v>43770</v>
      </c>
      <c r="ID126" s="260" t="s">
        <v>7958</v>
      </c>
      <c r="IE126" s="263">
        <v>1</v>
      </c>
      <c r="IF126" s="263" t="s">
        <v>1587</v>
      </c>
      <c r="IG126" s="263" t="s">
        <v>601</v>
      </c>
      <c r="IH126" s="263">
        <v>1</v>
      </c>
      <c r="II126" s="263" t="s">
        <v>1623</v>
      </c>
      <c r="IJ126" s="263" t="s">
        <v>1624</v>
      </c>
      <c r="IK126" s="237">
        <v>43770</v>
      </c>
      <c r="IL126" s="261" t="s">
        <v>7959</v>
      </c>
      <c r="IM126" s="261">
        <v>2</v>
      </c>
      <c r="IN126" s="261" t="s">
        <v>1587</v>
      </c>
      <c r="IO126" s="261" t="s">
        <v>601</v>
      </c>
      <c r="IP126" s="261">
        <v>1</v>
      </c>
      <c r="IQ126" s="261" t="s">
        <v>1623</v>
      </c>
      <c r="IR126" s="261" t="s">
        <v>1624</v>
      </c>
      <c r="IS126" s="262">
        <v>43770</v>
      </c>
    </row>
    <row r="127" spans="1:253" s="11" customFormat="1" ht="13.2" x14ac:dyDescent="0.25">
      <c r="A127" s="11" t="s">
        <v>1169</v>
      </c>
      <c r="B127" s="11" t="s">
        <v>650</v>
      </c>
      <c r="C127" s="11" t="s">
        <v>661</v>
      </c>
      <c r="D127" s="11" t="s">
        <v>318</v>
      </c>
      <c r="E127" s="11" t="s">
        <v>317</v>
      </c>
      <c r="F127" s="11" t="s">
        <v>7960</v>
      </c>
      <c r="G127" s="235">
        <v>66141000</v>
      </c>
      <c r="H127" s="236" t="s">
        <v>1486</v>
      </c>
      <c r="I127" s="236" t="s">
        <v>1364</v>
      </c>
      <c r="J127" s="236">
        <v>2</v>
      </c>
      <c r="K127" s="236" t="s">
        <v>900</v>
      </c>
      <c r="L127" s="236" t="s">
        <v>899</v>
      </c>
      <c r="M127" s="237">
        <v>43676</v>
      </c>
      <c r="N127" s="244" t="s">
        <v>7961</v>
      </c>
      <c r="O127" s="239">
        <v>18330</v>
      </c>
      <c r="P127" s="239" t="s">
        <v>1486</v>
      </c>
      <c r="Q127" s="239" t="s">
        <v>1364</v>
      </c>
      <c r="R127" s="239">
        <v>2</v>
      </c>
      <c r="S127" s="239" t="s">
        <v>903</v>
      </c>
      <c r="T127" s="239" t="s">
        <v>899</v>
      </c>
      <c r="U127" s="240">
        <v>43676</v>
      </c>
      <c r="V127" s="244" t="s">
        <v>7962</v>
      </c>
      <c r="W127" s="236">
        <v>3458000</v>
      </c>
      <c r="X127" s="236" t="s">
        <v>1486</v>
      </c>
      <c r="Y127" s="236" t="s">
        <v>1364</v>
      </c>
      <c r="Z127" s="236">
        <v>2</v>
      </c>
      <c r="AA127" s="236" t="s">
        <v>904</v>
      </c>
      <c r="AB127" s="236" t="s">
        <v>899</v>
      </c>
      <c r="AC127" s="237">
        <v>43676</v>
      </c>
      <c r="AD127" s="244" t="s">
        <v>7963</v>
      </c>
      <c r="AE127" s="241">
        <v>3458000</v>
      </c>
      <c r="AF127" s="241" t="s">
        <v>1486</v>
      </c>
      <c r="AG127" s="241" t="s">
        <v>1364</v>
      </c>
      <c r="AH127" s="241">
        <v>2</v>
      </c>
      <c r="AI127" s="241" t="s">
        <v>1491</v>
      </c>
      <c r="AJ127" s="241" t="s">
        <v>899</v>
      </c>
      <c r="AK127" s="242">
        <v>43676</v>
      </c>
      <c r="AL127" s="244" t="s">
        <v>7964</v>
      </c>
      <c r="AM127" s="236" t="s">
        <v>393</v>
      </c>
      <c r="AN127" s="236" t="s">
        <v>393</v>
      </c>
      <c r="AO127" s="236" t="s">
        <v>703</v>
      </c>
      <c r="AP127" s="236" t="s">
        <v>393</v>
      </c>
      <c r="AQ127" s="236" t="s">
        <v>811</v>
      </c>
      <c r="AR127" s="236" t="s">
        <v>393</v>
      </c>
      <c r="AS127" s="237">
        <v>43676</v>
      </c>
      <c r="AT127" s="245" t="s">
        <v>7965</v>
      </c>
      <c r="AU127" s="241" t="s">
        <v>393</v>
      </c>
      <c r="AV127" s="241" t="s">
        <v>393</v>
      </c>
      <c r="AW127" s="241" t="s">
        <v>393</v>
      </c>
      <c r="AX127" s="241" t="s">
        <v>393</v>
      </c>
      <c r="AY127" s="241" t="s">
        <v>393</v>
      </c>
      <c r="AZ127" s="241" t="s">
        <v>393</v>
      </c>
      <c r="BA127" s="242">
        <v>43859</v>
      </c>
      <c r="BB127" s="244" t="s">
        <v>7966</v>
      </c>
      <c r="BC127" s="236" t="s">
        <v>703</v>
      </c>
      <c r="BD127" s="236">
        <v>0</v>
      </c>
      <c r="BE127" s="236" t="s">
        <v>600</v>
      </c>
      <c r="BF127" s="236">
        <v>2</v>
      </c>
      <c r="BG127" s="236" t="s">
        <v>704</v>
      </c>
      <c r="BH127" s="236">
        <v>0</v>
      </c>
      <c r="BI127" s="237">
        <v>43509</v>
      </c>
      <c r="BJ127" s="245" t="s">
        <v>7967</v>
      </c>
      <c r="BK127" s="245">
        <v>49</v>
      </c>
      <c r="BL127" s="245" t="s">
        <v>3771</v>
      </c>
      <c r="BM127" s="245" t="s">
        <v>600</v>
      </c>
      <c r="BN127" s="245">
        <v>2</v>
      </c>
      <c r="BO127" s="245" t="s">
        <v>3776</v>
      </c>
      <c r="BP127" s="241" t="s">
        <v>898</v>
      </c>
      <c r="BQ127" s="246">
        <v>44132</v>
      </c>
      <c r="BR127" s="244" t="s">
        <v>7968</v>
      </c>
      <c r="BS127" s="247" t="s">
        <v>703</v>
      </c>
      <c r="BT127" s="247">
        <v>0</v>
      </c>
      <c r="BU127" s="247" t="s">
        <v>600</v>
      </c>
      <c r="BV127" s="247">
        <v>2</v>
      </c>
      <c r="BW127" s="247" t="s">
        <v>704</v>
      </c>
      <c r="BX127" s="247">
        <v>0</v>
      </c>
      <c r="BY127" s="237">
        <v>43509</v>
      </c>
      <c r="BZ127" s="245" t="s">
        <v>7969</v>
      </c>
      <c r="CA127" s="245" t="s">
        <v>703</v>
      </c>
      <c r="CB127" s="245">
        <v>0</v>
      </c>
      <c r="CC127" s="245" t="s">
        <v>393</v>
      </c>
      <c r="CD127" s="245" t="s">
        <v>393</v>
      </c>
      <c r="CE127" s="245" t="s">
        <v>704</v>
      </c>
      <c r="CF127" s="245">
        <v>0</v>
      </c>
      <c r="CG127" s="246">
        <v>43509</v>
      </c>
      <c r="CH127" s="244" t="s">
        <v>7970</v>
      </c>
      <c r="CI127" s="245" t="e">
        <v>#N/A</v>
      </c>
      <c r="CJ127" s="245" t="e">
        <v>#N/A</v>
      </c>
      <c r="CK127" s="245" t="e">
        <v>#N/A</v>
      </c>
      <c r="CL127" s="245" t="e">
        <v>#N/A</v>
      </c>
      <c r="CM127" s="245" t="e">
        <v>#N/A</v>
      </c>
      <c r="CN127" s="245" t="e">
        <v>#N/A</v>
      </c>
      <c r="CO127" s="248" t="e">
        <v>#N/A</v>
      </c>
      <c r="CP127" s="245" t="s">
        <v>7971</v>
      </c>
      <c r="CQ127" s="247" t="s">
        <v>703</v>
      </c>
      <c r="CR127" s="247">
        <v>0</v>
      </c>
      <c r="CS127" s="247" t="s">
        <v>600</v>
      </c>
      <c r="CT127" s="247">
        <v>2</v>
      </c>
      <c r="CU127" s="247" t="s">
        <v>704</v>
      </c>
      <c r="CV127" s="247">
        <v>0</v>
      </c>
      <c r="CW127" s="237">
        <v>43509</v>
      </c>
      <c r="CX127" s="245" t="s">
        <v>7972</v>
      </c>
      <c r="CY127" s="241" t="s">
        <v>393</v>
      </c>
      <c r="CZ127" s="241" t="s">
        <v>393</v>
      </c>
      <c r="DA127" s="241" t="s">
        <v>393</v>
      </c>
      <c r="DB127" s="241" t="s">
        <v>393</v>
      </c>
      <c r="DC127" s="241" t="s">
        <v>2204</v>
      </c>
      <c r="DD127" s="241" t="s">
        <v>393</v>
      </c>
      <c r="DE127" s="243">
        <v>43920</v>
      </c>
      <c r="DF127" s="244" t="s">
        <v>7973</v>
      </c>
      <c r="DG127" s="236" t="s">
        <v>393</v>
      </c>
      <c r="DH127" s="247" t="s">
        <v>393</v>
      </c>
      <c r="DI127" s="247" t="s">
        <v>393</v>
      </c>
      <c r="DJ127" s="247" t="s">
        <v>393</v>
      </c>
      <c r="DK127" s="247" t="s">
        <v>2204</v>
      </c>
      <c r="DL127" s="247" t="s">
        <v>393</v>
      </c>
      <c r="DM127" s="237">
        <v>43920</v>
      </c>
      <c r="DN127" s="245" t="s">
        <v>7974</v>
      </c>
      <c r="DO127" s="241" t="s">
        <v>393</v>
      </c>
      <c r="DP127" s="245" t="s">
        <v>393</v>
      </c>
      <c r="DQ127" s="245" t="s">
        <v>393</v>
      </c>
      <c r="DR127" s="245" t="s">
        <v>393</v>
      </c>
      <c r="DS127" s="245" t="s">
        <v>2204</v>
      </c>
      <c r="DT127" s="245" t="s">
        <v>393</v>
      </c>
      <c r="DU127" s="246">
        <v>43920</v>
      </c>
      <c r="DV127" s="244" t="s">
        <v>7975</v>
      </c>
      <c r="DW127" s="236" t="s">
        <v>393</v>
      </c>
      <c r="DX127" s="247" t="s">
        <v>393</v>
      </c>
      <c r="DY127" s="247" t="s">
        <v>393</v>
      </c>
      <c r="DZ127" s="247" t="s">
        <v>393</v>
      </c>
      <c r="EA127" s="247" t="s">
        <v>2204</v>
      </c>
      <c r="EB127" s="247" t="s">
        <v>393</v>
      </c>
      <c r="EC127" s="237">
        <v>43920</v>
      </c>
      <c r="ED127" s="245" t="s">
        <v>7976</v>
      </c>
      <c r="EE127" s="241" t="s">
        <v>393</v>
      </c>
      <c r="EF127" s="245" t="s">
        <v>393</v>
      </c>
      <c r="EG127" s="245" t="s">
        <v>393</v>
      </c>
      <c r="EH127" s="245" t="s">
        <v>393</v>
      </c>
      <c r="EI127" s="245" t="s">
        <v>2204</v>
      </c>
      <c r="EJ127" s="245" t="s">
        <v>393</v>
      </c>
      <c r="EK127" s="246">
        <v>43920</v>
      </c>
      <c r="EL127" s="244" t="s">
        <v>7977</v>
      </c>
      <c r="EM127" s="236" t="s">
        <v>393</v>
      </c>
      <c r="EN127" s="247" t="s">
        <v>393</v>
      </c>
      <c r="EO127" s="247" t="s">
        <v>393</v>
      </c>
      <c r="EP127" s="247" t="s">
        <v>393</v>
      </c>
      <c r="EQ127" s="247" t="s">
        <v>2204</v>
      </c>
      <c r="ER127" s="247" t="s">
        <v>393</v>
      </c>
      <c r="ES127" s="237">
        <v>43920</v>
      </c>
      <c r="ET127" s="245" t="s">
        <v>7978</v>
      </c>
      <c r="EU127" s="245">
        <v>49</v>
      </c>
      <c r="EV127" s="245" t="s">
        <v>3771</v>
      </c>
      <c r="EW127" s="245" t="s">
        <v>600</v>
      </c>
      <c r="EX127" s="245">
        <v>2</v>
      </c>
      <c r="EY127" s="245" t="s">
        <v>3775</v>
      </c>
      <c r="EZ127" s="245" t="s">
        <v>898</v>
      </c>
      <c r="FA127" s="246">
        <v>44132</v>
      </c>
      <c r="FB127" s="244" t="s">
        <v>7979</v>
      </c>
      <c r="FC127" s="247">
        <v>1</v>
      </c>
      <c r="FD127" s="247" t="s">
        <v>393</v>
      </c>
      <c r="FE127" s="247" t="s">
        <v>600</v>
      </c>
      <c r="FF127" s="247">
        <v>2</v>
      </c>
      <c r="FG127" s="247" t="s">
        <v>902</v>
      </c>
      <c r="FH127" s="247" t="s">
        <v>393</v>
      </c>
      <c r="FI127" s="237">
        <v>43509</v>
      </c>
      <c r="FJ127" s="244" t="s">
        <v>7980</v>
      </c>
      <c r="FK127" s="245" t="s">
        <v>703</v>
      </c>
      <c r="FL127" s="245">
        <v>0</v>
      </c>
      <c r="FM127" s="245" t="s">
        <v>600</v>
      </c>
      <c r="FN127" s="245">
        <v>2</v>
      </c>
      <c r="FO127" s="245" t="s">
        <v>704</v>
      </c>
      <c r="FP127" s="241">
        <v>0</v>
      </c>
      <c r="FQ127" s="242">
        <v>43509</v>
      </c>
      <c r="FR127" s="244" t="s">
        <v>7981</v>
      </c>
      <c r="FS127" s="247" t="s">
        <v>703</v>
      </c>
      <c r="FT127" s="247">
        <v>0</v>
      </c>
      <c r="FU127" s="247" t="s">
        <v>600</v>
      </c>
      <c r="FV127" s="247">
        <v>2</v>
      </c>
      <c r="FW127" s="247" t="s">
        <v>704</v>
      </c>
      <c r="FX127" s="247">
        <v>0</v>
      </c>
      <c r="FY127" s="237">
        <v>43509</v>
      </c>
      <c r="FZ127" s="245" t="s">
        <v>7982</v>
      </c>
      <c r="GA127" s="245">
        <v>0</v>
      </c>
      <c r="GB127" s="245" t="s">
        <v>1587</v>
      </c>
      <c r="GC127" s="245" t="s">
        <v>601</v>
      </c>
      <c r="GD127" s="245">
        <v>1</v>
      </c>
      <c r="GE127" s="245" t="s">
        <v>1623</v>
      </c>
      <c r="GF127" s="245" t="s">
        <v>1624</v>
      </c>
      <c r="GG127" s="246">
        <v>43770</v>
      </c>
      <c r="GH127" s="244" t="s">
        <v>7983</v>
      </c>
      <c r="GI127" s="247">
        <v>0</v>
      </c>
      <c r="GJ127" s="247" t="s">
        <v>1587</v>
      </c>
      <c r="GK127" s="247" t="s">
        <v>601</v>
      </c>
      <c r="GL127" s="247">
        <v>1</v>
      </c>
      <c r="GM127" s="247" t="s">
        <v>1623</v>
      </c>
      <c r="GN127" s="247" t="s">
        <v>1624</v>
      </c>
      <c r="GO127" s="237">
        <v>43770</v>
      </c>
      <c r="GP127" s="245" t="s">
        <v>7984</v>
      </c>
      <c r="GQ127" s="245">
        <v>0</v>
      </c>
      <c r="GR127" s="245" t="s">
        <v>1587</v>
      </c>
      <c r="GS127" s="245" t="s">
        <v>601</v>
      </c>
      <c r="GT127" s="245">
        <v>1</v>
      </c>
      <c r="GU127" s="245" t="s">
        <v>1623</v>
      </c>
      <c r="GV127" s="245" t="s">
        <v>1624</v>
      </c>
      <c r="GW127" s="246">
        <v>43770</v>
      </c>
      <c r="GX127" s="244" t="s">
        <v>7985</v>
      </c>
      <c r="GY127" s="247">
        <v>0</v>
      </c>
      <c r="GZ127" s="247" t="s">
        <v>1587</v>
      </c>
      <c r="HA127" s="247" t="s">
        <v>601</v>
      </c>
      <c r="HB127" s="247">
        <v>1</v>
      </c>
      <c r="HC127" s="247" t="s">
        <v>1623</v>
      </c>
      <c r="HD127" s="247" t="s">
        <v>1624</v>
      </c>
      <c r="HE127" s="237">
        <v>43770</v>
      </c>
      <c r="HF127" s="245" t="s">
        <v>7986</v>
      </c>
      <c r="HG127" s="245">
        <v>0</v>
      </c>
      <c r="HH127" s="245" t="s">
        <v>1587</v>
      </c>
      <c r="HI127" s="245" t="s">
        <v>601</v>
      </c>
      <c r="HJ127" s="245">
        <v>1</v>
      </c>
      <c r="HK127" s="245" t="s">
        <v>1623</v>
      </c>
      <c r="HL127" s="245" t="s">
        <v>1624</v>
      </c>
      <c r="HM127" s="246">
        <v>43770</v>
      </c>
      <c r="HN127" s="244" t="s">
        <v>7987</v>
      </c>
      <c r="HO127" s="247">
        <v>0</v>
      </c>
      <c r="HP127" s="247" t="s">
        <v>1587</v>
      </c>
      <c r="HQ127" s="247" t="s">
        <v>601</v>
      </c>
      <c r="HR127" s="247">
        <v>1</v>
      </c>
      <c r="HS127" s="247" t="s">
        <v>1623</v>
      </c>
      <c r="HT127" s="247" t="s">
        <v>1624</v>
      </c>
      <c r="HU127" s="237">
        <v>43770</v>
      </c>
      <c r="HV127" s="245" t="s">
        <v>7988</v>
      </c>
      <c r="HW127" s="245">
        <v>1</v>
      </c>
      <c r="HX127" s="245" t="s">
        <v>1587</v>
      </c>
      <c r="HY127" s="245" t="s">
        <v>601</v>
      </c>
      <c r="HZ127" s="245">
        <v>1</v>
      </c>
      <c r="IA127" s="245" t="s">
        <v>1623</v>
      </c>
      <c r="IB127" s="245" t="s">
        <v>1624</v>
      </c>
      <c r="IC127" s="246">
        <v>43770</v>
      </c>
      <c r="ID127" s="244" t="s">
        <v>7989</v>
      </c>
      <c r="IE127" s="247">
        <v>1</v>
      </c>
      <c r="IF127" s="247" t="s">
        <v>1587</v>
      </c>
      <c r="IG127" s="247" t="s">
        <v>601</v>
      </c>
      <c r="IH127" s="247">
        <v>1</v>
      </c>
      <c r="II127" s="247" t="s">
        <v>1623</v>
      </c>
      <c r="IJ127" s="247" t="s">
        <v>1624</v>
      </c>
      <c r="IK127" s="237">
        <v>43770</v>
      </c>
      <c r="IL127" s="245" t="s">
        <v>7990</v>
      </c>
      <c r="IM127" s="245">
        <v>0</v>
      </c>
      <c r="IN127" s="245" t="s">
        <v>1587</v>
      </c>
      <c r="IO127" s="245" t="s">
        <v>601</v>
      </c>
      <c r="IP127" s="245">
        <v>1</v>
      </c>
      <c r="IQ127" s="245" t="s">
        <v>1623</v>
      </c>
      <c r="IR127" s="245" t="s">
        <v>1624</v>
      </c>
      <c r="IS127" s="246">
        <v>43770</v>
      </c>
    </row>
    <row r="128" spans="1:253" s="11" customFormat="1" ht="13.2" x14ac:dyDescent="0.25">
      <c r="A128" s="11" t="s">
        <v>1107</v>
      </c>
      <c r="B128" s="11" t="s">
        <v>1280</v>
      </c>
      <c r="C128" s="11" t="s">
        <v>662</v>
      </c>
      <c r="D128" s="11" t="s">
        <v>318</v>
      </c>
      <c r="E128" s="11" t="s">
        <v>317</v>
      </c>
      <c r="F128" s="11" t="s">
        <v>7991</v>
      </c>
      <c r="G128" s="235">
        <v>66141000</v>
      </c>
      <c r="H128" s="236" t="s">
        <v>1486</v>
      </c>
      <c r="I128" s="236" t="s">
        <v>1364</v>
      </c>
      <c r="J128" s="236">
        <v>2</v>
      </c>
      <c r="K128" s="236" t="s">
        <v>900</v>
      </c>
      <c r="L128" s="236" t="s">
        <v>899</v>
      </c>
      <c r="M128" s="237">
        <v>43676</v>
      </c>
      <c r="N128" s="260" t="s">
        <v>7992</v>
      </c>
      <c r="O128" s="239">
        <v>9</v>
      </c>
      <c r="P128" s="239" t="s">
        <v>983</v>
      </c>
      <c r="Q128" s="239" t="s">
        <v>600</v>
      </c>
      <c r="R128" s="239">
        <v>2</v>
      </c>
      <c r="S128" s="239" t="s">
        <v>1692</v>
      </c>
      <c r="T128" s="239" t="s">
        <v>1691</v>
      </c>
      <c r="U128" s="240">
        <v>43791</v>
      </c>
      <c r="V128" s="260" t="s">
        <v>7993</v>
      </c>
      <c r="W128" s="236">
        <v>92000</v>
      </c>
      <c r="X128" s="236" t="s">
        <v>3770</v>
      </c>
      <c r="Y128" s="236" t="s">
        <v>600</v>
      </c>
      <c r="Z128" s="236">
        <v>2</v>
      </c>
      <c r="AA128" s="236" t="s">
        <v>1875</v>
      </c>
      <c r="AB128" s="236" t="s">
        <v>2656</v>
      </c>
      <c r="AC128" s="237">
        <v>44132</v>
      </c>
      <c r="AD128" s="260" t="s">
        <v>7994</v>
      </c>
      <c r="AE128" s="241">
        <v>92000</v>
      </c>
      <c r="AF128" s="241" t="s">
        <v>3770</v>
      </c>
      <c r="AG128" s="241" t="s">
        <v>600</v>
      </c>
      <c r="AH128" s="241">
        <v>2</v>
      </c>
      <c r="AI128" s="241" t="s">
        <v>2277</v>
      </c>
      <c r="AJ128" s="241" t="s">
        <v>2656</v>
      </c>
      <c r="AK128" s="242">
        <v>44132</v>
      </c>
      <c r="AL128" s="260" t="s">
        <v>7995</v>
      </c>
      <c r="AM128" s="236">
        <v>92000</v>
      </c>
      <c r="AN128" s="236" t="s">
        <v>3770</v>
      </c>
      <c r="AO128" s="236" t="s">
        <v>600</v>
      </c>
      <c r="AP128" s="236">
        <v>2</v>
      </c>
      <c r="AQ128" s="236" t="s">
        <v>2278</v>
      </c>
      <c r="AR128" s="236" t="s">
        <v>2656</v>
      </c>
      <c r="AS128" s="237">
        <v>44132</v>
      </c>
      <c r="AT128" s="261" t="s">
        <v>7996</v>
      </c>
      <c r="AU128" s="241">
        <v>0</v>
      </c>
      <c r="AV128" s="241" t="s">
        <v>393</v>
      </c>
      <c r="AW128" s="241" t="s">
        <v>393</v>
      </c>
      <c r="AX128" s="241" t="s">
        <v>393</v>
      </c>
      <c r="AY128" s="241" t="s">
        <v>1490</v>
      </c>
      <c r="AZ128" s="241" t="s">
        <v>393</v>
      </c>
      <c r="BA128" s="242">
        <v>43676</v>
      </c>
      <c r="BB128" s="260" t="s">
        <v>7997</v>
      </c>
      <c r="BC128" s="236" t="s">
        <v>703</v>
      </c>
      <c r="BD128" s="236">
        <v>0</v>
      </c>
      <c r="BE128" s="236" t="s">
        <v>600</v>
      </c>
      <c r="BF128" s="236">
        <v>2</v>
      </c>
      <c r="BG128" s="236" t="s">
        <v>704</v>
      </c>
      <c r="BH128" s="236">
        <v>0</v>
      </c>
      <c r="BI128" s="237">
        <v>43509</v>
      </c>
      <c r="BJ128" s="261" t="s">
        <v>7998</v>
      </c>
      <c r="BK128" s="261" t="s">
        <v>393</v>
      </c>
      <c r="BL128" s="261" t="s">
        <v>393</v>
      </c>
      <c r="BM128" s="261" t="s">
        <v>393</v>
      </c>
      <c r="BN128" s="261" t="s">
        <v>393</v>
      </c>
      <c r="BO128" s="261" t="s">
        <v>3524</v>
      </c>
      <c r="BP128" s="241" t="s">
        <v>393</v>
      </c>
      <c r="BQ128" s="262">
        <v>44110</v>
      </c>
      <c r="BR128" s="260" t="s">
        <v>7999</v>
      </c>
      <c r="BS128" s="263" t="s">
        <v>703</v>
      </c>
      <c r="BT128" s="263">
        <v>0</v>
      </c>
      <c r="BU128" s="263" t="s">
        <v>600</v>
      </c>
      <c r="BV128" s="263">
        <v>2</v>
      </c>
      <c r="BW128" s="263" t="s">
        <v>704</v>
      </c>
      <c r="BX128" s="263">
        <v>0</v>
      </c>
      <c r="BY128" s="237">
        <v>43509</v>
      </c>
      <c r="BZ128" s="261" t="s">
        <v>8000</v>
      </c>
      <c r="CA128" s="261" t="s">
        <v>703</v>
      </c>
      <c r="CB128" s="261">
        <v>0</v>
      </c>
      <c r="CC128" s="261" t="s">
        <v>393</v>
      </c>
      <c r="CD128" s="261" t="s">
        <v>393</v>
      </c>
      <c r="CE128" s="261" t="s">
        <v>704</v>
      </c>
      <c r="CF128" s="261">
        <v>0</v>
      </c>
      <c r="CG128" s="262">
        <v>43509</v>
      </c>
      <c r="CH128" s="260" t="s">
        <v>8001</v>
      </c>
      <c r="CI128" s="261" t="e">
        <v>#N/A</v>
      </c>
      <c r="CJ128" s="261" t="e">
        <v>#N/A</v>
      </c>
      <c r="CK128" s="261" t="e">
        <v>#N/A</v>
      </c>
      <c r="CL128" s="261" t="e">
        <v>#N/A</v>
      </c>
      <c r="CM128" s="261" t="e">
        <v>#N/A</v>
      </c>
      <c r="CN128" s="261" t="e">
        <v>#N/A</v>
      </c>
      <c r="CO128" s="264" t="e">
        <v>#N/A</v>
      </c>
      <c r="CP128" s="261" t="s">
        <v>8002</v>
      </c>
      <c r="CQ128" s="263" t="s">
        <v>703</v>
      </c>
      <c r="CR128" s="263">
        <v>0</v>
      </c>
      <c r="CS128" s="263" t="s">
        <v>600</v>
      </c>
      <c r="CT128" s="263">
        <v>2</v>
      </c>
      <c r="CU128" s="263" t="s">
        <v>704</v>
      </c>
      <c r="CV128" s="263">
        <v>0</v>
      </c>
      <c r="CW128" s="237">
        <v>43509</v>
      </c>
      <c r="CX128" s="261" t="s">
        <v>8003</v>
      </c>
      <c r="CY128" s="241">
        <v>92000</v>
      </c>
      <c r="CZ128" s="241" t="s">
        <v>3779</v>
      </c>
      <c r="DA128" s="241" t="s">
        <v>600</v>
      </c>
      <c r="DB128" s="241">
        <v>2</v>
      </c>
      <c r="DC128" s="241" t="s">
        <v>2279</v>
      </c>
      <c r="DD128" s="241" t="s">
        <v>2657</v>
      </c>
      <c r="DE128" s="243">
        <v>44132</v>
      </c>
      <c r="DF128" s="260" t="s">
        <v>8004</v>
      </c>
      <c r="DG128" s="236">
        <v>0</v>
      </c>
      <c r="DH128" s="263" t="s">
        <v>3777</v>
      </c>
      <c r="DI128" s="263" t="s">
        <v>600</v>
      </c>
      <c r="DJ128" s="263">
        <v>2</v>
      </c>
      <c r="DK128" s="263" t="s">
        <v>2279</v>
      </c>
      <c r="DL128" s="263" t="s">
        <v>2657</v>
      </c>
      <c r="DM128" s="237">
        <v>44132</v>
      </c>
      <c r="DN128" s="261" t="s">
        <v>8005</v>
      </c>
      <c r="DO128" s="241">
        <v>0</v>
      </c>
      <c r="DP128" s="261" t="s">
        <v>3778</v>
      </c>
      <c r="DQ128" s="261" t="s">
        <v>600</v>
      </c>
      <c r="DR128" s="261">
        <v>2</v>
      </c>
      <c r="DS128" s="261" t="s">
        <v>2279</v>
      </c>
      <c r="DT128" s="261" t="s">
        <v>2657</v>
      </c>
      <c r="DU128" s="262">
        <v>44132</v>
      </c>
      <c r="DV128" s="260" t="s">
        <v>8006</v>
      </c>
      <c r="DW128" s="236">
        <v>92000</v>
      </c>
      <c r="DX128" s="263" t="s">
        <v>3779</v>
      </c>
      <c r="DY128" s="263" t="s">
        <v>600</v>
      </c>
      <c r="DZ128" s="263">
        <v>2</v>
      </c>
      <c r="EA128" s="263" t="s">
        <v>2279</v>
      </c>
      <c r="EB128" s="263" t="s">
        <v>2657</v>
      </c>
      <c r="EC128" s="237">
        <v>44132</v>
      </c>
      <c r="ED128" s="261" t="s">
        <v>8007</v>
      </c>
      <c r="EE128" s="241">
        <v>0</v>
      </c>
      <c r="EF128" s="261" t="s">
        <v>3780</v>
      </c>
      <c r="EG128" s="261" t="s">
        <v>600</v>
      </c>
      <c r="EH128" s="261">
        <v>2</v>
      </c>
      <c r="EI128" s="261" t="s">
        <v>2279</v>
      </c>
      <c r="EJ128" s="261" t="s">
        <v>2657</v>
      </c>
      <c r="EK128" s="262">
        <v>44132</v>
      </c>
      <c r="EL128" s="260" t="s">
        <v>8008</v>
      </c>
      <c r="EM128" s="236">
        <v>0</v>
      </c>
      <c r="EN128" s="263" t="s">
        <v>3781</v>
      </c>
      <c r="EO128" s="263" t="s">
        <v>600</v>
      </c>
      <c r="EP128" s="263">
        <v>2</v>
      </c>
      <c r="EQ128" s="263" t="s">
        <v>2279</v>
      </c>
      <c r="ER128" s="263" t="s">
        <v>2657</v>
      </c>
      <c r="ES128" s="237">
        <v>44132</v>
      </c>
      <c r="ET128" s="261" t="s">
        <v>8009</v>
      </c>
      <c r="EU128" s="261">
        <v>49</v>
      </c>
      <c r="EV128" s="261" t="s">
        <v>3771</v>
      </c>
      <c r="EW128" s="261" t="s">
        <v>600</v>
      </c>
      <c r="EX128" s="261">
        <v>2</v>
      </c>
      <c r="EY128" s="261" t="s">
        <v>3775</v>
      </c>
      <c r="EZ128" s="261" t="s">
        <v>898</v>
      </c>
      <c r="FA128" s="262">
        <v>44132</v>
      </c>
      <c r="FB128" s="260" t="s">
        <v>8010</v>
      </c>
      <c r="FC128" s="263">
        <v>1</v>
      </c>
      <c r="FD128" s="263" t="s">
        <v>906</v>
      </c>
      <c r="FE128" s="263" t="s">
        <v>600</v>
      </c>
      <c r="FF128" s="263">
        <v>2</v>
      </c>
      <c r="FG128" s="263" t="s">
        <v>905</v>
      </c>
      <c r="FH128" s="263" t="s">
        <v>907</v>
      </c>
      <c r="FI128" s="237">
        <v>43509</v>
      </c>
      <c r="FJ128" s="260" t="s">
        <v>8011</v>
      </c>
      <c r="FK128" s="261" t="s">
        <v>703</v>
      </c>
      <c r="FL128" s="261">
        <v>0</v>
      </c>
      <c r="FM128" s="261" t="s">
        <v>600</v>
      </c>
      <c r="FN128" s="261">
        <v>2</v>
      </c>
      <c r="FO128" s="261" t="s">
        <v>704</v>
      </c>
      <c r="FP128" s="241">
        <v>0</v>
      </c>
      <c r="FQ128" s="242">
        <v>43509</v>
      </c>
      <c r="FR128" s="260" t="s">
        <v>8012</v>
      </c>
      <c r="FS128" s="263" t="s">
        <v>703</v>
      </c>
      <c r="FT128" s="263">
        <v>0</v>
      </c>
      <c r="FU128" s="263" t="s">
        <v>600</v>
      </c>
      <c r="FV128" s="263">
        <v>2</v>
      </c>
      <c r="FW128" s="263" t="s">
        <v>704</v>
      </c>
      <c r="FX128" s="263">
        <v>0</v>
      </c>
      <c r="FY128" s="237">
        <v>43509</v>
      </c>
      <c r="FZ128" s="261" t="s">
        <v>8013</v>
      </c>
      <c r="GA128" s="261">
        <v>0</v>
      </c>
      <c r="GB128" s="261" t="s">
        <v>1587</v>
      </c>
      <c r="GC128" s="261" t="s">
        <v>601</v>
      </c>
      <c r="GD128" s="261">
        <v>1</v>
      </c>
      <c r="GE128" s="261" t="s">
        <v>1623</v>
      </c>
      <c r="GF128" s="261" t="s">
        <v>1624</v>
      </c>
      <c r="GG128" s="262">
        <v>43770</v>
      </c>
      <c r="GH128" s="260" t="s">
        <v>8014</v>
      </c>
      <c r="GI128" s="263">
        <v>0</v>
      </c>
      <c r="GJ128" s="263" t="s">
        <v>1587</v>
      </c>
      <c r="GK128" s="263" t="s">
        <v>601</v>
      </c>
      <c r="GL128" s="263">
        <v>1</v>
      </c>
      <c r="GM128" s="263" t="s">
        <v>1623</v>
      </c>
      <c r="GN128" s="263" t="s">
        <v>1624</v>
      </c>
      <c r="GO128" s="237">
        <v>43770</v>
      </c>
      <c r="GP128" s="261" t="s">
        <v>8015</v>
      </c>
      <c r="GQ128" s="261">
        <v>0</v>
      </c>
      <c r="GR128" s="261" t="s">
        <v>1587</v>
      </c>
      <c r="GS128" s="261" t="s">
        <v>601</v>
      </c>
      <c r="GT128" s="261">
        <v>1</v>
      </c>
      <c r="GU128" s="261" t="s">
        <v>1623</v>
      </c>
      <c r="GV128" s="261" t="s">
        <v>1624</v>
      </c>
      <c r="GW128" s="262">
        <v>43770</v>
      </c>
      <c r="GX128" s="260" t="s">
        <v>8016</v>
      </c>
      <c r="GY128" s="263">
        <v>0</v>
      </c>
      <c r="GZ128" s="263" t="s">
        <v>1587</v>
      </c>
      <c r="HA128" s="263" t="s">
        <v>601</v>
      </c>
      <c r="HB128" s="263">
        <v>1</v>
      </c>
      <c r="HC128" s="263" t="s">
        <v>1623</v>
      </c>
      <c r="HD128" s="263" t="s">
        <v>1624</v>
      </c>
      <c r="HE128" s="237">
        <v>43770</v>
      </c>
      <c r="HF128" s="261" t="s">
        <v>8017</v>
      </c>
      <c r="HG128" s="261">
        <v>0</v>
      </c>
      <c r="HH128" s="261" t="s">
        <v>1587</v>
      </c>
      <c r="HI128" s="261" t="s">
        <v>601</v>
      </c>
      <c r="HJ128" s="261">
        <v>1</v>
      </c>
      <c r="HK128" s="261" t="s">
        <v>1623</v>
      </c>
      <c r="HL128" s="261" t="s">
        <v>1624</v>
      </c>
      <c r="HM128" s="262">
        <v>43770</v>
      </c>
      <c r="HN128" s="260" t="s">
        <v>8018</v>
      </c>
      <c r="HO128" s="263">
        <v>0</v>
      </c>
      <c r="HP128" s="263" t="s">
        <v>1587</v>
      </c>
      <c r="HQ128" s="263" t="s">
        <v>601</v>
      </c>
      <c r="HR128" s="263">
        <v>1</v>
      </c>
      <c r="HS128" s="263" t="s">
        <v>1623</v>
      </c>
      <c r="HT128" s="263" t="s">
        <v>1624</v>
      </c>
      <c r="HU128" s="237">
        <v>43770</v>
      </c>
      <c r="HV128" s="261" t="s">
        <v>8019</v>
      </c>
      <c r="HW128" s="261">
        <v>0</v>
      </c>
      <c r="HX128" s="261" t="s">
        <v>1587</v>
      </c>
      <c r="HY128" s="261" t="s">
        <v>601</v>
      </c>
      <c r="HZ128" s="261">
        <v>1</v>
      </c>
      <c r="IA128" s="261" t="s">
        <v>1623</v>
      </c>
      <c r="IB128" s="261" t="s">
        <v>1624</v>
      </c>
      <c r="IC128" s="262">
        <v>43770</v>
      </c>
      <c r="ID128" s="260" t="s">
        <v>8020</v>
      </c>
      <c r="IE128" s="263">
        <v>1</v>
      </c>
      <c r="IF128" s="263" t="s">
        <v>1587</v>
      </c>
      <c r="IG128" s="263" t="s">
        <v>601</v>
      </c>
      <c r="IH128" s="263">
        <v>1</v>
      </c>
      <c r="II128" s="263" t="s">
        <v>1623</v>
      </c>
      <c r="IJ128" s="263" t="s">
        <v>1624</v>
      </c>
      <c r="IK128" s="237">
        <v>43770</v>
      </c>
      <c r="IL128" s="261" t="s">
        <v>8021</v>
      </c>
      <c r="IM128" s="261">
        <v>2</v>
      </c>
      <c r="IN128" s="261" t="s">
        <v>1587</v>
      </c>
      <c r="IO128" s="261" t="s">
        <v>601</v>
      </c>
      <c r="IP128" s="261">
        <v>1</v>
      </c>
      <c r="IQ128" s="261" t="s">
        <v>1623</v>
      </c>
      <c r="IR128" s="261" t="s">
        <v>1624</v>
      </c>
      <c r="IS128" s="262">
        <v>43770</v>
      </c>
    </row>
    <row r="129" spans="1:253" s="11" customFormat="1" ht="13.2" x14ac:dyDescent="0.25">
      <c r="A129" s="11" t="s">
        <v>1119</v>
      </c>
      <c r="B129" s="11" t="s">
        <v>1280</v>
      </c>
      <c r="C129" s="11" t="s">
        <v>1120</v>
      </c>
      <c r="D129" s="11" t="s">
        <v>324</v>
      </c>
      <c r="E129" s="11" t="s">
        <v>323</v>
      </c>
      <c r="F129" s="11" t="s">
        <v>8022</v>
      </c>
      <c r="G129" s="235">
        <v>1455000</v>
      </c>
      <c r="H129" s="236" t="s">
        <v>2874</v>
      </c>
      <c r="I129" s="236" t="s">
        <v>600</v>
      </c>
      <c r="J129" s="236">
        <v>2</v>
      </c>
      <c r="K129" s="236" t="s">
        <v>3564</v>
      </c>
      <c r="L129" s="236" t="s">
        <v>1731</v>
      </c>
      <c r="M129" s="237">
        <v>44110</v>
      </c>
      <c r="N129" s="244" t="s">
        <v>8023</v>
      </c>
      <c r="O129" s="239">
        <v>5130</v>
      </c>
      <c r="P129" s="239" t="s">
        <v>1148</v>
      </c>
      <c r="Q129" s="239" t="s">
        <v>600</v>
      </c>
      <c r="R129" s="239">
        <v>2</v>
      </c>
      <c r="S129" s="239" t="s">
        <v>1147</v>
      </c>
      <c r="T129" s="239" t="s">
        <v>1146</v>
      </c>
      <c r="U129" s="240">
        <v>43524</v>
      </c>
      <c r="V129" s="244" t="s">
        <v>8024</v>
      </c>
      <c r="W129" s="236">
        <v>1450000</v>
      </c>
      <c r="X129" s="236" t="s">
        <v>1726</v>
      </c>
      <c r="Y129" s="236" t="s">
        <v>600</v>
      </c>
      <c r="Z129" s="236">
        <v>2</v>
      </c>
      <c r="AA129" s="236" t="s">
        <v>1737</v>
      </c>
      <c r="AB129" s="236" t="s">
        <v>1731</v>
      </c>
      <c r="AC129" s="237">
        <v>43798</v>
      </c>
      <c r="AD129" s="244" t="s">
        <v>8025</v>
      </c>
      <c r="AE129" s="241">
        <v>60000</v>
      </c>
      <c r="AF129" s="241" t="s">
        <v>1195</v>
      </c>
      <c r="AG129" s="241" t="s">
        <v>600</v>
      </c>
      <c r="AH129" s="241">
        <v>2</v>
      </c>
      <c r="AI129" s="241" t="s">
        <v>1197</v>
      </c>
      <c r="AJ129" s="241" t="s">
        <v>1196</v>
      </c>
      <c r="AK129" s="242">
        <v>43553</v>
      </c>
      <c r="AL129" s="244" t="s">
        <v>8026</v>
      </c>
      <c r="AM129" s="236">
        <v>60000</v>
      </c>
      <c r="AN129" s="236" t="s">
        <v>1195</v>
      </c>
      <c r="AO129" s="236" t="s">
        <v>600</v>
      </c>
      <c r="AP129" s="236">
        <v>2</v>
      </c>
      <c r="AQ129" s="236" t="s">
        <v>1198</v>
      </c>
      <c r="AR129" s="236" t="s">
        <v>1196</v>
      </c>
      <c r="AS129" s="237">
        <v>43553</v>
      </c>
      <c r="AT129" s="245" t="s">
        <v>8027</v>
      </c>
      <c r="AU129" s="241" t="s">
        <v>393</v>
      </c>
      <c r="AV129" s="241" t="s">
        <v>393</v>
      </c>
      <c r="AW129" s="241" t="s">
        <v>600</v>
      </c>
      <c r="AX129" s="241">
        <v>2</v>
      </c>
      <c r="AY129" s="241" t="s">
        <v>1738</v>
      </c>
      <c r="AZ129" s="241" t="s">
        <v>393</v>
      </c>
      <c r="BA129" s="242">
        <v>43798</v>
      </c>
      <c r="BB129" s="244" t="s">
        <v>8028</v>
      </c>
      <c r="BC129" s="236" t="s">
        <v>393</v>
      </c>
      <c r="BD129" s="236" t="s">
        <v>1149</v>
      </c>
      <c r="BE129" s="236" t="s">
        <v>600</v>
      </c>
      <c r="BF129" s="236">
        <v>2</v>
      </c>
      <c r="BG129" s="236">
        <v>0</v>
      </c>
      <c r="BH129" s="236">
        <v>0</v>
      </c>
      <c r="BI129" s="237">
        <v>43524</v>
      </c>
      <c r="BJ129" s="245" t="s">
        <v>8029</v>
      </c>
      <c r="BK129" s="245">
        <v>0</v>
      </c>
      <c r="BL129" s="245" t="s">
        <v>3342</v>
      </c>
      <c r="BM129" s="245" t="s">
        <v>599</v>
      </c>
      <c r="BN129" s="245">
        <v>3</v>
      </c>
      <c r="BO129" s="245" t="s">
        <v>1896</v>
      </c>
      <c r="BP129" s="241" t="s">
        <v>1033</v>
      </c>
      <c r="BQ129" s="246">
        <v>44110</v>
      </c>
      <c r="BR129" s="244" t="s">
        <v>8030</v>
      </c>
      <c r="BS129" s="247">
        <v>0</v>
      </c>
      <c r="BT129" s="247">
        <v>0</v>
      </c>
      <c r="BU129" s="247" t="s">
        <v>600</v>
      </c>
      <c r="BV129" s="247">
        <v>2</v>
      </c>
      <c r="BW129" s="247">
        <v>0</v>
      </c>
      <c r="BX129" s="247">
        <v>0</v>
      </c>
      <c r="BY129" s="237">
        <v>43524</v>
      </c>
      <c r="BZ129" s="245" t="s">
        <v>8031</v>
      </c>
      <c r="CA129" s="245">
        <v>0</v>
      </c>
      <c r="CB129" s="245">
        <v>0</v>
      </c>
      <c r="CC129" s="245" t="s">
        <v>600</v>
      </c>
      <c r="CD129" s="245">
        <v>2</v>
      </c>
      <c r="CE129" s="245" t="s">
        <v>393</v>
      </c>
      <c r="CF129" s="245" t="s">
        <v>393</v>
      </c>
      <c r="CG129" s="246">
        <v>43524</v>
      </c>
      <c r="CH129" s="244" t="s">
        <v>8032</v>
      </c>
      <c r="CI129" s="245" t="e">
        <v>#N/A</v>
      </c>
      <c r="CJ129" s="245" t="e">
        <v>#N/A</v>
      </c>
      <c r="CK129" s="245" t="e">
        <v>#N/A</v>
      </c>
      <c r="CL129" s="245" t="e">
        <v>#N/A</v>
      </c>
      <c r="CM129" s="245" t="e">
        <v>#N/A</v>
      </c>
      <c r="CN129" s="245" t="e">
        <v>#N/A</v>
      </c>
      <c r="CO129" s="248" t="e">
        <v>#N/A</v>
      </c>
      <c r="CP129" s="245" t="s">
        <v>8033</v>
      </c>
      <c r="CQ129" s="247">
        <v>0</v>
      </c>
      <c r="CR129" s="247">
        <v>0</v>
      </c>
      <c r="CS129" s="247" t="s">
        <v>600</v>
      </c>
      <c r="CT129" s="247">
        <v>2</v>
      </c>
      <c r="CU129" s="247">
        <v>0</v>
      </c>
      <c r="CV129" s="247">
        <v>0</v>
      </c>
      <c r="CW129" s="237">
        <v>43524</v>
      </c>
      <c r="CX129" s="245" t="s">
        <v>8034</v>
      </c>
      <c r="CY129" s="241">
        <v>60000</v>
      </c>
      <c r="CZ129" s="241" t="s">
        <v>1986</v>
      </c>
      <c r="DA129" s="241" t="s">
        <v>599</v>
      </c>
      <c r="DB129" s="241">
        <v>3</v>
      </c>
      <c r="DC129" s="241" t="s">
        <v>2004</v>
      </c>
      <c r="DD129" s="241" t="s">
        <v>2005</v>
      </c>
      <c r="DE129" s="243">
        <v>43867</v>
      </c>
      <c r="DF129" s="244" t="s">
        <v>8035</v>
      </c>
      <c r="DG129" s="236">
        <v>1395000</v>
      </c>
      <c r="DH129" s="247" t="s">
        <v>1986</v>
      </c>
      <c r="DI129" s="247" t="s">
        <v>600</v>
      </c>
      <c r="DJ129" s="247">
        <v>2</v>
      </c>
      <c r="DK129" s="247" t="s">
        <v>2004</v>
      </c>
      <c r="DL129" s="247" t="s">
        <v>2005</v>
      </c>
      <c r="DM129" s="237">
        <v>44110</v>
      </c>
      <c r="DN129" s="245" t="s">
        <v>8036</v>
      </c>
      <c r="DO129" s="241">
        <v>0</v>
      </c>
      <c r="DP129" s="245" t="s">
        <v>1986</v>
      </c>
      <c r="DQ129" s="245" t="s">
        <v>599</v>
      </c>
      <c r="DR129" s="245">
        <v>3</v>
      </c>
      <c r="DS129" s="245" t="s">
        <v>2004</v>
      </c>
      <c r="DT129" s="245" t="s">
        <v>2005</v>
      </c>
      <c r="DU129" s="246">
        <v>43867</v>
      </c>
      <c r="DV129" s="244" t="s">
        <v>8037</v>
      </c>
      <c r="DW129" s="236">
        <v>60000</v>
      </c>
      <c r="DX129" s="247" t="s">
        <v>1986</v>
      </c>
      <c r="DY129" s="247" t="s">
        <v>599</v>
      </c>
      <c r="DZ129" s="247">
        <v>3</v>
      </c>
      <c r="EA129" s="247" t="s">
        <v>2004</v>
      </c>
      <c r="EB129" s="247" t="s">
        <v>2005</v>
      </c>
      <c r="EC129" s="237">
        <v>43867</v>
      </c>
      <c r="ED129" s="245" t="s">
        <v>8038</v>
      </c>
      <c r="EE129" s="241">
        <v>0</v>
      </c>
      <c r="EF129" s="245" t="s">
        <v>1986</v>
      </c>
      <c r="EG129" s="245" t="s">
        <v>599</v>
      </c>
      <c r="EH129" s="245">
        <v>3</v>
      </c>
      <c r="EI129" s="245" t="s">
        <v>2004</v>
      </c>
      <c r="EJ129" s="245" t="s">
        <v>2005</v>
      </c>
      <c r="EK129" s="246">
        <v>43867</v>
      </c>
      <c r="EL129" s="244" t="s">
        <v>8039</v>
      </c>
      <c r="EM129" s="236">
        <v>0</v>
      </c>
      <c r="EN129" s="247" t="s">
        <v>1986</v>
      </c>
      <c r="EO129" s="247" t="s">
        <v>599</v>
      </c>
      <c r="EP129" s="247">
        <v>3</v>
      </c>
      <c r="EQ129" s="247" t="s">
        <v>2004</v>
      </c>
      <c r="ER129" s="247" t="s">
        <v>2005</v>
      </c>
      <c r="ES129" s="237">
        <v>43867</v>
      </c>
      <c r="ET129" s="245" t="s">
        <v>8040</v>
      </c>
      <c r="EU129" s="245">
        <v>0</v>
      </c>
      <c r="EV129" s="245" t="s">
        <v>3342</v>
      </c>
      <c r="EW129" s="245" t="s">
        <v>599</v>
      </c>
      <c r="EX129" s="245">
        <v>3</v>
      </c>
      <c r="EY129" s="245" t="s">
        <v>1896</v>
      </c>
      <c r="EZ129" s="245" t="s">
        <v>1033</v>
      </c>
      <c r="FA129" s="246">
        <v>44110</v>
      </c>
      <c r="FB129" s="244" t="s">
        <v>8041</v>
      </c>
      <c r="FC129" s="247">
        <v>2</v>
      </c>
      <c r="FD129" s="247" t="s">
        <v>393</v>
      </c>
      <c r="FE129" s="247" t="s">
        <v>600</v>
      </c>
      <c r="FF129" s="247">
        <v>2</v>
      </c>
      <c r="FG129" s="247" t="s">
        <v>1739</v>
      </c>
      <c r="FH129" s="247" t="s">
        <v>393</v>
      </c>
      <c r="FI129" s="237">
        <v>43798</v>
      </c>
      <c r="FJ129" s="244" t="s">
        <v>8042</v>
      </c>
      <c r="FK129" s="245" t="s">
        <v>393</v>
      </c>
      <c r="FL129" s="245" t="s">
        <v>1149</v>
      </c>
      <c r="FM129" s="245" t="s">
        <v>600</v>
      </c>
      <c r="FN129" s="245">
        <v>2</v>
      </c>
      <c r="FO129" s="245" t="s">
        <v>1150</v>
      </c>
      <c r="FP129" s="241">
        <v>0</v>
      </c>
      <c r="FQ129" s="242">
        <v>43524</v>
      </c>
      <c r="FR129" s="244" t="s">
        <v>8043</v>
      </c>
      <c r="FS129" s="247">
        <v>0</v>
      </c>
      <c r="FT129" s="247">
        <v>0</v>
      </c>
      <c r="FU129" s="247" t="s">
        <v>600</v>
      </c>
      <c r="FV129" s="247">
        <v>2</v>
      </c>
      <c r="FW129" s="247">
        <v>0</v>
      </c>
      <c r="FX129" s="247">
        <v>0</v>
      </c>
      <c r="FY129" s="237">
        <v>43524</v>
      </c>
      <c r="FZ129" s="245" t="s">
        <v>8044</v>
      </c>
      <c r="GA129" s="245">
        <v>0</v>
      </c>
      <c r="GB129" s="245" t="s">
        <v>1587</v>
      </c>
      <c r="GC129" s="245" t="s">
        <v>600</v>
      </c>
      <c r="GD129" s="245">
        <v>2</v>
      </c>
      <c r="GE129" s="245" t="s">
        <v>1623</v>
      </c>
      <c r="GF129" s="245" t="s">
        <v>1624</v>
      </c>
      <c r="GG129" s="246">
        <v>43770</v>
      </c>
      <c r="GH129" s="244" t="s">
        <v>8045</v>
      </c>
      <c r="GI129" s="247">
        <v>0</v>
      </c>
      <c r="GJ129" s="247" t="s">
        <v>1587</v>
      </c>
      <c r="GK129" s="247" t="s">
        <v>600</v>
      </c>
      <c r="GL129" s="247">
        <v>2</v>
      </c>
      <c r="GM129" s="247" t="s">
        <v>1623</v>
      </c>
      <c r="GN129" s="247" t="s">
        <v>1624</v>
      </c>
      <c r="GO129" s="237">
        <v>43770</v>
      </c>
      <c r="GP129" s="245" t="s">
        <v>8046</v>
      </c>
      <c r="GQ129" s="245">
        <v>0</v>
      </c>
      <c r="GR129" s="245" t="s">
        <v>1587</v>
      </c>
      <c r="GS129" s="245" t="s">
        <v>600</v>
      </c>
      <c r="GT129" s="245">
        <v>2</v>
      </c>
      <c r="GU129" s="245" t="s">
        <v>1623</v>
      </c>
      <c r="GV129" s="245" t="s">
        <v>1624</v>
      </c>
      <c r="GW129" s="246">
        <v>43770</v>
      </c>
      <c r="GX129" s="244" t="s">
        <v>8047</v>
      </c>
      <c r="GY129" s="247">
        <v>0</v>
      </c>
      <c r="GZ129" s="247" t="s">
        <v>1587</v>
      </c>
      <c r="HA129" s="247" t="s">
        <v>600</v>
      </c>
      <c r="HB129" s="247">
        <v>2</v>
      </c>
      <c r="HC129" s="247" t="s">
        <v>1623</v>
      </c>
      <c r="HD129" s="247" t="s">
        <v>1624</v>
      </c>
      <c r="HE129" s="237">
        <v>43770</v>
      </c>
      <c r="HF129" s="245" t="s">
        <v>8048</v>
      </c>
      <c r="HG129" s="245">
        <v>2</v>
      </c>
      <c r="HH129" s="245" t="s">
        <v>1587</v>
      </c>
      <c r="HI129" s="245" t="s">
        <v>600</v>
      </c>
      <c r="HJ129" s="245">
        <v>2</v>
      </c>
      <c r="HK129" s="245" t="s">
        <v>1623</v>
      </c>
      <c r="HL129" s="245" t="s">
        <v>1624</v>
      </c>
      <c r="HM129" s="246">
        <v>43770</v>
      </c>
      <c r="HN129" s="244" t="s">
        <v>8049</v>
      </c>
      <c r="HO129" s="247">
        <v>1</v>
      </c>
      <c r="HP129" s="247" t="s">
        <v>1587</v>
      </c>
      <c r="HQ129" s="247" t="s">
        <v>600</v>
      </c>
      <c r="HR129" s="247">
        <v>2</v>
      </c>
      <c r="HS129" s="247" t="s">
        <v>1623</v>
      </c>
      <c r="HT129" s="247" t="s">
        <v>1624</v>
      </c>
      <c r="HU129" s="237">
        <v>43770</v>
      </c>
      <c r="HV129" s="245" t="s">
        <v>8050</v>
      </c>
      <c r="HW129" s="245">
        <v>0</v>
      </c>
      <c r="HX129" s="245" t="s">
        <v>1587</v>
      </c>
      <c r="HY129" s="245" t="s">
        <v>600</v>
      </c>
      <c r="HZ129" s="245">
        <v>2</v>
      </c>
      <c r="IA129" s="245" t="s">
        <v>1623</v>
      </c>
      <c r="IB129" s="245" t="s">
        <v>1624</v>
      </c>
      <c r="IC129" s="246">
        <v>43770</v>
      </c>
      <c r="ID129" s="244" t="s">
        <v>8051</v>
      </c>
      <c r="IE129" s="247">
        <v>0</v>
      </c>
      <c r="IF129" s="247" t="s">
        <v>1587</v>
      </c>
      <c r="IG129" s="247" t="s">
        <v>600</v>
      </c>
      <c r="IH129" s="247">
        <v>2</v>
      </c>
      <c r="II129" s="247" t="s">
        <v>1623</v>
      </c>
      <c r="IJ129" s="247" t="s">
        <v>1624</v>
      </c>
      <c r="IK129" s="237">
        <v>43770</v>
      </c>
      <c r="IL129" s="245" t="s">
        <v>8052</v>
      </c>
      <c r="IM129" s="245">
        <v>1</v>
      </c>
      <c r="IN129" s="245" t="s">
        <v>1587</v>
      </c>
      <c r="IO129" s="245" t="s">
        <v>600</v>
      </c>
      <c r="IP129" s="245">
        <v>2</v>
      </c>
      <c r="IQ129" s="245" t="s">
        <v>1623</v>
      </c>
      <c r="IR129" s="245" t="s">
        <v>1624</v>
      </c>
      <c r="IS129" s="246">
        <v>43770</v>
      </c>
    </row>
    <row r="130" spans="1:253" s="11" customFormat="1" ht="13.2" x14ac:dyDescent="0.25">
      <c r="A130" s="11" t="s">
        <v>1108</v>
      </c>
      <c r="B130" s="11" t="s">
        <v>1280</v>
      </c>
      <c r="C130" s="11" t="s">
        <v>808</v>
      </c>
      <c r="D130" s="11" t="s">
        <v>326</v>
      </c>
      <c r="E130" s="11" t="s">
        <v>325</v>
      </c>
      <c r="F130" s="11" t="s">
        <v>8053</v>
      </c>
      <c r="G130" s="235">
        <v>11718000</v>
      </c>
      <c r="H130" s="236" t="s">
        <v>1958</v>
      </c>
      <c r="I130" s="236" t="s">
        <v>601</v>
      </c>
      <c r="J130" s="236">
        <v>1</v>
      </c>
      <c r="K130" s="236" t="s">
        <v>1973</v>
      </c>
      <c r="L130" s="236" t="s">
        <v>1965</v>
      </c>
      <c r="M130" s="237">
        <v>43867</v>
      </c>
      <c r="N130" s="260" t="s">
        <v>8054</v>
      </c>
      <c r="O130" s="239">
        <v>155360</v>
      </c>
      <c r="P130" s="239" t="s">
        <v>1551</v>
      </c>
      <c r="Q130" s="239" t="s">
        <v>601</v>
      </c>
      <c r="R130" s="239">
        <v>1</v>
      </c>
      <c r="S130" s="239" t="s">
        <v>2557</v>
      </c>
      <c r="T130" s="239" t="s">
        <v>3442</v>
      </c>
      <c r="U130" s="240">
        <v>44103</v>
      </c>
      <c r="V130" s="260" t="s">
        <v>8055</v>
      </c>
      <c r="W130" s="236">
        <v>11718000</v>
      </c>
      <c r="X130" s="236" t="s">
        <v>2552</v>
      </c>
      <c r="Y130" s="236" t="s">
        <v>600</v>
      </c>
      <c r="Z130" s="236">
        <v>2</v>
      </c>
      <c r="AA130" s="236" t="s">
        <v>2558</v>
      </c>
      <c r="AB130" s="236" t="s">
        <v>2554</v>
      </c>
      <c r="AC130" s="237">
        <v>43992</v>
      </c>
      <c r="AD130" s="260" t="s">
        <v>8056</v>
      </c>
      <c r="AE130" s="241" t="s">
        <v>393</v>
      </c>
      <c r="AF130" s="241" t="s">
        <v>2553</v>
      </c>
      <c r="AG130" s="241" t="s">
        <v>393</v>
      </c>
      <c r="AH130" s="241" t="s">
        <v>393</v>
      </c>
      <c r="AI130" s="241" t="s">
        <v>2559</v>
      </c>
      <c r="AJ130" s="241" t="s">
        <v>2555</v>
      </c>
      <c r="AK130" s="242">
        <v>43992</v>
      </c>
      <c r="AL130" s="260" t="s">
        <v>8057</v>
      </c>
      <c r="AM130" s="236" t="s">
        <v>393</v>
      </c>
      <c r="AN130" s="236" t="s">
        <v>2553</v>
      </c>
      <c r="AO130" s="236" t="s">
        <v>393</v>
      </c>
      <c r="AP130" s="236" t="s">
        <v>393</v>
      </c>
      <c r="AQ130" s="236" t="s">
        <v>2560</v>
      </c>
      <c r="AR130" s="236" t="s">
        <v>2555</v>
      </c>
      <c r="AS130" s="237">
        <v>43992</v>
      </c>
      <c r="AT130" s="261" t="s">
        <v>8058</v>
      </c>
      <c r="AU130" s="241" t="s">
        <v>393</v>
      </c>
      <c r="AV130" s="241">
        <v>0</v>
      </c>
      <c r="AW130" s="241" t="s">
        <v>600</v>
      </c>
      <c r="AX130" s="241">
        <v>2</v>
      </c>
      <c r="AY130" s="241">
        <v>0</v>
      </c>
      <c r="AZ130" s="241">
        <v>0</v>
      </c>
      <c r="BA130" s="242">
        <v>43511</v>
      </c>
      <c r="BB130" s="260" t="s">
        <v>8059</v>
      </c>
      <c r="BC130" s="236" t="s">
        <v>393</v>
      </c>
      <c r="BD130" s="236">
        <v>0</v>
      </c>
      <c r="BE130" s="236" t="s">
        <v>600</v>
      </c>
      <c r="BF130" s="236">
        <v>2</v>
      </c>
      <c r="BG130" s="236">
        <v>0</v>
      </c>
      <c r="BH130" s="236">
        <v>0</v>
      </c>
      <c r="BI130" s="237">
        <v>43511</v>
      </c>
      <c r="BJ130" s="261" t="s">
        <v>8060</v>
      </c>
      <c r="BK130" s="261">
        <v>123</v>
      </c>
      <c r="BL130" s="261" t="s">
        <v>4003</v>
      </c>
      <c r="BM130" s="261" t="s">
        <v>599</v>
      </c>
      <c r="BN130" s="261">
        <v>3</v>
      </c>
      <c r="BO130" s="261" t="s">
        <v>2556</v>
      </c>
      <c r="BP130" s="241" t="s">
        <v>1033</v>
      </c>
      <c r="BQ130" s="262">
        <v>44137</v>
      </c>
      <c r="BR130" s="260" t="s">
        <v>8061</v>
      </c>
      <c r="BS130" s="263">
        <v>0</v>
      </c>
      <c r="BT130" s="263">
        <v>0</v>
      </c>
      <c r="BU130" s="263" t="s">
        <v>600</v>
      </c>
      <c r="BV130" s="263">
        <v>2</v>
      </c>
      <c r="BW130" s="263">
        <v>0</v>
      </c>
      <c r="BX130" s="263">
        <v>0</v>
      </c>
      <c r="BY130" s="237">
        <v>43511</v>
      </c>
      <c r="BZ130" s="261" t="s">
        <v>8062</v>
      </c>
      <c r="CA130" s="261">
        <v>0</v>
      </c>
      <c r="CB130" s="261" t="s">
        <v>393</v>
      </c>
      <c r="CC130" s="261" t="s">
        <v>600</v>
      </c>
      <c r="CD130" s="261">
        <v>2</v>
      </c>
      <c r="CE130" s="261" t="s">
        <v>393</v>
      </c>
      <c r="CF130" s="261" t="s">
        <v>393</v>
      </c>
      <c r="CG130" s="262">
        <v>43511</v>
      </c>
      <c r="CH130" s="260" t="s">
        <v>8063</v>
      </c>
      <c r="CI130" s="261" t="e">
        <v>#N/A</v>
      </c>
      <c r="CJ130" s="261" t="e">
        <v>#N/A</v>
      </c>
      <c r="CK130" s="261" t="e">
        <v>#N/A</v>
      </c>
      <c r="CL130" s="261" t="e">
        <v>#N/A</v>
      </c>
      <c r="CM130" s="261" t="e">
        <v>#N/A</v>
      </c>
      <c r="CN130" s="261" t="e">
        <v>#N/A</v>
      </c>
      <c r="CO130" s="264" t="e">
        <v>#N/A</v>
      </c>
      <c r="CP130" s="261" t="s">
        <v>8064</v>
      </c>
      <c r="CQ130" s="263" t="s">
        <v>393</v>
      </c>
      <c r="CR130" s="263">
        <v>0</v>
      </c>
      <c r="CS130" s="263" t="s">
        <v>600</v>
      </c>
      <c r="CT130" s="263">
        <v>2</v>
      </c>
      <c r="CU130" s="263">
        <v>0</v>
      </c>
      <c r="CV130" s="263">
        <v>0</v>
      </c>
      <c r="CW130" s="237">
        <v>43511</v>
      </c>
      <c r="CX130" s="261" t="s">
        <v>8065</v>
      </c>
      <c r="CY130" s="241" t="s">
        <v>393</v>
      </c>
      <c r="CZ130" s="241">
        <v>0</v>
      </c>
      <c r="DA130" s="241" t="s">
        <v>600</v>
      </c>
      <c r="DB130" s="241">
        <v>2</v>
      </c>
      <c r="DC130" s="241">
        <v>0</v>
      </c>
      <c r="DD130" s="241">
        <v>0</v>
      </c>
      <c r="DE130" s="243">
        <v>43511</v>
      </c>
      <c r="DF130" s="260" t="s">
        <v>8066</v>
      </c>
      <c r="DG130" s="236" t="s">
        <v>393</v>
      </c>
      <c r="DH130" s="263">
        <v>0</v>
      </c>
      <c r="DI130" s="263" t="s">
        <v>600</v>
      </c>
      <c r="DJ130" s="263">
        <v>2</v>
      </c>
      <c r="DK130" s="263">
        <v>0</v>
      </c>
      <c r="DL130" s="263">
        <v>0</v>
      </c>
      <c r="DM130" s="237">
        <v>43511</v>
      </c>
      <c r="DN130" s="261" t="s">
        <v>8067</v>
      </c>
      <c r="DO130" s="241" t="s">
        <v>393</v>
      </c>
      <c r="DP130" s="261">
        <v>0</v>
      </c>
      <c r="DQ130" s="261" t="s">
        <v>600</v>
      </c>
      <c r="DR130" s="261">
        <v>2</v>
      </c>
      <c r="DS130" s="261">
        <v>0</v>
      </c>
      <c r="DT130" s="261">
        <v>0</v>
      </c>
      <c r="DU130" s="262">
        <v>43511</v>
      </c>
      <c r="DV130" s="260" t="s">
        <v>8068</v>
      </c>
      <c r="DW130" s="236" t="s">
        <v>393</v>
      </c>
      <c r="DX130" s="263">
        <v>0</v>
      </c>
      <c r="DY130" s="263" t="s">
        <v>600</v>
      </c>
      <c r="DZ130" s="263">
        <v>2</v>
      </c>
      <c r="EA130" s="263">
        <v>0</v>
      </c>
      <c r="EB130" s="263">
        <v>0</v>
      </c>
      <c r="EC130" s="237">
        <v>43511</v>
      </c>
      <c r="ED130" s="261" t="s">
        <v>8069</v>
      </c>
      <c r="EE130" s="241" t="s">
        <v>393</v>
      </c>
      <c r="EF130" s="261">
        <v>0</v>
      </c>
      <c r="EG130" s="261" t="s">
        <v>600</v>
      </c>
      <c r="EH130" s="261">
        <v>2</v>
      </c>
      <c r="EI130" s="261">
        <v>0</v>
      </c>
      <c r="EJ130" s="261">
        <v>0</v>
      </c>
      <c r="EK130" s="262">
        <v>43511</v>
      </c>
      <c r="EL130" s="260" t="s">
        <v>8070</v>
      </c>
      <c r="EM130" s="236" t="s">
        <v>393</v>
      </c>
      <c r="EN130" s="263">
        <v>0</v>
      </c>
      <c r="EO130" s="263" t="s">
        <v>600</v>
      </c>
      <c r="EP130" s="263">
        <v>2</v>
      </c>
      <c r="EQ130" s="263">
        <v>0</v>
      </c>
      <c r="ER130" s="263">
        <v>0</v>
      </c>
      <c r="ES130" s="237">
        <v>43511</v>
      </c>
      <c r="ET130" s="261" t="s">
        <v>8071</v>
      </c>
      <c r="EU130" s="261">
        <v>123</v>
      </c>
      <c r="EV130" s="261" t="s">
        <v>4003</v>
      </c>
      <c r="EW130" s="261" t="s">
        <v>599</v>
      </c>
      <c r="EX130" s="261">
        <v>3</v>
      </c>
      <c r="EY130" s="261" t="s">
        <v>2556</v>
      </c>
      <c r="EZ130" s="261" t="s">
        <v>1033</v>
      </c>
      <c r="FA130" s="262">
        <v>44137</v>
      </c>
      <c r="FB130" s="260" t="s">
        <v>8072</v>
      </c>
      <c r="FC130" s="263">
        <v>1</v>
      </c>
      <c r="FD130" s="263">
        <v>0</v>
      </c>
      <c r="FE130" s="263" t="s">
        <v>600</v>
      </c>
      <c r="FF130" s="263">
        <v>2</v>
      </c>
      <c r="FG130" s="263" t="s">
        <v>1062</v>
      </c>
      <c r="FH130" s="263">
        <v>0</v>
      </c>
      <c r="FI130" s="237">
        <v>43511</v>
      </c>
      <c r="FJ130" s="260" t="s">
        <v>8073</v>
      </c>
      <c r="FK130" s="261" t="s">
        <v>393</v>
      </c>
      <c r="FL130" s="261">
        <v>0</v>
      </c>
      <c r="FM130" s="261" t="s">
        <v>600</v>
      </c>
      <c r="FN130" s="261">
        <v>2</v>
      </c>
      <c r="FO130" s="261">
        <v>0</v>
      </c>
      <c r="FP130" s="241">
        <v>0</v>
      </c>
      <c r="FQ130" s="242">
        <v>43511</v>
      </c>
      <c r="FR130" s="260" t="s">
        <v>8074</v>
      </c>
      <c r="FS130" s="263" t="s">
        <v>393</v>
      </c>
      <c r="FT130" s="263">
        <v>0</v>
      </c>
      <c r="FU130" s="263" t="s">
        <v>600</v>
      </c>
      <c r="FV130" s="263">
        <v>2</v>
      </c>
      <c r="FW130" s="263">
        <v>0</v>
      </c>
      <c r="FX130" s="263">
        <v>0</v>
      </c>
      <c r="FY130" s="237">
        <v>43511</v>
      </c>
      <c r="FZ130" s="261" t="s">
        <v>8075</v>
      </c>
      <c r="GA130" s="261">
        <v>0</v>
      </c>
      <c r="GB130" s="261" t="s">
        <v>1587</v>
      </c>
      <c r="GC130" s="261" t="s">
        <v>1364</v>
      </c>
      <c r="GD130" s="261">
        <v>2</v>
      </c>
      <c r="GE130" s="261" t="s">
        <v>1623</v>
      </c>
      <c r="GF130" s="261" t="s">
        <v>1624</v>
      </c>
      <c r="GG130" s="262">
        <v>43767</v>
      </c>
      <c r="GH130" s="260" t="s">
        <v>8076</v>
      </c>
      <c r="GI130" s="263">
        <v>0</v>
      </c>
      <c r="GJ130" s="263" t="s">
        <v>1587</v>
      </c>
      <c r="GK130" s="263" t="s">
        <v>1364</v>
      </c>
      <c r="GL130" s="263">
        <v>2</v>
      </c>
      <c r="GM130" s="263" t="s">
        <v>1623</v>
      </c>
      <c r="GN130" s="263" t="s">
        <v>1624</v>
      </c>
      <c r="GO130" s="237">
        <v>43767</v>
      </c>
      <c r="GP130" s="261" t="s">
        <v>8077</v>
      </c>
      <c r="GQ130" s="261">
        <v>0</v>
      </c>
      <c r="GR130" s="261" t="s">
        <v>1587</v>
      </c>
      <c r="GS130" s="261" t="s">
        <v>1364</v>
      </c>
      <c r="GT130" s="261">
        <v>2</v>
      </c>
      <c r="GU130" s="261" t="s">
        <v>1623</v>
      </c>
      <c r="GV130" s="261" t="s">
        <v>1624</v>
      </c>
      <c r="GW130" s="262">
        <v>43767</v>
      </c>
      <c r="GX130" s="260" t="s">
        <v>8078</v>
      </c>
      <c r="GY130" s="263">
        <v>0</v>
      </c>
      <c r="GZ130" s="263" t="s">
        <v>1587</v>
      </c>
      <c r="HA130" s="263" t="s">
        <v>1364</v>
      </c>
      <c r="HB130" s="263">
        <v>2</v>
      </c>
      <c r="HC130" s="263" t="s">
        <v>1623</v>
      </c>
      <c r="HD130" s="263" t="s">
        <v>1624</v>
      </c>
      <c r="HE130" s="237">
        <v>43767</v>
      </c>
      <c r="HF130" s="261" t="s">
        <v>8079</v>
      </c>
      <c r="HG130" s="261">
        <v>0</v>
      </c>
      <c r="HH130" s="261" t="s">
        <v>1587</v>
      </c>
      <c r="HI130" s="261" t="s">
        <v>1364</v>
      </c>
      <c r="HJ130" s="261">
        <v>2</v>
      </c>
      <c r="HK130" s="261" t="s">
        <v>1623</v>
      </c>
      <c r="HL130" s="261" t="s">
        <v>1624</v>
      </c>
      <c r="HM130" s="262">
        <v>43767</v>
      </c>
      <c r="HN130" s="260" t="s">
        <v>8080</v>
      </c>
      <c r="HO130" s="263">
        <v>0</v>
      </c>
      <c r="HP130" s="263" t="s">
        <v>1587</v>
      </c>
      <c r="HQ130" s="263" t="s">
        <v>1364</v>
      </c>
      <c r="HR130" s="263">
        <v>2</v>
      </c>
      <c r="HS130" s="263" t="s">
        <v>1623</v>
      </c>
      <c r="HT130" s="263" t="s">
        <v>1624</v>
      </c>
      <c r="HU130" s="237">
        <v>43767</v>
      </c>
      <c r="HV130" s="261" t="s">
        <v>8081</v>
      </c>
      <c r="HW130" s="261">
        <v>0</v>
      </c>
      <c r="HX130" s="261" t="s">
        <v>1587</v>
      </c>
      <c r="HY130" s="261" t="s">
        <v>1364</v>
      </c>
      <c r="HZ130" s="261">
        <v>2</v>
      </c>
      <c r="IA130" s="261" t="s">
        <v>1623</v>
      </c>
      <c r="IB130" s="261" t="s">
        <v>1624</v>
      </c>
      <c r="IC130" s="262">
        <v>43767</v>
      </c>
      <c r="ID130" s="260" t="s">
        <v>8082</v>
      </c>
      <c r="IE130" s="263">
        <v>1</v>
      </c>
      <c r="IF130" s="263" t="s">
        <v>1587</v>
      </c>
      <c r="IG130" s="263" t="s">
        <v>1364</v>
      </c>
      <c r="IH130" s="263">
        <v>2</v>
      </c>
      <c r="II130" s="263" t="s">
        <v>1623</v>
      </c>
      <c r="IJ130" s="263" t="s">
        <v>1624</v>
      </c>
      <c r="IK130" s="237">
        <v>43767</v>
      </c>
      <c r="IL130" s="261" t="s">
        <v>8083</v>
      </c>
      <c r="IM130" s="261">
        <v>0</v>
      </c>
      <c r="IN130" s="261" t="s">
        <v>1587</v>
      </c>
      <c r="IO130" s="261" t="s">
        <v>1364</v>
      </c>
      <c r="IP130" s="261">
        <v>2</v>
      </c>
      <c r="IQ130" s="261" t="s">
        <v>1623</v>
      </c>
      <c r="IR130" s="261" t="s">
        <v>1624</v>
      </c>
      <c r="IS130" s="262">
        <v>43767</v>
      </c>
    </row>
    <row r="131" spans="1:253" s="11" customFormat="1" ht="13.2" x14ac:dyDescent="0.25">
      <c r="A131" s="11" t="s">
        <v>1109</v>
      </c>
      <c r="B131" s="11" t="s">
        <v>3258</v>
      </c>
      <c r="C131" s="11" t="s">
        <v>596</v>
      </c>
      <c r="D131" s="11" t="s">
        <v>328</v>
      </c>
      <c r="E131" s="11" t="s">
        <v>327</v>
      </c>
      <c r="F131" s="11" t="s">
        <v>8084</v>
      </c>
      <c r="G131" s="235">
        <v>83430000</v>
      </c>
      <c r="H131" s="236" t="s">
        <v>1983</v>
      </c>
      <c r="I131" s="236" t="s">
        <v>600</v>
      </c>
      <c r="J131" s="236">
        <v>2</v>
      </c>
      <c r="K131" s="236" t="s">
        <v>1008</v>
      </c>
      <c r="L131" s="236" t="s">
        <v>1007</v>
      </c>
      <c r="M131" s="237">
        <v>44110</v>
      </c>
      <c r="N131" s="244" t="s">
        <v>8085</v>
      </c>
      <c r="O131" s="239">
        <v>378923</v>
      </c>
      <c r="P131" s="239" t="s">
        <v>999</v>
      </c>
      <c r="Q131" s="239" t="s">
        <v>600</v>
      </c>
      <c r="R131" s="239">
        <v>2</v>
      </c>
      <c r="S131" s="239" t="s">
        <v>1010</v>
      </c>
      <c r="T131" s="239" t="s">
        <v>1009</v>
      </c>
      <c r="U131" s="240">
        <v>43511</v>
      </c>
      <c r="V131" s="244" t="s">
        <v>8086</v>
      </c>
      <c r="W131" s="236">
        <v>53611000</v>
      </c>
      <c r="X131" s="236" t="s">
        <v>1000</v>
      </c>
      <c r="Y131" s="236" t="s">
        <v>600</v>
      </c>
      <c r="Z131" s="236">
        <v>2</v>
      </c>
      <c r="AA131" s="236" t="s">
        <v>1012</v>
      </c>
      <c r="AB131" s="236" t="s">
        <v>1011</v>
      </c>
      <c r="AC131" s="237">
        <v>43511</v>
      </c>
      <c r="AD131" s="244" t="s">
        <v>8087</v>
      </c>
      <c r="AE131" s="241">
        <v>3957000</v>
      </c>
      <c r="AF131" s="241" t="s">
        <v>4067</v>
      </c>
      <c r="AG131" s="241" t="s">
        <v>600</v>
      </c>
      <c r="AH131" s="241">
        <v>2</v>
      </c>
      <c r="AI131" s="241" t="s">
        <v>2810</v>
      </c>
      <c r="AJ131" s="241" t="s">
        <v>3512</v>
      </c>
      <c r="AK131" s="242">
        <v>44139</v>
      </c>
      <c r="AL131" s="244" t="s">
        <v>8088</v>
      </c>
      <c r="AM131" s="236">
        <v>3957000</v>
      </c>
      <c r="AN131" s="236" t="s">
        <v>4067</v>
      </c>
      <c r="AO131" s="236" t="s">
        <v>600</v>
      </c>
      <c r="AP131" s="236">
        <v>2</v>
      </c>
      <c r="AQ131" s="236" t="s">
        <v>1940</v>
      </c>
      <c r="AR131" s="236" t="s">
        <v>3512</v>
      </c>
      <c r="AS131" s="237">
        <v>44139</v>
      </c>
      <c r="AT131" s="245" t="s">
        <v>8089</v>
      </c>
      <c r="AU131" s="241" t="s">
        <v>393</v>
      </c>
      <c r="AV131" s="241">
        <v>0</v>
      </c>
      <c r="AW131" s="241" t="s">
        <v>600</v>
      </c>
      <c r="AX131" s="241">
        <v>2</v>
      </c>
      <c r="AY131" s="241" t="s">
        <v>1013</v>
      </c>
      <c r="AZ131" s="241">
        <v>0</v>
      </c>
      <c r="BA131" s="242">
        <v>43511</v>
      </c>
      <c r="BB131" s="244" t="s">
        <v>8090</v>
      </c>
      <c r="BC131" s="236" t="s">
        <v>393</v>
      </c>
      <c r="BD131" s="236">
        <v>0</v>
      </c>
      <c r="BE131" s="236" t="s">
        <v>600</v>
      </c>
      <c r="BF131" s="236">
        <v>2</v>
      </c>
      <c r="BG131" s="236" t="s">
        <v>1013</v>
      </c>
      <c r="BH131" s="236">
        <v>0</v>
      </c>
      <c r="BI131" s="237">
        <v>43511</v>
      </c>
      <c r="BJ131" s="245" t="s">
        <v>8091</v>
      </c>
      <c r="BK131" s="245">
        <v>493</v>
      </c>
      <c r="BL131" s="245" t="s">
        <v>4068</v>
      </c>
      <c r="BM131" s="245" t="s">
        <v>599</v>
      </c>
      <c r="BN131" s="245">
        <v>3</v>
      </c>
      <c r="BO131" s="245" t="s">
        <v>3513</v>
      </c>
      <c r="BP131" s="241" t="s">
        <v>2809</v>
      </c>
      <c r="BQ131" s="246">
        <v>44139</v>
      </c>
      <c r="BR131" s="244" t="s">
        <v>8092</v>
      </c>
      <c r="BS131" s="247" t="s">
        <v>393</v>
      </c>
      <c r="BT131" s="247">
        <v>0</v>
      </c>
      <c r="BU131" s="247" t="s">
        <v>600</v>
      </c>
      <c r="BV131" s="247">
        <v>2</v>
      </c>
      <c r="BW131" s="247" t="s">
        <v>1014</v>
      </c>
      <c r="BX131" s="247">
        <v>0</v>
      </c>
      <c r="BY131" s="237">
        <v>43511</v>
      </c>
      <c r="BZ131" s="245" t="s">
        <v>8093</v>
      </c>
      <c r="CA131" s="245" t="s">
        <v>393</v>
      </c>
      <c r="CB131" s="245">
        <v>0</v>
      </c>
      <c r="CC131" s="245" t="s">
        <v>393</v>
      </c>
      <c r="CD131" s="245" t="s">
        <v>393</v>
      </c>
      <c r="CE131" s="245" t="s">
        <v>1013</v>
      </c>
      <c r="CF131" s="245">
        <v>0</v>
      </c>
      <c r="CG131" s="246">
        <v>43511</v>
      </c>
      <c r="CH131" s="244" t="s">
        <v>8094</v>
      </c>
      <c r="CI131" s="245" t="e">
        <v>#N/A</v>
      </c>
      <c r="CJ131" s="245" t="e">
        <v>#N/A</v>
      </c>
      <c r="CK131" s="245" t="e">
        <v>#N/A</v>
      </c>
      <c r="CL131" s="245" t="e">
        <v>#N/A</v>
      </c>
      <c r="CM131" s="245" t="e">
        <v>#N/A</v>
      </c>
      <c r="CN131" s="245" t="e">
        <v>#N/A</v>
      </c>
      <c r="CO131" s="248" t="e">
        <v>#N/A</v>
      </c>
      <c r="CP131" s="245" t="s">
        <v>8095</v>
      </c>
      <c r="CQ131" s="247" t="s">
        <v>393</v>
      </c>
      <c r="CR131" s="247">
        <v>0</v>
      </c>
      <c r="CS131" s="247" t="s">
        <v>600</v>
      </c>
      <c r="CT131" s="247">
        <v>2</v>
      </c>
      <c r="CU131" s="247" t="s">
        <v>1013</v>
      </c>
      <c r="CV131" s="247">
        <v>0</v>
      </c>
      <c r="CW131" s="237">
        <v>43511</v>
      </c>
      <c r="CX131" s="245" t="s">
        <v>8096</v>
      </c>
      <c r="CY131" s="241">
        <v>2216000</v>
      </c>
      <c r="CZ131" s="241" t="s">
        <v>4069</v>
      </c>
      <c r="DA131" s="241" t="s">
        <v>599</v>
      </c>
      <c r="DB131" s="241">
        <v>3</v>
      </c>
      <c r="DC131" s="241" t="s">
        <v>1594</v>
      </c>
      <c r="DD131" s="241" t="s">
        <v>3514</v>
      </c>
      <c r="DE131" s="243">
        <v>44139</v>
      </c>
      <c r="DF131" s="244" t="s">
        <v>8097</v>
      </c>
      <c r="DG131" s="236">
        <v>49654000</v>
      </c>
      <c r="DH131" s="247" t="s">
        <v>4069</v>
      </c>
      <c r="DI131" s="247" t="s">
        <v>599</v>
      </c>
      <c r="DJ131" s="247">
        <v>3</v>
      </c>
      <c r="DK131" s="247" t="s">
        <v>1594</v>
      </c>
      <c r="DL131" s="247" t="s">
        <v>3514</v>
      </c>
      <c r="DM131" s="237">
        <v>44139</v>
      </c>
      <c r="DN131" s="245" t="s">
        <v>8098</v>
      </c>
      <c r="DO131" s="241">
        <v>1741000</v>
      </c>
      <c r="DP131" s="245" t="s">
        <v>4069</v>
      </c>
      <c r="DQ131" s="245" t="s">
        <v>599</v>
      </c>
      <c r="DR131" s="245">
        <v>3</v>
      </c>
      <c r="DS131" s="245" t="s">
        <v>1594</v>
      </c>
      <c r="DT131" s="245" t="s">
        <v>3514</v>
      </c>
      <c r="DU131" s="246">
        <v>44139</v>
      </c>
      <c r="DV131" s="244" t="s">
        <v>8099</v>
      </c>
      <c r="DW131" s="236">
        <v>1632000</v>
      </c>
      <c r="DX131" s="247" t="s">
        <v>4069</v>
      </c>
      <c r="DY131" s="247" t="s">
        <v>599</v>
      </c>
      <c r="DZ131" s="247">
        <v>3</v>
      </c>
      <c r="EA131" s="247" t="s">
        <v>1594</v>
      </c>
      <c r="EB131" s="247" t="s">
        <v>3514</v>
      </c>
      <c r="EC131" s="237">
        <v>44139</v>
      </c>
      <c r="ED131" s="245" t="s">
        <v>8100</v>
      </c>
      <c r="EE131" s="241">
        <v>584000</v>
      </c>
      <c r="EF131" s="245" t="s">
        <v>4069</v>
      </c>
      <c r="EG131" s="245" t="s">
        <v>599</v>
      </c>
      <c r="EH131" s="245">
        <v>3</v>
      </c>
      <c r="EI131" s="245" t="s">
        <v>1594</v>
      </c>
      <c r="EJ131" s="245" t="s">
        <v>3514</v>
      </c>
      <c r="EK131" s="246">
        <v>44139</v>
      </c>
      <c r="EL131" s="244" t="s">
        <v>8101</v>
      </c>
      <c r="EM131" s="236">
        <v>0</v>
      </c>
      <c r="EN131" s="247" t="s">
        <v>4069</v>
      </c>
      <c r="EO131" s="247" t="s">
        <v>599</v>
      </c>
      <c r="EP131" s="247">
        <v>3</v>
      </c>
      <c r="EQ131" s="247" t="s">
        <v>1594</v>
      </c>
      <c r="ER131" s="247" t="s">
        <v>3514</v>
      </c>
      <c r="ES131" s="237">
        <v>44139</v>
      </c>
      <c r="ET131" s="245" t="s">
        <v>8102</v>
      </c>
      <c r="EU131" s="245">
        <v>493</v>
      </c>
      <c r="EV131" s="245" t="s">
        <v>4068</v>
      </c>
      <c r="EW131" s="245" t="s">
        <v>599</v>
      </c>
      <c r="EX131" s="245">
        <v>3</v>
      </c>
      <c r="EY131" s="245" t="s">
        <v>3513</v>
      </c>
      <c r="EZ131" s="245" t="s">
        <v>2809</v>
      </c>
      <c r="FA131" s="246">
        <v>44139</v>
      </c>
      <c r="FB131" s="244" t="s">
        <v>8103</v>
      </c>
      <c r="FC131" s="247">
        <v>4</v>
      </c>
      <c r="FD131" s="247">
        <v>0</v>
      </c>
      <c r="FE131" s="247" t="s">
        <v>600</v>
      </c>
      <c r="FF131" s="247">
        <v>2</v>
      </c>
      <c r="FG131" s="247" t="s">
        <v>1015</v>
      </c>
      <c r="FH131" s="247">
        <v>0</v>
      </c>
      <c r="FI131" s="237">
        <v>43511</v>
      </c>
      <c r="FJ131" s="244" t="s">
        <v>8104</v>
      </c>
      <c r="FK131" s="245" t="s">
        <v>393</v>
      </c>
      <c r="FL131" s="245">
        <v>0</v>
      </c>
      <c r="FM131" s="245" t="s">
        <v>600</v>
      </c>
      <c r="FN131" s="245">
        <v>2</v>
      </c>
      <c r="FO131" s="245" t="s">
        <v>1013</v>
      </c>
      <c r="FP131" s="241">
        <v>0</v>
      </c>
      <c r="FQ131" s="242">
        <v>43511</v>
      </c>
      <c r="FR131" s="244" t="s">
        <v>8105</v>
      </c>
      <c r="FS131" s="247" t="s">
        <v>393</v>
      </c>
      <c r="FT131" s="247">
        <v>0</v>
      </c>
      <c r="FU131" s="247" t="s">
        <v>600</v>
      </c>
      <c r="FV131" s="247">
        <v>2</v>
      </c>
      <c r="FW131" s="247" t="s">
        <v>1013</v>
      </c>
      <c r="FX131" s="247">
        <v>0</v>
      </c>
      <c r="FY131" s="237">
        <v>43511</v>
      </c>
      <c r="FZ131" s="245" t="s">
        <v>8106</v>
      </c>
      <c r="GA131" s="245">
        <v>2</v>
      </c>
      <c r="GB131" s="245" t="s">
        <v>1587</v>
      </c>
      <c r="GC131" s="245" t="s">
        <v>1364</v>
      </c>
      <c r="GD131" s="245">
        <v>2</v>
      </c>
      <c r="GE131" s="245" t="s">
        <v>1623</v>
      </c>
      <c r="GF131" s="245" t="s">
        <v>1624</v>
      </c>
      <c r="GG131" s="246">
        <v>43767</v>
      </c>
      <c r="GH131" s="244" t="s">
        <v>8107</v>
      </c>
      <c r="GI131" s="247">
        <v>1</v>
      </c>
      <c r="GJ131" s="247" t="s">
        <v>1587</v>
      </c>
      <c r="GK131" s="247" t="s">
        <v>1364</v>
      </c>
      <c r="GL131" s="247">
        <v>2</v>
      </c>
      <c r="GM131" s="247" t="s">
        <v>1623</v>
      </c>
      <c r="GN131" s="247" t="s">
        <v>1624</v>
      </c>
      <c r="GO131" s="237">
        <v>43767</v>
      </c>
      <c r="GP131" s="245" t="s">
        <v>8108</v>
      </c>
      <c r="GQ131" s="245">
        <v>2</v>
      </c>
      <c r="GR131" s="245" t="s">
        <v>1587</v>
      </c>
      <c r="GS131" s="245" t="s">
        <v>1364</v>
      </c>
      <c r="GT131" s="245">
        <v>2</v>
      </c>
      <c r="GU131" s="245" t="s">
        <v>1623</v>
      </c>
      <c r="GV131" s="245" t="s">
        <v>1624</v>
      </c>
      <c r="GW131" s="246">
        <v>43767</v>
      </c>
      <c r="GX131" s="244" t="s">
        <v>8109</v>
      </c>
      <c r="GY131" s="247">
        <v>0</v>
      </c>
      <c r="GZ131" s="247" t="s">
        <v>1587</v>
      </c>
      <c r="HA131" s="247" t="s">
        <v>1364</v>
      </c>
      <c r="HB131" s="247">
        <v>2</v>
      </c>
      <c r="HC131" s="247" t="s">
        <v>1623</v>
      </c>
      <c r="HD131" s="247" t="s">
        <v>1624</v>
      </c>
      <c r="HE131" s="237">
        <v>43767</v>
      </c>
      <c r="HF131" s="245" t="s">
        <v>8110</v>
      </c>
      <c r="HG131" s="245">
        <v>2</v>
      </c>
      <c r="HH131" s="245" t="s">
        <v>1587</v>
      </c>
      <c r="HI131" s="245" t="s">
        <v>1364</v>
      </c>
      <c r="HJ131" s="245">
        <v>2</v>
      </c>
      <c r="HK131" s="245" t="s">
        <v>1623</v>
      </c>
      <c r="HL131" s="245" t="s">
        <v>1624</v>
      </c>
      <c r="HM131" s="246">
        <v>43767</v>
      </c>
      <c r="HN131" s="244" t="s">
        <v>8111</v>
      </c>
      <c r="HO131" s="247">
        <v>2</v>
      </c>
      <c r="HP131" s="247" t="s">
        <v>1587</v>
      </c>
      <c r="HQ131" s="247" t="s">
        <v>1364</v>
      </c>
      <c r="HR131" s="247">
        <v>2</v>
      </c>
      <c r="HS131" s="247" t="s">
        <v>1623</v>
      </c>
      <c r="HT131" s="247" t="s">
        <v>1624</v>
      </c>
      <c r="HU131" s="237">
        <v>43767</v>
      </c>
      <c r="HV131" s="245" t="s">
        <v>8112</v>
      </c>
      <c r="HW131" s="245">
        <v>0</v>
      </c>
      <c r="HX131" s="245" t="s">
        <v>1587</v>
      </c>
      <c r="HY131" s="245" t="s">
        <v>1364</v>
      </c>
      <c r="HZ131" s="245">
        <v>2</v>
      </c>
      <c r="IA131" s="245" t="s">
        <v>1623</v>
      </c>
      <c r="IB131" s="245" t="s">
        <v>1624</v>
      </c>
      <c r="IC131" s="246">
        <v>43767</v>
      </c>
      <c r="ID131" s="244" t="s">
        <v>8113</v>
      </c>
      <c r="IE131" s="247">
        <v>1</v>
      </c>
      <c r="IF131" s="247" t="s">
        <v>1587</v>
      </c>
      <c r="IG131" s="247" t="s">
        <v>1364</v>
      </c>
      <c r="IH131" s="247">
        <v>2</v>
      </c>
      <c r="II131" s="247" t="s">
        <v>1623</v>
      </c>
      <c r="IJ131" s="247" t="s">
        <v>1624</v>
      </c>
      <c r="IK131" s="237">
        <v>43767</v>
      </c>
      <c r="IL131" s="245" t="s">
        <v>8114</v>
      </c>
      <c r="IM131" s="245">
        <v>0</v>
      </c>
      <c r="IN131" s="245" t="s">
        <v>1587</v>
      </c>
      <c r="IO131" s="245" t="s">
        <v>1364</v>
      </c>
      <c r="IP131" s="245">
        <v>2</v>
      </c>
      <c r="IQ131" s="245" t="s">
        <v>1623</v>
      </c>
      <c r="IR131" s="245" t="s">
        <v>1624</v>
      </c>
      <c r="IS131" s="246">
        <v>43767</v>
      </c>
    </row>
    <row r="132" spans="1:253" s="11" customFormat="1" ht="13.2" x14ac:dyDescent="0.25">
      <c r="A132" s="11" t="s">
        <v>762</v>
      </c>
      <c r="B132" s="11" t="s">
        <v>1280</v>
      </c>
      <c r="C132" s="11" t="s">
        <v>656</v>
      </c>
      <c r="D132" s="11" t="s">
        <v>328</v>
      </c>
      <c r="E132" s="11" t="s">
        <v>327</v>
      </c>
      <c r="F132" s="11" t="s">
        <v>8115</v>
      </c>
      <c r="G132" s="235">
        <v>83430000</v>
      </c>
      <c r="H132" s="236" t="s">
        <v>1983</v>
      </c>
      <c r="I132" s="236" t="s">
        <v>600</v>
      </c>
      <c r="J132" s="236">
        <v>2</v>
      </c>
      <c r="K132" s="236" t="s">
        <v>1008</v>
      </c>
      <c r="L132" s="236" t="s">
        <v>1007</v>
      </c>
      <c r="M132" s="237">
        <v>44110</v>
      </c>
      <c r="N132" s="260" t="s">
        <v>8116</v>
      </c>
      <c r="O132" s="239">
        <v>132028</v>
      </c>
      <c r="P132" s="239" t="s">
        <v>1001</v>
      </c>
      <c r="Q132" s="239" t="s">
        <v>600</v>
      </c>
      <c r="R132" s="239">
        <v>2</v>
      </c>
      <c r="S132" s="239" t="s">
        <v>1017</v>
      </c>
      <c r="T132" s="239" t="s">
        <v>1016</v>
      </c>
      <c r="U132" s="240">
        <v>43511</v>
      </c>
      <c r="V132" s="260" t="s">
        <v>8117</v>
      </c>
      <c r="W132" s="236">
        <v>36158000</v>
      </c>
      <c r="X132" s="236" t="s">
        <v>1002</v>
      </c>
      <c r="Y132" s="236" t="s">
        <v>600</v>
      </c>
      <c r="Z132" s="236">
        <v>2</v>
      </c>
      <c r="AA132" s="236" t="s">
        <v>1019</v>
      </c>
      <c r="AB132" s="236" t="s">
        <v>1018</v>
      </c>
      <c r="AC132" s="237">
        <v>43551</v>
      </c>
      <c r="AD132" s="260" t="s">
        <v>8118</v>
      </c>
      <c r="AE132" s="241">
        <v>3627000</v>
      </c>
      <c r="AF132" s="241" t="s">
        <v>4071</v>
      </c>
      <c r="AG132" s="241" t="s">
        <v>600</v>
      </c>
      <c r="AH132" s="241">
        <v>2</v>
      </c>
      <c r="AI132" s="241" t="s">
        <v>1475</v>
      </c>
      <c r="AJ132" s="241" t="s">
        <v>1020</v>
      </c>
      <c r="AK132" s="242">
        <v>44139</v>
      </c>
      <c r="AL132" s="260" t="s">
        <v>8119</v>
      </c>
      <c r="AM132" s="236">
        <v>3627000</v>
      </c>
      <c r="AN132" s="236" t="s">
        <v>4071</v>
      </c>
      <c r="AO132" s="236" t="s">
        <v>600</v>
      </c>
      <c r="AP132" s="236">
        <v>2</v>
      </c>
      <c r="AQ132" s="236" t="s">
        <v>1021</v>
      </c>
      <c r="AR132" s="236" t="s">
        <v>1020</v>
      </c>
      <c r="AS132" s="237">
        <v>44139</v>
      </c>
      <c r="AT132" s="261" t="s">
        <v>8120</v>
      </c>
      <c r="AU132" s="241" t="s">
        <v>393</v>
      </c>
      <c r="AV132" s="241">
        <v>0</v>
      </c>
      <c r="AW132" s="241" t="s">
        <v>600</v>
      </c>
      <c r="AX132" s="241">
        <v>2</v>
      </c>
      <c r="AY132" s="241" t="s">
        <v>1023</v>
      </c>
      <c r="AZ132" s="241">
        <v>0</v>
      </c>
      <c r="BA132" s="242">
        <v>43511</v>
      </c>
      <c r="BB132" s="260" t="s">
        <v>8121</v>
      </c>
      <c r="BC132" s="236" t="s">
        <v>393</v>
      </c>
      <c r="BD132" s="236">
        <v>0</v>
      </c>
      <c r="BE132" s="236" t="s">
        <v>600</v>
      </c>
      <c r="BF132" s="236">
        <v>2</v>
      </c>
      <c r="BG132" s="236" t="s">
        <v>1022</v>
      </c>
      <c r="BH132" s="236">
        <v>0</v>
      </c>
      <c r="BI132" s="237">
        <v>43511</v>
      </c>
      <c r="BJ132" s="261" t="s">
        <v>8122</v>
      </c>
      <c r="BK132" s="261" t="s">
        <v>393</v>
      </c>
      <c r="BL132" s="261">
        <v>0</v>
      </c>
      <c r="BM132" s="261" t="s">
        <v>600</v>
      </c>
      <c r="BN132" s="261">
        <v>2</v>
      </c>
      <c r="BO132" s="261" t="s">
        <v>1026</v>
      </c>
      <c r="BP132" s="241">
        <v>0</v>
      </c>
      <c r="BQ132" s="262">
        <v>43511</v>
      </c>
      <c r="BR132" s="260" t="s">
        <v>8123</v>
      </c>
      <c r="BS132" s="263">
        <v>0</v>
      </c>
      <c r="BT132" s="263">
        <v>0</v>
      </c>
      <c r="BU132" s="263" t="s">
        <v>600</v>
      </c>
      <c r="BV132" s="263">
        <v>2</v>
      </c>
      <c r="BW132" s="263" t="s">
        <v>1024</v>
      </c>
      <c r="BX132" s="263">
        <v>0</v>
      </c>
      <c r="BY132" s="237">
        <v>43511</v>
      </c>
      <c r="BZ132" s="261" t="s">
        <v>8124</v>
      </c>
      <c r="CA132" s="261">
        <v>0</v>
      </c>
      <c r="CB132" s="261">
        <v>0</v>
      </c>
      <c r="CC132" s="261" t="s">
        <v>600</v>
      </c>
      <c r="CD132" s="261">
        <v>2</v>
      </c>
      <c r="CE132" s="261" t="s">
        <v>1025</v>
      </c>
      <c r="CF132" s="261">
        <v>0</v>
      </c>
      <c r="CG132" s="262">
        <v>43511</v>
      </c>
      <c r="CH132" s="260" t="s">
        <v>8125</v>
      </c>
      <c r="CI132" s="261" t="e">
        <v>#N/A</v>
      </c>
      <c r="CJ132" s="261" t="e">
        <v>#N/A</v>
      </c>
      <c r="CK132" s="261" t="e">
        <v>#N/A</v>
      </c>
      <c r="CL132" s="261" t="e">
        <v>#N/A</v>
      </c>
      <c r="CM132" s="261" t="e">
        <v>#N/A</v>
      </c>
      <c r="CN132" s="261" t="e">
        <v>#N/A</v>
      </c>
      <c r="CO132" s="264" t="e">
        <v>#N/A</v>
      </c>
      <c r="CP132" s="261" t="s">
        <v>8126</v>
      </c>
      <c r="CQ132" s="263" t="s">
        <v>393</v>
      </c>
      <c r="CR132" s="263">
        <v>0</v>
      </c>
      <c r="CS132" s="263" t="s">
        <v>600</v>
      </c>
      <c r="CT132" s="263">
        <v>2</v>
      </c>
      <c r="CU132" s="263" t="s">
        <v>1027</v>
      </c>
      <c r="CV132" s="263">
        <v>0</v>
      </c>
      <c r="CW132" s="237">
        <v>43511</v>
      </c>
      <c r="CX132" s="261" t="s">
        <v>8127</v>
      </c>
      <c r="CY132" s="241">
        <v>1886000</v>
      </c>
      <c r="CZ132" s="241" t="s">
        <v>4070</v>
      </c>
      <c r="DA132" s="241" t="s">
        <v>599</v>
      </c>
      <c r="DB132" s="241">
        <v>3</v>
      </c>
      <c r="DC132" s="241" t="s">
        <v>3516</v>
      </c>
      <c r="DD132" s="241" t="s">
        <v>3515</v>
      </c>
      <c r="DE132" s="243">
        <v>44139</v>
      </c>
      <c r="DF132" s="260" t="s">
        <v>8128</v>
      </c>
      <c r="DG132" s="236">
        <v>32531000</v>
      </c>
      <c r="DH132" s="263" t="s">
        <v>4070</v>
      </c>
      <c r="DI132" s="263" t="s">
        <v>599</v>
      </c>
      <c r="DJ132" s="263">
        <v>3</v>
      </c>
      <c r="DK132" s="263" t="s">
        <v>3516</v>
      </c>
      <c r="DL132" s="263" t="s">
        <v>3515</v>
      </c>
      <c r="DM132" s="237">
        <v>44139</v>
      </c>
      <c r="DN132" s="261" t="s">
        <v>8129</v>
      </c>
      <c r="DO132" s="241">
        <v>1741000</v>
      </c>
      <c r="DP132" s="261" t="s">
        <v>4070</v>
      </c>
      <c r="DQ132" s="261" t="s">
        <v>599</v>
      </c>
      <c r="DR132" s="261">
        <v>3</v>
      </c>
      <c r="DS132" s="261" t="s">
        <v>3516</v>
      </c>
      <c r="DT132" s="261" t="s">
        <v>3515</v>
      </c>
      <c r="DU132" s="262">
        <v>44139</v>
      </c>
      <c r="DV132" s="260" t="s">
        <v>8130</v>
      </c>
      <c r="DW132" s="236">
        <v>1632000</v>
      </c>
      <c r="DX132" s="263" t="s">
        <v>4070</v>
      </c>
      <c r="DY132" s="263" t="s">
        <v>599</v>
      </c>
      <c r="DZ132" s="263">
        <v>3</v>
      </c>
      <c r="EA132" s="263" t="s">
        <v>3516</v>
      </c>
      <c r="EB132" s="263" t="s">
        <v>3515</v>
      </c>
      <c r="EC132" s="237">
        <v>44139</v>
      </c>
      <c r="ED132" s="261" t="s">
        <v>8131</v>
      </c>
      <c r="EE132" s="241">
        <v>254000</v>
      </c>
      <c r="EF132" s="261" t="s">
        <v>4070</v>
      </c>
      <c r="EG132" s="261" t="s">
        <v>599</v>
      </c>
      <c r="EH132" s="261">
        <v>3</v>
      </c>
      <c r="EI132" s="261" t="s">
        <v>3516</v>
      </c>
      <c r="EJ132" s="261" t="s">
        <v>3515</v>
      </c>
      <c r="EK132" s="262">
        <v>44139</v>
      </c>
      <c r="EL132" s="260" t="s">
        <v>8132</v>
      </c>
      <c r="EM132" s="236">
        <v>0</v>
      </c>
      <c r="EN132" s="263" t="s">
        <v>4070</v>
      </c>
      <c r="EO132" s="263" t="s">
        <v>599</v>
      </c>
      <c r="EP132" s="263">
        <v>3</v>
      </c>
      <c r="EQ132" s="263" t="s">
        <v>3516</v>
      </c>
      <c r="ER132" s="263" t="s">
        <v>3515</v>
      </c>
      <c r="ES132" s="237">
        <v>44139</v>
      </c>
      <c r="ET132" s="261" t="s">
        <v>8133</v>
      </c>
      <c r="EU132" s="261">
        <v>493</v>
      </c>
      <c r="EV132" s="261" t="s">
        <v>4068</v>
      </c>
      <c r="EW132" s="261" t="s">
        <v>599</v>
      </c>
      <c r="EX132" s="261">
        <v>3</v>
      </c>
      <c r="EY132" s="261" t="s">
        <v>3513</v>
      </c>
      <c r="EZ132" s="261" t="s">
        <v>2809</v>
      </c>
      <c r="FA132" s="262">
        <v>44139</v>
      </c>
      <c r="FB132" s="260" t="s">
        <v>8134</v>
      </c>
      <c r="FC132" s="263">
        <v>2</v>
      </c>
      <c r="FD132" s="263">
        <v>0</v>
      </c>
      <c r="FE132" s="263" t="s">
        <v>600</v>
      </c>
      <c r="FF132" s="263">
        <v>2</v>
      </c>
      <c r="FG132" s="263" t="s">
        <v>1028</v>
      </c>
      <c r="FH132" s="263">
        <v>0</v>
      </c>
      <c r="FI132" s="237">
        <v>43511</v>
      </c>
      <c r="FJ132" s="260" t="s">
        <v>8135</v>
      </c>
      <c r="FK132" s="261" t="s">
        <v>393</v>
      </c>
      <c r="FL132" s="261">
        <v>0</v>
      </c>
      <c r="FM132" s="261" t="s">
        <v>600</v>
      </c>
      <c r="FN132" s="261">
        <v>2</v>
      </c>
      <c r="FO132" s="261" t="s">
        <v>1029</v>
      </c>
      <c r="FP132" s="241">
        <v>0</v>
      </c>
      <c r="FQ132" s="242">
        <v>43511</v>
      </c>
      <c r="FR132" s="260" t="s">
        <v>8136</v>
      </c>
      <c r="FS132" s="263" t="s">
        <v>393</v>
      </c>
      <c r="FT132" s="263">
        <v>0</v>
      </c>
      <c r="FU132" s="263" t="s">
        <v>600</v>
      </c>
      <c r="FV132" s="263">
        <v>2</v>
      </c>
      <c r="FW132" s="263" t="s">
        <v>1029</v>
      </c>
      <c r="FX132" s="263">
        <v>0</v>
      </c>
      <c r="FY132" s="237">
        <v>43511</v>
      </c>
      <c r="FZ132" s="261" t="s">
        <v>8137</v>
      </c>
      <c r="GA132" s="261">
        <v>2</v>
      </c>
      <c r="GB132" s="261" t="s">
        <v>1587</v>
      </c>
      <c r="GC132" s="261" t="s">
        <v>1364</v>
      </c>
      <c r="GD132" s="261">
        <v>2</v>
      </c>
      <c r="GE132" s="261" t="s">
        <v>1623</v>
      </c>
      <c r="GF132" s="261" t="s">
        <v>1624</v>
      </c>
      <c r="GG132" s="262">
        <v>43767</v>
      </c>
      <c r="GH132" s="260" t="s">
        <v>8138</v>
      </c>
      <c r="GI132" s="263">
        <v>0</v>
      </c>
      <c r="GJ132" s="263" t="s">
        <v>1587</v>
      </c>
      <c r="GK132" s="263" t="s">
        <v>1364</v>
      </c>
      <c r="GL132" s="263">
        <v>2</v>
      </c>
      <c r="GM132" s="263" t="s">
        <v>1623</v>
      </c>
      <c r="GN132" s="263" t="s">
        <v>1624</v>
      </c>
      <c r="GO132" s="237">
        <v>43767</v>
      </c>
      <c r="GP132" s="261" t="s">
        <v>8139</v>
      </c>
      <c r="GQ132" s="261">
        <v>1</v>
      </c>
      <c r="GR132" s="261" t="s">
        <v>1587</v>
      </c>
      <c r="GS132" s="261" t="s">
        <v>1364</v>
      </c>
      <c r="GT132" s="261">
        <v>2</v>
      </c>
      <c r="GU132" s="261" t="s">
        <v>1623</v>
      </c>
      <c r="GV132" s="261" t="s">
        <v>1624</v>
      </c>
      <c r="GW132" s="262">
        <v>43767</v>
      </c>
      <c r="GX132" s="260" t="s">
        <v>8140</v>
      </c>
      <c r="GY132" s="263">
        <v>0</v>
      </c>
      <c r="GZ132" s="263" t="s">
        <v>1587</v>
      </c>
      <c r="HA132" s="263" t="s">
        <v>1364</v>
      </c>
      <c r="HB132" s="263">
        <v>2</v>
      </c>
      <c r="HC132" s="263" t="s">
        <v>1623</v>
      </c>
      <c r="HD132" s="263" t="s">
        <v>1624</v>
      </c>
      <c r="HE132" s="237">
        <v>43767</v>
      </c>
      <c r="HF132" s="261" t="s">
        <v>8141</v>
      </c>
      <c r="HG132" s="261">
        <v>2</v>
      </c>
      <c r="HH132" s="261" t="s">
        <v>1587</v>
      </c>
      <c r="HI132" s="261" t="s">
        <v>1364</v>
      </c>
      <c r="HJ132" s="261">
        <v>2</v>
      </c>
      <c r="HK132" s="261" t="s">
        <v>1623</v>
      </c>
      <c r="HL132" s="261" t="s">
        <v>1624</v>
      </c>
      <c r="HM132" s="262">
        <v>43767</v>
      </c>
      <c r="HN132" s="260" t="s">
        <v>8142</v>
      </c>
      <c r="HO132" s="263">
        <v>2</v>
      </c>
      <c r="HP132" s="263" t="s">
        <v>1587</v>
      </c>
      <c r="HQ132" s="263" t="s">
        <v>1364</v>
      </c>
      <c r="HR132" s="263">
        <v>2</v>
      </c>
      <c r="HS132" s="263" t="s">
        <v>1623</v>
      </c>
      <c r="HT132" s="263" t="s">
        <v>1624</v>
      </c>
      <c r="HU132" s="237">
        <v>43767</v>
      </c>
      <c r="HV132" s="261" t="s">
        <v>8143</v>
      </c>
      <c r="HW132" s="261">
        <v>0</v>
      </c>
      <c r="HX132" s="261" t="s">
        <v>1587</v>
      </c>
      <c r="HY132" s="261" t="s">
        <v>1364</v>
      </c>
      <c r="HZ132" s="261">
        <v>2</v>
      </c>
      <c r="IA132" s="261" t="s">
        <v>1623</v>
      </c>
      <c r="IB132" s="261" t="s">
        <v>1624</v>
      </c>
      <c r="IC132" s="262">
        <v>43767</v>
      </c>
      <c r="ID132" s="260" t="s">
        <v>8144</v>
      </c>
      <c r="IE132" s="263">
        <v>1</v>
      </c>
      <c r="IF132" s="263" t="s">
        <v>1587</v>
      </c>
      <c r="IG132" s="263" t="s">
        <v>1364</v>
      </c>
      <c r="IH132" s="263">
        <v>2</v>
      </c>
      <c r="II132" s="263" t="s">
        <v>1623</v>
      </c>
      <c r="IJ132" s="263" t="s">
        <v>1624</v>
      </c>
      <c r="IK132" s="237">
        <v>43767</v>
      </c>
      <c r="IL132" s="261" t="s">
        <v>8145</v>
      </c>
      <c r="IM132" s="261">
        <v>0</v>
      </c>
      <c r="IN132" s="261" t="s">
        <v>1587</v>
      </c>
      <c r="IO132" s="261" t="s">
        <v>1364</v>
      </c>
      <c r="IP132" s="261">
        <v>2</v>
      </c>
      <c r="IQ132" s="261" t="s">
        <v>1623</v>
      </c>
      <c r="IR132" s="261" t="s">
        <v>1624</v>
      </c>
      <c r="IS132" s="262">
        <v>43767</v>
      </c>
    </row>
    <row r="133" spans="1:253" s="11" customFormat="1" ht="13.2" x14ac:dyDescent="0.25">
      <c r="A133" s="11" t="s">
        <v>763</v>
      </c>
      <c r="B133" s="11" t="s">
        <v>1280</v>
      </c>
      <c r="C133" s="11" t="s">
        <v>657</v>
      </c>
      <c r="D133" s="11" t="s">
        <v>328</v>
      </c>
      <c r="E133" s="11" t="s">
        <v>327</v>
      </c>
      <c r="F133" s="11" t="s">
        <v>8146</v>
      </c>
      <c r="G133" s="235">
        <v>83430000</v>
      </c>
      <c r="H133" s="236" t="s">
        <v>1983</v>
      </c>
      <c r="I133" s="236" t="s">
        <v>600</v>
      </c>
      <c r="J133" s="236">
        <v>2</v>
      </c>
      <c r="K133" s="236" t="s">
        <v>1008</v>
      </c>
      <c r="L133" s="236" t="s">
        <v>1007</v>
      </c>
      <c r="M133" s="237">
        <v>44110</v>
      </c>
      <c r="N133" s="244" t="s">
        <v>8147</v>
      </c>
      <c r="O133" s="239">
        <v>177504</v>
      </c>
      <c r="P133" s="239" t="s">
        <v>1003</v>
      </c>
      <c r="Q133" s="239" t="s">
        <v>600</v>
      </c>
      <c r="R133" s="239">
        <v>2</v>
      </c>
      <c r="S133" s="239">
        <v>0</v>
      </c>
      <c r="T133" s="239" t="s">
        <v>1007</v>
      </c>
      <c r="U133" s="240">
        <v>43511</v>
      </c>
      <c r="V133" s="244" t="s">
        <v>8148</v>
      </c>
      <c r="W133" s="236">
        <v>37626000</v>
      </c>
      <c r="X133" s="236" t="s">
        <v>1004</v>
      </c>
      <c r="Y133" s="236" t="s">
        <v>600</v>
      </c>
      <c r="Z133" s="236">
        <v>2</v>
      </c>
      <c r="AA133" s="236" t="s">
        <v>1031</v>
      </c>
      <c r="AB133" s="236" t="s">
        <v>1030</v>
      </c>
      <c r="AC133" s="237">
        <v>43511</v>
      </c>
      <c r="AD133" s="244" t="s">
        <v>8149</v>
      </c>
      <c r="AE133" s="241">
        <v>3957000</v>
      </c>
      <c r="AF133" s="241" t="s">
        <v>4067</v>
      </c>
      <c r="AG133" s="241" t="s">
        <v>600</v>
      </c>
      <c r="AH133" s="241">
        <v>2</v>
      </c>
      <c r="AI133" s="241" t="s">
        <v>2810</v>
      </c>
      <c r="AJ133" s="241" t="s">
        <v>3512</v>
      </c>
      <c r="AK133" s="242">
        <v>44140</v>
      </c>
      <c r="AL133" s="244" t="s">
        <v>8150</v>
      </c>
      <c r="AM133" s="236">
        <v>3957000</v>
      </c>
      <c r="AN133" s="236" t="s">
        <v>4067</v>
      </c>
      <c r="AO133" s="236" t="s">
        <v>600</v>
      </c>
      <c r="AP133" s="236">
        <v>2</v>
      </c>
      <c r="AQ133" s="236" t="s">
        <v>1032</v>
      </c>
      <c r="AR133" s="236" t="s">
        <v>3512</v>
      </c>
      <c r="AS133" s="237">
        <v>44140</v>
      </c>
      <c r="AT133" s="245" t="s">
        <v>8151</v>
      </c>
      <c r="AU133" s="241" t="s">
        <v>393</v>
      </c>
      <c r="AV133" s="241">
        <v>0</v>
      </c>
      <c r="AW133" s="241" t="s">
        <v>600</v>
      </c>
      <c r="AX133" s="241">
        <v>2</v>
      </c>
      <c r="AY133" s="241">
        <v>0</v>
      </c>
      <c r="AZ133" s="241">
        <v>0</v>
      </c>
      <c r="BA133" s="242">
        <v>43511</v>
      </c>
      <c r="BB133" s="244" t="s">
        <v>8152</v>
      </c>
      <c r="BC133" s="236" t="s">
        <v>393</v>
      </c>
      <c r="BD133" s="236">
        <v>0</v>
      </c>
      <c r="BE133" s="236" t="s">
        <v>600</v>
      </c>
      <c r="BF133" s="236">
        <v>2</v>
      </c>
      <c r="BG133" s="236">
        <v>0</v>
      </c>
      <c r="BH133" s="236">
        <v>0</v>
      </c>
      <c r="BI133" s="237">
        <v>43511</v>
      </c>
      <c r="BJ133" s="245" t="s">
        <v>8153</v>
      </c>
      <c r="BK133" s="245">
        <v>81</v>
      </c>
      <c r="BL133" s="245" t="s">
        <v>4072</v>
      </c>
      <c r="BM133" s="245" t="s">
        <v>599</v>
      </c>
      <c r="BN133" s="245">
        <v>3</v>
      </c>
      <c r="BO133" s="245" t="s">
        <v>4073</v>
      </c>
      <c r="BP133" s="241" t="s">
        <v>1033</v>
      </c>
      <c r="BQ133" s="246">
        <v>44140</v>
      </c>
      <c r="BR133" s="244" t="s">
        <v>8154</v>
      </c>
      <c r="BS133" s="247">
        <v>0</v>
      </c>
      <c r="BT133" s="247">
        <v>0</v>
      </c>
      <c r="BU133" s="247" t="s">
        <v>600</v>
      </c>
      <c r="BV133" s="247">
        <v>2</v>
      </c>
      <c r="BW133" s="247">
        <v>0</v>
      </c>
      <c r="BX133" s="247">
        <v>0</v>
      </c>
      <c r="BY133" s="237">
        <v>43511</v>
      </c>
      <c r="BZ133" s="245" t="s">
        <v>8155</v>
      </c>
      <c r="CA133" s="245">
        <v>0</v>
      </c>
      <c r="CB133" s="245">
        <v>0</v>
      </c>
      <c r="CC133" s="245" t="s">
        <v>600</v>
      </c>
      <c r="CD133" s="245">
        <v>2</v>
      </c>
      <c r="CE133" s="245">
        <v>0</v>
      </c>
      <c r="CF133" s="245">
        <v>0</v>
      </c>
      <c r="CG133" s="246">
        <v>43511</v>
      </c>
      <c r="CH133" s="244" t="s">
        <v>8156</v>
      </c>
      <c r="CI133" s="245" t="e">
        <v>#N/A</v>
      </c>
      <c r="CJ133" s="245" t="e">
        <v>#N/A</v>
      </c>
      <c r="CK133" s="245" t="e">
        <v>#N/A</v>
      </c>
      <c r="CL133" s="245" t="e">
        <v>#N/A</v>
      </c>
      <c r="CM133" s="245" t="e">
        <v>#N/A</v>
      </c>
      <c r="CN133" s="245" t="e">
        <v>#N/A</v>
      </c>
      <c r="CO133" s="248" t="e">
        <v>#N/A</v>
      </c>
      <c r="CP133" s="245" t="s">
        <v>8157</v>
      </c>
      <c r="CQ133" s="247" t="s">
        <v>393</v>
      </c>
      <c r="CR133" s="247">
        <v>0</v>
      </c>
      <c r="CS133" s="247" t="s">
        <v>600</v>
      </c>
      <c r="CT133" s="247">
        <v>2</v>
      </c>
      <c r="CU133" s="247">
        <v>0</v>
      </c>
      <c r="CV133" s="247">
        <v>0</v>
      </c>
      <c r="CW133" s="237">
        <v>43511</v>
      </c>
      <c r="CX133" s="245" t="s">
        <v>8158</v>
      </c>
      <c r="CY133" s="241">
        <v>2216000</v>
      </c>
      <c r="CZ133" s="241" t="s">
        <v>4069</v>
      </c>
      <c r="DA133" s="241" t="s">
        <v>599</v>
      </c>
      <c r="DB133" s="241">
        <v>3</v>
      </c>
      <c r="DC133" s="241" t="s">
        <v>1594</v>
      </c>
      <c r="DD133" s="241" t="s">
        <v>3514</v>
      </c>
      <c r="DE133" s="243">
        <v>44140</v>
      </c>
      <c r="DF133" s="244" t="s">
        <v>8159</v>
      </c>
      <c r="DG133" s="236">
        <v>33669000</v>
      </c>
      <c r="DH133" s="247" t="s">
        <v>4069</v>
      </c>
      <c r="DI133" s="247" t="s">
        <v>599</v>
      </c>
      <c r="DJ133" s="247">
        <v>3</v>
      </c>
      <c r="DK133" s="247" t="s">
        <v>1594</v>
      </c>
      <c r="DL133" s="247" t="s">
        <v>3514</v>
      </c>
      <c r="DM133" s="237">
        <v>44140</v>
      </c>
      <c r="DN133" s="245" t="s">
        <v>8160</v>
      </c>
      <c r="DO133" s="241">
        <v>1741000</v>
      </c>
      <c r="DP133" s="245" t="s">
        <v>4069</v>
      </c>
      <c r="DQ133" s="245" t="s">
        <v>599</v>
      </c>
      <c r="DR133" s="245">
        <v>3</v>
      </c>
      <c r="DS133" s="245" t="s">
        <v>1594</v>
      </c>
      <c r="DT133" s="245" t="s">
        <v>3514</v>
      </c>
      <c r="DU133" s="246">
        <v>44140</v>
      </c>
      <c r="DV133" s="244" t="s">
        <v>8161</v>
      </c>
      <c r="DW133" s="236">
        <v>1632000</v>
      </c>
      <c r="DX133" s="247" t="s">
        <v>4069</v>
      </c>
      <c r="DY133" s="247" t="s">
        <v>599</v>
      </c>
      <c r="DZ133" s="247">
        <v>3</v>
      </c>
      <c r="EA133" s="247" t="s">
        <v>1594</v>
      </c>
      <c r="EB133" s="247" t="s">
        <v>3514</v>
      </c>
      <c r="EC133" s="237">
        <v>44140</v>
      </c>
      <c r="ED133" s="245" t="s">
        <v>8162</v>
      </c>
      <c r="EE133" s="241">
        <v>584000</v>
      </c>
      <c r="EF133" s="245" t="s">
        <v>4069</v>
      </c>
      <c r="EG133" s="245" t="s">
        <v>599</v>
      </c>
      <c r="EH133" s="245">
        <v>3</v>
      </c>
      <c r="EI133" s="245" t="s">
        <v>1594</v>
      </c>
      <c r="EJ133" s="245" t="s">
        <v>3514</v>
      </c>
      <c r="EK133" s="246">
        <v>44140</v>
      </c>
      <c r="EL133" s="244" t="s">
        <v>8163</v>
      </c>
      <c r="EM133" s="236">
        <v>0</v>
      </c>
      <c r="EN133" s="247" t="s">
        <v>4069</v>
      </c>
      <c r="EO133" s="247" t="s">
        <v>599</v>
      </c>
      <c r="EP133" s="247">
        <v>3</v>
      </c>
      <c r="EQ133" s="247" t="s">
        <v>1594</v>
      </c>
      <c r="ER133" s="247" t="s">
        <v>3514</v>
      </c>
      <c r="ES133" s="237">
        <v>44140</v>
      </c>
      <c r="ET133" s="245" t="s">
        <v>8164</v>
      </c>
      <c r="EU133" s="245">
        <v>493</v>
      </c>
      <c r="EV133" s="245" t="s">
        <v>4068</v>
      </c>
      <c r="EW133" s="245" t="s">
        <v>599</v>
      </c>
      <c r="EX133" s="245">
        <v>3</v>
      </c>
      <c r="EY133" s="245" t="s">
        <v>3513</v>
      </c>
      <c r="EZ133" s="245" t="s">
        <v>2809</v>
      </c>
      <c r="FA133" s="246">
        <v>44140</v>
      </c>
      <c r="FB133" s="244" t="s">
        <v>8165</v>
      </c>
      <c r="FC133" s="247">
        <v>2</v>
      </c>
      <c r="FD133" s="247">
        <v>0</v>
      </c>
      <c r="FE133" s="247" t="s">
        <v>600</v>
      </c>
      <c r="FF133" s="247">
        <v>2</v>
      </c>
      <c r="FG133" s="247" t="s">
        <v>1034</v>
      </c>
      <c r="FH133" s="247">
        <v>0</v>
      </c>
      <c r="FI133" s="237">
        <v>43511</v>
      </c>
      <c r="FJ133" s="244" t="s">
        <v>8166</v>
      </c>
      <c r="FK133" s="245" t="s">
        <v>393</v>
      </c>
      <c r="FL133" s="245">
        <v>0</v>
      </c>
      <c r="FM133" s="245" t="s">
        <v>600</v>
      </c>
      <c r="FN133" s="245">
        <v>2</v>
      </c>
      <c r="FO133" s="245" t="s">
        <v>1035</v>
      </c>
      <c r="FP133" s="241">
        <v>0</v>
      </c>
      <c r="FQ133" s="242">
        <v>43511</v>
      </c>
      <c r="FR133" s="244" t="s">
        <v>8167</v>
      </c>
      <c r="FS133" s="247" t="s">
        <v>393</v>
      </c>
      <c r="FT133" s="247">
        <v>0</v>
      </c>
      <c r="FU133" s="247" t="s">
        <v>600</v>
      </c>
      <c r="FV133" s="247">
        <v>2</v>
      </c>
      <c r="FW133" s="247" t="s">
        <v>1036</v>
      </c>
      <c r="FX133" s="247">
        <v>0</v>
      </c>
      <c r="FY133" s="237">
        <v>43511</v>
      </c>
      <c r="FZ133" s="245" t="s">
        <v>8168</v>
      </c>
      <c r="GA133" s="245">
        <v>2</v>
      </c>
      <c r="GB133" s="245" t="s">
        <v>1587</v>
      </c>
      <c r="GC133" s="245" t="s">
        <v>1364</v>
      </c>
      <c r="GD133" s="245">
        <v>2</v>
      </c>
      <c r="GE133" s="245" t="s">
        <v>1623</v>
      </c>
      <c r="GF133" s="245" t="s">
        <v>1624</v>
      </c>
      <c r="GG133" s="246">
        <v>43767</v>
      </c>
      <c r="GH133" s="244" t="s">
        <v>8169</v>
      </c>
      <c r="GI133" s="247">
        <v>0</v>
      </c>
      <c r="GJ133" s="247" t="s">
        <v>1587</v>
      </c>
      <c r="GK133" s="247" t="s">
        <v>1364</v>
      </c>
      <c r="GL133" s="247">
        <v>2</v>
      </c>
      <c r="GM133" s="247" t="s">
        <v>1623</v>
      </c>
      <c r="GN133" s="247" t="s">
        <v>1624</v>
      </c>
      <c r="GO133" s="237">
        <v>43767</v>
      </c>
      <c r="GP133" s="245" t="s">
        <v>8170</v>
      </c>
      <c r="GQ133" s="245">
        <v>1</v>
      </c>
      <c r="GR133" s="245" t="s">
        <v>1587</v>
      </c>
      <c r="GS133" s="245" t="s">
        <v>1364</v>
      </c>
      <c r="GT133" s="245">
        <v>2</v>
      </c>
      <c r="GU133" s="245" t="s">
        <v>1623</v>
      </c>
      <c r="GV133" s="245" t="s">
        <v>1624</v>
      </c>
      <c r="GW133" s="246">
        <v>43767</v>
      </c>
      <c r="GX133" s="244" t="s">
        <v>8171</v>
      </c>
      <c r="GY133" s="247">
        <v>0</v>
      </c>
      <c r="GZ133" s="247" t="s">
        <v>1587</v>
      </c>
      <c r="HA133" s="247" t="s">
        <v>1364</v>
      </c>
      <c r="HB133" s="247">
        <v>2</v>
      </c>
      <c r="HC133" s="247" t="s">
        <v>1623</v>
      </c>
      <c r="HD133" s="247" t="s">
        <v>1624</v>
      </c>
      <c r="HE133" s="237">
        <v>43767</v>
      </c>
      <c r="HF133" s="245" t="s">
        <v>8172</v>
      </c>
      <c r="HG133" s="245">
        <v>2</v>
      </c>
      <c r="HH133" s="245" t="s">
        <v>1587</v>
      </c>
      <c r="HI133" s="245" t="s">
        <v>1364</v>
      </c>
      <c r="HJ133" s="245">
        <v>2</v>
      </c>
      <c r="HK133" s="245" t="s">
        <v>1623</v>
      </c>
      <c r="HL133" s="245" t="s">
        <v>1624</v>
      </c>
      <c r="HM133" s="246">
        <v>43767</v>
      </c>
      <c r="HN133" s="244" t="s">
        <v>8173</v>
      </c>
      <c r="HO133" s="247">
        <v>2</v>
      </c>
      <c r="HP133" s="247" t="s">
        <v>1587</v>
      </c>
      <c r="HQ133" s="247" t="s">
        <v>1364</v>
      </c>
      <c r="HR133" s="247">
        <v>2</v>
      </c>
      <c r="HS133" s="247" t="s">
        <v>1623</v>
      </c>
      <c r="HT133" s="247" t="s">
        <v>1624</v>
      </c>
      <c r="HU133" s="237">
        <v>43767</v>
      </c>
      <c r="HV133" s="245" t="s">
        <v>8174</v>
      </c>
      <c r="HW133" s="245">
        <v>0</v>
      </c>
      <c r="HX133" s="245" t="s">
        <v>1587</v>
      </c>
      <c r="HY133" s="245" t="s">
        <v>1364</v>
      </c>
      <c r="HZ133" s="245">
        <v>2</v>
      </c>
      <c r="IA133" s="245" t="s">
        <v>1623</v>
      </c>
      <c r="IB133" s="245" t="s">
        <v>1624</v>
      </c>
      <c r="IC133" s="246">
        <v>43767</v>
      </c>
      <c r="ID133" s="244" t="s">
        <v>8175</v>
      </c>
      <c r="IE133" s="247">
        <v>1</v>
      </c>
      <c r="IF133" s="247" t="s">
        <v>1587</v>
      </c>
      <c r="IG133" s="247" t="s">
        <v>1364</v>
      </c>
      <c r="IH133" s="247">
        <v>2</v>
      </c>
      <c r="II133" s="247" t="s">
        <v>1623</v>
      </c>
      <c r="IJ133" s="247" t="s">
        <v>1624</v>
      </c>
      <c r="IK133" s="237">
        <v>43767</v>
      </c>
      <c r="IL133" s="245" t="s">
        <v>8176</v>
      </c>
      <c r="IM133" s="245">
        <v>0</v>
      </c>
      <c r="IN133" s="245" t="s">
        <v>1587</v>
      </c>
      <c r="IO133" s="245" t="s">
        <v>1364</v>
      </c>
      <c r="IP133" s="245">
        <v>2</v>
      </c>
      <c r="IQ133" s="245" t="s">
        <v>1623</v>
      </c>
      <c r="IR133" s="245" t="s">
        <v>1624</v>
      </c>
      <c r="IS133" s="246">
        <v>43767</v>
      </c>
    </row>
    <row r="134" spans="1:253" s="11" customFormat="1" ht="13.2" x14ac:dyDescent="0.25">
      <c r="A134" s="11" t="s">
        <v>764</v>
      </c>
      <c r="B134" s="11" t="s">
        <v>650</v>
      </c>
      <c r="C134" s="11" t="s">
        <v>803</v>
      </c>
      <c r="D134" s="11" t="s">
        <v>328</v>
      </c>
      <c r="E134" s="11" t="s">
        <v>327</v>
      </c>
      <c r="F134" s="11" t="s">
        <v>8177</v>
      </c>
      <c r="G134" s="235">
        <v>83430000</v>
      </c>
      <c r="H134" s="236" t="s">
        <v>1983</v>
      </c>
      <c r="I134" s="236" t="s">
        <v>600</v>
      </c>
      <c r="J134" s="236">
        <v>2</v>
      </c>
      <c r="K134" s="236" t="s">
        <v>1008</v>
      </c>
      <c r="L134" s="236" t="s">
        <v>1007</v>
      </c>
      <c r="M134" s="237">
        <v>44110</v>
      </c>
      <c r="N134" s="244" t="s">
        <v>8178</v>
      </c>
      <c r="O134" s="239">
        <v>195587</v>
      </c>
      <c r="P134" s="239" t="s">
        <v>1005</v>
      </c>
      <c r="Q134" s="239" t="s">
        <v>600</v>
      </c>
      <c r="R134" s="239">
        <v>2</v>
      </c>
      <c r="S134" s="239">
        <v>0</v>
      </c>
      <c r="T134" s="239" t="s">
        <v>1037</v>
      </c>
      <c r="U134" s="240">
        <v>43511</v>
      </c>
      <c r="V134" s="244" t="s">
        <v>8179</v>
      </c>
      <c r="W134" s="236">
        <v>12974000</v>
      </c>
      <c r="X134" s="236" t="s">
        <v>1006</v>
      </c>
      <c r="Y134" s="236" t="s">
        <v>600</v>
      </c>
      <c r="Z134" s="236">
        <v>2</v>
      </c>
      <c r="AA134" s="236">
        <v>0</v>
      </c>
      <c r="AB134" s="236" t="s">
        <v>1038</v>
      </c>
      <c r="AC134" s="237">
        <v>43511</v>
      </c>
      <c r="AD134" s="244" t="s">
        <v>8180</v>
      </c>
      <c r="AE134" s="241" t="s">
        <v>393</v>
      </c>
      <c r="AF134" s="241">
        <v>0</v>
      </c>
      <c r="AG134" s="241" t="s">
        <v>600</v>
      </c>
      <c r="AH134" s="241">
        <v>2</v>
      </c>
      <c r="AI134" s="241">
        <v>0</v>
      </c>
      <c r="AJ134" s="241">
        <v>0</v>
      </c>
      <c r="AK134" s="242">
        <v>43511</v>
      </c>
      <c r="AL134" s="244" t="s">
        <v>8181</v>
      </c>
      <c r="AM134" s="236" t="s">
        <v>393</v>
      </c>
      <c r="AN134" s="236">
        <v>0</v>
      </c>
      <c r="AO134" s="236" t="s">
        <v>600</v>
      </c>
      <c r="AP134" s="236">
        <v>2</v>
      </c>
      <c r="AQ134" s="236" t="s">
        <v>1040</v>
      </c>
      <c r="AR134" s="236" t="s">
        <v>1039</v>
      </c>
      <c r="AS134" s="237">
        <v>43511</v>
      </c>
      <c r="AT134" s="245" t="s">
        <v>8182</v>
      </c>
      <c r="AU134" s="241" t="s">
        <v>393</v>
      </c>
      <c r="AV134" s="241">
        <v>0</v>
      </c>
      <c r="AW134" s="241" t="s">
        <v>600</v>
      </c>
      <c r="AX134" s="241">
        <v>2</v>
      </c>
      <c r="AY134" s="241">
        <v>0</v>
      </c>
      <c r="AZ134" s="241">
        <v>0</v>
      </c>
      <c r="BA134" s="242">
        <v>43511</v>
      </c>
      <c r="BB134" s="244" t="s">
        <v>8183</v>
      </c>
      <c r="BC134" s="236" t="s">
        <v>393</v>
      </c>
      <c r="BD134" s="236">
        <v>0</v>
      </c>
      <c r="BE134" s="236" t="s">
        <v>600</v>
      </c>
      <c r="BF134" s="236">
        <v>2</v>
      </c>
      <c r="BG134" s="236">
        <v>0</v>
      </c>
      <c r="BH134" s="236">
        <v>0</v>
      </c>
      <c r="BI134" s="237">
        <v>43511</v>
      </c>
      <c r="BJ134" s="245" t="s">
        <v>8184</v>
      </c>
      <c r="BK134" s="245">
        <v>412</v>
      </c>
      <c r="BL134" s="245" t="s">
        <v>4074</v>
      </c>
      <c r="BM134" s="245" t="s">
        <v>600</v>
      </c>
      <c r="BN134" s="245">
        <v>2</v>
      </c>
      <c r="BO134" s="245" t="s">
        <v>4075</v>
      </c>
      <c r="BP134" s="241" t="s">
        <v>882</v>
      </c>
      <c r="BQ134" s="246">
        <v>44140</v>
      </c>
      <c r="BR134" s="244" t="s">
        <v>8185</v>
      </c>
      <c r="BS134" s="247" t="s">
        <v>393</v>
      </c>
      <c r="BT134" s="247">
        <v>0</v>
      </c>
      <c r="BU134" s="247" t="s">
        <v>600</v>
      </c>
      <c r="BV134" s="247">
        <v>2</v>
      </c>
      <c r="BW134" s="247">
        <v>0</v>
      </c>
      <c r="BX134" s="247">
        <v>0</v>
      </c>
      <c r="BY134" s="237">
        <v>43511</v>
      </c>
      <c r="BZ134" s="245" t="s">
        <v>8186</v>
      </c>
      <c r="CA134" s="245" t="s">
        <v>393</v>
      </c>
      <c r="CB134" s="245" t="s">
        <v>393</v>
      </c>
      <c r="CC134" s="245" t="s">
        <v>393</v>
      </c>
      <c r="CD134" s="245" t="s">
        <v>393</v>
      </c>
      <c r="CE134" s="245">
        <v>0</v>
      </c>
      <c r="CF134" s="245">
        <v>0</v>
      </c>
      <c r="CG134" s="246">
        <v>43511</v>
      </c>
      <c r="CH134" s="244" t="s">
        <v>8187</v>
      </c>
      <c r="CI134" s="245" t="e">
        <v>#N/A</v>
      </c>
      <c r="CJ134" s="245" t="e">
        <v>#N/A</v>
      </c>
      <c r="CK134" s="245" t="e">
        <v>#N/A</v>
      </c>
      <c r="CL134" s="245" t="e">
        <v>#N/A</v>
      </c>
      <c r="CM134" s="245" t="e">
        <v>#N/A</v>
      </c>
      <c r="CN134" s="245" t="e">
        <v>#N/A</v>
      </c>
      <c r="CO134" s="248" t="e">
        <v>#N/A</v>
      </c>
      <c r="CP134" s="245" t="s">
        <v>8188</v>
      </c>
      <c r="CQ134" s="247" t="s">
        <v>393</v>
      </c>
      <c r="CR134" s="247">
        <v>0</v>
      </c>
      <c r="CS134" s="247" t="s">
        <v>600</v>
      </c>
      <c r="CT134" s="247">
        <v>2</v>
      </c>
      <c r="CU134" s="247">
        <v>0</v>
      </c>
      <c r="CV134" s="247">
        <v>0</v>
      </c>
      <c r="CW134" s="237">
        <v>43511</v>
      </c>
      <c r="CX134" s="245" t="s">
        <v>8189</v>
      </c>
      <c r="CY134" s="241" t="s">
        <v>393</v>
      </c>
      <c r="CZ134" s="241">
        <v>0</v>
      </c>
      <c r="DA134" s="241" t="s">
        <v>600</v>
      </c>
      <c r="DB134" s="241">
        <v>2</v>
      </c>
      <c r="DC134" s="241" t="s">
        <v>1041</v>
      </c>
      <c r="DD134" s="241">
        <v>0</v>
      </c>
      <c r="DE134" s="243">
        <v>43511</v>
      </c>
      <c r="DF134" s="244" t="s">
        <v>8190</v>
      </c>
      <c r="DG134" s="236" t="s">
        <v>393</v>
      </c>
      <c r="DH134" s="247">
        <v>0</v>
      </c>
      <c r="DI134" s="247" t="s">
        <v>600</v>
      </c>
      <c r="DJ134" s="247">
        <v>2</v>
      </c>
      <c r="DK134" s="247" t="s">
        <v>1041</v>
      </c>
      <c r="DL134" s="247">
        <v>0</v>
      </c>
      <c r="DM134" s="237">
        <v>43511</v>
      </c>
      <c r="DN134" s="245" t="s">
        <v>8191</v>
      </c>
      <c r="DO134" s="241" t="s">
        <v>393</v>
      </c>
      <c r="DP134" s="245">
        <v>0</v>
      </c>
      <c r="DQ134" s="245" t="s">
        <v>600</v>
      </c>
      <c r="DR134" s="245">
        <v>2</v>
      </c>
      <c r="DS134" s="245" t="s">
        <v>1041</v>
      </c>
      <c r="DT134" s="245">
        <v>0</v>
      </c>
      <c r="DU134" s="246">
        <v>43511</v>
      </c>
      <c r="DV134" s="244" t="s">
        <v>8192</v>
      </c>
      <c r="DW134" s="236" t="s">
        <v>393</v>
      </c>
      <c r="DX134" s="247">
        <v>0</v>
      </c>
      <c r="DY134" s="247" t="s">
        <v>600</v>
      </c>
      <c r="DZ134" s="247">
        <v>2</v>
      </c>
      <c r="EA134" s="247" t="s">
        <v>1041</v>
      </c>
      <c r="EB134" s="247">
        <v>0</v>
      </c>
      <c r="EC134" s="237">
        <v>43511</v>
      </c>
      <c r="ED134" s="245" t="s">
        <v>8193</v>
      </c>
      <c r="EE134" s="241" t="s">
        <v>393</v>
      </c>
      <c r="EF134" s="245">
        <v>0</v>
      </c>
      <c r="EG134" s="245" t="s">
        <v>600</v>
      </c>
      <c r="EH134" s="245">
        <v>2</v>
      </c>
      <c r="EI134" s="245" t="s">
        <v>1041</v>
      </c>
      <c r="EJ134" s="245">
        <v>0</v>
      </c>
      <c r="EK134" s="246">
        <v>43511</v>
      </c>
      <c r="EL134" s="244" t="s">
        <v>8194</v>
      </c>
      <c r="EM134" s="236" t="s">
        <v>393</v>
      </c>
      <c r="EN134" s="247">
        <v>0</v>
      </c>
      <c r="EO134" s="247" t="s">
        <v>600</v>
      </c>
      <c r="EP134" s="247">
        <v>2</v>
      </c>
      <c r="EQ134" s="247">
        <v>0</v>
      </c>
      <c r="ER134" s="247">
        <v>0</v>
      </c>
      <c r="ES134" s="237">
        <v>43511</v>
      </c>
      <c r="ET134" s="245" t="s">
        <v>8195</v>
      </c>
      <c r="EU134" s="245">
        <v>493</v>
      </c>
      <c r="EV134" s="245" t="s">
        <v>4068</v>
      </c>
      <c r="EW134" s="245" t="s">
        <v>599</v>
      </c>
      <c r="EX134" s="245">
        <v>3</v>
      </c>
      <c r="EY134" s="245" t="s">
        <v>3513</v>
      </c>
      <c r="EZ134" s="245" t="s">
        <v>2809</v>
      </c>
      <c r="FA134" s="246">
        <v>44140</v>
      </c>
      <c r="FB134" s="244" t="s">
        <v>8196</v>
      </c>
      <c r="FC134" s="247">
        <v>3</v>
      </c>
      <c r="FD134" s="247">
        <v>0</v>
      </c>
      <c r="FE134" s="247" t="s">
        <v>600</v>
      </c>
      <c r="FF134" s="247">
        <v>2</v>
      </c>
      <c r="FG134" s="247" t="s">
        <v>1042</v>
      </c>
      <c r="FH134" s="247">
        <v>0</v>
      </c>
      <c r="FI134" s="237">
        <v>43511</v>
      </c>
      <c r="FJ134" s="244" t="s">
        <v>8197</v>
      </c>
      <c r="FK134" s="245" t="s">
        <v>393</v>
      </c>
      <c r="FL134" s="245">
        <v>0</v>
      </c>
      <c r="FM134" s="245" t="s">
        <v>600</v>
      </c>
      <c r="FN134" s="245">
        <v>2</v>
      </c>
      <c r="FO134" s="245" t="s">
        <v>1043</v>
      </c>
      <c r="FP134" s="241">
        <v>0</v>
      </c>
      <c r="FQ134" s="242">
        <v>43511</v>
      </c>
      <c r="FR134" s="244" t="s">
        <v>8198</v>
      </c>
      <c r="FS134" s="247" t="s">
        <v>393</v>
      </c>
      <c r="FT134" s="247">
        <v>0</v>
      </c>
      <c r="FU134" s="247" t="s">
        <v>600</v>
      </c>
      <c r="FV134" s="247">
        <v>2</v>
      </c>
      <c r="FW134" s="247" t="s">
        <v>1043</v>
      </c>
      <c r="FX134" s="247">
        <v>0</v>
      </c>
      <c r="FY134" s="237">
        <v>43511</v>
      </c>
      <c r="FZ134" s="245" t="s">
        <v>8199</v>
      </c>
      <c r="GA134" s="245">
        <v>2</v>
      </c>
      <c r="GB134" s="245" t="s">
        <v>1587</v>
      </c>
      <c r="GC134" s="245" t="s">
        <v>1364</v>
      </c>
      <c r="GD134" s="245">
        <v>2</v>
      </c>
      <c r="GE134" s="245" t="s">
        <v>1623</v>
      </c>
      <c r="GF134" s="245" t="s">
        <v>1624</v>
      </c>
      <c r="GG134" s="246">
        <v>43767</v>
      </c>
      <c r="GH134" s="244" t="s">
        <v>8200</v>
      </c>
      <c r="GI134" s="247">
        <v>1</v>
      </c>
      <c r="GJ134" s="247" t="s">
        <v>1587</v>
      </c>
      <c r="GK134" s="247" t="s">
        <v>1364</v>
      </c>
      <c r="GL134" s="247">
        <v>2</v>
      </c>
      <c r="GM134" s="247" t="s">
        <v>1623</v>
      </c>
      <c r="GN134" s="247" t="s">
        <v>1624</v>
      </c>
      <c r="GO134" s="237">
        <v>43767</v>
      </c>
      <c r="GP134" s="245" t="s">
        <v>8201</v>
      </c>
      <c r="GQ134" s="245">
        <v>2</v>
      </c>
      <c r="GR134" s="245" t="s">
        <v>1587</v>
      </c>
      <c r="GS134" s="245" t="s">
        <v>1364</v>
      </c>
      <c r="GT134" s="245">
        <v>2</v>
      </c>
      <c r="GU134" s="245" t="s">
        <v>1623</v>
      </c>
      <c r="GV134" s="245" t="s">
        <v>1624</v>
      </c>
      <c r="GW134" s="246">
        <v>43767</v>
      </c>
      <c r="GX134" s="244" t="s">
        <v>8202</v>
      </c>
      <c r="GY134" s="247">
        <v>0</v>
      </c>
      <c r="GZ134" s="247" t="s">
        <v>1587</v>
      </c>
      <c r="HA134" s="247" t="s">
        <v>1364</v>
      </c>
      <c r="HB134" s="247">
        <v>2</v>
      </c>
      <c r="HC134" s="247" t="s">
        <v>1623</v>
      </c>
      <c r="HD134" s="247" t="s">
        <v>1624</v>
      </c>
      <c r="HE134" s="237">
        <v>43767</v>
      </c>
      <c r="HF134" s="245" t="s">
        <v>8203</v>
      </c>
      <c r="HG134" s="245">
        <v>2</v>
      </c>
      <c r="HH134" s="245" t="s">
        <v>1587</v>
      </c>
      <c r="HI134" s="245" t="s">
        <v>1364</v>
      </c>
      <c r="HJ134" s="245">
        <v>2</v>
      </c>
      <c r="HK134" s="245" t="s">
        <v>1623</v>
      </c>
      <c r="HL134" s="245" t="s">
        <v>1624</v>
      </c>
      <c r="HM134" s="246">
        <v>43767</v>
      </c>
      <c r="HN134" s="244" t="s">
        <v>8204</v>
      </c>
      <c r="HO134" s="247">
        <v>2</v>
      </c>
      <c r="HP134" s="247" t="s">
        <v>1587</v>
      </c>
      <c r="HQ134" s="247" t="s">
        <v>1364</v>
      </c>
      <c r="HR134" s="247">
        <v>2</v>
      </c>
      <c r="HS134" s="247" t="s">
        <v>1623</v>
      </c>
      <c r="HT134" s="247" t="s">
        <v>1624</v>
      </c>
      <c r="HU134" s="237">
        <v>43767</v>
      </c>
      <c r="HV134" s="245" t="s">
        <v>8205</v>
      </c>
      <c r="HW134" s="245">
        <v>1</v>
      </c>
      <c r="HX134" s="245" t="s">
        <v>1587</v>
      </c>
      <c r="HY134" s="245" t="s">
        <v>1364</v>
      </c>
      <c r="HZ134" s="245">
        <v>2</v>
      </c>
      <c r="IA134" s="245" t="s">
        <v>1623</v>
      </c>
      <c r="IB134" s="245" t="s">
        <v>1624</v>
      </c>
      <c r="IC134" s="246">
        <v>43767</v>
      </c>
      <c r="ID134" s="244" t="s">
        <v>8206</v>
      </c>
      <c r="IE134" s="247">
        <v>1</v>
      </c>
      <c r="IF134" s="247" t="s">
        <v>1587</v>
      </c>
      <c r="IG134" s="247" t="s">
        <v>1364</v>
      </c>
      <c r="IH134" s="247">
        <v>2</v>
      </c>
      <c r="II134" s="247" t="s">
        <v>1623</v>
      </c>
      <c r="IJ134" s="247" t="s">
        <v>1624</v>
      </c>
      <c r="IK134" s="237">
        <v>43767</v>
      </c>
      <c r="IL134" s="245" t="s">
        <v>8207</v>
      </c>
      <c r="IM134" s="245">
        <v>0</v>
      </c>
      <c r="IN134" s="245" t="s">
        <v>1587</v>
      </c>
      <c r="IO134" s="245" t="s">
        <v>1364</v>
      </c>
      <c r="IP134" s="245">
        <v>2</v>
      </c>
      <c r="IQ134" s="245" t="s">
        <v>1623</v>
      </c>
      <c r="IR134" s="245" t="s">
        <v>1624</v>
      </c>
      <c r="IS134" s="246">
        <v>43767</v>
      </c>
    </row>
    <row r="135" spans="1:253" s="11" customFormat="1" ht="13.2" x14ac:dyDescent="0.25">
      <c r="A135" s="11" t="s">
        <v>1251</v>
      </c>
      <c r="B135" s="11" t="s">
        <v>1281</v>
      </c>
      <c r="C135" s="11" t="s">
        <v>1255</v>
      </c>
      <c r="D135" s="11" t="s">
        <v>1259</v>
      </c>
      <c r="E135" s="11" t="s">
        <v>1263</v>
      </c>
      <c r="F135" s="11" t="s">
        <v>8208</v>
      </c>
      <c r="G135" s="235">
        <v>91602000</v>
      </c>
      <c r="H135" s="236" t="s">
        <v>1135</v>
      </c>
      <c r="I135" s="236" t="s">
        <v>601</v>
      </c>
      <c r="J135" s="236">
        <v>1</v>
      </c>
      <c r="K135" s="236" t="s">
        <v>1597</v>
      </c>
      <c r="L135" s="236" t="s">
        <v>1593</v>
      </c>
      <c r="M135" s="237">
        <v>43767</v>
      </c>
      <c r="N135" s="260" t="s">
        <v>8209</v>
      </c>
      <c r="O135" s="239" t="s">
        <v>393</v>
      </c>
      <c r="P135" s="239" t="s">
        <v>393</v>
      </c>
      <c r="Q135" s="239" t="s">
        <v>393</v>
      </c>
      <c r="R135" s="239" t="s">
        <v>393</v>
      </c>
      <c r="S135" s="239" t="s">
        <v>393</v>
      </c>
      <c r="T135" s="239" t="s">
        <v>393</v>
      </c>
      <c r="U135" s="240">
        <v>43603</v>
      </c>
      <c r="V135" s="260" t="s">
        <v>8210</v>
      </c>
      <c r="W135" s="236" t="s">
        <v>393</v>
      </c>
      <c r="X135" s="236" t="s">
        <v>393</v>
      </c>
      <c r="Y135" s="236" t="s">
        <v>393</v>
      </c>
      <c r="Z135" s="236" t="s">
        <v>393</v>
      </c>
      <c r="AA135" s="236" t="s">
        <v>393</v>
      </c>
      <c r="AB135" s="236" t="s">
        <v>393</v>
      </c>
      <c r="AC135" s="237">
        <v>43603</v>
      </c>
      <c r="AD135" s="260" t="s">
        <v>8211</v>
      </c>
      <c r="AE135" s="241" t="s">
        <v>393</v>
      </c>
      <c r="AF135" s="241" t="s">
        <v>393</v>
      </c>
      <c r="AG135" s="241" t="s">
        <v>393</v>
      </c>
      <c r="AH135" s="241" t="s">
        <v>393</v>
      </c>
      <c r="AI135" s="241" t="s">
        <v>393</v>
      </c>
      <c r="AJ135" s="241" t="s">
        <v>393</v>
      </c>
      <c r="AK135" s="242">
        <v>43603</v>
      </c>
      <c r="AL135" s="260" t="s">
        <v>8212</v>
      </c>
      <c r="AM135" s="236" t="s">
        <v>393</v>
      </c>
      <c r="AN135" s="236" t="s">
        <v>393</v>
      </c>
      <c r="AO135" s="236" t="s">
        <v>393</v>
      </c>
      <c r="AP135" s="236" t="s">
        <v>393</v>
      </c>
      <c r="AQ135" s="236" t="s">
        <v>393</v>
      </c>
      <c r="AR135" s="236" t="s">
        <v>393</v>
      </c>
      <c r="AS135" s="237">
        <v>43603</v>
      </c>
      <c r="AT135" s="261" t="s">
        <v>8213</v>
      </c>
      <c r="AU135" s="241" t="s">
        <v>393</v>
      </c>
      <c r="AV135" s="241" t="s">
        <v>393</v>
      </c>
      <c r="AW135" s="241" t="s">
        <v>393</v>
      </c>
      <c r="AX135" s="241" t="s">
        <v>393</v>
      </c>
      <c r="AY135" s="241" t="s">
        <v>393</v>
      </c>
      <c r="AZ135" s="241" t="s">
        <v>393</v>
      </c>
      <c r="BA135" s="242">
        <v>43603</v>
      </c>
      <c r="BB135" s="260" t="s">
        <v>8214</v>
      </c>
      <c r="BC135" s="236" t="s">
        <v>393</v>
      </c>
      <c r="BD135" s="236" t="s">
        <v>393</v>
      </c>
      <c r="BE135" s="236" t="s">
        <v>393</v>
      </c>
      <c r="BF135" s="236" t="s">
        <v>393</v>
      </c>
      <c r="BG135" s="236" t="s">
        <v>393</v>
      </c>
      <c r="BH135" s="236" t="s">
        <v>393</v>
      </c>
      <c r="BI135" s="237">
        <v>43603</v>
      </c>
      <c r="BJ135" s="261" t="s">
        <v>8215</v>
      </c>
      <c r="BK135" s="265">
        <v>24</v>
      </c>
      <c r="BL135" s="261" t="s">
        <v>4065</v>
      </c>
      <c r="BM135" s="261" t="s">
        <v>599</v>
      </c>
      <c r="BN135" s="261">
        <v>3</v>
      </c>
      <c r="BO135" s="261" t="s">
        <v>2734</v>
      </c>
      <c r="BP135" s="241" t="s">
        <v>1264</v>
      </c>
      <c r="BQ135" s="262">
        <v>44140</v>
      </c>
      <c r="BR135" s="260" t="s">
        <v>8216</v>
      </c>
      <c r="BS135" s="263" t="s">
        <v>393</v>
      </c>
      <c r="BT135" s="263" t="s">
        <v>393</v>
      </c>
      <c r="BU135" s="263" t="s">
        <v>393</v>
      </c>
      <c r="BV135" s="263" t="s">
        <v>393</v>
      </c>
      <c r="BW135" s="263" t="s">
        <v>393</v>
      </c>
      <c r="BX135" s="263" t="s">
        <v>393</v>
      </c>
      <c r="BY135" s="237">
        <v>43603</v>
      </c>
      <c r="BZ135" s="261" t="s">
        <v>8217</v>
      </c>
      <c r="CA135" s="261" t="s">
        <v>393</v>
      </c>
      <c r="CB135" s="261" t="s">
        <v>393</v>
      </c>
      <c r="CC135" s="261" t="s">
        <v>393</v>
      </c>
      <c r="CD135" s="261" t="s">
        <v>393</v>
      </c>
      <c r="CE135" s="261" t="s">
        <v>393</v>
      </c>
      <c r="CF135" s="261" t="s">
        <v>393</v>
      </c>
      <c r="CG135" s="262">
        <v>43603</v>
      </c>
      <c r="CH135" s="260" t="s">
        <v>8218</v>
      </c>
      <c r="CI135" s="261" t="e">
        <v>#N/A</v>
      </c>
      <c r="CJ135" s="261" t="e">
        <v>#N/A</v>
      </c>
      <c r="CK135" s="261" t="e">
        <v>#N/A</v>
      </c>
      <c r="CL135" s="261" t="e">
        <v>#N/A</v>
      </c>
      <c r="CM135" s="261" t="e">
        <v>#N/A</v>
      </c>
      <c r="CN135" s="261" t="e">
        <v>#N/A</v>
      </c>
      <c r="CO135" s="264" t="e">
        <v>#N/A</v>
      </c>
      <c r="CP135" s="261" t="s">
        <v>8219</v>
      </c>
      <c r="CQ135" s="263" t="s">
        <v>393</v>
      </c>
      <c r="CR135" s="263" t="s">
        <v>393</v>
      </c>
      <c r="CS135" s="263" t="s">
        <v>393</v>
      </c>
      <c r="CT135" s="263" t="s">
        <v>393</v>
      </c>
      <c r="CU135" s="263" t="s">
        <v>393</v>
      </c>
      <c r="CV135" s="263" t="s">
        <v>393</v>
      </c>
      <c r="CW135" s="237">
        <v>43603</v>
      </c>
      <c r="CX135" s="261" t="s">
        <v>8220</v>
      </c>
      <c r="CY135" s="241" t="s">
        <v>393</v>
      </c>
      <c r="CZ135" s="241" t="s">
        <v>393</v>
      </c>
      <c r="DA135" s="241" t="s">
        <v>393</v>
      </c>
      <c r="DB135" s="241" t="s">
        <v>393</v>
      </c>
      <c r="DC135" s="241" t="s">
        <v>393</v>
      </c>
      <c r="DD135" s="241" t="s">
        <v>393</v>
      </c>
      <c r="DE135" s="243">
        <v>43603</v>
      </c>
      <c r="DF135" s="260" t="s">
        <v>8221</v>
      </c>
      <c r="DG135" s="236" t="s">
        <v>393</v>
      </c>
      <c r="DH135" s="263" t="s">
        <v>393</v>
      </c>
      <c r="DI135" s="263" t="s">
        <v>393</v>
      </c>
      <c r="DJ135" s="263" t="s">
        <v>393</v>
      </c>
      <c r="DK135" s="263" t="s">
        <v>393</v>
      </c>
      <c r="DL135" s="263" t="s">
        <v>393</v>
      </c>
      <c r="DM135" s="237">
        <v>43603</v>
      </c>
      <c r="DN135" s="261" t="s">
        <v>8222</v>
      </c>
      <c r="DO135" s="241" t="s">
        <v>393</v>
      </c>
      <c r="DP135" s="261" t="s">
        <v>393</v>
      </c>
      <c r="DQ135" s="261" t="s">
        <v>393</v>
      </c>
      <c r="DR135" s="261" t="s">
        <v>393</v>
      </c>
      <c r="DS135" s="261" t="s">
        <v>393</v>
      </c>
      <c r="DT135" s="261" t="s">
        <v>393</v>
      </c>
      <c r="DU135" s="262">
        <v>43603</v>
      </c>
      <c r="DV135" s="260" t="s">
        <v>8223</v>
      </c>
      <c r="DW135" s="236" t="s">
        <v>393</v>
      </c>
      <c r="DX135" s="263" t="s">
        <v>393</v>
      </c>
      <c r="DY135" s="263" t="s">
        <v>393</v>
      </c>
      <c r="DZ135" s="263" t="s">
        <v>393</v>
      </c>
      <c r="EA135" s="263" t="s">
        <v>393</v>
      </c>
      <c r="EB135" s="263" t="s">
        <v>393</v>
      </c>
      <c r="EC135" s="237">
        <v>43603</v>
      </c>
      <c r="ED135" s="261" t="s">
        <v>8224</v>
      </c>
      <c r="EE135" s="241" t="s">
        <v>393</v>
      </c>
      <c r="EF135" s="261" t="s">
        <v>393</v>
      </c>
      <c r="EG135" s="261" t="s">
        <v>393</v>
      </c>
      <c r="EH135" s="261" t="s">
        <v>393</v>
      </c>
      <c r="EI135" s="261" t="s">
        <v>393</v>
      </c>
      <c r="EJ135" s="261" t="s">
        <v>393</v>
      </c>
      <c r="EK135" s="262">
        <v>43603</v>
      </c>
      <c r="EL135" s="260" t="s">
        <v>8225</v>
      </c>
      <c r="EM135" s="236" t="s">
        <v>393</v>
      </c>
      <c r="EN135" s="263" t="s">
        <v>393</v>
      </c>
      <c r="EO135" s="263" t="s">
        <v>393</v>
      </c>
      <c r="EP135" s="263" t="s">
        <v>393</v>
      </c>
      <c r="EQ135" s="263" t="s">
        <v>393</v>
      </c>
      <c r="ER135" s="263" t="s">
        <v>393</v>
      </c>
      <c r="ES135" s="237">
        <v>43603</v>
      </c>
      <c r="ET135" s="261" t="s">
        <v>8226</v>
      </c>
      <c r="EU135" s="261">
        <v>24</v>
      </c>
      <c r="EV135" s="261" t="s">
        <v>4065</v>
      </c>
      <c r="EW135" s="261" t="s">
        <v>599</v>
      </c>
      <c r="EX135" s="261">
        <v>3</v>
      </c>
      <c r="EY135" s="261" t="s">
        <v>2734</v>
      </c>
      <c r="EZ135" s="261" t="s">
        <v>1264</v>
      </c>
      <c r="FA135" s="262">
        <v>44140</v>
      </c>
      <c r="FB135" s="260" t="s">
        <v>8227</v>
      </c>
      <c r="FC135" s="263">
        <v>2</v>
      </c>
      <c r="FD135" s="263" t="s">
        <v>393</v>
      </c>
      <c r="FE135" s="263" t="s">
        <v>393</v>
      </c>
      <c r="FF135" s="263" t="s">
        <v>393</v>
      </c>
      <c r="FG135" s="263" t="s">
        <v>1318</v>
      </c>
      <c r="FH135" s="263" t="s">
        <v>393</v>
      </c>
      <c r="FI135" s="237">
        <v>43603</v>
      </c>
      <c r="FJ135" s="260" t="s">
        <v>8228</v>
      </c>
      <c r="FK135" s="261" t="s">
        <v>393</v>
      </c>
      <c r="FL135" s="261" t="s">
        <v>393</v>
      </c>
      <c r="FM135" s="261" t="s">
        <v>393</v>
      </c>
      <c r="FN135" s="261" t="s">
        <v>393</v>
      </c>
      <c r="FO135" s="261" t="s">
        <v>393</v>
      </c>
      <c r="FP135" s="241" t="s">
        <v>393</v>
      </c>
      <c r="FQ135" s="242">
        <v>43603</v>
      </c>
      <c r="FR135" s="260" t="s">
        <v>8229</v>
      </c>
      <c r="FS135" s="263" t="s">
        <v>393</v>
      </c>
      <c r="FT135" s="263" t="s">
        <v>393</v>
      </c>
      <c r="FU135" s="263" t="s">
        <v>393</v>
      </c>
      <c r="FV135" s="263" t="s">
        <v>393</v>
      </c>
      <c r="FW135" s="263" t="s">
        <v>393</v>
      </c>
      <c r="FX135" s="263" t="s">
        <v>393</v>
      </c>
      <c r="FY135" s="237">
        <v>43603</v>
      </c>
      <c r="FZ135" s="261" t="s">
        <v>8230</v>
      </c>
      <c r="GA135" s="261">
        <v>1</v>
      </c>
      <c r="GB135" s="261" t="s">
        <v>1327</v>
      </c>
      <c r="GC135" s="261" t="s">
        <v>1364</v>
      </c>
      <c r="GD135" s="261">
        <v>2</v>
      </c>
      <c r="GE135" s="261" t="s">
        <v>1596</v>
      </c>
      <c r="GF135" s="261" t="s">
        <v>1327</v>
      </c>
      <c r="GG135" s="262">
        <v>43767</v>
      </c>
      <c r="GH135" s="260" t="s">
        <v>8231</v>
      </c>
      <c r="GI135" s="263">
        <v>0</v>
      </c>
      <c r="GJ135" s="263" t="s">
        <v>1327</v>
      </c>
      <c r="GK135" s="263" t="s">
        <v>1364</v>
      </c>
      <c r="GL135" s="263">
        <v>2</v>
      </c>
      <c r="GM135" s="263" t="s">
        <v>1596</v>
      </c>
      <c r="GN135" s="263" t="s">
        <v>1327</v>
      </c>
      <c r="GO135" s="237">
        <v>43767</v>
      </c>
      <c r="GP135" s="261" t="s">
        <v>8232</v>
      </c>
      <c r="GQ135" s="261">
        <v>1</v>
      </c>
      <c r="GR135" s="261" t="s">
        <v>1327</v>
      </c>
      <c r="GS135" s="261" t="s">
        <v>1364</v>
      </c>
      <c r="GT135" s="261">
        <v>2</v>
      </c>
      <c r="GU135" s="261" t="s">
        <v>1596</v>
      </c>
      <c r="GV135" s="261" t="s">
        <v>1327</v>
      </c>
      <c r="GW135" s="262">
        <v>43767</v>
      </c>
      <c r="GX135" s="260" t="s">
        <v>8233</v>
      </c>
      <c r="GY135" s="263">
        <v>0</v>
      </c>
      <c r="GZ135" s="263" t="s">
        <v>1327</v>
      </c>
      <c r="HA135" s="263" t="s">
        <v>1364</v>
      </c>
      <c r="HB135" s="263">
        <v>2</v>
      </c>
      <c r="HC135" s="263" t="s">
        <v>1596</v>
      </c>
      <c r="HD135" s="263" t="s">
        <v>1327</v>
      </c>
      <c r="HE135" s="237">
        <v>43767</v>
      </c>
      <c r="HF135" s="261" t="s">
        <v>8234</v>
      </c>
      <c r="HG135" s="261">
        <v>1.5</v>
      </c>
      <c r="HH135" s="261" t="s">
        <v>1327</v>
      </c>
      <c r="HI135" s="261" t="s">
        <v>1364</v>
      </c>
      <c r="HJ135" s="261">
        <v>2</v>
      </c>
      <c r="HK135" s="261" t="s">
        <v>1596</v>
      </c>
      <c r="HL135" s="261" t="s">
        <v>1327</v>
      </c>
      <c r="HM135" s="262">
        <v>43767</v>
      </c>
      <c r="HN135" s="260" t="s">
        <v>8235</v>
      </c>
      <c r="HO135" s="263">
        <v>1.5</v>
      </c>
      <c r="HP135" s="263" t="s">
        <v>1327</v>
      </c>
      <c r="HQ135" s="263" t="s">
        <v>1364</v>
      </c>
      <c r="HR135" s="263">
        <v>2</v>
      </c>
      <c r="HS135" s="263" t="s">
        <v>1596</v>
      </c>
      <c r="HT135" s="263" t="s">
        <v>1327</v>
      </c>
      <c r="HU135" s="237">
        <v>43767</v>
      </c>
      <c r="HV135" s="261" t="s">
        <v>8236</v>
      </c>
      <c r="HW135" s="261">
        <v>0</v>
      </c>
      <c r="HX135" s="261" t="s">
        <v>1327</v>
      </c>
      <c r="HY135" s="261" t="s">
        <v>1364</v>
      </c>
      <c r="HZ135" s="261">
        <v>2</v>
      </c>
      <c r="IA135" s="261" t="s">
        <v>1596</v>
      </c>
      <c r="IB135" s="261" t="s">
        <v>1327</v>
      </c>
      <c r="IC135" s="262">
        <v>43767</v>
      </c>
      <c r="ID135" s="260" t="s">
        <v>8237</v>
      </c>
      <c r="IE135" s="263">
        <v>0.5</v>
      </c>
      <c r="IF135" s="263" t="s">
        <v>1327</v>
      </c>
      <c r="IG135" s="263" t="s">
        <v>1364</v>
      </c>
      <c r="IH135" s="263">
        <v>2</v>
      </c>
      <c r="II135" s="263" t="s">
        <v>1596</v>
      </c>
      <c r="IJ135" s="263" t="s">
        <v>1327</v>
      </c>
      <c r="IK135" s="237">
        <v>43767</v>
      </c>
      <c r="IL135" s="261" t="s">
        <v>8238</v>
      </c>
      <c r="IM135" s="261">
        <v>0</v>
      </c>
      <c r="IN135" s="261" t="s">
        <v>1327</v>
      </c>
      <c r="IO135" s="261" t="s">
        <v>1364</v>
      </c>
      <c r="IP135" s="261">
        <v>2</v>
      </c>
      <c r="IQ135" s="261" t="s">
        <v>1596</v>
      </c>
      <c r="IR135" s="261" t="s">
        <v>1327</v>
      </c>
      <c r="IS135" s="262">
        <v>43767</v>
      </c>
    </row>
    <row r="136" spans="1:253" s="11" customFormat="1" ht="13.2" x14ac:dyDescent="0.25">
      <c r="A136" s="11" t="s">
        <v>1170</v>
      </c>
      <c r="B136" s="11" t="s">
        <v>3258</v>
      </c>
      <c r="C136" s="11" t="s">
        <v>2919</v>
      </c>
      <c r="D136" s="11" t="s">
        <v>334</v>
      </c>
      <c r="E136" s="11" t="s">
        <v>333</v>
      </c>
      <c r="F136" s="11" t="s">
        <v>8239</v>
      </c>
      <c r="G136" s="235">
        <v>40234000</v>
      </c>
      <c r="H136" s="236" t="s">
        <v>1524</v>
      </c>
      <c r="I136" s="236" t="s">
        <v>600</v>
      </c>
      <c r="J136" s="236">
        <v>2</v>
      </c>
      <c r="K136" s="236" t="s">
        <v>1719</v>
      </c>
      <c r="L136" s="236" t="s">
        <v>1766</v>
      </c>
      <c r="M136" s="237">
        <v>43987</v>
      </c>
      <c r="N136" s="244" t="s">
        <v>8240</v>
      </c>
      <c r="O136" s="239">
        <v>99973</v>
      </c>
      <c r="P136" s="239" t="s">
        <v>2446</v>
      </c>
      <c r="Q136" s="239" t="s">
        <v>600</v>
      </c>
      <c r="R136" s="239">
        <v>2</v>
      </c>
      <c r="S136" s="239" t="s">
        <v>2494</v>
      </c>
      <c r="T136" s="239" t="s">
        <v>2493</v>
      </c>
      <c r="U136" s="240">
        <v>43987</v>
      </c>
      <c r="V136" s="244" t="s">
        <v>8241</v>
      </c>
      <c r="W136" s="236">
        <v>14476000</v>
      </c>
      <c r="X136" s="236" t="s">
        <v>2446</v>
      </c>
      <c r="Y136" s="236" t="s">
        <v>600</v>
      </c>
      <c r="Z136" s="236">
        <v>2</v>
      </c>
      <c r="AA136" s="236" t="s">
        <v>3681</v>
      </c>
      <c r="AB136" s="236" t="s">
        <v>2493</v>
      </c>
      <c r="AC136" s="237">
        <v>44120</v>
      </c>
      <c r="AD136" s="244" t="s">
        <v>8242</v>
      </c>
      <c r="AE136" s="241">
        <v>4714000</v>
      </c>
      <c r="AF136" s="241" t="s">
        <v>2447</v>
      </c>
      <c r="AG136" s="241" t="s">
        <v>600</v>
      </c>
      <c r="AH136" s="241">
        <v>2</v>
      </c>
      <c r="AI136" s="241" t="s">
        <v>2496</v>
      </c>
      <c r="AJ136" s="241" t="s">
        <v>2495</v>
      </c>
      <c r="AK136" s="242">
        <v>43987</v>
      </c>
      <c r="AL136" s="244" t="s">
        <v>8243</v>
      </c>
      <c r="AM136" s="236">
        <v>1529000</v>
      </c>
      <c r="AN136" s="236" t="s">
        <v>2812</v>
      </c>
      <c r="AO136" s="236" t="s">
        <v>600</v>
      </c>
      <c r="AP136" s="236">
        <v>2</v>
      </c>
      <c r="AQ136" s="236" t="s">
        <v>2497</v>
      </c>
      <c r="AR136" s="236" t="s">
        <v>2813</v>
      </c>
      <c r="AS136" s="237">
        <v>44064</v>
      </c>
      <c r="AT136" s="245" t="s">
        <v>8244</v>
      </c>
      <c r="AU136" s="241" t="s">
        <v>393</v>
      </c>
      <c r="AV136" s="241" t="s">
        <v>393</v>
      </c>
      <c r="AW136" s="241" t="s">
        <v>393</v>
      </c>
      <c r="AX136" s="241" t="s">
        <v>393</v>
      </c>
      <c r="AY136" s="241" t="s">
        <v>393</v>
      </c>
      <c r="AZ136" s="241" t="s">
        <v>393</v>
      </c>
      <c r="BA136" s="242">
        <v>43987</v>
      </c>
      <c r="BB136" s="244" t="s">
        <v>8245</v>
      </c>
      <c r="BC136" s="236" t="s">
        <v>393</v>
      </c>
      <c r="BD136" s="236" t="s">
        <v>393</v>
      </c>
      <c r="BE136" s="236" t="s">
        <v>393</v>
      </c>
      <c r="BF136" s="236" t="s">
        <v>393</v>
      </c>
      <c r="BG136" s="236" t="s">
        <v>393</v>
      </c>
      <c r="BH136" s="236" t="s">
        <v>393</v>
      </c>
      <c r="BI136" s="237">
        <v>43987</v>
      </c>
      <c r="BJ136" s="245" t="s">
        <v>8246</v>
      </c>
      <c r="BK136" s="245">
        <v>110</v>
      </c>
      <c r="BL136" s="245" t="s">
        <v>4103</v>
      </c>
      <c r="BM136" s="245" t="s">
        <v>600</v>
      </c>
      <c r="BN136" s="245">
        <v>2</v>
      </c>
      <c r="BO136" s="245" t="s">
        <v>4096</v>
      </c>
      <c r="BP136" s="241" t="s">
        <v>4094</v>
      </c>
      <c r="BQ136" s="246">
        <v>44140</v>
      </c>
      <c r="BR136" s="244" t="s">
        <v>8247</v>
      </c>
      <c r="BS136" s="247" t="s">
        <v>393</v>
      </c>
      <c r="BT136" s="247" t="s">
        <v>393</v>
      </c>
      <c r="BU136" s="247" t="s">
        <v>393</v>
      </c>
      <c r="BV136" s="247" t="s">
        <v>393</v>
      </c>
      <c r="BW136" s="247" t="s">
        <v>393</v>
      </c>
      <c r="BX136" s="247" t="s">
        <v>393</v>
      </c>
      <c r="BY136" s="237">
        <v>43987</v>
      </c>
      <c r="BZ136" s="245" t="s">
        <v>8248</v>
      </c>
      <c r="CA136" s="245" t="s">
        <v>393</v>
      </c>
      <c r="CB136" s="245" t="s">
        <v>393</v>
      </c>
      <c r="CC136" s="245" t="s">
        <v>393</v>
      </c>
      <c r="CD136" s="245" t="s">
        <v>393</v>
      </c>
      <c r="CE136" s="245" t="s">
        <v>393</v>
      </c>
      <c r="CF136" s="245" t="s">
        <v>393</v>
      </c>
      <c r="CG136" s="246">
        <v>43987</v>
      </c>
      <c r="CH136" s="244" t="s">
        <v>8249</v>
      </c>
      <c r="CI136" s="245" t="e">
        <v>#N/A</v>
      </c>
      <c r="CJ136" s="245" t="e">
        <v>#N/A</v>
      </c>
      <c r="CK136" s="245" t="e">
        <v>#N/A</v>
      </c>
      <c r="CL136" s="245" t="e">
        <v>#N/A</v>
      </c>
      <c r="CM136" s="245" t="e">
        <v>#N/A</v>
      </c>
      <c r="CN136" s="245" t="e">
        <v>#N/A</v>
      </c>
      <c r="CO136" s="248" t="e">
        <v>#N/A</v>
      </c>
      <c r="CP136" s="245" t="s">
        <v>8250</v>
      </c>
      <c r="CQ136" s="247" t="s">
        <v>393</v>
      </c>
      <c r="CR136" s="247" t="s">
        <v>393</v>
      </c>
      <c r="CS136" s="247" t="s">
        <v>393</v>
      </c>
      <c r="CT136" s="247" t="s">
        <v>393</v>
      </c>
      <c r="CU136" s="247" t="s">
        <v>393</v>
      </c>
      <c r="CV136" s="247" t="s">
        <v>393</v>
      </c>
      <c r="CW136" s="237">
        <v>43987</v>
      </c>
      <c r="CX136" s="245" t="s">
        <v>8251</v>
      </c>
      <c r="CY136" s="241">
        <v>1529000</v>
      </c>
      <c r="CZ136" s="241" t="s">
        <v>2748</v>
      </c>
      <c r="DA136" s="241" t="s">
        <v>600</v>
      </c>
      <c r="DB136" s="241">
        <v>2</v>
      </c>
      <c r="DC136" s="241" t="s">
        <v>2815</v>
      </c>
      <c r="DD136" s="241" t="s">
        <v>2814</v>
      </c>
      <c r="DE136" s="243">
        <v>44064</v>
      </c>
      <c r="DF136" s="244" t="s">
        <v>8252</v>
      </c>
      <c r="DG136" s="236">
        <v>9662000</v>
      </c>
      <c r="DH136" s="247" t="s">
        <v>2748</v>
      </c>
      <c r="DI136" s="247" t="s">
        <v>600</v>
      </c>
      <c r="DJ136" s="247">
        <v>2</v>
      </c>
      <c r="DK136" s="247" t="s">
        <v>2815</v>
      </c>
      <c r="DL136" s="247" t="s">
        <v>2814</v>
      </c>
      <c r="DM136" s="237">
        <v>44064</v>
      </c>
      <c r="DN136" s="245" t="s">
        <v>8253</v>
      </c>
      <c r="DO136" s="241">
        <v>3285000</v>
      </c>
      <c r="DP136" s="245" t="s">
        <v>2748</v>
      </c>
      <c r="DQ136" s="245" t="s">
        <v>600</v>
      </c>
      <c r="DR136" s="245">
        <v>2</v>
      </c>
      <c r="DS136" s="245" t="s">
        <v>2815</v>
      </c>
      <c r="DT136" s="245" t="s">
        <v>2814</v>
      </c>
      <c r="DU136" s="246">
        <v>44064</v>
      </c>
      <c r="DV136" s="244" t="s">
        <v>8254</v>
      </c>
      <c r="DW136" s="236">
        <v>1529000</v>
      </c>
      <c r="DX136" s="247" t="s">
        <v>2748</v>
      </c>
      <c r="DY136" s="247" t="s">
        <v>600</v>
      </c>
      <c r="DZ136" s="247">
        <v>2</v>
      </c>
      <c r="EA136" s="247" t="s">
        <v>2815</v>
      </c>
      <c r="EB136" s="247" t="s">
        <v>2814</v>
      </c>
      <c r="EC136" s="237">
        <v>44064</v>
      </c>
      <c r="ED136" s="245" t="s">
        <v>8255</v>
      </c>
      <c r="EE136" s="241">
        <v>0</v>
      </c>
      <c r="EF136" s="245" t="s">
        <v>2748</v>
      </c>
      <c r="EG136" s="245" t="s">
        <v>600</v>
      </c>
      <c r="EH136" s="245">
        <v>2</v>
      </c>
      <c r="EI136" s="245" t="s">
        <v>2815</v>
      </c>
      <c r="EJ136" s="245" t="s">
        <v>2814</v>
      </c>
      <c r="EK136" s="246">
        <v>44064</v>
      </c>
      <c r="EL136" s="244" t="s">
        <v>8256</v>
      </c>
      <c r="EM136" s="236">
        <v>0</v>
      </c>
      <c r="EN136" s="247" t="s">
        <v>2748</v>
      </c>
      <c r="EO136" s="247" t="s">
        <v>600</v>
      </c>
      <c r="EP136" s="247">
        <v>2</v>
      </c>
      <c r="EQ136" s="247" t="s">
        <v>2815</v>
      </c>
      <c r="ER136" s="247" t="s">
        <v>2814</v>
      </c>
      <c r="ES136" s="237">
        <v>44064</v>
      </c>
      <c r="ET136" s="245" t="s">
        <v>8257</v>
      </c>
      <c r="EU136" s="245">
        <v>14</v>
      </c>
      <c r="EV136" s="245" t="s">
        <v>2444</v>
      </c>
      <c r="EW136" s="245" t="s">
        <v>600</v>
      </c>
      <c r="EX136" s="245">
        <v>2</v>
      </c>
      <c r="EY136" s="245" t="s">
        <v>2488</v>
      </c>
      <c r="EZ136" s="245" t="s">
        <v>2486</v>
      </c>
      <c r="FA136" s="246">
        <v>43987</v>
      </c>
      <c r="FB136" s="244" t="s">
        <v>8258</v>
      </c>
      <c r="FC136" s="247">
        <v>3</v>
      </c>
      <c r="FD136" s="247" t="s">
        <v>2748</v>
      </c>
      <c r="FE136" s="247" t="s">
        <v>600</v>
      </c>
      <c r="FF136" s="247">
        <v>2</v>
      </c>
      <c r="FG136" s="247" t="s">
        <v>2754</v>
      </c>
      <c r="FH136" s="247" t="s">
        <v>2749</v>
      </c>
      <c r="FI136" s="237">
        <v>44039</v>
      </c>
      <c r="FJ136" s="244" t="s">
        <v>8259</v>
      </c>
      <c r="FK136" s="245" t="s">
        <v>393</v>
      </c>
      <c r="FL136" s="245" t="s">
        <v>393</v>
      </c>
      <c r="FM136" s="245" t="s">
        <v>393</v>
      </c>
      <c r="FN136" s="245" t="s">
        <v>393</v>
      </c>
      <c r="FO136" s="245" t="s">
        <v>393</v>
      </c>
      <c r="FP136" s="241" t="s">
        <v>393</v>
      </c>
      <c r="FQ136" s="242">
        <v>43987</v>
      </c>
      <c r="FR136" s="244" t="s">
        <v>8260</v>
      </c>
      <c r="FS136" s="247" t="s">
        <v>393</v>
      </c>
      <c r="FT136" s="247" t="s">
        <v>393</v>
      </c>
      <c r="FU136" s="247" t="s">
        <v>393</v>
      </c>
      <c r="FV136" s="247" t="s">
        <v>393</v>
      </c>
      <c r="FW136" s="247" t="s">
        <v>393</v>
      </c>
      <c r="FX136" s="247" t="s">
        <v>393</v>
      </c>
      <c r="FY136" s="237">
        <v>43987</v>
      </c>
      <c r="FZ136" s="245" t="s">
        <v>8261</v>
      </c>
      <c r="GA136" s="245" t="s">
        <v>393</v>
      </c>
      <c r="GB136" s="245" t="s">
        <v>393</v>
      </c>
      <c r="GC136" s="245" t="s">
        <v>393</v>
      </c>
      <c r="GD136" s="245" t="s">
        <v>393</v>
      </c>
      <c r="GE136" s="245" t="s">
        <v>393</v>
      </c>
      <c r="GF136" s="245" t="s">
        <v>393</v>
      </c>
      <c r="GG136" s="246">
        <v>43987</v>
      </c>
      <c r="GH136" s="244" t="s">
        <v>8262</v>
      </c>
      <c r="GI136" s="247" t="s">
        <v>393</v>
      </c>
      <c r="GJ136" s="247" t="s">
        <v>393</v>
      </c>
      <c r="GK136" s="247" t="s">
        <v>393</v>
      </c>
      <c r="GL136" s="247" t="s">
        <v>393</v>
      </c>
      <c r="GM136" s="247" t="s">
        <v>393</v>
      </c>
      <c r="GN136" s="247" t="s">
        <v>393</v>
      </c>
      <c r="GO136" s="237">
        <v>43987</v>
      </c>
      <c r="GP136" s="245" t="s">
        <v>8263</v>
      </c>
      <c r="GQ136" s="245" t="s">
        <v>393</v>
      </c>
      <c r="GR136" s="245" t="s">
        <v>393</v>
      </c>
      <c r="GS136" s="245" t="s">
        <v>393</v>
      </c>
      <c r="GT136" s="245" t="s">
        <v>393</v>
      </c>
      <c r="GU136" s="245" t="s">
        <v>393</v>
      </c>
      <c r="GV136" s="245" t="s">
        <v>393</v>
      </c>
      <c r="GW136" s="246">
        <v>43987</v>
      </c>
      <c r="GX136" s="244" t="s">
        <v>8264</v>
      </c>
      <c r="GY136" s="247" t="s">
        <v>393</v>
      </c>
      <c r="GZ136" s="247" t="s">
        <v>393</v>
      </c>
      <c r="HA136" s="247" t="s">
        <v>393</v>
      </c>
      <c r="HB136" s="247" t="s">
        <v>393</v>
      </c>
      <c r="HC136" s="247" t="s">
        <v>393</v>
      </c>
      <c r="HD136" s="247" t="s">
        <v>393</v>
      </c>
      <c r="HE136" s="237">
        <v>43987</v>
      </c>
      <c r="HF136" s="245" t="s">
        <v>8265</v>
      </c>
      <c r="HG136" s="245" t="s">
        <v>393</v>
      </c>
      <c r="HH136" s="245" t="s">
        <v>393</v>
      </c>
      <c r="HI136" s="245" t="s">
        <v>393</v>
      </c>
      <c r="HJ136" s="245" t="s">
        <v>393</v>
      </c>
      <c r="HK136" s="245" t="s">
        <v>393</v>
      </c>
      <c r="HL136" s="245" t="s">
        <v>393</v>
      </c>
      <c r="HM136" s="246">
        <v>43987</v>
      </c>
      <c r="HN136" s="244" t="s">
        <v>8266</v>
      </c>
      <c r="HO136" s="247" t="s">
        <v>393</v>
      </c>
      <c r="HP136" s="247" t="s">
        <v>393</v>
      </c>
      <c r="HQ136" s="247" t="s">
        <v>393</v>
      </c>
      <c r="HR136" s="247" t="s">
        <v>393</v>
      </c>
      <c r="HS136" s="247" t="s">
        <v>393</v>
      </c>
      <c r="HT136" s="247" t="s">
        <v>393</v>
      </c>
      <c r="HU136" s="237">
        <v>43987</v>
      </c>
      <c r="HV136" s="245" t="s">
        <v>8267</v>
      </c>
      <c r="HW136" s="245" t="s">
        <v>393</v>
      </c>
      <c r="HX136" s="245" t="s">
        <v>393</v>
      </c>
      <c r="HY136" s="245" t="s">
        <v>393</v>
      </c>
      <c r="HZ136" s="245" t="s">
        <v>393</v>
      </c>
      <c r="IA136" s="245" t="s">
        <v>393</v>
      </c>
      <c r="IB136" s="245" t="s">
        <v>393</v>
      </c>
      <c r="IC136" s="246">
        <v>43987</v>
      </c>
      <c r="ID136" s="244" t="s">
        <v>8268</v>
      </c>
      <c r="IE136" s="247" t="s">
        <v>393</v>
      </c>
      <c r="IF136" s="247" t="s">
        <v>393</v>
      </c>
      <c r="IG136" s="247" t="s">
        <v>393</v>
      </c>
      <c r="IH136" s="247" t="s">
        <v>393</v>
      </c>
      <c r="II136" s="247" t="s">
        <v>393</v>
      </c>
      <c r="IJ136" s="247" t="s">
        <v>393</v>
      </c>
      <c r="IK136" s="237">
        <v>43987</v>
      </c>
      <c r="IL136" s="245" t="s">
        <v>8269</v>
      </c>
      <c r="IM136" s="245" t="s">
        <v>393</v>
      </c>
      <c r="IN136" s="245" t="s">
        <v>393</v>
      </c>
      <c r="IO136" s="245" t="s">
        <v>393</v>
      </c>
      <c r="IP136" s="245" t="s">
        <v>393</v>
      </c>
      <c r="IQ136" s="245" t="s">
        <v>393</v>
      </c>
      <c r="IR136" s="245" t="s">
        <v>393</v>
      </c>
      <c r="IS136" s="246">
        <v>43987</v>
      </c>
    </row>
    <row r="137" spans="1:253" s="11" customFormat="1" ht="13.2" x14ac:dyDescent="0.25">
      <c r="A137" s="11" t="s">
        <v>1680</v>
      </c>
      <c r="B137" s="11" t="s">
        <v>1280</v>
      </c>
      <c r="C137" s="11" t="s">
        <v>1681</v>
      </c>
      <c r="D137" s="11" t="s">
        <v>334</v>
      </c>
      <c r="E137" s="11" t="s">
        <v>333</v>
      </c>
      <c r="F137" s="11" t="s">
        <v>8270</v>
      </c>
      <c r="G137" s="235">
        <v>40185000</v>
      </c>
      <c r="H137" s="236" t="s">
        <v>1701</v>
      </c>
      <c r="I137" s="236" t="s">
        <v>600</v>
      </c>
      <c r="J137" s="236">
        <v>2</v>
      </c>
      <c r="K137" s="236" t="s">
        <v>1719</v>
      </c>
      <c r="L137" s="236" t="s">
        <v>1766</v>
      </c>
      <c r="M137" s="237">
        <v>43798</v>
      </c>
      <c r="N137" s="244" t="s">
        <v>8271</v>
      </c>
      <c r="O137" s="239">
        <v>66662</v>
      </c>
      <c r="P137" s="239" t="s">
        <v>1702</v>
      </c>
      <c r="Q137" s="239" t="s">
        <v>599</v>
      </c>
      <c r="R137" s="239">
        <v>3</v>
      </c>
      <c r="S137" s="239" t="s">
        <v>1720</v>
      </c>
      <c r="T137" s="239" t="s">
        <v>1767</v>
      </c>
      <c r="U137" s="240">
        <v>43798</v>
      </c>
      <c r="V137" s="244" t="s">
        <v>8272</v>
      </c>
      <c r="W137" s="236">
        <v>7440000</v>
      </c>
      <c r="X137" s="236" t="s">
        <v>2389</v>
      </c>
      <c r="Y137" s="236" t="s">
        <v>600</v>
      </c>
      <c r="Z137" s="236">
        <v>2</v>
      </c>
      <c r="AA137" s="236" t="s">
        <v>1794</v>
      </c>
      <c r="AB137" s="236" t="s">
        <v>1159</v>
      </c>
      <c r="AC137" s="237">
        <v>43987</v>
      </c>
      <c r="AD137" s="244" t="s">
        <v>8273</v>
      </c>
      <c r="AE137" s="241">
        <v>1429000</v>
      </c>
      <c r="AF137" s="241" t="s">
        <v>2805</v>
      </c>
      <c r="AG137" s="241" t="s">
        <v>600</v>
      </c>
      <c r="AH137" s="241">
        <v>2</v>
      </c>
      <c r="AI137" s="241" t="s">
        <v>1722</v>
      </c>
      <c r="AJ137" s="241" t="s">
        <v>1721</v>
      </c>
      <c r="AK137" s="242">
        <v>44064</v>
      </c>
      <c r="AL137" s="244" t="s">
        <v>8274</v>
      </c>
      <c r="AM137" s="236">
        <v>1429000</v>
      </c>
      <c r="AN137" s="236" t="s">
        <v>2805</v>
      </c>
      <c r="AO137" s="236" t="s">
        <v>600</v>
      </c>
      <c r="AP137" s="236">
        <v>2</v>
      </c>
      <c r="AQ137" s="236" t="s">
        <v>2751</v>
      </c>
      <c r="AR137" s="236" t="s">
        <v>1721</v>
      </c>
      <c r="AS137" s="237">
        <v>44064</v>
      </c>
      <c r="AT137" s="245" t="s">
        <v>8275</v>
      </c>
      <c r="AU137" s="241" t="s">
        <v>393</v>
      </c>
      <c r="AV137" s="241" t="s">
        <v>393</v>
      </c>
      <c r="AW137" s="241" t="s">
        <v>393</v>
      </c>
      <c r="AX137" s="241" t="s">
        <v>393</v>
      </c>
      <c r="AY137" s="241" t="s">
        <v>1471</v>
      </c>
      <c r="AZ137" s="241" t="s">
        <v>393</v>
      </c>
      <c r="BA137" s="242">
        <v>43798</v>
      </c>
      <c r="BB137" s="244" t="s">
        <v>8276</v>
      </c>
      <c r="BC137" s="236" t="s">
        <v>393</v>
      </c>
      <c r="BD137" s="236" t="s">
        <v>393</v>
      </c>
      <c r="BE137" s="236" t="s">
        <v>393</v>
      </c>
      <c r="BF137" s="236" t="s">
        <v>393</v>
      </c>
      <c r="BG137" s="236" t="s">
        <v>1471</v>
      </c>
      <c r="BH137" s="236" t="s">
        <v>393</v>
      </c>
      <c r="BI137" s="237">
        <v>43798</v>
      </c>
      <c r="BJ137" s="245" t="s">
        <v>8277</v>
      </c>
      <c r="BK137" s="245" t="s">
        <v>393</v>
      </c>
      <c r="BL137" s="245" t="s">
        <v>393</v>
      </c>
      <c r="BM137" s="245" t="s">
        <v>393</v>
      </c>
      <c r="BN137" s="245" t="s">
        <v>393</v>
      </c>
      <c r="BO137" s="245" t="s">
        <v>2492</v>
      </c>
      <c r="BP137" s="241" t="s">
        <v>393</v>
      </c>
      <c r="BQ137" s="246">
        <v>43987</v>
      </c>
      <c r="BR137" s="244" t="s">
        <v>8278</v>
      </c>
      <c r="BS137" s="247" t="s">
        <v>393</v>
      </c>
      <c r="BT137" s="247" t="s">
        <v>393</v>
      </c>
      <c r="BU137" s="247" t="s">
        <v>393</v>
      </c>
      <c r="BV137" s="247" t="s">
        <v>393</v>
      </c>
      <c r="BW137" s="247" t="s">
        <v>1471</v>
      </c>
      <c r="BX137" s="247" t="s">
        <v>393</v>
      </c>
      <c r="BY137" s="237">
        <v>43798</v>
      </c>
      <c r="BZ137" s="245" t="s">
        <v>8279</v>
      </c>
      <c r="CA137" s="245" t="s">
        <v>393</v>
      </c>
      <c r="CB137" s="245" t="s">
        <v>393</v>
      </c>
      <c r="CC137" s="245" t="s">
        <v>393</v>
      </c>
      <c r="CD137" s="245" t="s">
        <v>393</v>
      </c>
      <c r="CE137" s="245" t="s">
        <v>1471</v>
      </c>
      <c r="CF137" s="245" t="s">
        <v>393</v>
      </c>
      <c r="CG137" s="246">
        <v>43798</v>
      </c>
      <c r="CH137" s="244" t="s">
        <v>8280</v>
      </c>
      <c r="CI137" s="245" t="e">
        <v>#N/A</v>
      </c>
      <c r="CJ137" s="245" t="e">
        <v>#N/A</v>
      </c>
      <c r="CK137" s="245" t="e">
        <v>#N/A</v>
      </c>
      <c r="CL137" s="245" t="e">
        <v>#N/A</v>
      </c>
      <c r="CM137" s="245" t="e">
        <v>#N/A</v>
      </c>
      <c r="CN137" s="245" t="e">
        <v>#N/A</v>
      </c>
      <c r="CO137" s="248" t="e">
        <v>#N/A</v>
      </c>
      <c r="CP137" s="245" t="s">
        <v>8281</v>
      </c>
      <c r="CQ137" s="247" t="s">
        <v>393</v>
      </c>
      <c r="CR137" s="247" t="s">
        <v>393</v>
      </c>
      <c r="CS137" s="247" t="s">
        <v>393</v>
      </c>
      <c r="CT137" s="247" t="s">
        <v>393</v>
      </c>
      <c r="CU137" s="247" t="s">
        <v>1471</v>
      </c>
      <c r="CV137" s="247" t="s">
        <v>393</v>
      </c>
      <c r="CW137" s="237">
        <v>43798</v>
      </c>
      <c r="CX137" s="245" t="s">
        <v>8282</v>
      </c>
      <c r="CY137" s="241">
        <v>1429000</v>
      </c>
      <c r="CZ137" s="241" t="s">
        <v>2816</v>
      </c>
      <c r="DA137" s="241" t="s">
        <v>600</v>
      </c>
      <c r="DB137" s="241">
        <v>2</v>
      </c>
      <c r="DC137" s="241" t="s">
        <v>2818</v>
      </c>
      <c r="DD137" s="241" t="s">
        <v>2817</v>
      </c>
      <c r="DE137" s="243">
        <v>44064</v>
      </c>
      <c r="DF137" s="244" t="s">
        <v>8283</v>
      </c>
      <c r="DG137" s="236">
        <v>6011000</v>
      </c>
      <c r="DH137" s="247" t="s">
        <v>2816</v>
      </c>
      <c r="DI137" s="247" t="s">
        <v>600</v>
      </c>
      <c r="DJ137" s="247">
        <v>2</v>
      </c>
      <c r="DK137" s="247" t="s">
        <v>2818</v>
      </c>
      <c r="DL137" s="247" t="s">
        <v>2817</v>
      </c>
      <c r="DM137" s="237">
        <v>44064</v>
      </c>
      <c r="DN137" s="245" t="s">
        <v>8284</v>
      </c>
      <c r="DO137" s="241">
        <v>0</v>
      </c>
      <c r="DP137" s="245" t="s">
        <v>2816</v>
      </c>
      <c r="DQ137" s="245" t="s">
        <v>600</v>
      </c>
      <c r="DR137" s="245">
        <v>2</v>
      </c>
      <c r="DS137" s="245" t="s">
        <v>2818</v>
      </c>
      <c r="DT137" s="245" t="s">
        <v>2817</v>
      </c>
      <c r="DU137" s="246">
        <v>44064</v>
      </c>
      <c r="DV137" s="244" t="s">
        <v>8285</v>
      </c>
      <c r="DW137" s="236">
        <v>1429000</v>
      </c>
      <c r="DX137" s="247" t="s">
        <v>2816</v>
      </c>
      <c r="DY137" s="247" t="s">
        <v>600</v>
      </c>
      <c r="DZ137" s="247">
        <v>2</v>
      </c>
      <c r="EA137" s="247" t="s">
        <v>2818</v>
      </c>
      <c r="EB137" s="247" t="s">
        <v>2817</v>
      </c>
      <c r="EC137" s="237">
        <v>44064</v>
      </c>
      <c r="ED137" s="245" t="s">
        <v>8286</v>
      </c>
      <c r="EE137" s="241">
        <v>0</v>
      </c>
      <c r="EF137" s="245" t="s">
        <v>2816</v>
      </c>
      <c r="EG137" s="245" t="s">
        <v>600</v>
      </c>
      <c r="EH137" s="245">
        <v>2</v>
      </c>
      <c r="EI137" s="245" t="s">
        <v>2818</v>
      </c>
      <c r="EJ137" s="245" t="s">
        <v>2817</v>
      </c>
      <c r="EK137" s="246">
        <v>44064</v>
      </c>
      <c r="EL137" s="244" t="s">
        <v>8287</v>
      </c>
      <c r="EM137" s="236">
        <v>0</v>
      </c>
      <c r="EN137" s="247" t="s">
        <v>2816</v>
      </c>
      <c r="EO137" s="247" t="s">
        <v>600</v>
      </c>
      <c r="EP137" s="247">
        <v>2</v>
      </c>
      <c r="EQ137" s="247" t="s">
        <v>2818</v>
      </c>
      <c r="ER137" s="247" t="s">
        <v>2817</v>
      </c>
      <c r="ES137" s="237">
        <v>44064</v>
      </c>
      <c r="ET137" s="245" t="s">
        <v>8288</v>
      </c>
      <c r="EU137" s="245">
        <v>14</v>
      </c>
      <c r="EV137" s="245" t="s">
        <v>2444</v>
      </c>
      <c r="EW137" s="245" t="s">
        <v>600</v>
      </c>
      <c r="EX137" s="245">
        <v>2</v>
      </c>
      <c r="EY137" s="245" t="s">
        <v>2488</v>
      </c>
      <c r="EZ137" s="245" t="s">
        <v>2486</v>
      </c>
      <c r="FA137" s="246">
        <v>43987</v>
      </c>
      <c r="FB137" s="244" t="s">
        <v>8289</v>
      </c>
      <c r="FC137" s="247">
        <v>2</v>
      </c>
      <c r="FD137" s="247" t="s">
        <v>2750</v>
      </c>
      <c r="FE137" s="247" t="s">
        <v>600</v>
      </c>
      <c r="FF137" s="247">
        <v>2</v>
      </c>
      <c r="FG137" s="247" t="s">
        <v>2753</v>
      </c>
      <c r="FH137" s="247" t="s">
        <v>2752</v>
      </c>
      <c r="FI137" s="237">
        <v>44039</v>
      </c>
      <c r="FJ137" s="244" t="s">
        <v>8290</v>
      </c>
      <c r="FK137" s="245" t="e">
        <v>#N/A</v>
      </c>
      <c r="FL137" s="245" t="e">
        <v>#N/A</v>
      </c>
      <c r="FM137" s="245" t="e">
        <v>#N/A</v>
      </c>
      <c r="FN137" s="245" t="e">
        <v>#N/A</v>
      </c>
      <c r="FO137" s="245" t="e">
        <v>#N/A</v>
      </c>
      <c r="FP137" s="241" t="e">
        <v>#N/A</v>
      </c>
      <c r="FQ137" s="242" t="e">
        <v>#N/A</v>
      </c>
      <c r="FR137" s="244" t="s">
        <v>8291</v>
      </c>
      <c r="FS137" s="247" t="e">
        <v>#N/A</v>
      </c>
      <c r="FT137" s="247" t="e">
        <v>#N/A</v>
      </c>
      <c r="FU137" s="247" t="e">
        <v>#N/A</v>
      </c>
      <c r="FV137" s="247" t="e">
        <v>#N/A</v>
      </c>
      <c r="FW137" s="247" t="e">
        <v>#N/A</v>
      </c>
      <c r="FX137" s="247" t="e">
        <v>#N/A</v>
      </c>
      <c r="FY137" s="237" t="e">
        <v>#N/A</v>
      </c>
      <c r="FZ137" s="245" t="s">
        <v>8292</v>
      </c>
      <c r="GA137" s="245">
        <v>0</v>
      </c>
      <c r="GB137" s="245" t="s">
        <v>1587</v>
      </c>
      <c r="GC137" s="245" t="s">
        <v>601</v>
      </c>
      <c r="GD137" s="245">
        <v>1</v>
      </c>
      <c r="GE137" s="245" t="s">
        <v>393</v>
      </c>
      <c r="GF137" s="245" t="s">
        <v>1723</v>
      </c>
      <c r="GG137" s="246">
        <v>43798</v>
      </c>
      <c r="GH137" s="244" t="s">
        <v>8293</v>
      </c>
      <c r="GI137" s="247">
        <v>0</v>
      </c>
      <c r="GJ137" s="247" t="s">
        <v>1587</v>
      </c>
      <c r="GK137" s="247" t="s">
        <v>600</v>
      </c>
      <c r="GL137" s="247">
        <v>2</v>
      </c>
      <c r="GM137" s="247" t="s">
        <v>393</v>
      </c>
      <c r="GN137" s="247" t="s">
        <v>1723</v>
      </c>
      <c r="GO137" s="237">
        <v>43798</v>
      </c>
      <c r="GP137" s="245" t="s">
        <v>8294</v>
      </c>
      <c r="GQ137" s="245">
        <v>0</v>
      </c>
      <c r="GR137" s="245" t="s">
        <v>1587</v>
      </c>
      <c r="GS137" s="245" t="s">
        <v>601</v>
      </c>
      <c r="GT137" s="245">
        <v>1</v>
      </c>
      <c r="GU137" s="245" t="s">
        <v>393</v>
      </c>
      <c r="GV137" s="245" t="s">
        <v>1723</v>
      </c>
      <c r="GW137" s="246">
        <v>43798</v>
      </c>
      <c r="GX137" s="244" t="s">
        <v>8295</v>
      </c>
      <c r="GY137" s="247">
        <v>0</v>
      </c>
      <c r="GZ137" s="247" t="s">
        <v>1587</v>
      </c>
      <c r="HA137" s="247" t="s">
        <v>601</v>
      </c>
      <c r="HB137" s="247">
        <v>1</v>
      </c>
      <c r="HC137" s="247" t="s">
        <v>393</v>
      </c>
      <c r="HD137" s="247" t="s">
        <v>1723</v>
      </c>
      <c r="HE137" s="237">
        <v>43798</v>
      </c>
      <c r="HF137" s="245" t="s">
        <v>8296</v>
      </c>
      <c r="HG137" s="245">
        <v>0</v>
      </c>
      <c r="HH137" s="245" t="s">
        <v>1587</v>
      </c>
      <c r="HI137" s="245" t="s">
        <v>601</v>
      </c>
      <c r="HJ137" s="245">
        <v>1</v>
      </c>
      <c r="HK137" s="245" t="s">
        <v>393</v>
      </c>
      <c r="HL137" s="245" t="s">
        <v>1723</v>
      </c>
      <c r="HM137" s="246">
        <v>43798</v>
      </c>
      <c r="HN137" s="244" t="s">
        <v>8297</v>
      </c>
      <c r="HO137" s="247">
        <v>0</v>
      </c>
      <c r="HP137" s="247" t="s">
        <v>1587</v>
      </c>
      <c r="HQ137" s="247" t="s">
        <v>600</v>
      </c>
      <c r="HR137" s="247">
        <v>2</v>
      </c>
      <c r="HS137" s="247" t="s">
        <v>393</v>
      </c>
      <c r="HT137" s="247" t="s">
        <v>1723</v>
      </c>
      <c r="HU137" s="237">
        <v>43798</v>
      </c>
      <c r="HV137" s="245" t="s">
        <v>8298</v>
      </c>
      <c r="HW137" s="245">
        <v>0</v>
      </c>
      <c r="HX137" s="245" t="s">
        <v>1587</v>
      </c>
      <c r="HY137" s="245" t="s">
        <v>601</v>
      </c>
      <c r="HZ137" s="245">
        <v>1</v>
      </c>
      <c r="IA137" s="245" t="s">
        <v>393</v>
      </c>
      <c r="IB137" s="245" t="s">
        <v>1723</v>
      </c>
      <c r="IC137" s="246">
        <v>43798</v>
      </c>
      <c r="ID137" s="244" t="s">
        <v>8299</v>
      </c>
      <c r="IE137" s="247">
        <v>1</v>
      </c>
      <c r="IF137" s="247" t="s">
        <v>1587</v>
      </c>
      <c r="IG137" s="247" t="s">
        <v>601</v>
      </c>
      <c r="IH137" s="247">
        <v>1</v>
      </c>
      <c r="II137" s="247" t="s">
        <v>393</v>
      </c>
      <c r="IJ137" s="247" t="s">
        <v>1723</v>
      </c>
      <c r="IK137" s="237">
        <v>43798</v>
      </c>
      <c r="IL137" s="245" t="s">
        <v>8300</v>
      </c>
      <c r="IM137" s="245">
        <v>2</v>
      </c>
      <c r="IN137" s="245" t="s">
        <v>1587</v>
      </c>
      <c r="IO137" s="245" t="s">
        <v>601</v>
      </c>
      <c r="IP137" s="245">
        <v>1</v>
      </c>
      <c r="IQ137" s="245" t="s">
        <v>393</v>
      </c>
      <c r="IR137" s="245" t="s">
        <v>1723</v>
      </c>
      <c r="IS137" s="246">
        <v>43798</v>
      </c>
    </row>
    <row r="138" spans="1:253" s="11" customFormat="1" ht="13.2" x14ac:dyDescent="0.25">
      <c r="A138" s="11" t="s">
        <v>2419</v>
      </c>
      <c r="B138" s="11" t="s">
        <v>1279</v>
      </c>
      <c r="C138" s="11" t="s">
        <v>2420</v>
      </c>
      <c r="D138" s="11" t="s">
        <v>334</v>
      </c>
      <c r="E138" s="11" t="s">
        <v>333</v>
      </c>
      <c r="F138" s="11" t="s">
        <v>8301</v>
      </c>
      <c r="G138" s="235">
        <v>40234000</v>
      </c>
      <c r="H138" s="236" t="s">
        <v>1524</v>
      </c>
      <c r="I138" s="236" t="s">
        <v>600</v>
      </c>
      <c r="J138" s="236">
        <v>2</v>
      </c>
      <c r="K138" s="236" t="s">
        <v>1719</v>
      </c>
      <c r="L138" s="236" t="s">
        <v>1766</v>
      </c>
      <c r="M138" s="237">
        <v>43987</v>
      </c>
      <c r="N138" s="260" t="s">
        <v>8302</v>
      </c>
      <c r="O138" s="239">
        <v>35967</v>
      </c>
      <c r="P138" s="239" t="s">
        <v>2441</v>
      </c>
      <c r="Q138" s="239" t="s">
        <v>600</v>
      </c>
      <c r="R138" s="239">
        <v>2</v>
      </c>
      <c r="S138" s="239" t="s">
        <v>2480</v>
      </c>
      <c r="T138" s="239" t="s">
        <v>2479</v>
      </c>
      <c r="U138" s="240">
        <v>43987</v>
      </c>
      <c r="V138" s="260" t="s">
        <v>8303</v>
      </c>
      <c r="W138" s="236">
        <v>7563000</v>
      </c>
      <c r="X138" s="236" t="s">
        <v>2441</v>
      </c>
      <c r="Y138" s="236" t="s">
        <v>600</v>
      </c>
      <c r="Z138" s="236">
        <v>2</v>
      </c>
      <c r="AA138" s="236" t="s">
        <v>2481</v>
      </c>
      <c r="AB138" s="236" t="s">
        <v>2479</v>
      </c>
      <c r="AC138" s="237">
        <v>43987</v>
      </c>
      <c r="AD138" s="260" t="s">
        <v>8304</v>
      </c>
      <c r="AE138" s="241">
        <v>3431000</v>
      </c>
      <c r="AF138" s="241" t="s">
        <v>2442</v>
      </c>
      <c r="AG138" s="241" t="s">
        <v>599</v>
      </c>
      <c r="AH138" s="241">
        <v>3</v>
      </c>
      <c r="AI138" s="241" t="s">
        <v>2483</v>
      </c>
      <c r="AJ138" s="241" t="s">
        <v>2482</v>
      </c>
      <c r="AK138" s="242">
        <v>43987</v>
      </c>
      <c r="AL138" s="260" t="s">
        <v>8305</v>
      </c>
      <c r="AM138" s="236">
        <v>100000</v>
      </c>
      <c r="AN138" s="236" t="s">
        <v>2443</v>
      </c>
      <c r="AO138" s="236" t="s">
        <v>600</v>
      </c>
      <c r="AP138" s="236">
        <v>2</v>
      </c>
      <c r="AQ138" s="236" t="s">
        <v>2485</v>
      </c>
      <c r="AR138" s="236" t="s">
        <v>2484</v>
      </c>
      <c r="AS138" s="237">
        <v>43987</v>
      </c>
      <c r="AT138" s="261" t="s">
        <v>8306</v>
      </c>
      <c r="AU138" s="241" t="s">
        <v>393</v>
      </c>
      <c r="AV138" s="241" t="s">
        <v>393</v>
      </c>
      <c r="AW138" s="241" t="s">
        <v>393</v>
      </c>
      <c r="AX138" s="241" t="s">
        <v>393</v>
      </c>
      <c r="AY138" s="241" t="s">
        <v>393</v>
      </c>
      <c r="AZ138" s="241" t="s">
        <v>393</v>
      </c>
      <c r="BA138" s="242">
        <v>43987</v>
      </c>
      <c r="BB138" s="260" t="s">
        <v>8307</v>
      </c>
      <c r="BC138" s="236" t="s">
        <v>393</v>
      </c>
      <c r="BD138" s="236" t="s">
        <v>393</v>
      </c>
      <c r="BE138" s="236" t="s">
        <v>393</v>
      </c>
      <c r="BF138" s="236" t="s">
        <v>393</v>
      </c>
      <c r="BG138" s="236" t="s">
        <v>393</v>
      </c>
      <c r="BH138" s="236" t="s">
        <v>393</v>
      </c>
      <c r="BI138" s="237">
        <v>43987</v>
      </c>
      <c r="BJ138" s="261" t="s">
        <v>8308</v>
      </c>
      <c r="BK138" s="261">
        <v>14</v>
      </c>
      <c r="BL138" s="261" t="s">
        <v>2444</v>
      </c>
      <c r="BM138" s="261" t="s">
        <v>600</v>
      </c>
      <c r="BN138" s="261">
        <v>2</v>
      </c>
      <c r="BO138" s="261" t="s">
        <v>2487</v>
      </c>
      <c r="BP138" s="241" t="s">
        <v>2486</v>
      </c>
      <c r="BQ138" s="262">
        <v>43987</v>
      </c>
      <c r="BR138" s="260" t="s">
        <v>8309</v>
      </c>
      <c r="BS138" s="263" t="s">
        <v>393</v>
      </c>
      <c r="BT138" s="263" t="s">
        <v>393</v>
      </c>
      <c r="BU138" s="263" t="s">
        <v>393</v>
      </c>
      <c r="BV138" s="263" t="s">
        <v>393</v>
      </c>
      <c r="BW138" s="263" t="s">
        <v>393</v>
      </c>
      <c r="BX138" s="263" t="s">
        <v>393</v>
      </c>
      <c r="BY138" s="237">
        <v>43987</v>
      </c>
      <c r="BZ138" s="261" t="s">
        <v>8310</v>
      </c>
      <c r="CA138" s="261" t="s">
        <v>393</v>
      </c>
      <c r="CB138" s="261" t="s">
        <v>393</v>
      </c>
      <c r="CC138" s="261" t="s">
        <v>393</v>
      </c>
      <c r="CD138" s="261" t="s">
        <v>393</v>
      </c>
      <c r="CE138" s="261" t="s">
        <v>393</v>
      </c>
      <c r="CF138" s="261" t="s">
        <v>393</v>
      </c>
      <c r="CG138" s="262">
        <v>43987</v>
      </c>
      <c r="CH138" s="260" t="s">
        <v>8311</v>
      </c>
      <c r="CI138" s="261" t="e">
        <v>#N/A</v>
      </c>
      <c r="CJ138" s="261" t="e">
        <v>#N/A</v>
      </c>
      <c r="CK138" s="261" t="e">
        <v>#N/A</v>
      </c>
      <c r="CL138" s="261" t="e">
        <v>#N/A</v>
      </c>
      <c r="CM138" s="261" t="e">
        <v>#N/A</v>
      </c>
      <c r="CN138" s="261" t="e">
        <v>#N/A</v>
      </c>
      <c r="CO138" s="264" t="e">
        <v>#N/A</v>
      </c>
      <c r="CP138" s="261" t="s">
        <v>8312</v>
      </c>
      <c r="CQ138" s="263" t="s">
        <v>393</v>
      </c>
      <c r="CR138" s="263" t="s">
        <v>393</v>
      </c>
      <c r="CS138" s="263" t="s">
        <v>393</v>
      </c>
      <c r="CT138" s="263" t="s">
        <v>393</v>
      </c>
      <c r="CU138" s="263" t="s">
        <v>393</v>
      </c>
      <c r="CV138" s="263" t="s">
        <v>393</v>
      </c>
      <c r="CW138" s="237">
        <v>43987</v>
      </c>
      <c r="CX138" s="261" t="s">
        <v>8313</v>
      </c>
      <c r="CY138" s="241" t="s">
        <v>393</v>
      </c>
      <c r="CZ138" s="241" t="s">
        <v>393</v>
      </c>
      <c r="DA138" s="241" t="s">
        <v>393</v>
      </c>
      <c r="DB138" s="241" t="s">
        <v>393</v>
      </c>
      <c r="DC138" s="241" t="s">
        <v>2489</v>
      </c>
      <c r="DD138" s="241" t="s">
        <v>393</v>
      </c>
      <c r="DE138" s="243">
        <v>43987</v>
      </c>
      <c r="DF138" s="260" t="s">
        <v>8314</v>
      </c>
      <c r="DG138" s="236" t="s">
        <v>393</v>
      </c>
      <c r="DH138" s="263" t="s">
        <v>393</v>
      </c>
      <c r="DI138" s="263" t="s">
        <v>393</v>
      </c>
      <c r="DJ138" s="263" t="s">
        <v>393</v>
      </c>
      <c r="DK138" s="263" t="s">
        <v>2489</v>
      </c>
      <c r="DL138" s="263" t="s">
        <v>393</v>
      </c>
      <c r="DM138" s="237">
        <v>43987</v>
      </c>
      <c r="DN138" s="261" t="s">
        <v>8315</v>
      </c>
      <c r="DO138" s="241" t="s">
        <v>393</v>
      </c>
      <c r="DP138" s="261" t="s">
        <v>393</v>
      </c>
      <c r="DQ138" s="261" t="s">
        <v>393</v>
      </c>
      <c r="DR138" s="261" t="s">
        <v>393</v>
      </c>
      <c r="DS138" s="261" t="s">
        <v>2489</v>
      </c>
      <c r="DT138" s="261" t="s">
        <v>393</v>
      </c>
      <c r="DU138" s="262">
        <v>43987</v>
      </c>
      <c r="DV138" s="260" t="s">
        <v>8316</v>
      </c>
      <c r="DW138" s="236" t="s">
        <v>393</v>
      </c>
      <c r="DX138" s="263" t="s">
        <v>393</v>
      </c>
      <c r="DY138" s="263" t="s">
        <v>393</v>
      </c>
      <c r="DZ138" s="263" t="s">
        <v>393</v>
      </c>
      <c r="EA138" s="263" t="s">
        <v>2489</v>
      </c>
      <c r="EB138" s="263" t="s">
        <v>393</v>
      </c>
      <c r="EC138" s="237">
        <v>43987</v>
      </c>
      <c r="ED138" s="261" t="s">
        <v>8317</v>
      </c>
      <c r="EE138" s="241" t="s">
        <v>393</v>
      </c>
      <c r="EF138" s="261" t="s">
        <v>393</v>
      </c>
      <c r="EG138" s="261" t="s">
        <v>393</v>
      </c>
      <c r="EH138" s="261" t="s">
        <v>393</v>
      </c>
      <c r="EI138" s="261" t="s">
        <v>2489</v>
      </c>
      <c r="EJ138" s="261" t="s">
        <v>393</v>
      </c>
      <c r="EK138" s="262">
        <v>43987</v>
      </c>
      <c r="EL138" s="260" t="s">
        <v>8318</v>
      </c>
      <c r="EM138" s="236" t="s">
        <v>393</v>
      </c>
      <c r="EN138" s="263" t="s">
        <v>393</v>
      </c>
      <c r="EO138" s="263" t="s">
        <v>393</v>
      </c>
      <c r="EP138" s="263" t="s">
        <v>393</v>
      </c>
      <c r="EQ138" s="263" t="s">
        <v>2489</v>
      </c>
      <c r="ER138" s="263" t="s">
        <v>393</v>
      </c>
      <c r="ES138" s="237">
        <v>43987</v>
      </c>
      <c r="ET138" s="261" t="s">
        <v>8319</v>
      </c>
      <c r="EU138" s="261">
        <v>14</v>
      </c>
      <c r="EV138" s="261" t="s">
        <v>2444</v>
      </c>
      <c r="EW138" s="261" t="s">
        <v>600</v>
      </c>
      <c r="EX138" s="261">
        <v>2</v>
      </c>
      <c r="EY138" s="261" t="s">
        <v>2488</v>
      </c>
      <c r="EZ138" s="261" t="s">
        <v>2486</v>
      </c>
      <c r="FA138" s="262">
        <v>43987</v>
      </c>
      <c r="FB138" s="260" t="s">
        <v>8320</v>
      </c>
      <c r="FC138" s="263">
        <v>3</v>
      </c>
      <c r="FD138" s="263" t="s">
        <v>2445</v>
      </c>
      <c r="FE138" s="263" t="s">
        <v>600</v>
      </c>
      <c r="FF138" s="263">
        <v>2</v>
      </c>
      <c r="FG138" s="263" t="s">
        <v>2491</v>
      </c>
      <c r="FH138" s="263" t="s">
        <v>2490</v>
      </c>
      <c r="FI138" s="237">
        <v>43987</v>
      </c>
      <c r="FJ138" s="260" t="s">
        <v>8321</v>
      </c>
      <c r="FK138" s="261" t="s">
        <v>393</v>
      </c>
      <c r="FL138" s="261" t="s">
        <v>393</v>
      </c>
      <c r="FM138" s="261" t="s">
        <v>393</v>
      </c>
      <c r="FN138" s="261" t="s">
        <v>393</v>
      </c>
      <c r="FO138" s="261" t="s">
        <v>393</v>
      </c>
      <c r="FP138" s="241" t="s">
        <v>393</v>
      </c>
      <c r="FQ138" s="242">
        <v>43987</v>
      </c>
      <c r="FR138" s="260" t="s">
        <v>8322</v>
      </c>
      <c r="FS138" s="263" t="s">
        <v>393</v>
      </c>
      <c r="FT138" s="263" t="s">
        <v>393</v>
      </c>
      <c r="FU138" s="263" t="s">
        <v>393</v>
      </c>
      <c r="FV138" s="263" t="s">
        <v>393</v>
      </c>
      <c r="FW138" s="263" t="s">
        <v>393</v>
      </c>
      <c r="FX138" s="263" t="s">
        <v>393</v>
      </c>
      <c r="FY138" s="237">
        <v>43987</v>
      </c>
      <c r="FZ138" s="261" t="s">
        <v>8323</v>
      </c>
      <c r="GA138" s="261" t="s">
        <v>393</v>
      </c>
      <c r="GB138" s="261" t="s">
        <v>393</v>
      </c>
      <c r="GC138" s="261" t="s">
        <v>393</v>
      </c>
      <c r="GD138" s="261" t="s">
        <v>393</v>
      </c>
      <c r="GE138" s="261" t="s">
        <v>393</v>
      </c>
      <c r="GF138" s="261" t="s">
        <v>393</v>
      </c>
      <c r="GG138" s="262">
        <v>43987</v>
      </c>
      <c r="GH138" s="260" t="s">
        <v>8324</v>
      </c>
      <c r="GI138" s="263" t="s">
        <v>393</v>
      </c>
      <c r="GJ138" s="263" t="s">
        <v>393</v>
      </c>
      <c r="GK138" s="263" t="s">
        <v>393</v>
      </c>
      <c r="GL138" s="263" t="s">
        <v>393</v>
      </c>
      <c r="GM138" s="263" t="s">
        <v>393</v>
      </c>
      <c r="GN138" s="263" t="s">
        <v>393</v>
      </c>
      <c r="GO138" s="237">
        <v>43987</v>
      </c>
      <c r="GP138" s="261" t="s">
        <v>8325</v>
      </c>
      <c r="GQ138" s="261" t="s">
        <v>393</v>
      </c>
      <c r="GR138" s="261" t="s">
        <v>393</v>
      </c>
      <c r="GS138" s="261" t="s">
        <v>393</v>
      </c>
      <c r="GT138" s="261" t="s">
        <v>393</v>
      </c>
      <c r="GU138" s="261" t="s">
        <v>393</v>
      </c>
      <c r="GV138" s="261" t="s">
        <v>393</v>
      </c>
      <c r="GW138" s="262">
        <v>43987</v>
      </c>
      <c r="GX138" s="260" t="s">
        <v>8326</v>
      </c>
      <c r="GY138" s="263" t="s">
        <v>393</v>
      </c>
      <c r="GZ138" s="263" t="s">
        <v>393</v>
      </c>
      <c r="HA138" s="263" t="s">
        <v>393</v>
      </c>
      <c r="HB138" s="263" t="s">
        <v>393</v>
      </c>
      <c r="HC138" s="263" t="s">
        <v>393</v>
      </c>
      <c r="HD138" s="263" t="s">
        <v>393</v>
      </c>
      <c r="HE138" s="237">
        <v>43987</v>
      </c>
      <c r="HF138" s="261" t="s">
        <v>8327</v>
      </c>
      <c r="HG138" s="261" t="s">
        <v>393</v>
      </c>
      <c r="HH138" s="261" t="s">
        <v>393</v>
      </c>
      <c r="HI138" s="261" t="s">
        <v>393</v>
      </c>
      <c r="HJ138" s="261" t="s">
        <v>393</v>
      </c>
      <c r="HK138" s="261" t="s">
        <v>393</v>
      </c>
      <c r="HL138" s="261" t="s">
        <v>393</v>
      </c>
      <c r="HM138" s="262">
        <v>43987</v>
      </c>
      <c r="HN138" s="260" t="s">
        <v>8328</v>
      </c>
      <c r="HO138" s="263" t="s">
        <v>393</v>
      </c>
      <c r="HP138" s="263" t="s">
        <v>393</v>
      </c>
      <c r="HQ138" s="263" t="s">
        <v>393</v>
      </c>
      <c r="HR138" s="263" t="s">
        <v>393</v>
      </c>
      <c r="HS138" s="263" t="s">
        <v>393</v>
      </c>
      <c r="HT138" s="263" t="s">
        <v>393</v>
      </c>
      <c r="HU138" s="237">
        <v>43987</v>
      </c>
      <c r="HV138" s="261" t="s">
        <v>8329</v>
      </c>
      <c r="HW138" s="261" t="s">
        <v>393</v>
      </c>
      <c r="HX138" s="261" t="s">
        <v>393</v>
      </c>
      <c r="HY138" s="261" t="s">
        <v>393</v>
      </c>
      <c r="HZ138" s="261" t="s">
        <v>393</v>
      </c>
      <c r="IA138" s="261" t="s">
        <v>393</v>
      </c>
      <c r="IB138" s="261" t="s">
        <v>393</v>
      </c>
      <c r="IC138" s="262">
        <v>43987</v>
      </c>
      <c r="ID138" s="260" t="s">
        <v>8330</v>
      </c>
      <c r="IE138" s="263" t="s">
        <v>393</v>
      </c>
      <c r="IF138" s="263" t="s">
        <v>393</v>
      </c>
      <c r="IG138" s="263" t="s">
        <v>393</v>
      </c>
      <c r="IH138" s="263" t="s">
        <v>393</v>
      </c>
      <c r="II138" s="263" t="s">
        <v>393</v>
      </c>
      <c r="IJ138" s="263" t="s">
        <v>393</v>
      </c>
      <c r="IK138" s="237">
        <v>43987</v>
      </c>
      <c r="IL138" s="261" t="s">
        <v>8331</v>
      </c>
      <c r="IM138" s="261" t="s">
        <v>393</v>
      </c>
      <c r="IN138" s="261" t="s">
        <v>393</v>
      </c>
      <c r="IO138" s="261" t="s">
        <v>393</v>
      </c>
      <c r="IP138" s="261" t="s">
        <v>393</v>
      </c>
      <c r="IQ138" s="261" t="s">
        <v>393</v>
      </c>
      <c r="IR138" s="261" t="s">
        <v>393</v>
      </c>
      <c r="IS138" s="262">
        <v>43987</v>
      </c>
    </row>
    <row r="139" spans="1:253" s="11" customFormat="1" ht="13.2" x14ac:dyDescent="0.25">
      <c r="A139" s="11" t="s">
        <v>795</v>
      </c>
      <c r="B139" s="11" t="s">
        <v>650</v>
      </c>
      <c r="C139" s="11" t="s">
        <v>687</v>
      </c>
      <c r="D139" s="11" t="s">
        <v>336</v>
      </c>
      <c r="E139" s="11" t="s">
        <v>335</v>
      </c>
      <c r="F139" s="11" t="s">
        <v>8332</v>
      </c>
      <c r="G139" s="235">
        <v>42074000</v>
      </c>
      <c r="H139" s="236" t="s">
        <v>935</v>
      </c>
      <c r="I139" s="236" t="s">
        <v>601</v>
      </c>
      <c r="J139" s="236">
        <v>1</v>
      </c>
      <c r="K139" s="236" t="s">
        <v>938</v>
      </c>
      <c r="L139" s="236" t="s">
        <v>937</v>
      </c>
      <c r="M139" s="237">
        <v>43511</v>
      </c>
      <c r="N139" s="244" t="s">
        <v>8333</v>
      </c>
      <c r="O139" s="239">
        <v>53206</v>
      </c>
      <c r="P139" s="239" t="s">
        <v>936</v>
      </c>
      <c r="Q139" s="239" t="s">
        <v>600</v>
      </c>
      <c r="R139" s="239">
        <v>2</v>
      </c>
      <c r="S139" s="239" t="s">
        <v>940</v>
      </c>
      <c r="T139" s="239" t="s">
        <v>939</v>
      </c>
      <c r="U139" s="240">
        <v>43511</v>
      </c>
      <c r="V139" s="244" t="s">
        <v>8334</v>
      </c>
      <c r="W139" s="236">
        <v>6309000</v>
      </c>
      <c r="X139" s="236" t="s">
        <v>2180</v>
      </c>
      <c r="Y139" s="236" t="s">
        <v>601</v>
      </c>
      <c r="Z139" s="236">
        <v>1</v>
      </c>
      <c r="AA139" s="236" t="s">
        <v>941</v>
      </c>
      <c r="AB139" s="236" t="s">
        <v>2188</v>
      </c>
      <c r="AC139" s="237">
        <v>43920</v>
      </c>
      <c r="AD139" s="244" t="s">
        <v>8335</v>
      </c>
      <c r="AE139" s="241">
        <v>5400000</v>
      </c>
      <c r="AF139" s="241" t="s">
        <v>2160</v>
      </c>
      <c r="AG139" s="241" t="s">
        <v>601</v>
      </c>
      <c r="AH139" s="241">
        <v>1</v>
      </c>
      <c r="AI139" s="241" t="s">
        <v>2190</v>
      </c>
      <c r="AJ139" s="241" t="s">
        <v>2189</v>
      </c>
      <c r="AK139" s="242">
        <v>43920</v>
      </c>
      <c r="AL139" s="244" t="s">
        <v>8336</v>
      </c>
      <c r="AM139" s="236">
        <v>1440000</v>
      </c>
      <c r="AN139" s="236" t="s">
        <v>2181</v>
      </c>
      <c r="AO139" s="236" t="s">
        <v>600</v>
      </c>
      <c r="AP139" s="236">
        <v>2</v>
      </c>
      <c r="AQ139" s="236" t="s">
        <v>2192</v>
      </c>
      <c r="AR139" s="236" t="s">
        <v>2191</v>
      </c>
      <c r="AS139" s="237">
        <v>43920</v>
      </c>
      <c r="AT139" s="245" t="s">
        <v>8337</v>
      </c>
      <c r="AU139" s="241" t="s">
        <v>393</v>
      </c>
      <c r="AV139" s="241" t="s">
        <v>393</v>
      </c>
      <c r="AW139" s="241" t="s">
        <v>393</v>
      </c>
      <c r="AX139" s="241" t="s">
        <v>393</v>
      </c>
      <c r="AY139" s="241" t="s">
        <v>393</v>
      </c>
      <c r="AZ139" s="241" t="s">
        <v>393</v>
      </c>
      <c r="BA139" s="242">
        <v>43859</v>
      </c>
      <c r="BB139" s="244" t="s">
        <v>8338</v>
      </c>
      <c r="BC139" s="236" t="s">
        <v>393</v>
      </c>
      <c r="BD139" s="236" t="s">
        <v>393</v>
      </c>
      <c r="BE139" s="236" t="s">
        <v>393</v>
      </c>
      <c r="BF139" s="236" t="s">
        <v>393</v>
      </c>
      <c r="BG139" s="236" t="s">
        <v>393</v>
      </c>
      <c r="BH139" s="236" t="s">
        <v>393</v>
      </c>
      <c r="BI139" s="237">
        <v>43920</v>
      </c>
      <c r="BJ139" s="245" t="s">
        <v>8339</v>
      </c>
      <c r="BK139" s="245">
        <v>13</v>
      </c>
      <c r="BL139" s="245" t="s">
        <v>4090</v>
      </c>
      <c r="BM139" s="245" t="s">
        <v>600</v>
      </c>
      <c r="BN139" s="245">
        <v>2</v>
      </c>
      <c r="BO139" s="245" t="s">
        <v>4092</v>
      </c>
      <c r="BP139" s="241" t="s">
        <v>4091</v>
      </c>
      <c r="BQ139" s="246">
        <v>44140</v>
      </c>
      <c r="BR139" s="244" t="s">
        <v>8340</v>
      </c>
      <c r="BS139" s="247" t="s">
        <v>393</v>
      </c>
      <c r="BT139" s="247">
        <v>0</v>
      </c>
      <c r="BU139" s="247" t="s">
        <v>600</v>
      </c>
      <c r="BV139" s="247">
        <v>2</v>
      </c>
      <c r="BW139" s="247">
        <v>0</v>
      </c>
      <c r="BX139" s="247">
        <v>0</v>
      </c>
      <c r="BY139" s="237">
        <v>43511</v>
      </c>
      <c r="BZ139" s="245" t="s">
        <v>8341</v>
      </c>
      <c r="CA139" s="245" t="s">
        <v>393</v>
      </c>
      <c r="CB139" s="245">
        <v>0</v>
      </c>
      <c r="CC139" s="245" t="s">
        <v>393</v>
      </c>
      <c r="CD139" s="245" t="s">
        <v>393</v>
      </c>
      <c r="CE139" s="245">
        <v>0</v>
      </c>
      <c r="CF139" s="245">
        <v>0</v>
      </c>
      <c r="CG139" s="246">
        <v>43511</v>
      </c>
      <c r="CH139" s="244" t="s">
        <v>8342</v>
      </c>
      <c r="CI139" s="245" t="e">
        <v>#N/A</v>
      </c>
      <c r="CJ139" s="245" t="e">
        <v>#N/A</v>
      </c>
      <c r="CK139" s="245" t="e">
        <v>#N/A</v>
      </c>
      <c r="CL139" s="245" t="e">
        <v>#N/A</v>
      </c>
      <c r="CM139" s="245" t="e">
        <v>#N/A</v>
      </c>
      <c r="CN139" s="245" t="e">
        <v>#N/A</v>
      </c>
      <c r="CO139" s="248" t="e">
        <v>#N/A</v>
      </c>
      <c r="CP139" s="245" t="s">
        <v>8343</v>
      </c>
      <c r="CQ139" s="247" t="s">
        <v>393</v>
      </c>
      <c r="CR139" s="247" t="s">
        <v>393</v>
      </c>
      <c r="CS139" s="247" t="s">
        <v>393</v>
      </c>
      <c r="CT139" s="247" t="s">
        <v>393</v>
      </c>
      <c r="CU139" s="247" t="s">
        <v>393</v>
      </c>
      <c r="CV139" s="247" t="s">
        <v>393</v>
      </c>
      <c r="CW139" s="237">
        <v>43787</v>
      </c>
      <c r="CX139" s="245" t="s">
        <v>8344</v>
      </c>
      <c r="CY139" s="241">
        <v>3400000</v>
      </c>
      <c r="CZ139" s="241" t="s">
        <v>2182</v>
      </c>
      <c r="DA139" s="241" t="s">
        <v>600</v>
      </c>
      <c r="DB139" s="241">
        <v>2</v>
      </c>
      <c r="DC139" s="241" t="s">
        <v>2194</v>
      </c>
      <c r="DD139" s="241" t="s">
        <v>2193</v>
      </c>
      <c r="DE139" s="243">
        <v>43920</v>
      </c>
      <c r="DF139" s="244" t="s">
        <v>8345</v>
      </c>
      <c r="DG139" s="236">
        <v>909000</v>
      </c>
      <c r="DH139" s="247" t="s">
        <v>2182</v>
      </c>
      <c r="DI139" s="247" t="s">
        <v>600</v>
      </c>
      <c r="DJ139" s="247">
        <v>2</v>
      </c>
      <c r="DK139" s="247" t="s">
        <v>2194</v>
      </c>
      <c r="DL139" s="247" t="s">
        <v>2193</v>
      </c>
      <c r="DM139" s="237">
        <v>43920</v>
      </c>
      <c r="DN139" s="245" t="s">
        <v>8346</v>
      </c>
      <c r="DO139" s="241">
        <v>2000000</v>
      </c>
      <c r="DP139" s="245" t="s">
        <v>2182</v>
      </c>
      <c r="DQ139" s="245" t="s">
        <v>600</v>
      </c>
      <c r="DR139" s="245">
        <v>2</v>
      </c>
      <c r="DS139" s="245" t="s">
        <v>2194</v>
      </c>
      <c r="DT139" s="245" t="s">
        <v>2193</v>
      </c>
      <c r="DU139" s="246">
        <v>43920</v>
      </c>
      <c r="DV139" s="244" t="s">
        <v>8347</v>
      </c>
      <c r="DW139" s="236">
        <v>2440000</v>
      </c>
      <c r="DX139" s="247" t="s">
        <v>2182</v>
      </c>
      <c r="DY139" s="247" t="s">
        <v>600</v>
      </c>
      <c r="DZ139" s="247">
        <v>2</v>
      </c>
      <c r="EA139" s="247" t="s">
        <v>2194</v>
      </c>
      <c r="EB139" s="247" t="s">
        <v>2193</v>
      </c>
      <c r="EC139" s="237">
        <v>43920</v>
      </c>
      <c r="ED139" s="245" t="s">
        <v>8348</v>
      </c>
      <c r="EE139" s="241">
        <v>960000</v>
      </c>
      <c r="EF139" s="245" t="s">
        <v>2182</v>
      </c>
      <c r="EG139" s="245" t="s">
        <v>600</v>
      </c>
      <c r="EH139" s="245">
        <v>2</v>
      </c>
      <c r="EI139" s="245" t="s">
        <v>2194</v>
      </c>
      <c r="EJ139" s="245" t="s">
        <v>2193</v>
      </c>
      <c r="EK139" s="246">
        <v>43920</v>
      </c>
      <c r="EL139" s="244" t="s">
        <v>8349</v>
      </c>
      <c r="EM139" s="236">
        <v>0</v>
      </c>
      <c r="EN139" s="247" t="s">
        <v>2182</v>
      </c>
      <c r="EO139" s="247" t="s">
        <v>600</v>
      </c>
      <c r="EP139" s="247">
        <v>2</v>
      </c>
      <c r="EQ139" s="247" t="s">
        <v>2194</v>
      </c>
      <c r="ER139" s="247" t="s">
        <v>2193</v>
      </c>
      <c r="ES139" s="237">
        <v>43920</v>
      </c>
      <c r="ET139" s="245" t="s">
        <v>8350</v>
      </c>
      <c r="EU139" s="245">
        <v>13</v>
      </c>
      <c r="EV139" s="245" t="s">
        <v>4090</v>
      </c>
      <c r="EW139" s="245" t="s">
        <v>600</v>
      </c>
      <c r="EX139" s="245">
        <v>2</v>
      </c>
      <c r="EY139" s="245" t="s">
        <v>4092</v>
      </c>
      <c r="EZ139" s="245" t="s">
        <v>4091</v>
      </c>
      <c r="FA139" s="246">
        <v>44140</v>
      </c>
      <c r="FB139" s="244" t="s">
        <v>8351</v>
      </c>
      <c r="FC139" s="247">
        <v>3</v>
      </c>
      <c r="FD139" s="247" t="s">
        <v>2160</v>
      </c>
      <c r="FE139" s="247" t="s">
        <v>601</v>
      </c>
      <c r="FF139" s="247">
        <v>1</v>
      </c>
      <c r="FG139" s="247" t="s">
        <v>2195</v>
      </c>
      <c r="FH139" s="247" t="s">
        <v>2189</v>
      </c>
      <c r="FI139" s="237">
        <v>43920</v>
      </c>
      <c r="FJ139" s="244" t="s">
        <v>8352</v>
      </c>
      <c r="FK139" s="245" t="s">
        <v>393</v>
      </c>
      <c r="FL139" s="245" t="s">
        <v>393</v>
      </c>
      <c r="FM139" s="245" t="s">
        <v>393</v>
      </c>
      <c r="FN139" s="245" t="s">
        <v>393</v>
      </c>
      <c r="FO139" s="245" t="s">
        <v>393</v>
      </c>
      <c r="FP139" s="241" t="s">
        <v>393</v>
      </c>
      <c r="FQ139" s="242">
        <v>43920</v>
      </c>
      <c r="FR139" s="244" t="s">
        <v>8353</v>
      </c>
      <c r="FS139" s="247" t="s">
        <v>393</v>
      </c>
      <c r="FT139" s="247">
        <v>0</v>
      </c>
      <c r="FU139" s="247" t="s">
        <v>600</v>
      </c>
      <c r="FV139" s="247">
        <v>2</v>
      </c>
      <c r="FW139" s="247">
        <v>0</v>
      </c>
      <c r="FX139" s="247">
        <v>0</v>
      </c>
      <c r="FY139" s="237">
        <v>43511</v>
      </c>
      <c r="FZ139" s="245" t="s">
        <v>8354</v>
      </c>
      <c r="GA139" s="245">
        <v>2</v>
      </c>
      <c r="GB139" s="245" t="s">
        <v>1587</v>
      </c>
      <c r="GC139" s="245" t="s">
        <v>600</v>
      </c>
      <c r="GD139" s="245">
        <v>2</v>
      </c>
      <c r="GE139" s="245" t="s">
        <v>1623</v>
      </c>
      <c r="GF139" s="245" t="s">
        <v>1624</v>
      </c>
      <c r="GG139" s="246">
        <v>43767</v>
      </c>
      <c r="GH139" s="244" t="s">
        <v>8355</v>
      </c>
      <c r="GI139" s="247">
        <v>3</v>
      </c>
      <c r="GJ139" s="247" t="s">
        <v>1587</v>
      </c>
      <c r="GK139" s="247" t="s">
        <v>601</v>
      </c>
      <c r="GL139" s="247">
        <v>1</v>
      </c>
      <c r="GM139" s="247" t="s">
        <v>1623</v>
      </c>
      <c r="GN139" s="247" t="s">
        <v>1624</v>
      </c>
      <c r="GO139" s="237">
        <v>43767</v>
      </c>
      <c r="GP139" s="245" t="s">
        <v>8356</v>
      </c>
      <c r="GQ139" s="245">
        <v>2</v>
      </c>
      <c r="GR139" s="245" t="s">
        <v>1587</v>
      </c>
      <c r="GS139" s="245" t="s">
        <v>600</v>
      </c>
      <c r="GT139" s="245">
        <v>2</v>
      </c>
      <c r="GU139" s="245" t="s">
        <v>1623</v>
      </c>
      <c r="GV139" s="245" t="s">
        <v>1624</v>
      </c>
      <c r="GW139" s="246">
        <v>43767</v>
      </c>
      <c r="GX139" s="244" t="s">
        <v>8357</v>
      </c>
      <c r="GY139" s="247">
        <v>0</v>
      </c>
      <c r="GZ139" s="247" t="s">
        <v>1587</v>
      </c>
      <c r="HA139" s="247" t="s">
        <v>600</v>
      </c>
      <c r="HB139" s="247">
        <v>2</v>
      </c>
      <c r="HC139" s="247" t="s">
        <v>1623</v>
      </c>
      <c r="HD139" s="247" t="s">
        <v>1624</v>
      </c>
      <c r="HE139" s="237">
        <v>43767</v>
      </c>
      <c r="HF139" s="245" t="s">
        <v>8358</v>
      </c>
      <c r="HG139" s="245">
        <v>0</v>
      </c>
      <c r="HH139" s="245" t="s">
        <v>1587</v>
      </c>
      <c r="HI139" s="245" t="s">
        <v>600</v>
      </c>
      <c r="HJ139" s="245">
        <v>2</v>
      </c>
      <c r="HK139" s="245" t="s">
        <v>1623</v>
      </c>
      <c r="HL139" s="245" t="s">
        <v>1624</v>
      </c>
      <c r="HM139" s="246">
        <v>43767</v>
      </c>
      <c r="HN139" s="244" t="s">
        <v>8359</v>
      </c>
      <c r="HO139" s="247">
        <v>2</v>
      </c>
      <c r="HP139" s="247" t="s">
        <v>1587</v>
      </c>
      <c r="HQ139" s="247" t="s">
        <v>601</v>
      </c>
      <c r="HR139" s="247">
        <v>1</v>
      </c>
      <c r="HS139" s="247" t="s">
        <v>1623</v>
      </c>
      <c r="HT139" s="247" t="s">
        <v>1624</v>
      </c>
      <c r="HU139" s="237">
        <v>43767</v>
      </c>
      <c r="HV139" s="245" t="s">
        <v>8360</v>
      </c>
      <c r="HW139" s="245">
        <v>2</v>
      </c>
      <c r="HX139" s="245" t="s">
        <v>1587</v>
      </c>
      <c r="HY139" s="245" t="s">
        <v>601</v>
      </c>
      <c r="HZ139" s="245">
        <v>1</v>
      </c>
      <c r="IA139" s="245" t="s">
        <v>1623</v>
      </c>
      <c r="IB139" s="245" t="s">
        <v>1624</v>
      </c>
      <c r="IC139" s="246">
        <v>43767</v>
      </c>
      <c r="ID139" s="244" t="s">
        <v>8361</v>
      </c>
      <c r="IE139" s="247">
        <v>3</v>
      </c>
      <c r="IF139" s="247" t="s">
        <v>1587</v>
      </c>
      <c r="IG139" s="247" t="s">
        <v>601</v>
      </c>
      <c r="IH139" s="247">
        <v>1</v>
      </c>
      <c r="II139" s="247" t="s">
        <v>1623</v>
      </c>
      <c r="IJ139" s="247" t="s">
        <v>1624</v>
      </c>
      <c r="IK139" s="237">
        <v>43767</v>
      </c>
      <c r="IL139" s="245" t="s">
        <v>8362</v>
      </c>
      <c r="IM139" s="245">
        <v>0</v>
      </c>
      <c r="IN139" s="245" t="s">
        <v>1587</v>
      </c>
      <c r="IO139" s="245" t="s">
        <v>600</v>
      </c>
      <c r="IP139" s="245">
        <v>2</v>
      </c>
      <c r="IQ139" s="245" t="s">
        <v>1623</v>
      </c>
      <c r="IR139" s="245" t="s">
        <v>1624</v>
      </c>
      <c r="IS139" s="246">
        <v>43767</v>
      </c>
    </row>
    <row r="140" spans="1:253" s="11" customFormat="1" ht="13.2" x14ac:dyDescent="0.25">
      <c r="A140" s="11" t="s">
        <v>2265</v>
      </c>
      <c r="B140" s="11" t="s">
        <v>1549</v>
      </c>
      <c r="C140" s="11" t="s">
        <v>2244</v>
      </c>
      <c r="D140" s="11" t="s">
        <v>347</v>
      </c>
      <c r="E140" s="11" t="s">
        <v>346</v>
      </c>
      <c r="F140" s="11" t="s">
        <v>8363</v>
      </c>
      <c r="G140" s="235">
        <v>272000</v>
      </c>
      <c r="H140" s="236" t="s">
        <v>2251</v>
      </c>
      <c r="I140" s="236" t="s">
        <v>600</v>
      </c>
      <c r="J140" s="236">
        <v>2</v>
      </c>
      <c r="K140" s="236" t="s">
        <v>2253</v>
      </c>
      <c r="L140" s="236" t="s">
        <v>2252</v>
      </c>
      <c r="M140" s="237">
        <v>43936</v>
      </c>
      <c r="N140" s="244" t="s">
        <v>8364</v>
      </c>
      <c r="O140" s="239">
        <v>10562</v>
      </c>
      <c r="P140" s="239" t="s">
        <v>2269</v>
      </c>
      <c r="Q140" s="239" t="s">
        <v>600</v>
      </c>
      <c r="R140" s="239">
        <v>2</v>
      </c>
      <c r="S140" s="239" t="s">
        <v>2280</v>
      </c>
      <c r="T140" s="239" t="s">
        <v>2274</v>
      </c>
      <c r="U140" s="240">
        <v>43950</v>
      </c>
      <c r="V140" s="244" t="s">
        <v>8365</v>
      </c>
      <c r="W140" s="236">
        <v>231000</v>
      </c>
      <c r="X140" s="236" t="s">
        <v>2269</v>
      </c>
      <c r="Y140" s="236" t="s">
        <v>600</v>
      </c>
      <c r="Z140" s="236">
        <v>2</v>
      </c>
      <c r="AA140" s="236" t="s">
        <v>2281</v>
      </c>
      <c r="AB140" s="236" t="s">
        <v>2274</v>
      </c>
      <c r="AC140" s="237">
        <v>43950</v>
      </c>
      <c r="AD140" s="244" t="s">
        <v>8366</v>
      </c>
      <c r="AE140" s="241">
        <v>157000</v>
      </c>
      <c r="AF140" s="241" t="s">
        <v>2270</v>
      </c>
      <c r="AG140" s="241" t="s">
        <v>600</v>
      </c>
      <c r="AH140" s="241">
        <v>2</v>
      </c>
      <c r="AI140" s="241" t="s">
        <v>2282</v>
      </c>
      <c r="AJ140" s="241" t="s">
        <v>2275</v>
      </c>
      <c r="AK140" s="242">
        <v>43950</v>
      </c>
      <c r="AL140" s="244" t="s">
        <v>8367</v>
      </c>
      <c r="AM140" s="236">
        <v>18000</v>
      </c>
      <c r="AN140" s="236" t="s">
        <v>2683</v>
      </c>
      <c r="AO140" s="236" t="s">
        <v>599</v>
      </c>
      <c r="AP140" s="236">
        <v>3</v>
      </c>
      <c r="AQ140" s="236" t="s">
        <v>2685</v>
      </c>
      <c r="AR140" s="236" t="s">
        <v>2684</v>
      </c>
      <c r="AS140" s="237">
        <v>44014</v>
      </c>
      <c r="AT140" s="245" t="s">
        <v>8368</v>
      </c>
      <c r="AU140" s="241" t="s">
        <v>393</v>
      </c>
      <c r="AV140" s="241" t="s">
        <v>393</v>
      </c>
      <c r="AW140" s="241" t="s">
        <v>393</v>
      </c>
      <c r="AX140" s="241" t="s">
        <v>393</v>
      </c>
      <c r="AY140" s="241" t="s">
        <v>393</v>
      </c>
      <c r="AZ140" s="241" t="s">
        <v>393</v>
      </c>
      <c r="BA140" s="242">
        <v>43936</v>
      </c>
      <c r="BB140" s="244" t="s">
        <v>8369</v>
      </c>
      <c r="BC140" s="236" t="s">
        <v>393</v>
      </c>
      <c r="BD140" s="236" t="s">
        <v>393</v>
      </c>
      <c r="BE140" s="236" t="s">
        <v>393</v>
      </c>
      <c r="BF140" s="236" t="s">
        <v>393</v>
      </c>
      <c r="BG140" s="236" t="s">
        <v>393</v>
      </c>
      <c r="BH140" s="236" t="s">
        <v>393</v>
      </c>
      <c r="BI140" s="237">
        <v>43936</v>
      </c>
      <c r="BJ140" s="245" t="s">
        <v>8370</v>
      </c>
      <c r="BK140" s="245">
        <v>4</v>
      </c>
      <c r="BL140" s="245" t="s">
        <v>2248</v>
      </c>
      <c r="BM140" s="245" t="s">
        <v>599</v>
      </c>
      <c r="BN140" s="245">
        <v>3</v>
      </c>
      <c r="BO140" s="245" t="s">
        <v>2250</v>
      </c>
      <c r="BP140" s="241" t="s">
        <v>2249</v>
      </c>
      <c r="BQ140" s="246">
        <v>43936</v>
      </c>
      <c r="BR140" s="244" t="s">
        <v>8371</v>
      </c>
      <c r="BS140" s="247" t="s">
        <v>393</v>
      </c>
      <c r="BT140" s="247" t="s">
        <v>393</v>
      </c>
      <c r="BU140" s="247" t="s">
        <v>393</v>
      </c>
      <c r="BV140" s="247" t="s">
        <v>393</v>
      </c>
      <c r="BW140" s="247" t="s">
        <v>393</v>
      </c>
      <c r="BX140" s="247" t="s">
        <v>393</v>
      </c>
      <c r="BY140" s="237">
        <v>43936</v>
      </c>
      <c r="BZ140" s="245" t="s">
        <v>8372</v>
      </c>
      <c r="CA140" s="245" t="s">
        <v>393</v>
      </c>
      <c r="CB140" s="245" t="s">
        <v>393</v>
      </c>
      <c r="CC140" s="245" t="s">
        <v>393</v>
      </c>
      <c r="CD140" s="245" t="s">
        <v>393</v>
      </c>
      <c r="CE140" s="245" t="s">
        <v>393</v>
      </c>
      <c r="CF140" s="245" t="s">
        <v>393</v>
      </c>
      <c r="CG140" s="246">
        <v>43936</v>
      </c>
      <c r="CH140" s="244" t="s">
        <v>8373</v>
      </c>
      <c r="CI140" s="245" t="e">
        <v>#N/A</v>
      </c>
      <c r="CJ140" s="245" t="e">
        <v>#N/A</v>
      </c>
      <c r="CK140" s="245" t="e">
        <v>#N/A</v>
      </c>
      <c r="CL140" s="245" t="e">
        <v>#N/A</v>
      </c>
      <c r="CM140" s="245" t="e">
        <v>#N/A</v>
      </c>
      <c r="CN140" s="245" t="e">
        <v>#N/A</v>
      </c>
      <c r="CO140" s="248" t="e">
        <v>#N/A</v>
      </c>
      <c r="CP140" s="245" t="s">
        <v>8374</v>
      </c>
      <c r="CQ140" s="247" t="s">
        <v>393</v>
      </c>
      <c r="CR140" s="247" t="s">
        <v>393</v>
      </c>
      <c r="CS140" s="247" t="s">
        <v>393</v>
      </c>
      <c r="CT140" s="247" t="s">
        <v>393</v>
      </c>
      <c r="CU140" s="247" t="s">
        <v>393</v>
      </c>
      <c r="CV140" s="247" t="s">
        <v>393</v>
      </c>
      <c r="CW140" s="237">
        <v>43936</v>
      </c>
      <c r="CX140" s="245" t="s">
        <v>8375</v>
      </c>
      <c r="CY140" s="241">
        <v>123000</v>
      </c>
      <c r="CZ140" s="241" t="s">
        <v>2271</v>
      </c>
      <c r="DA140" s="241" t="s">
        <v>600</v>
      </c>
      <c r="DB140" s="241">
        <v>2</v>
      </c>
      <c r="DC140" s="241" t="s">
        <v>2283</v>
      </c>
      <c r="DD140" s="241" t="s">
        <v>2276</v>
      </c>
      <c r="DE140" s="243">
        <v>43950</v>
      </c>
      <c r="DF140" s="244" t="s">
        <v>8376</v>
      </c>
      <c r="DG140" s="236">
        <v>75000</v>
      </c>
      <c r="DH140" s="247" t="s">
        <v>2271</v>
      </c>
      <c r="DI140" s="247" t="s">
        <v>600</v>
      </c>
      <c r="DJ140" s="247">
        <v>2</v>
      </c>
      <c r="DK140" s="247" t="s">
        <v>2283</v>
      </c>
      <c r="DL140" s="247" t="s">
        <v>2276</v>
      </c>
      <c r="DM140" s="237">
        <v>43950</v>
      </c>
      <c r="DN140" s="245" t="s">
        <v>8377</v>
      </c>
      <c r="DO140" s="241">
        <v>33000</v>
      </c>
      <c r="DP140" s="245" t="s">
        <v>2271</v>
      </c>
      <c r="DQ140" s="245" t="s">
        <v>600</v>
      </c>
      <c r="DR140" s="245">
        <v>2</v>
      </c>
      <c r="DS140" s="245" t="s">
        <v>2283</v>
      </c>
      <c r="DT140" s="245" t="s">
        <v>2276</v>
      </c>
      <c r="DU140" s="246">
        <v>43950</v>
      </c>
      <c r="DV140" s="244" t="s">
        <v>8378</v>
      </c>
      <c r="DW140" s="236">
        <v>123000</v>
      </c>
      <c r="DX140" s="247" t="s">
        <v>2271</v>
      </c>
      <c r="DY140" s="247" t="s">
        <v>600</v>
      </c>
      <c r="DZ140" s="247">
        <v>2</v>
      </c>
      <c r="EA140" s="247" t="s">
        <v>2283</v>
      </c>
      <c r="EB140" s="247" t="s">
        <v>2276</v>
      </c>
      <c r="EC140" s="237">
        <v>43950</v>
      </c>
      <c r="ED140" s="245" t="s">
        <v>8379</v>
      </c>
      <c r="EE140" s="241">
        <v>0</v>
      </c>
      <c r="EF140" s="245" t="s">
        <v>2271</v>
      </c>
      <c r="EG140" s="245" t="s">
        <v>600</v>
      </c>
      <c r="EH140" s="245">
        <v>2</v>
      </c>
      <c r="EI140" s="245" t="s">
        <v>2283</v>
      </c>
      <c r="EJ140" s="245" t="s">
        <v>2276</v>
      </c>
      <c r="EK140" s="246">
        <v>43950</v>
      </c>
      <c r="EL140" s="244" t="s">
        <v>8380</v>
      </c>
      <c r="EM140" s="236">
        <v>0</v>
      </c>
      <c r="EN140" s="247" t="s">
        <v>2271</v>
      </c>
      <c r="EO140" s="247" t="s">
        <v>600</v>
      </c>
      <c r="EP140" s="247">
        <v>2</v>
      </c>
      <c r="EQ140" s="247" t="s">
        <v>2283</v>
      </c>
      <c r="ER140" s="247" t="s">
        <v>2276</v>
      </c>
      <c r="ES140" s="237">
        <v>43950</v>
      </c>
      <c r="ET140" s="245" t="s">
        <v>8381</v>
      </c>
      <c r="EU140" s="245">
        <v>4</v>
      </c>
      <c r="EV140" s="245" t="s">
        <v>2248</v>
      </c>
      <c r="EW140" s="245" t="s">
        <v>599</v>
      </c>
      <c r="EX140" s="245">
        <v>3</v>
      </c>
      <c r="EY140" s="245" t="s">
        <v>2250</v>
      </c>
      <c r="EZ140" s="245" t="s">
        <v>2249</v>
      </c>
      <c r="FA140" s="246">
        <v>43936</v>
      </c>
      <c r="FB140" s="244" t="s">
        <v>8382</v>
      </c>
      <c r="FC140" s="247">
        <v>1</v>
      </c>
      <c r="FD140" s="247" t="s">
        <v>2245</v>
      </c>
      <c r="FE140" s="247" t="s">
        <v>601</v>
      </c>
      <c r="FF140" s="247">
        <v>1</v>
      </c>
      <c r="FG140" s="247" t="s">
        <v>2247</v>
      </c>
      <c r="FH140" s="247" t="s">
        <v>2246</v>
      </c>
      <c r="FI140" s="237">
        <v>43936</v>
      </c>
      <c r="FJ140" s="244" t="s">
        <v>8383</v>
      </c>
      <c r="FK140" s="245" t="s">
        <v>393</v>
      </c>
      <c r="FL140" s="245" t="s">
        <v>393</v>
      </c>
      <c r="FM140" s="245" t="s">
        <v>393</v>
      </c>
      <c r="FN140" s="245" t="s">
        <v>393</v>
      </c>
      <c r="FO140" s="245" t="s">
        <v>393</v>
      </c>
      <c r="FP140" s="241" t="s">
        <v>393</v>
      </c>
      <c r="FQ140" s="242">
        <v>43936</v>
      </c>
      <c r="FR140" s="244" t="s">
        <v>8384</v>
      </c>
      <c r="FS140" s="247" t="s">
        <v>393</v>
      </c>
      <c r="FT140" s="247" t="s">
        <v>393</v>
      </c>
      <c r="FU140" s="247" t="s">
        <v>393</v>
      </c>
      <c r="FV140" s="247" t="s">
        <v>393</v>
      </c>
      <c r="FW140" s="247" t="s">
        <v>393</v>
      </c>
      <c r="FX140" s="247" t="s">
        <v>393</v>
      </c>
      <c r="FY140" s="237">
        <v>43936</v>
      </c>
      <c r="FZ140" s="245" t="s">
        <v>8385</v>
      </c>
      <c r="GA140" s="245">
        <v>1</v>
      </c>
      <c r="GB140" s="245" t="s">
        <v>2096</v>
      </c>
      <c r="GC140" s="245" t="s">
        <v>601</v>
      </c>
      <c r="GD140" s="245">
        <v>1</v>
      </c>
      <c r="GE140" s="245" t="s">
        <v>2255</v>
      </c>
      <c r="GF140" s="245" t="s">
        <v>1723</v>
      </c>
      <c r="GG140" s="246">
        <v>43936</v>
      </c>
      <c r="GH140" s="244" t="s">
        <v>8386</v>
      </c>
      <c r="GI140" s="247">
        <v>0</v>
      </c>
      <c r="GJ140" s="247" t="s">
        <v>2096</v>
      </c>
      <c r="GK140" s="247" t="s">
        <v>601</v>
      </c>
      <c r="GL140" s="247">
        <v>1</v>
      </c>
      <c r="GM140" s="247" t="s">
        <v>393</v>
      </c>
      <c r="GN140" s="247" t="s">
        <v>1723</v>
      </c>
      <c r="GO140" s="237">
        <v>43936</v>
      </c>
      <c r="GP140" s="245" t="s">
        <v>8387</v>
      </c>
      <c r="GQ140" s="245">
        <v>0</v>
      </c>
      <c r="GR140" s="245" t="s">
        <v>2096</v>
      </c>
      <c r="GS140" s="245" t="s">
        <v>601</v>
      </c>
      <c r="GT140" s="245">
        <v>1</v>
      </c>
      <c r="GU140" s="245" t="s">
        <v>393</v>
      </c>
      <c r="GV140" s="245" t="s">
        <v>1723</v>
      </c>
      <c r="GW140" s="246">
        <v>43936</v>
      </c>
      <c r="GX140" s="244" t="s">
        <v>8388</v>
      </c>
      <c r="GY140" s="247">
        <v>0</v>
      </c>
      <c r="GZ140" s="247" t="s">
        <v>2096</v>
      </c>
      <c r="HA140" s="247" t="s">
        <v>601</v>
      </c>
      <c r="HB140" s="247">
        <v>1</v>
      </c>
      <c r="HC140" s="247" t="s">
        <v>393</v>
      </c>
      <c r="HD140" s="247" t="s">
        <v>1723</v>
      </c>
      <c r="HE140" s="237">
        <v>43936</v>
      </c>
      <c r="HF140" s="245" t="s">
        <v>8389</v>
      </c>
      <c r="HG140" s="245">
        <v>0</v>
      </c>
      <c r="HH140" s="245" t="s">
        <v>2096</v>
      </c>
      <c r="HI140" s="245" t="s">
        <v>601</v>
      </c>
      <c r="HJ140" s="245">
        <v>1</v>
      </c>
      <c r="HK140" s="245" t="s">
        <v>393</v>
      </c>
      <c r="HL140" s="245" t="s">
        <v>1723</v>
      </c>
      <c r="HM140" s="246">
        <v>43936</v>
      </c>
      <c r="HN140" s="244" t="s">
        <v>8390</v>
      </c>
      <c r="HO140" s="247">
        <v>0</v>
      </c>
      <c r="HP140" s="247" t="s">
        <v>2096</v>
      </c>
      <c r="HQ140" s="247" t="s">
        <v>601</v>
      </c>
      <c r="HR140" s="247">
        <v>1</v>
      </c>
      <c r="HS140" s="247" t="s">
        <v>393</v>
      </c>
      <c r="HT140" s="247" t="s">
        <v>1723</v>
      </c>
      <c r="HU140" s="237">
        <v>43936</v>
      </c>
      <c r="HV140" s="245" t="s">
        <v>8391</v>
      </c>
      <c r="HW140" s="245">
        <v>0</v>
      </c>
      <c r="HX140" s="245" t="s">
        <v>2096</v>
      </c>
      <c r="HY140" s="245" t="s">
        <v>601</v>
      </c>
      <c r="HZ140" s="245">
        <v>1</v>
      </c>
      <c r="IA140" s="245" t="s">
        <v>393</v>
      </c>
      <c r="IB140" s="245" t="s">
        <v>1723</v>
      </c>
      <c r="IC140" s="246">
        <v>43936</v>
      </c>
      <c r="ID140" s="244" t="s">
        <v>8392</v>
      </c>
      <c r="IE140" s="247">
        <v>0</v>
      </c>
      <c r="IF140" s="247" t="s">
        <v>2096</v>
      </c>
      <c r="IG140" s="247" t="s">
        <v>601</v>
      </c>
      <c r="IH140" s="247">
        <v>1</v>
      </c>
      <c r="II140" s="247" t="s">
        <v>393</v>
      </c>
      <c r="IJ140" s="247" t="s">
        <v>1723</v>
      </c>
      <c r="IK140" s="237">
        <v>43936</v>
      </c>
      <c r="IL140" s="245" t="s">
        <v>8393</v>
      </c>
      <c r="IM140" s="245">
        <v>3</v>
      </c>
      <c r="IN140" s="245" t="s">
        <v>2096</v>
      </c>
      <c r="IO140" s="245" t="s">
        <v>601</v>
      </c>
      <c r="IP140" s="245">
        <v>1</v>
      </c>
      <c r="IQ140" s="245" t="s">
        <v>2254</v>
      </c>
      <c r="IR140" s="245" t="s">
        <v>1723</v>
      </c>
      <c r="IS140" s="246">
        <v>43936</v>
      </c>
    </row>
    <row r="141" spans="1:253" s="11" customFormat="1" ht="13.2" x14ac:dyDescent="0.25">
      <c r="A141" s="11" t="s">
        <v>1111</v>
      </c>
      <c r="B141" s="11" t="s">
        <v>691</v>
      </c>
      <c r="C141" s="11" t="s">
        <v>597</v>
      </c>
      <c r="D141" s="11" t="s">
        <v>391</v>
      </c>
      <c r="E141" s="11" t="s">
        <v>348</v>
      </c>
      <c r="F141" s="11" t="s">
        <v>8394</v>
      </c>
      <c r="G141" s="235">
        <v>27365000</v>
      </c>
      <c r="H141" s="236" t="s">
        <v>3349</v>
      </c>
      <c r="I141" s="236" t="s">
        <v>600</v>
      </c>
      <c r="J141" s="236">
        <v>2</v>
      </c>
      <c r="K141" s="236" t="s">
        <v>2380</v>
      </c>
      <c r="L141" s="236" t="s">
        <v>2379</v>
      </c>
      <c r="M141" s="237">
        <v>44140</v>
      </c>
      <c r="N141" s="260" t="s">
        <v>8395</v>
      </c>
      <c r="O141" s="239">
        <v>882050</v>
      </c>
      <c r="P141" s="239" t="s">
        <v>3400</v>
      </c>
      <c r="Q141" s="239" t="s">
        <v>601</v>
      </c>
      <c r="R141" s="239">
        <v>1</v>
      </c>
      <c r="S141" s="239" t="s">
        <v>2377</v>
      </c>
      <c r="T141" s="239" t="s">
        <v>3646</v>
      </c>
      <c r="U141" s="240">
        <v>44111</v>
      </c>
      <c r="V141" s="260" t="s">
        <v>8396</v>
      </c>
      <c r="W141" s="236">
        <v>27365000</v>
      </c>
      <c r="X141" s="236" t="s">
        <v>3349</v>
      </c>
      <c r="Y141" s="236" t="s">
        <v>600</v>
      </c>
      <c r="Z141" s="236">
        <v>2</v>
      </c>
      <c r="AA141" s="236" t="s">
        <v>2380</v>
      </c>
      <c r="AB141" s="236" t="s">
        <v>2379</v>
      </c>
      <c r="AC141" s="237">
        <v>44140</v>
      </c>
      <c r="AD141" s="260" t="s">
        <v>8397</v>
      </c>
      <c r="AE141" s="241">
        <v>27365000</v>
      </c>
      <c r="AF141" s="241" t="s">
        <v>3349</v>
      </c>
      <c r="AG141" s="241" t="s">
        <v>600</v>
      </c>
      <c r="AH141" s="241">
        <v>2</v>
      </c>
      <c r="AI141" s="241" t="s">
        <v>2381</v>
      </c>
      <c r="AJ141" s="241" t="s">
        <v>2379</v>
      </c>
      <c r="AK141" s="242">
        <v>44140</v>
      </c>
      <c r="AL141" s="260" t="s">
        <v>8398</v>
      </c>
      <c r="AM141" s="236">
        <v>5490000</v>
      </c>
      <c r="AN141" s="236" t="s">
        <v>4093</v>
      </c>
      <c r="AO141" s="236" t="s">
        <v>600</v>
      </c>
      <c r="AP141" s="236">
        <v>2</v>
      </c>
      <c r="AQ141" s="236" t="s">
        <v>3573</v>
      </c>
      <c r="AR141" s="236" t="s">
        <v>912</v>
      </c>
      <c r="AS141" s="237">
        <v>44140</v>
      </c>
      <c r="AT141" s="261" t="s">
        <v>8399</v>
      </c>
      <c r="AU141" s="241" t="s">
        <v>393</v>
      </c>
      <c r="AV141" s="241">
        <v>0</v>
      </c>
      <c r="AW141" s="241" t="s">
        <v>393</v>
      </c>
      <c r="AX141" s="241" t="s">
        <v>393</v>
      </c>
      <c r="AY141" s="241" t="s">
        <v>732</v>
      </c>
      <c r="AZ141" s="241">
        <v>0</v>
      </c>
      <c r="BA141" s="242">
        <v>43494</v>
      </c>
      <c r="BB141" s="260" t="s">
        <v>8400</v>
      </c>
      <c r="BC141" s="236" t="s">
        <v>393</v>
      </c>
      <c r="BD141" s="236" t="s">
        <v>1987</v>
      </c>
      <c r="BE141" s="236" t="s">
        <v>393</v>
      </c>
      <c r="BF141" s="236" t="s">
        <v>393</v>
      </c>
      <c r="BG141" s="236" t="s">
        <v>2007</v>
      </c>
      <c r="BH141" s="236" t="s">
        <v>2006</v>
      </c>
      <c r="BI141" s="237">
        <v>43867</v>
      </c>
      <c r="BJ141" s="261" t="s">
        <v>8401</v>
      </c>
      <c r="BK141" s="261">
        <v>8253</v>
      </c>
      <c r="BL141" s="261" t="s">
        <v>729</v>
      </c>
      <c r="BM141" s="261" t="s">
        <v>599</v>
      </c>
      <c r="BN141" s="261">
        <v>3</v>
      </c>
      <c r="BO141" s="261" t="s">
        <v>2009</v>
      </c>
      <c r="BP141" s="241" t="s">
        <v>2008</v>
      </c>
      <c r="BQ141" s="262">
        <v>43867</v>
      </c>
      <c r="BR141" s="260" t="s">
        <v>8402</v>
      </c>
      <c r="BS141" s="263" t="s">
        <v>393</v>
      </c>
      <c r="BT141" s="263">
        <v>0</v>
      </c>
      <c r="BU141" s="263" t="s">
        <v>393</v>
      </c>
      <c r="BV141" s="263" t="s">
        <v>393</v>
      </c>
      <c r="BW141" s="263" t="s">
        <v>733</v>
      </c>
      <c r="BX141" s="263">
        <v>0</v>
      </c>
      <c r="BY141" s="237">
        <v>43494</v>
      </c>
      <c r="BZ141" s="261" t="s">
        <v>8403</v>
      </c>
      <c r="CA141" s="261" t="s">
        <v>393</v>
      </c>
      <c r="CB141" s="261">
        <v>0</v>
      </c>
      <c r="CC141" s="261" t="s">
        <v>393</v>
      </c>
      <c r="CD141" s="261" t="s">
        <v>393</v>
      </c>
      <c r="CE141" s="261">
        <v>0</v>
      </c>
      <c r="CF141" s="261">
        <v>0</v>
      </c>
      <c r="CG141" s="262">
        <v>43494</v>
      </c>
      <c r="CH141" s="260" t="s">
        <v>8404</v>
      </c>
      <c r="CI141" s="261" t="e">
        <v>#N/A</v>
      </c>
      <c r="CJ141" s="261" t="e">
        <v>#N/A</v>
      </c>
      <c r="CK141" s="261" t="e">
        <v>#N/A</v>
      </c>
      <c r="CL141" s="261" t="e">
        <v>#N/A</v>
      </c>
      <c r="CM141" s="261" t="e">
        <v>#N/A</v>
      </c>
      <c r="CN141" s="261" t="e">
        <v>#N/A</v>
      </c>
      <c r="CO141" s="264" t="e">
        <v>#N/A</v>
      </c>
      <c r="CP141" s="261" t="s">
        <v>8405</v>
      </c>
      <c r="CQ141" s="263">
        <v>223750</v>
      </c>
      <c r="CR141" s="263" t="s">
        <v>730</v>
      </c>
      <c r="CS141" s="263" t="s">
        <v>601</v>
      </c>
      <c r="CT141" s="263">
        <v>1</v>
      </c>
      <c r="CU141" s="263" t="s">
        <v>735</v>
      </c>
      <c r="CV141" s="263" t="s">
        <v>734</v>
      </c>
      <c r="CW141" s="237">
        <v>43494</v>
      </c>
      <c r="CX141" s="261" t="s">
        <v>8406</v>
      </c>
      <c r="CY141" s="241">
        <v>13956000</v>
      </c>
      <c r="CZ141" s="241" t="s">
        <v>3351</v>
      </c>
      <c r="DA141" s="241" t="s">
        <v>600</v>
      </c>
      <c r="DB141" s="241">
        <v>2</v>
      </c>
      <c r="DC141" s="241" t="s">
        <v>2383</v>
      </c>
      <c r="DD141" s="241" t="s">
        <v>2382</v>
      </c>
      <c r="DE141" s="243">
        <v>44140</v>
      </c>
      <c r="DF141" s="260" t="s">
        <v>8407</v>
      </c>
      <c r="DG141" s="236">
        <v>13409000</v>
      </c>
      <c r="DH141" s="263" t="s">
        <v>3351</v>
      </c>
      <c r="DI141" s="263" t="s">
        <v>600</v>
      </c>
      <c r="DJ141" s="263">
        <v>2</v>
      </c>
      <c r="DK141" s="263" t="s">
        <v>2383</v>
      </c>
      <c r="DL141" s="263" t="s">
        <v>2382</v>
      </c>
      <c r="DM141" s="237">
        <v>44140</v>
      </c>
      <c r="DN141" s="261" t="s">
        <v>8408</v>
      </c>
      <c r="DO141" s="241">
        <v>0</v>
      </c>
      <c r="DP141" s="261" t="s">
        <v>3351</v>
      </c>
      <c r="DQ141" s="261" t="s">
        <v>600</v>
      </c>
      <c r="DR141" s="261">
        <v>2</v>
      </c>
      <c r="DS141" s="261" t="s">
        <v>2383</v>
      </c>
      <c r="DT141" s="261" t="s">
        <v>2382</v>
      </c>
      <c r="DU141" s="262">
        <v>44140</v>
      </c>
      <c r="DV141" s="260" t="s">
        <v>8409</v>
      </c>
      <c r="DW141" s="236">
        <v>13956000</v>
      </c>
      <c r="DX141" s="263" t="s">
        <v>3351</v>
      </c>
      <c r="DY141" s="263" t="s">
        <v>600</v>
      </c>
      <c r="DZ141" s="263">
        <v>2</v>
      </c>
      <c r="EA141" s="263" t="s">
        <v>2383</v>
      </c>
      <c r="EB141" s="263" t="s">
        <v>2382</v>
      </c>
      <c r="EC141" s="237">
        <v>44140</v>
      </c>
      <c r="ED141" s="261" t="s">
        <v>8410</v>
      </c>
      <c r="EE141" s="241">
        <v>0</v>
      </c>
      <c r="EF141" s="261" t="s">
        <v>3351</v>
      </c>
      <c r="EG141" s="261" t="s">
        <v>600</v>
      </c>
      <c r="EH141" s="261">
        <v>2</v>
      </c>
      <c r="EI141" s="261" t="s">
        <v>2383</v>
      </c>
      <c r="EJ141" s="261" t="s">
        <v>2382</v>
      </c>
      <c r="EK141" s="262">
        <v>44140</v>
      </c>
      <c r="EL141" s="260" t="s">
        <v>8411</v>
      </c>
      <c r="EM141" s="236">
        <v>0</v>
      </c>
      <c r="EN141" s="263" t="s">
        <v>3351</v>
      </c>
      <c r="EO141" s="263" t="s">
        <v>600</v>
      </c>
      <c r="EP141" s="263">
        <v>2</v>
      </c>
      <c r="EQ141" s="263" t="s">
        <v>2383</v>
      </c>
      <c r="ER141" s="263" t="s">
        <v>2382</v>
      </c>
      <c r="ES141" s="237">
        <v>44140</v>
      </c>
      <c r="ET141" s="261" t="s">
        <v>8412</v>
      </c>
      <c r="EU141" s="261">
        <v>8253</v>
      </c>
      <c r="EV141" s="261" t="s">
        <v>729</v>
      </c>
      <c r="EW141" s="261" t="s">
        <v>599</v>
      </c>
      <c r="EX141" s="261">
        <v>3</v>
      </c>
      <c r="EY141" s="261" t="s">
        <v>2009</v>
      </c>
      <c r="EZ141" s="261" t="s">
        <v>2008</v>
      </c>
      <c r="FA141" s="262">
        <v>43867</v>
      </c>
      <c r="FB141" s="260" t="s">
        <v>8413</v>
      </c>
      <c r="FC141" s="263">
        <v>2</v>
      </c>
      <c r="FD141" s="263" t="s">
        <v>1149</v>
      </c>
      <c r="FE141" s="263" t="s">
        <v>599</v>
      </c>
      <c r="FF141" s="263">
        <v>3</v>
      </c>
      <c r="FG141" s="263" t="s">
        <v>1422</v>
      </c>
      <c r="FH141" s="263" t="s">
        <v>1149</v>
      </c>
      <c r="FI141" s="237">
        <v>43644</v>
      </c>
      <c r="FJ141" s="260" t="s">
        <v>8414</v>
      </c>
      <c r="FK141" s="261" t="s">
        <v>393</v>
      </c>
      <c r="FL141" s="261">
        <v>0</v>
      </c>
      <c r="FM141" s="261" t="s">
        <v>393</v>
      </c>
      <c r="FN141" s="261" t="s">
        <v>393</v>
      </c>
      <c r="FO141" s="261" t="s">
        <v>1292</v>
      </c>
      <c r="FP141" s="241">
        <v>0</v>
      </c>
      <c r="FQ141" s="242">
        <v>43585</v>
      </c>
      <c r="FR141" s="260" t="s">
        <v>8415</v>
      </c>
      <c r="FS141" s="263" t="s">
        <v>393</v>
      </c>
      <c r="FT141" s="263">
        <v>0</v>
      </c>
      <c r="FU141" s="263" t="s">
        <v>393</v>
      </c>
      <c r="FV141" s="263" t="s">
        <v>393</v>
      </c>
      <c r="FW141" s="263">
        <v>0</v>
      </c>
      <c r="FX141" s="263">
        <v>0</v>
      </c>
      <c r="FY141" s="237">
        <v>43494</v>
      </c>
      <c r="FZ141" s="261" t="s">
        <v>8416</v>
      </c>
      <c r="GA141" s="261">
        <v>2</v>
      </c>
      <c r="GB141" s="261" t="s">
        <v>1587</v>
      </c>
      <c r="GC141" s="261" t="s">
        <v>600</v>
      </c>
      <c r="GD141" s="261">
        <v>2</v>
      </c>
      <c r="GE141" s="261" t="s">
        <v>1623</v>
      </c>
      <c r="GF141" s="261" t="s">
        <v>1624</v>
      </c>
      <c r="GG141" s="262">
        <v>43770</v>
      </c>
      <c r="GH141" s="260" t="s">
        <v>8417</v>
      </c>
      <c r="GI141" s="263">
        <v>2</v>
      </c>
      <c r="GJ141" s="263" t="s">
        <v>1587</v>
      </c>
      <c r="GK141" s="263" t="s">
        <v>600</v>
      </c>
      <c r="GL141" s="263">
        <v>2</v>
      </c>
      <c r="GM141" s="263" t="s">
        <v>1623</v>
      </c>
      <c r="GN141" s="263" t="s">
        <v>1624</v>
      </c>
      <c r="GO141" s="237">
        <v>43770</v>
      </c>
      <c r="GP141" s="261" t="s">
        <v>8418</v>
      </c>
      <c r="GQ141" s="261">
        <v>3</v>
      </c>
      <c r="GR141" s="261" t="s">
        <v>1587</v>
      </c>
      <c r="GS141" s="261" t="s">
        <v>600</v>
      </c>
      <c r="GT141" s="261">
        <v>2</v>
      </c>
      <c r="GU141" s="261" t="s">
        <v>1623</v>
      </c>
      <c r="GV141" s="261" t="s">
        <v>1624</v>
      </c>
      <c r="GW141" s="262">
        <v>43770</v>
      </c>
      <c r="GX141" s="260" t="s">
        <v>8419</v>
      </c>
      <c r="GY141" s="263">
        <v>0</v>
      </c>
      <c r="GZ141" s="263" t="s">
        <v>1587</v>
      </c>
      <c r="HA141" s="263" t="s">
        <v>600</v>
      </c>
      <c r="HB141" s="263">
        <v>2</v>
      </c>
      <c r="HC141" s="263" t="s">
        <v>1623</v>
      </c>
      <c r="HD141" s="263" t="s">
        <v>1624</v>
      </c>
      <c r="HE141" s="237">
        <v>43770</v>
      </c>
      <c r="HF141" s="261" t="s">
        <v>8420</v>
      </c>
      <c r="HG141" s="261">
        <v>2</v>
      </c>
      <c r="HH141" s="261" t="s">
        <v>1587</v>
      </c>
      <c r="HI141" s="261" t="s">
        <v>600</v>
      </c>
      <c r="HJ141" s="261">
        <v>2</v>
      </c>
      <c r="HK141" s="261" t="s">
        <v>1623</v>
      </c>
      <c r="HL141" s="261" t="s">
        <v>1624</v>
      </c>
      <c r="HM141" s="262">
        <v>43770</v>
      </c>
      <c r="HN141" s="260" t="s">
        <v>8421</v>
      </c>
      <c r="HO141" s="263">
        <v>2</v>
      </c>
      <c r="HP141" s="263" t="s">
        <v>1587</v>
      </c>
      <c r="HQ141" s="263" t="s">
        <v>600</v>
      </c>
      <c r="HR141" s="263">
        <v>2</v>
      </c>
      <c r="HS141" s="263" t="s">
        <v>1623</v>
      </c>
      <c r="HT141" s="263" t="s">
        <v>1624</v>
      </c>
      <c r="HU141" s="237">
        <v>43770</v>
      </c>
      <c r="HV141" s="261" t="s">
        <v>8422</v>
      </c>
      <c r="HW141" s="261">
        <v>2</v>
      </c>
      <c r="HX141" s="261" t="s">
        <v>1587</v>
      </c>
      <c r="HY141" s="261" t="s">
        <v>600</v>
      </c>
      <c r="HZ141" s="261">
        <v>2</v>
      </c>
      <c r="IA141" s="261" t="s">
        <v>1623</v>
      </c>
      <c r="IB141" s="261" t="s">
        <v>1624</v>
      </c>
      <c r="IC141" s="262">
        <v>43770</v>
      </c>
      <c r="ID141" s="260" t="s">
        <v>8423</v>
      </c>
      <c r="IE141" s="263">
        <v>0</v>
      </c>
      <c r="IF141" s="263" t="s">
        <v>1587</v>
      </c>
      <c r="IG141" s="263" t="s">
        <v>600</v>
      </c>
      <c r="IH141" s="263">
        <v>2</v>
      </c>
      <c r="II141" s="263" t="s">
        <v>1623</v>
      </c>
      <c r="IJ141" s="263" t="s">
        <v>1624</v>
      </c>
      <c r="IK141" s="237">
        <v>43770</v>
      </c>
      <c r="IL141" s="261" t="s">
        <v>8424</v>
      </c>
      <c r="IM141" s="261">
        <v>3</v>
      </c>
      <c r="IN141" s="261" t="s">
        <v>1587</v>
      </c>
      <c r="IO141" s="261" t="s">
        <v>600</v>
      </c>
      <c r="IP141" s="261">
        <v>2</v>
      </c>
      <c r="IQ141" s="261" t="s">
        <v>1623</v>
      </c>
      <c r="IR141" s="261" t="s">
        <v>1624</v>
      </c>
      <c r="IS141" s="262">
        <v>43770</v>
      </c>
    </row>
    <row r="142" spans="1:253" x14ac:dyDescent="0.3">
      <c r="A142" s="11" t="s">
        <v>1202</v>
      </c>
      <c r="B142" s="11" t="s">
        <v>1281</v>
      </c>
      <c r="C142" s="11" t="s">
        <v>1204</v>
      </c>
      <c r="D142" s="11" t="s">
        <v>1362</v>
      </c>
      <c r="E142" s="11" t="s">
        <v>1363</v>
      </c>
      <c r="F142" s="11" t="s">
        <v>8425</v>
      </c>
      <c r="G142" s="235">
        <v>334494000</v>
      </c>
      <c r="H142" s="236" t="s">
        <v>3370</v>
      </c>
      <c r="I142" s="236" t="s">
        <v>601</v>
      </c>
      <c r="J142" s="236">
        <v>1</v>
      </c>
      <c r="K142" s="236" t="s">
        <v>3609</v>
      </c>
      <c r="L142" s="236" t="s">
        <v>3608</v>
      </c>
      <c r="M142" s="237">
        <v>44110</v>
      </c>
      <c r="N142" s="260" t="s">
        <v>8426</v>
      </c>
      <c r="O142" s="239">
        <v>1458646</v>
      </c>
      <c r="P142" s="239" t="s">
        <v>1992</v>
      </c>
      <c r="Q142" s="239" t="s">
        <v>600</v>
      </c>
      <c r="R142" s="239">
        <v>2</v>
      </c>
      <c r="S142" s="239" t="s">
        <v>2022</v>
      </c>
      <c r="T142" s="239" t="s">
        <v>2021</v>
      </c>
      <c r="U142" s="240">
        <v>43867</v>
      </c>
      <c r="V142" s="260" t="s">
        <v>8427</v>
      </c>
      <c r="W142" s="236">
        <v>78070000</v>
      </c>
      <c r="X142" s="236" t="s">
        <v>3369</v>
      </c>
      <c r="Y142" s="236" t="s">
        <v>600</v>
      </c>
      <c r="Z142" s="236">
        <v>2</v>
      </c>
      <c r="AA142" s="236" t="s">
        <v>3607</v>
      </c>
      <c r="AB142" s="236" t="s">
        <v>3606</v>
      </c>
      <c r="AC142" s="237">
        <v>44110</v>
      </c>
      <c r="AD142" s="260" t="s">
        <v>8428</v>
      </c>
      <c r="AE142" s="241">
        <v>34304000</v>
      </c>
      <c r="AF142" s="241" t="s">
        <v>3371</v>
      </c>
      <c r="AG142" s="241" t="s">
        <v>600</v>
      </c>
      <c r="AH142" s="241">
        <v>2</v>
      </c>
      <c r="AI142" s="241" t="s">
        <v>3611</v>
      </c>
      <c r="AJ142" s="241" t="s">
        <v>3610</v>
      </c>
      <c r="AK142" s="242">
        <v>44110</v>
      </c>
      <c r="AL142" s="260" t="s">
        <v>8429</v>
      </c>
      <c r="AM142" s="236">
        <v>5098000</v>
      </c>
      <c r="AN142" s="236" t="s">
        <v>3350</v>
      </c>
      <c r="AO142" s="236" t="s">
        <v>601</v>
      </c>
      <c r="AP142" s="236">
        <v>1</v>
      </c>
      <c r="AQ142" s="236" t="s">
        <v>3612</v>
      </c>
      <c r="AR142" s="236" t="s">
        <v>912</v>
      </c>
      <c r="AS142" s="237">
        <v>44110</v>
      </c>
      <c r="AT142" s="261" t="s">
        <v>8430</v>
      </c>
      <c r="AU142" s="241" t="s">
        <v>393</v>
      </c>
      <c r="AV142" s="241" t="s">
        <v>393</v>
      </c>
      <c r="AW142" s="241" t="s">
        <v>393</v>
      </c>
      <c r="AX142" s="241" t="s">
        <v>393</v>
      </c>
      <c r="AY142" s="241" t="s">
        <v>1740</v>
      </c>
      <c r="AZ142" s="241" t="s">
        <v>393</v>
      </c>
      <c r="BA142" s="242">
        <v>43798</v>
      </c>
      <c r="BB142" s="260" t="s">
        <v>8431</v>
      </c>
      <c r="BC142" s="236" t="s">
        <v>393</v>
      </c>
      <c r="BD142" s="236" t="s">
        <v>393</v>
      </c>
      <c r="BE142" s="236" t="s">
        <v>393</v>
      </c>
      <c r="BF142" s="236" t="s">
        <v>393</v>
      </c>
      <c r="BG142" s="236" t="s">
        <v>1740</v>
      </c>
      <c r="BH142" s="236" t="s">
        <v>393</v>
      </c>
      <c r="BI142" s="237">
        <v>43798</v>
      </c>
      <c r="BJ142" s="261" t="s">
        <v>8432</v>
      </c>
      <c r="BK142" s="261" t="s">
        <v>393</v>
      </c>
      <c r="BL142" s="261" t="s">
        <v>393</v>
      </c>
      <c r="BM142" s="261" t="s">
        <v>393</v>
      </c>
      <c r="BN142" s="261" t="s">
        <v>393</v>
      </c>
      <c r="BO142" s="261" t="s">
        <v>1740</v>
      </c>
      <c r="BP142" s="241" t="s">
        <v>393</v>
      </c>
      <c r="BQ142" s="262">
        <v>43798</v>
      </c>
      <c r="BR142" s="260" t="s">
        <v>8433</v>
      </c>
      <c r="BS142" s="263">
        <v>0</v>
      </c>
      <c r="BT142" s="263">
        <v>0</v>
      </c>
      <c r="BU142" s="263" t="s">
        <v>599</v>
      </c>
      <c r="BV142" s="263">
        <v>3</v>
      </c>
      <c r="BW142" s="263">
        <v>0</v>
      </c>
      <c r="BX142" s="263">
        <v>0</v>
      </c>
      <c r="BY142" s="237">
        <v>43585</v>
      </c>
      <c r="BZ142" s="261" t="s">
        <v>8434</v>
      </c>
      <c r="CA142" s="261">
        <v>0</v>
      </c>
      <c r="CB142" s="261" t="s">
        <v>393</v>
      </c>
      <c r="CC142" s="261" t="s">
        <v>599</v>
      </c>
      <c r="CD142" s="261">
        <v>3</v>
      </c>
      <c r="CE142" s="261" t="s">
        <v>393</v>
      </c>
      <c r="CF142" s="261" t="s">
        <v>393</v>
      </c>
      <c r="CG142" s="262">
        <v>43585</v>
      </c>
      <c r="CH142" s="260" t="s">
        <v>8435</v>
      </c>
      <c r="CI142" s="261" t="e">
        <v>#N/A</v>
      </c>
      <c r="CJ142" s="261" t="e">
        <v>#N/A</v>
      </c>
      <c r="CK142" s="261" t="e">
        <v>#N/A</v>
      </c>
      <c r="CL142" s="261" t="e">
        <v>#N/A</v>
      </c>
      <c r="CM142" s="261" t="e">
        <v>#N/A</v>
      </c>
      <c r="CN142" s="261" t="e">
        <v>#N/A</v>
      </c>
      <c r="CO142" s="264" t="e">
        <v>#N/A</v>
      </c>
      <c r="CP142" s="261" t="s">
        <v>8436</v>
      </c>
      <c r="CQ142" s="263" t="s">
        <v>393</v>
      </c>
      <c r="CR142" s="263" t="s">
        <v>393</v>
      </c>
      <c r="CS142" s="263" t="s">
        <v>393</v>
      </c>
      <c r="CT142" s="263" t="s">
        <v>393</v>
      </c>
      <c r="CU142" s="263" t="s">
        <v>1740</v>
      </c>
      <c r="CV142" s="263" t="s">
        <v>393</v>
      </c>
      <c r="CW142" s="237">
        <v>43798</v>
      </c>
      <c r="CX142" s="261" t="s">
        <v>8437</v>
      </c>
      <c r="CY142" s="241">
        <v>19278000</v>
      </c>
      <c r="CZ142" s="241" t="s">
        <v>3373</v>
      </c>
      <c r="DA142" s="241" t="s">
        <v>600</v>
      </c>
      <c r="DB142" s="241">
        <v>2</v>
      </c>
      <c r="DC142" s="241" t="s">
        <v>3616</v>
      </c>
      <c r="DD142" s="241" t="s">
        <v>3614</v>
      </c>
      <c r="DE142" s="243">
        <v>44110</v>
      </c>
      <c r="DF142" s="260" t="s">
        <v>8438</v>
      </c>
      <c r="DG142" s="236">
        <v>44631000</v>
      </c>
      <c r="DH142" s="263" t="s">
        <v>2224</v>
      </c>
      <c r="DI142" s="263" t="s">
        <v>600</v>
      </c>
      <c r="DJ142" s="263">
        <v>2</v>
      </c>
      <c r="DK142" s="263" t="s">
        <v>2240</v>
      </c>
      <c r="DL142" s="263" t="s">
        <v>2239</v>
      </c>
      <c r="DM142" s="237">
        <v>44110</v>
      </c>
      <c r="DN142" s="261" t="s">
        <v>8439</v>
      </c>
      <c r="DO142" s="241">
        <v>14161000</v>
      </c>
      <c r="DP142" s="261" t="s">
        <v>3373</v>
      </c>
      <c r="DQ142" s="261" t="s">
        <v>600</v>
      </c>
      <c r="DR142" s="261">
        <v>2</v>
      </c>
      <c r="DS142" s="261" t="s">
        <v>3615</v>
      </c>
      <c r="DT142" s="261" t="s">
        <v>3614</v>
      </c>
      <c r="DU142" s="262">
        <v>44110</v>
      </c>
      <c r="DV142" s="260" t="s">
        <v>8440</v>
      </c>
      <c r="DW142" s="236">
        <v>18778000</v>
      </c>
      <c r="DX142" s="263" t="s">
        <v>3373</v>
      </c>
      <c r="DY142" s="263" t="s">
        <v>600</v>
      </c>
      <c r="DZ142" s="263">
        <v>2</v>
      </c>
      <c r="EA142" s="263" t="s">
        <v>3616</v>
      </c>
      <c r="EB142" s="263" t="s">
        <v>3614</v>
      </c>
      <c r="EC142" s="237">
        <v>44110</v>
      </c>
      <c r="ED142" s="261" t="s">
        <v>8441</v>
      </c>
      <c r="EE142" s="241">
        <v>500000</v>
      </c>
      <c r="EF142" s="261" t="s">
        <v>3372</v>
      </c>
      <c r="EG142" s="261" t="s">
        <v>600</v>
      </c>
      <c r="EH142" s="261">
        <v>2</v>
      </c>
      <c r="EI142" s="261" t="s">
        <v>2023</v>
      </c>
      <c r="EJ142" s="261" t="s">
        <v>3613</v>
      </c>
      <c r="EK142" s="262">
        <v>44110</v>
      </c>
      <c r="EL142" s="260" t="s">
        <v>8442</v>
      </c>
      <c r="EM142" s="236">
        <v>0</v>
      </c>
      <c r="EN142" s="263" t="s">
        <v>3372</v>
      </c>
      <c r="EO142" s="263" t="s">
        <v>600</v>
      </c>
      <c r="EP142" s="263">
        <v>2</v>
      </c>
      <c r="EQ142" s="263" t="s">
        <v>2023</v>
      </c>
      <c r="ER142" s="263" t="s">
        <v>3613</v>
      </c>
      <c r="ES142" s="237">
        <v>44110</v>
      </c>
      <c r="ET142" s="261" t="s">
        <v>8443</v>
      </c>
      <c r="EU142" s="261" t="s">
        <v>393</v>
      </c>
      <c r="EV142" s="261" t="s">
        <v>393</v>
      </c>
      <c r="EW142" s="261" t="s">
        <v>393</v>
      </c>
      <c r="EX142" s="261" t="s">
        <v>393</v>
      </c>
      <c r="EY142" s="261" t="s">
        <v>1740</v>
      </c>
      <c r="EZ142" s="261" t="s">
        <v>393</v>
      </c>
      <c r="FA142" s="262">
        <v>43798</v>
      </c>
      <c r="FB142" s="260" t="s">
        <v>8444</v>
      </c>
      <c r="FC142" s="263">
        <v>4</v>
      </c>
      <c r="FD142" s="263">
        <v>0</v>
      </c>
      <c r="FE142" s="263" t="s">
        <v>600</v>
      </c>
      <c r="FF142" s="263">
        <v>2</v>
      </c>
      <c r="FG142" s="263" t="s">
        <v>1301</v>
      </c>
      <c r="FH142" s="263">
        <v>0</v>
      </c>
      <c r="FI142" s="237">
        <v>43585</v>
      </c>
      <c r="FJ142" s="260" t="s">
        <v>8445</v>
      </c>
      <c r="FK142" s="261" t="s">
        <v>393</v>
      </c>
      <c r="FL142" s="261">
        <v>0</v>
      </c>
      <c r="FM142" s="261" t="s">
        <v>393</v>
      </c>
      <c r="FN142" s="261" t="s">
        <v>393</v>
      </c>
      <c r="FO142" s="261" t="s">
        <v>1302</v>
      </c>
      <c r="FP142" s="241">
        <v>0</v>
      </c>
      <c r="FQ142" s="242">
        <v>43585</v>
      </c>
      <c r="FR142" s="260" t="s">
        <v>8446</v>
      </c>
      <c r="FS142" s="263" t="s">
        <v>393</v>
      </c>
      <c r="FT142" s="263">
        <v>0</v>
      </c>
      <c r="FU142" s="263" t="s">
        <v>393</v>
      </c>
      <c r="FV142" s="263" t="s">
        <v>393</v>
      </c>
      <c r="FW142" s="263">
        <v>0</v>
      </c>
      <c r="FX142" s="263">
        <v>0</v>
      </c>
      <c r="FY142" s="237">
        <v>43585</v>
      </c>
      <c r="FZ142" s="261" t="s">
        <v>8447</v>
      </c>
      <c r="GA142" s="261">
        <v>0</v>
      </c>
      <c r="GB142" s="261" t="s">
        <v>1587</v>
      </c>
      <c r="GC142" s="261" t="s">
        <v>600</v>
      </c>
      <c r="GD142" s="261">
        <v>2</v>
      </c>
      <c r="GE142" s="261" t="s">
        <v>1623</v>
      </c>
      <c r="GF142" s="261" t="s">
        <v>1624</v>
      </c>
      <c r="GG142" s="262">
        <v>43770</v>
      </c>
      <c r="GH142" s="260" t="s">
        <v>8448</v>
      </c>
      <c r="GI142" s="263">
        <v>0</v>
      </c>
      <c r="GJ142" s="263" t="s">
        <v>1587</v>
      </c>
      <c r="GK142" s="263" t="s">
        <v>600</v>
      </c>
      <c r="GL142" s="263">
        <v>2</v>
      </c>
      <c r="GM142" s="263" t="s">
        <v>1623</v>
      </c>
      <c r="GN142" s="263" t="s">
        <v>1624</v>
      </c>
      <c r="GO142" s="237">
        <v>43770</v>
      </c>
      <c r="GP142" s="261" t="s">
        <v>8449</v>
      </c>
      <c r="GQ142" s="261">
        <v>0</v>
      </c>
      <c r="GR142" s="261" t="s">
        <v>1587</v>
      </c>
      <c r="GS142" s="261" t="s">
        <v>600</v>
      </c>
      <c r="GT142" s="261">
        <v>2</v>
      </c>
      <c r="GU142" s="261" t="s">
        <v>1623</v>
      </c>
      <c r="GV142" s="261" t="s">
        <v>1624</v>
      </c>
      <c r="GW142" s="262">
        <v>43770</v>
      </c>
      <c r="GX142" s="260" t="s">
        <v>8450</v>
      </c>
      <c r="GY142" s="263">
        <v>2</v>
      </c>
      <c r="GZ142" s="263" t="s">
        <v>1587</v>
      </c>
      <c r="HA142" s="263" t="s">
        <v>600</v>
      </c>
      <c r="HB142" s="263">
        <v>2</v>
      </c>
      <c r="HC142" s="263" t="s">
        <v>1623</v>
      </c>
      <c r="HD142" s="263" t="s">
        <v>1624</v>
      </c>
      <c r="HE142" s="237">
        <v>43770</v>
      </c>
      <c r="HF142" s="261" t="s">
        <v>8451</v>
      </c>
      <c r="HG142" s="261">
        <v>0</v>
      </c>
      <c r="HH142" s="261" t="s">
        <v>1587</v>
      </c>
      <c r="HI142" s="261" t="s">
        <v>600</v>
      </c>
      <c r="HJ142" s="261">
        <v>2</v>
      </c>
      <c r="HK142" s="261" t="s">
        <v>1623</v>
      </c>
      <c r="HL142" s="261" t="s">
        <v>1624</v>
      </c>
      <c r="HM142" s="262">
        <v>43770</v>
      </c>
      <c r="HN142" s="260" t="s">
        <v>8452</v>
      </c>
      <c r="HO142" s="263">
        <v>0</v>
      </c>
      <c r="HP142" s="263" t="s">
        <v>1587</v>
      </c>
      <c r="HQ142" s="263" t="s">
        <v>600</v>
      </c>
      <c r="HR142" s="263">
        <v>2</v>
      </c>
      <c r="HS142" s="263" t="s">
        <v>1623</v>
      </c>
      <c r="HT142" s="263" t="s">
        <v>1624</v>
      </c>
      <c r="HU142" s="237">
        <v>43770</v>
      </c>
      <c r="HV142" s="261" t="s">
        <v>8453</v>
      </c>
      <c r="HW142" s="261">
        <v>0</v>
      </c>
      <c r="HX142" s="261" t="s">
        <v>1587</v>
      </c>
      <c r="HY142" s="261" t="s">
        <v>600</v>
      </c>
      <c r="HZ142" s="261">
        <v>2</v>
      </c>
      <c r="IA142" s="261" t="s">
        <v>1623</v>
      </c>
      <c r="IB142" s="261" t="s">
        <v>1624</v>
      </c>
      <c r="IC142" s="262">
        <v>43770</v>
      </c>
      <c r="ID142" s="260" t="s">
        <v>8454</v>
      </c>
      <c r="IE142" s="263" t="s">
        <v>393</v>
      </c>
      <c r="IF142" s="263" t="s">
        <v>1587</v>
      </c>
      <c r="IG142" s="263" t="s">
        <v>393</v>
      </c>
      <c r="IH142" s="263" t="s">
        <v>393</v>
      </c>
      <c r="II142" s="263" t="s">
        <v>1623</v>
      </c>
      <c r="IJ142" s="263" t="s">
        <v>1624</v>
      </c>
      <c r="IK142" s="237">
        <v>43770</v>
      </c>
      <c r="IL142" s="261" t="s">
        <v>8455</v>
      </c>
      <c r="IM142" s="261">
        <v>0</v>
      </c>
      <c r="IN142" s="261" t="s">
        <v>1587</v>
      </c>
      <c r="IO142" s="261" t="s">
        <v>600</v>
      </c>
      <c r="IP142" s="261">
        <v>2</v>
      </c>
      <c r="IQ142" s="261" t="s">
        <v>1623</v>
      </c>
      <c r="IR142" s="261" t="s">
        <v>1624</v>
      </c>
      <c r="IS142" s="262">
        <v>43770</v>
      </c>
    </row>
    <row r="143" spans="1:253" x14ac:dyDescent="0.3">
      <c r="A143" s="11" t="s">
        <v>4005</v>
      </c>
      <c r="B143" s="11" t="s">
        <v>1279</v>
      </c>
      <c r="C143" s="11" t="s">
        <v>4006</v>
      </c>
      <c r="D143" s="11" t="s">
        <v>3142</v>
      </c>
      <c r="E143" s="11" t="s">
        <v>349</v>
      </c>
      <c r="F143" s="11" t="s">
        <v>8456</v>
      </c>
      <c r="G143" s="235">
        <v>96484000</v>
      </c>
      <c r="H143" s="236" t="s">
        <v>4076</v>
      </c>
      <c r="I143" s="236" t="s">
        <v>601</v>
      </c>
      <c r="J143" s="236">
        <v>1</v>
      </c>
      <c r="K143" s="236" t="s">
        <v>2058</v>
      </c>
      <c r="L143" s="236" t="s">
        <v>4078</v>
      </c>
      <c r="M143" s="237">
        <v>44140</v>
      </c>
      <c r="N143" s="260" t="s">
        <v>8457</v>
      </c>
      <c r="O143" s="239">
        <v>71467</v>
      </c>
      <c r="P143" s="239" t="s">
        <v>4079</v>
      </c>
      <c r="Q143" s="239" t="s">
        <v>601</v>
      </c>
      <c r="R143" s="239">
        <v>1</v>
      </c>
      <c r="S143" s="239" t="s">
        <v>4080</v>
      </c>
      <c r="T143" s="239" t="s">
        <v>4077</v>
      </c>
      <c r="U143" s="240">
        <v>44140</v>
      </c>
      <c r="V143" s="260" t="s">
        <v>8458</v>
      </c>
      <c r="W143" s="236">
        <v>7700000</v>
      </c>
      <c r="X143" s="236" t="s">
        <v>4081</v>
      </c>
      <c r="Y143" s="236" t="s">
        <v>600</v>
      </c>
      <c r="Z143" s="236">
        <v>2</v>
      </c>
      <c r="AA143" s="236" t="s">
        <v>4083</v>
      </c>
      <c r="AB143" s="236" t="s">
        <v>4082</v>
      </c>
      <c r="AC143" s="237">
        <v>44140</v>
      </c>
      <c r="AD143" s="260" t="s">
        <v>8459</v>
      </c>
      <c r="AE143" s="241">
        <v>1500000</v>
      </c>
      <c r="AF143" s="241" t="s">
        <v>4081</v>
      </c>
      <c r="AG143" s="241" t="s">
        <v>600</v>
      </c>
      <c r="AH143" s="241">
        <v>2</v>
      </c>
      <c r="AI143" s="241" t="s">
        <v>4084</v>
      </c>
      <c r="AJ143" s="241" t="s">
        <v>4082</v>
      </c>
      <c r="AK143" s="242">
        <v>44140</v>
      </c>
      <c r="AL143" s="260" t="s">
        <v>8460</v>
      </c>
      <c r="AM143" s="236">
        <v>375000</v>
      </c>
      <c r="AN143" s="236" t="s">
        <v>4081</v>
      </c>
      <c r="AO143" s="236" t="s">
        <v>599</v>
      </c>
      <c r="AP143" s="236">
        <v>3</v>
      </c>
      <c r="AQ143" s="236" t="s">
        <v>4085</v>
      </c>
      <c r="AR143" s="236" t="s">
        <v>4082</v>
      </c>
      <c r="AS143" s="237">
        <v>44140</v>
      </c>
      <c r="AT143" s="261" t="s">
        <v>8461</v>
      </c>
      <c r="AU143" s="241" t="s">
        <v>393</v>
      </c>
      <c r="AV143" s="241" t="s">
        <v>393</v>
      </c>
      <c r="AW143" s="241" t="s">
        <v>599</v>
      </c>
      <c r="AX143" s="241">
        <v>3</v>
      </c>
      <c r="AY143" s="241" t="s">
        <v>393</v>
      </c>
      <c r="AZ143" s="241" t="s">
        <v>393</v>
      </c>
      <c r="BA143" s="242">
        <v>44140</v>
      </c>
      <c r="BB143" s="260" t="s">
        <v>8462</v>
      </c>
      <c r="BC143" s="236" t="s">
        <v>393</v>
      </c>
      <c r="BD143" s="236" t="s">
        <v>393</v>
      </c>
      <c r="BE143" s="236" t="s">
        <v>599</v>
      </c>
      <c r="BF143" s="236">
        <v>3</v>
      </c>
      <c r="BG143" s="236" t="s">
        <v>393</v>
      </c>
      <c r="BH143" s="236" t="s">
        <v>393</v>
      </c>
      <c r="BI143" s="237">
        <v>44140</v>
      </c>
      <c r="BJ143" s="261" t="s">
        <v>8463</v>
      </c>
      <c r="BK143" s="261">
        <v>214</v>
      </c>
      <c r="BL143" s="261" t="s">
        <v>4081</v>
      </c>
      <c r="BM143" s="261" t="s">
        <v>600</v>
      </c>
      <c r="BN143" s="261">
        <v>2</v>
      </c>
      <c r="BO143" s="261" t="s">
        <v>4086</v>
      </c>
      <c r="BP143" s="241" t="s">
        <v>4082</v>
      </c>
      <c r="BQ143" s="262">
        <v>44140</v>
      </c>
      <c r="BR143" s="260" t="s">
        <v>8464</v>
      </c>
      <c r="BS143" s="263">
        <v>380000</v>
      </c>
      <c r="BT143" s="263" t="s">
        <v>4081</v>
      </c>
      <c r="BU143" s="263" t="s">
        <v>600</v>
      </c>
      <c r="BV143" s="263">
        <v>2</v>
      </c>
      <c r="BW143" s="263" t="s">
        <v>4087</v>
      </c>
      <c r="BX143" s="263" t="s">
        <v>4082</v>
      </c>
      <c r="BY143" s="237">
        <v>44140</v>
      </c>
      <c r="BZ143" s="261" t="s">
        <v>8465</v>
      </c>
      <c r="CA143" s="261" t="s">
        <v>393</v>
      </c>
      <c r="CB143" s="261" t="s">
        <v>393</v>
      </c>
      <c r="CC143" s="261" t="s">
        <v>599</v>
      </c>
      <c r="CD143" s="261">
        <v>3</v>
      </c>
      <c r="CE143" s="261" t="s">
        <v>393</v>
      </c>
      <c r="CF143" s="261" t="s">
        <v>393</v>
      </c>
      <c r="CG143" s="262">
        <v>44140</v>
      </c>
      <c r="CH143" s="260" t="s">
        <v>8466</v>
      </c>
      <c r="CI143" s="261" t="e">
        <v>#N/A</v>
      </c>
      <c r="CJ143" s="261" t="e">
        <v>#N/A</v>
      </c>
      <c r="CK143" s="261" t="e">
        <v>#N/A</v>
      </c>
      <c r="CL143" s="261" t="e">
        <v>#N/A</v>
      </c>
      <c r="CM143" s="261" t="e">
        <v>#N/A</v>
      </c>
      <c r="CN143" s="261" t="e">
        <v>#N/A</v>
      </c>
      <c r="CO143" s="264" t="e">
        <v>#N/A</v>
      </c>
      <c r="CP143" s="261" t="s">
        <v>8467</v>
      </c>
      <c r="CQ143" s="263" t="s">
        <v>393</v>
      </c>
      <c r="CR143" s="263" t="s">
        <v>393</v>
      </c>
      <c r="CS143" s="263" t="s">
        <v>599</v>
      </c>
      <c r="CT143" s="263">
        <v>3</v>
      </c>
      <c r="CU143" s="263" t="s">
        <v>393</v>
      </c>
      <c r="CV143" s="263" t="s">
        <v>393</v>
      </c>
      <c r="CW143" s="237">
        <v>44140</v>
      </c>
      <c r="CX143" s="261" t="s">
        <v>8468</v>
      </c>
      <c r="CY143" s="241">
        <v>177000</v>
      </c>
      <c r="CZ143" s="241" t="s">
        <v>4081</v>
      </c>
      <c r="DA143" s="241" t="s">
        <v>600</v>
      </c>
      <c r="DB143" s="241">
        <v>2</v>
      </c>
      <c r="DC143" s="241" t="s">
        <v>4088</v>
      </c>
      <c r="DD143" s="241" t="s">
        <v>4082</v>
      </c>
      <c r="DE143" s="243">
        <v>44140</v>
      </c>
      <c r="DF143" s="260" t="s">
        <v>8469</v>
      </c>
      <c r="DG143" s="236">
        <v>6200000</v>
      </c>
      <c r="DH143" s="263" t="s">
        <v>4081</v>
      </c>
      <c r="DI143" s="263" t="s">
        <v>600</v>
      </c>
      <c r="DJ143" s="263">
        <v>2</v>
      </c>
      <c r="DK143" s="263" t="s">
        <v>4088</v>
      </c>
      <c r="DL143" s="263" t="s">
        <v>4082</v>
      </c>
      <c r="DM143" s="237">
        <v>44140</v>
      </c>
      <c r="DN143" s="261" t="s">
        <v>8470</v>
      </c>
      <c r="DO143" s="241">
        <v>1323000</v>
      </c>
      <c r="DP143" s="261" t="s">
        <v>4081</v>
      </c>
      <c r="DQ143" s="261" t="s">
        <v>600</v>
      </c>
      <c r="DR143" s="261">
        <v>2</v>
      </c>
      <c r="DS143" s="261" t="s">
        <v>4088</v>
      </c>
      <c r="DT143" s="261" t="s">
        <v>4082</v>
      </c>
      <c r="DU143" s="262">
        <v>44140</v>
      </c>
      <c r="DV143" s="260" t="s">
        <v>8471</v>
      </c>
      <c r="DW143" s="236">
        <v>177000</v>
      </c>
      <c r="DX143" s="263" t="s">
        <v>4081</v>
      </c>
      <c r="DY143" s="263" t="s">
        <v>600</v>
      </c>
      <c r="DZ143" s="263">
        <v>2</v>
      </c>
      <c r="EA143" s="263" t="s">
        <v>4088</v>
      </c>
      <c r="EB143" s="263" t="s">
        <v>4082</v>
      </c>
      <c r="EC143" s="237">
        <v>44140</v>
      </c>
      <c r="ED143" s="261" t="s">
        <v>8472</v>
      </c>
      <c r="EE143" s="241">
        <v>0</v>
      </c>
      <c r="EF143" s="261" t="s">
        <v>4081</v>
      </c>
      <c r="EG143" s="261" t="s">
        <v>600</v>
      </c>
      <c r="EH143" s="261">
        <v>2</v>
      </c>
      <c r="EI143" s="261" t="s">
        <v>4088</v>
      </c>
      <c r="EJ143" s="261" t="s">
        <v>4082</v>
      </c>
      <c r="EK143" s="262">
        <v>44140</v>
      </c>
      <c r="EL143" s="260" t="s">
        <v>8473</v>
      </c>
      <c r="EM143" s="236">
        <v>0</v>
      </c>
      <c r="EN143" s="263" t="s">
        <v>4081</v>
      </c>
      <c r="EO143" s="263" t="s">
        <v>600</v>
      </c>
      <c r="EP143" s="263">
        <v>2</v>
      </c>
      <c r="EQ143" s="263" t="s">
        <v>4088</v>
      </c>
      <c r="ER143" s="263" t="s">
        <v>4082</v>
      </c>
      <c r="ES143" s="237">
        <v>44140</v>
      </c>
      <c r="ET143" s="261" t="s">
        <v>8474</v>
      </c>
      <c r="EU143" s="261">
        <v>214</v>
      </c>
      <c r="EV143" s="261" t="s">
        <v>4081</v>
      </c>
      <c r="EW143" s="261" t="s">
        <v>600</v>
      </c>
      <c r="EX143" s="261">
        <v>2</v>
      </c>
      <c r="EY143" s="261" t="s">
        <v>4086</v>
      </c>
      <c r="EZ143" s="261" t="s">
        <v>4082</v>
      </c>
      <c r="FA143" s="262">
        <v>44140</v>
      </c>
      <c r="FB143" s="260" t="s">
        <v>8475</v>
      </c>
      <c r="FC143" s="263">
        <v>2</v>
      </c>
      <c r="FD143" s="263" t="s">
        <v>393</v>
      </c>
      <c r="FE143" s="263" t="s">
        <v>600</v>
      </c>
      <c r="FF143" s="263">
        <v>2</v>
      </c>
      <c r="FG143" s="263" t="s">
        <v>4089</v>
      </c>
      <c r="FH143" s="263" t="s">
        <v>393</v>
      </c>
      <c r="FI143" s="237">
        <v>44140</v>
      </c>
      <c r="FJ143" s="260" t="s">
        <v>8476</v>
      </c>
      <c r="FK143" s="261" t="s">
        <v>393</v>
      </c>
      <c r="FL143" s="261" t="s">
        <v>393</v>
      </c>
      <c r="FM143" s="261" t="s">
        <v>599</v>
      </c>
      <c r="FN143" s="261">
        <v>3</v>
      </c>
      <c r="FO143" s="261" t="s">
        <v>393</v>
      </c>
      <c r="FP143" s="241" t="s">
        <v>393</v>
      </c>
      <c r="FQ143" s="242">
        <v>44140</v>
      </c>
      <c r="FR143" s="260" t="s">
        <v>8477</v>
      </c>
      <c r="FS143" s="263" t="s">
        <v>393</v>
      </c>
      <c r="FT143" s="263" t="s">
        <v>393</v>
      </c>
      <c r="FU143" s="263" t="s">
        <v>599</v>
      </c>
      <c r="FV143" s="263">
        <v>3</v>
      </c>
      <c r="FW143" s="263" t="s">
        <v>393</v>
      </c>
      <c r="FX143" s="263" t="s">
        <v>393</v>
      </c>
      <c r="FY143" s="237">
        <v>44140</v>
      </c>
      <c r="FZ143" s="261" t="s">
        <v>8478</v>
      </c>
      <c r="GA143" s="261">
        <v>0</v>
      </c>
      <c r="GB143" s="261" t="s">
        <v>2096</v>
      </c>
      <c r="GC143" s="261" t="s">
        <v>600</v>
      </c>
      <c r="GD143" s="261">
        <v>2</v>
      </c>
      <c r="GE143" s="261" t="s">
        <v>3323</v>
      </c>
      <c r="GF143" s="261" t="s">
        <v>2097</v>
      </c>
      <c r="GG143" s="262">
        <v>44140</v>
      </c>
      <c r="GH143" s="260" t="s">
        <v>8479</v>
      </c>
      <c r="GI143" s="263">
        <v>0</v>
      </c>
      <c r="GJ143" s="263" t="s">
        <v>2096</v>
      </c>
      <c r="GK143" s="263" t="s">
        <v>600</v>
      </c>
      <c r="GL143" s="263">
        <v>2</v>
      </c>
      <c r="GM143" s="263" t="s">
        <v>3323</v>
      </c>
      <c r="GN143" s="263" t="s">
        <v>2097</v>
      </c>
      <c r="GO143" s="237">
        <v>44140</v>
      </c>
      <c r="GP143" s="261" t="s">
        <v>8480</v>
      </c>
      <c r="GQ143" s="261">
        <v>0</v>
      </c>
      <c r="GR143" s="261" t="s">
        <v>2096</v>
      </c>
      <c r="GS143" s="261" t="s">
        <v>600</v>
      </c>
      <c r="GT143" s="261">
        <v>2</v>
      </c>
      <c r="GU143" s="261" t="s">
        <v>3323</v>
      </c>
      <c r="GV143" s="261" t="s">
        <v>2097</v>
      </c>
      <c r="GW143" s="262">
        <v>44140</v>
      </c>
      <c r="GX143" s="260" t="s">
        <v>8481</v>
      </c>
      <c r="GY143" s="263">
        <v>0</v>
      </c>
      <c r="GZ143" s="263" t="s">
        <v>2096</v>
      </c>
      <c r="HA143" s="263" t="s">
        <v>600</v>
      </c>
      <c r="HB143" s="263">
        <v>2</v>
      </c>
      <c r="HC143" s="263" t="s">
        <v>3323</v>
      </c>
      <c r="HD143" s="263" t="s">
        <v>2097</v>
      </c>
      <c r="HE143" s="237">
        <v>44140</v>
      </c>
      <c r="HF143" s="261" t="s">
        <v>8482</v>
      </c>
      <c r="HG143" s="261">
        <v>0</v>
      </c>
      <c r="HH143" s="261" t="s">
        <v>2096</v>
      </c>
      <c r="HI143" s="261" t="s">
        <v>600</v>
      </c>
      <c r="HJ143" s="261">
        <v>2</v>
      </c>
      <c r="HK143" s="261" t="s">
        <v>3323</v>
      </c>
      <c r="HL143" s="261" t="s">
        <v>2097</v>
      </c>
      <c r="HM143" s="262">
        <v>44140</v>
      </c>
      <c r="HN143" s="260" t="s">
        <v>8483</v>
      </c>
      <c r="HO143" s="263">
        <v>0</v>
      </c>
      <c r="HP143" s="263" t="s">
        <v>2096</v>
      </c>
      <c r="HQ143" s="263" t="s">
        <v>600</v>
      </c>
      <c r="HR143" s="263">
        <v>2</v>
      </c>
      <c r="HS143" s="263" t="s">
        <v>3323</v>
      </c>
      <c r="HT143" s="263" t="s">
        <v>2097</v>
      </c>
      <c r="HU143" s="237">
        <v>44140</v>
      </c>
      <c r="HV143" s="261" t="s">
        <v>8484</v>
      </c>
      <c r="HW143" s="261">
        <v>0</v>
      </c>
      <c r="HX143" s="261" t="s">
        <v>2096</v>
      </c>
      <c r="HY143" s="261" t="s">
        <v>600</v>
      </c>
      <c r="HZ143" s="261">
        <v>2</v>
      </c>
      <c r="IA143" s="261" t="s">
        <v>3323</v>
      </c>
      <c r="IB143" s="261" t="s">
        <v>2097</v>
      </c>
      <c r="IC143" s="262">
        <v>44140</v>
      </c>
      <c r="ID143" s="260" t="s">
        <v>8485</v>
      </c>
      <c r="IE143" s="263">
        <v>0</v>
      </c>
      <c r="IF143" s="263" t="s">
        <v>2096</v>
      </c>
      <c r="IG143" s="263" t="s">
        <v>600</v>
      </c>
      <c r="IH143" s="263">
        <v>2</v>
      </c>
      <c r="II143" s="263" t="s">
        <v>3323</v>
      </c>
      <c r="IJ143" s="263" t="s">
        <v>2097</v>
      </c>
      <c r="IK143" s="237">
        <v>44140</v>
      </c>
      <c r="IL143" s="261" t="s">
        <v>8486</v>
      </c>
      <c r="IM143" s="261">
        <v>3</v>
      </c>
      <c r="IN143" s="261" t="s">
        <v>2096</v>
      </c>
      <c r="IO143" s="261" t="s">
        <v>600</v>
      </c>
      <c r="IP143" s="261">
        <v>2</v>
      </c>
      <c r="IQ143" s="261" t="s">
        <v>3323</v>
      </c>
      <c r="IR143" s="261" t="s">
        <v>2097</v>
      </c>
      <c r="IS143" s="262">
        <v>44140</v>
      </c>
    </row>
    <row r="144" spans="1:253" x14ac:dyDescent="0.3">
      <c r="A144" s="11" t="s">
        <v>1112</v>
      </c>
      <c r="B144" s="11" t="s">
        <v>691</v>
      </c>
      <c r="C144" s="11" t="s">
        <v>598</v>
      </c>
      <c r="D144" s="11" t="s">
        <v>351</v>
      </c>
      <c r="E144" s="11" t="s">
        <v>350</v>
      </c>
      <c r="F144" s="11" t="s">
        <v>8487</v>
      </c>
      <c r="G144" s="235">
        <v>30500000</v>
      </c>
      <c r="H144" s="236" t="s">
        <v>2738</v>
      </c>
      <c r="I144" s="236" t="s">
        <v>600</v>
      </c>
      <c r="J144" s="236">
        <v>2</v>
      </c>
      <c r="K144" s="236" t="s">
        <v>1474</v>
      </c>
      <c r="L144" s="236" t="s">
        <v>2739</v>
      </c>
      <c r="M144" s="237">
        <v>44123</v>
      </c>
      <c r="N144" s="260" t="s">
        <v>8488</v>
      </c>
      <c r="O144" s="239">
        <v>527970</v>
      </c>
      <c r="P144" s="239" t="s">
        <v>701</v>
      </c>
      <c r="Q144" s="239" t="s">
        <v>600</v>
      </c>
      <c r="R144" s="239">
        <v>2</v>
      </c>
      <c r="S144" s="239" t="s">
        <v>1345</v>
      </c>
      <c r="T144" s="239" t="s">
        <v>718</v>
      </c>
      <c r="U144" s="240">
        <v>44123</v>
      </c>
      <c r="V144" s="260" t="s">
        <v>8489</v>
      </c>
      <c r="W144" s="236">
        <v>30500000</v>
      </c>
      <c r="X144" s="236" t="s">
        <v>2738</v>
      </c>
      <c r="Y144" s="236" t="s">
        <v>600</v>
      </c>
      <c r="Z144" s="236">
        <v>2</v>
      </c>
      <c r="AA144" s="236" t="s">
        <v>1346</v>
      </c>
      <c r="AB144" s="236" t="s">
        <v>2740</v>
      </c>
      <c r="AC144" s="237">
        <v>44123</v>
      </c>
      <c r="AD144" s="260" t="s">
        <v>8490</v>
      </c>
      <c r="AE144" s="241">
        <v>30500000</v>
      </c>
      <c r="AF144" s="241" t="s">
        <v>2738</v>
      </c>
      <c r="AG144" s="241" t="s">
        <v>600</v>
      </c>
      <c r="AH144" s="241">
        <v>2</v>
      </c>
      <c r="AI144" s="241" t="s">
        <v>1548</v>
      </c>
      <c r="AJ144" s="241" t="s">
        <v>2739</v>
      </c>
      <c r="AK144" s="242">
        <v>44123</v>
      </c>
      <c r="AL144" s="260" t="s">
        <v>8491</v>
      </c>
      <c r="AM144" s="236">
        <v>3650000</v>
      </c>
      <c r="AN144" s="236" t="s">
        <v>3685</v>
      </c>
      <c r="AO144" s="236" t="s">
        <v>600</v>
      </c>
      <c r="AP144" s="236">
        <v>2</v>
      </c>
      <c r="AQ144" s="236" t="s">
        <v>3689</v>
      </c>
      <c r="AR144" s="236" t="s">
        <v>2744</v>
      </c>
      <c r="AS144" s="237">
        <v>44123</v>
      </c>
      <c r="AT144" s="261" t="s">
        <v>8492</v>
      </c>
      <c r="AU144" s="241">
        <v>586</v>
      </c>
      <c r="AV144" s="241" t="s">
        <v>3686</v>
      </c>
      <c r="AW144" s="241" t="s">
        <v>600</v>
      </c>
      <c r="AX144" s="241">
        <v>2</v>
      </c>
      <c r="AY144" s="241" t="s">
        <v>3690</v>
      </c>
      <c r="AZ144" s="241" t="s">
        <v>2242</v>
      </c>
      <c r="BA144" s="242">
        <v>44123</v>
      </c>
      <c r="BB144" s="260" t="s">
        <v>8493</v>
      </c>
      <c r="BC144" s="236">
        <v>111494</v>
      </c>
      <c r="BD144" s="236" t="s">
        <v>3687</v>
      </c>
      <c r="BE144" s="236" t="s">
        <v>600</v>
      </c>
      <c r="BF144" s="236">
        <v>2</v>
      </c>
      <c r="BG144" s="236" t="s">
        <v>3692</v>
      </c>
      <c r="BH144" s="236" t="s">
        <v>3691</v>
      </c>
      <c r="BI144" s="237">
        <v>44123</v>
      </c>
      <c r="BJ144" s="261" t="s">
        <v>8494</v>
      </c>
      <c r="BK144" s="261">
        <v>12205</v>
      </c>
      <c r="BL144" s="261" t="s">
        <v>3688</v>
      </c>
      <c r="BM144" s="261" t="s">
        <v>600</v>
      </c>
      <c r="BN144" s="261">
        <v>2</v>
      </c>
      <c r="BO144" s="261" t="s">
        <v>3693</v>
      </c>
      <c r="BP144" s="241" t="s">
        <v>1565</v>
      </c>
      <c r="BQ144" s="262">
        <v>44123</v>
      </c>
      <c r="BR144" s="260" t="s">
        <v>8495</v>
      </c>
      <c r="BS144" s="263" t="s">
        <v>393</v>
      </c>
      <c r="BT144" s="263">
        <v>0</v>
      </c>
      <c r="BU144" s="263" t="s">
        <v>393</v>
      </c>
      <c r="BV144" s="263" t="s">
        <v>393</v>
      </c>
      <c r="BW144" s="263">
        <v>0</v>
      </c>
      <c r="BX144" s="263">
        <v>0</v>
      </c>
      <c r="BY144" s="237">
        <v>43493</v>
      </c>
      <c r="BZ144" s="261" t="s">
        <v>8496</v>
      </c>
      <c r="CA144" s="261" t="s">
        <v>393</v>
      </c>
      <c r="CB144" s="261">
        <v>0</v>
      </c>
      <c r="CC144" s="261" t="s">
        <v>393</v>
      </c>
      <c r="CD144" s="261" t="s">
        <v>393</v>
      </c>
      <c r="CE144" s="261">
        <v>0</v>
      </c>
      <c r="CF144" s="261">
        <v>0</v>
      </c>
      <c r="CG144" s="262">
        <v>43493</v>
      </c>
      <c r="CH144" s="260" t="s">
        <v>8497</v>
      </c>
      <c r="CI144" s="261" t="e">
        <v>#N/A</v>
      </c>
      <c r="CJ144" s="261" t="e">
        <v>#N/A</v>
      </c>
      <c r="CK144" s="261" t="e">
        <v>#N/A</v>
      </c>
      <c r="CL144" s="261" t="e">
        <v>#N/A</v>
      </c>
      <c r="CM144" s="261" t="e">
        <v>#N/A</v>
      </c>
      <c r="CN144" s="261" t="e">
        <v>#N/A</v>
      </c>
      <c r="CO144" s="264" t="e">
        <v>#N/A</v>
      </c>
      <c r="CP144" s="261" t="s">
        <v>8498</v>
      </c>
      <c r="CQ144" s="263" t="s">
        <v>393</v>
      </c>
      <c r="CR144" s="263">
        <v>0</v>
      </c>
      <c r="CS144" s="263" t="s">
        <v>393</v>
      </c>
      <c r="CT144" s="263" t="s">
        <v>393</v>
      </c>
      <c r="CU144" s="263">
        <v>0</v>
      </c>
      <c r="CV144" s="263">
        <v>0</v>
      </c>
      <c r="CW144" s="237">
        <v>43493</v>
      </c>
      <c r="CX144" s="261" t="s">
        <v>8499</v>
      </c>
      <c r="CY144" s="241">
        <v>24164000</v>
      </c>
      <c r="CZ144" s="241" t="s">
        <v>1223</v>
      </c>
      <c r="DA144" s="241" t="s">
        <v>600</v>
      </c>
      <c r="DB144" s="241">
        <v>2</v>
      </c>
      <c r="DC144" s="241" t="s">
        <v>1230</v>
      </c>
      <c r="DD144" s="241" t="s">
        <v>1226</v>
      </c>
      <c r="DE144" s="243">
        <v>44123</v>
      </c>
      <c r="DF144" s="260" t="s">
        <v>8500</v>
      </c>
      <c r="DG144" s="236">
        <v>0</v>
      </c>
      <c r="DH144" s="263" t="s">
        <v>393</v>
      </c>
      <c r="DI144" s="263" t="s">
        <v>600</v>
      </c>
      <c r="DJ144" s="263">
        <v>2</v>
      </c>
      <c r="DK144" s="263" t="s">
        <v>1229</v>
      </c>
      <c r="DL144" s="263" t="s">
        <v>393</v>
      </c>
      <c r="DM144" s="237">
        <v>43579</v>
      </c>
      <c r="DN144" s="261" t="s">
        <v>8501</v>
      </c>
      <c r="DO144" s="241">
        <v>6337000</v>
      </c>
      <c r="DP144" s="261" t="s">
        <v>2738</v>
      </c>
      <c r="DQ144" s="261" t="s">
        <v>600</v>
      </c>
      <c r="DR144" s="261">
        <v>2</v>
      </c>
      <c r="DS144" s="261" t="s">
        <v>3695</v>
      </c>
      <c r="DT144" s="261" t="s">
        <v>1226</v>
      </c>
      <c r="DU144" s="262">
        <v>44123</v>
      </c>
      <c r="DV144" s="260" t="s">
        <v>8502</v>
      </c>
      <c r="DW144" s="236">
        <v>9800000</v>
      </c>
      <c r="DX144" s="263" t="s">
        <v>1223</v>
      </c>
      <c r="DY144" s="263" t="s">
        <v>600</v>
      </c>
      <c r="DZ144" s="263">
        <v>2</v>
      </c>
      <c r="EA144" s="263" t="s">
        <v>1230</v>
      </c>
      <c r="EB144" s="263" t="s">
        <v>1226</v>
      </c>
      <c r="EC144" s="237">
        <v>44123</v>
      </c>
      <c r="ED144" s="261" t="s">
        <v>8503</v>
      </c>
      <c r="EE144" s="241">
        <v>14300000</v>
      </c>
      <c r="EF144" s="261" t="s">
        <v>1224</v>
      </c>
      <c r="EG144" s="261" t="s">
        <v>600</v>
      </c>
      <c r="EH144" s="261">
        <v>2</v>
      </c>
      <c r="EI144" s="261" t="s">
        <v>2743</v>
      </c>
      <c r="EJ144" s="261" t="s">
        <v>1227</v>
      </c>
      <c r="EK144" s="262">
        <v>44123</v>
      </c>
      <c r="EL144" s="260" t="s">
        <v>8504</v>
      </c>
      <c r="EM144" s="236">
        <v>64000</v>
      </c>
      <c r="EN144" s="263" t="s">
        <v>1225</v>
      </c>
      <c r="EO144" s="263" t="s">
        <v>600</v>
      </c>
      <c r="EP144" s="263">
        <v>2</v>
      </c>
      <c r="EQ144" s="263" t="s">
        <v>2745</v>
      </c>
      <c r="ER144" s="263" t="s">
        <v>1228</v>
      </c>
      <c r="ES144" s="237">
        <v>44123</v>
      </c>
      <c r="ET144" s="261" t="s">
        <v>8505</v>
      </c>
      <c r="EU144" s="261">
        <v>12222</v>
      </c>
      <c r="EV144" s="261" t="s">
        <v>3688</v>
      </c>
      <c r="EW144" s="261" t="s">
        <v>600</v>
      </c>
      <c r="EX144" s="261">
        <v>2</v>
      </c>
      <c r="EY144" s="261" t="s">
        <v>3694</v>
      </c>
      <c r="EZ144" s="261" t="s">
        <v>1246</v>
      </c>
      <c r="FA144" s="262">
        <v>44123</v>
      </c>
      <c r="FB144" s="260" t="s">
        <v>8506</v>
      </c>
      <c r="FC144" s="263">
        <v>5</v>
      </c>
      <c r="FD144" s="263">
        <v>0</v>
      </c>
      <c r="FE144" s="263" t="s">
        <v>601</v>
      </c>
      <c r="FF144" s="263">
        <v>1</v>
      </c>
      <c r="FG144" s="263" t="s">
        <v>721</v>
      </c>
      <c r="FH144" s="263">
        <v>0</v>
      </c>
      <c r="FI144" s="237">
        <v>43493</v>
      </c>
      <c r="FJ144" s="260" t="s">
        <v>8507</v>
      </c>
      <c r="FK144" s="261" t="s">
        <v>393</v>
      </c>
      <c r="FL144" s="261">
        <v>0</v>
      </c>
      <c r="FM144" s="261" t="s">
        <v>393</v>
      </c>
      <c r="FN144" s="261" t="s">
        <v>393</v>
      </c>
      <c r="FO144" s="261">
        <v>0</v>
      </c>
      <c r="FP144" s="241">
        <v>0</v>
      </c>
      <c r="FQ144" s="242">
        <v>43493</v>
      </c>
      <c r="FR144" s="260" t="s">
        <v>8508</v>
      </c>
      <c r="FS144" s="263" t="s">
        <v>393</v>
      </c>
      <c r="FT144" s="263">
        <v>0</v>
      </c>
      <c r="FU144" s="263" t="s">
        <v>393</v>
      </c>
      <c r="FV144" s="263" t="s">
        <v>393</v>
      </c>
      <c r="FW144" s="263">
        <v>0</v>
      </c>
      <c r="FX144" s="263">
        <v>0</v>
      </c>
      <c r="FY144" s="237">
        <v>43493</v>
      </c>
      <c r="FZ144" s="261" t="s">
        <v>8509</v>
      </c>
      <c r="GA144" s="261">
        <v>2</v>
      </c>
      <c r="GB144" s="261" t="s">
        <v>1214</v>
      </c>
      <c r="GC144" s="261" t="s">
        <v>600</v>
      </c>
      <c r="GD144" s="261">
        <v>2</v>
      </c>
      <c r="GE144" s="261">
        <v>0</v>
      </c>
      <c r="GF144" s="261">
        <v>0</v>
      </c>
      <c r="GG144" s="262">
        <v>43572</v>
      </c>
      <c r="GH144" s="260" t="s">
        <v>8510</v>
      </c>
      <c r="GI144" s="263">
        <v>3</v>
      </c>
      <c r="GJ144" s="263" t="s">
        <v>1214</v>
      </c>
      <c r="GK144" s="263" t="s">
        <v>600</v>
      </c>
      <c r="GL144" s="263">
        <v>2</v>
      </c>
      <c r="GM144" s="263">
        <v>0</v>
      </c>
      <c r="GN144" s="263">
        <v>0</v>
      </c>
      <c r="GO144" s="237">
        <v>43572</v>
      </c>
      <c r="GP144" s="261" t="s">
        <v>8511</v>
      </c>
      <c r="GQ144" s="261">
        <v>3</v>
      </c>
      <c r="GR144" s="261" t="s">
        <v>1214</v>
      </c>
      <c r="GS144" s="261" t="s">
        <v>600</v>
      </c>
      <c r="GT144" s="261">
        <v>2</v>
      </c>
      <c r="GU144" s="261">
        <v>0</v>
      </c>
      <c r="GV144" s="261">
        <v>0</v>
      </c>
      <c r="GW144" s="262">
        <v>43572</v>
      </c>
      <c r="GX144" s="260" t="s">
        <v>8512</v>
      </c>
      <c r="GY144" s="263">
        <v>3</v>
      </c>
      <c r="GZ144" s="263" t="s">
        <v>1214</v>
      </c>
      <c r="HA144" s="263" t="s">
        <v>600</v>
      </c>
      <c r="HB144" s="263">
        <v>2</v>
      </c>
      <c r="HC144" s="263">
        <v>0</v>
      </c>
      <c r="HD144" s="263">
        <v>0</v>
      </c>
      <c r="HE144" s="237">
        <v>43572</v>
      </c>
      <c r="HF144" s="261" t="s">
        <v>8513</v>
      </c>
      <c r="HG144" s="261">
        <v>2</v>
      </c>
      <c r="HH144" s="261" t="s">
        <v>1214</v>
      </c>
      <c r="HI144" s="261" t="s">
        <v>600</v>
      </c>
      <c r="HJ144" s="261">
        <v>2</v>
      </c>
      <c r="HK144" s="261">
        <v>0</v>
      </c>
      <c r="HL144" s="261">
        <v>0</v>
      </c>
      <c r="HM144" s="262">
        <v>43572</v>
      </c>
      <c r="HN144" s="260" t="s">
        <v>8514</v>
      </c>
      <c r="HO144" s="263">
        <v>3</v>
      </c>
      <c r="HP144" s="263" t="s">
        <v>1214</v>
      </c>
      <c r="HQ144" s="263" t="s">
        <v>600</v>
      </c>
      <c r="HR144" s="263">
        <v>2</v>
      </c>
      <c r="HS144" s="263">
        <v>0</v>
      </c>
      <c r="HT144" s="263">
        <v>0</v>
      </c>
      <c r="HU144" s="237">
        <v>43572</v>
      </c>
      <c r="HV144" s="261" t="s">
        <v>8515</v>
      </c>
      <c r="HW144" s="261">
        <v>3</v>
      </c>
      <c r="HX144" s="261" t="s">
        <v>1214</v>
      </c>
      <c r="HY144" s="261" t="s">
        <v>600</v>
      </c>
      <c r="HZ144" s="261">
        <v>2</v>
      </c>
      <c r="IA144" s="261">
        <v>0</v>
      </c>
      <c r="IB144" s="261">
        <v>0</v>
      </c>
      <c r="IC144" s="262">
        <v>43572</v>
      </c>
      <c r="ID144" s="260" t="s">
        <v>8516</v>
      </c>
      <c r="IE144" s="263">
        <v>3</v>
      </c>
      <c r="IF144" s="263" t="s">
        <v>1214</v>
      </c>
      <c r="IG144" s="263" t="s">
        <v>600</v>
      </c>
      <c r="IH144" s="263">
        <v>2</v>
      </c>
      <c r="II144" s="263">
        <v>0</v>
      </c>
      <c r="IJ144" s="263">
        <v>0</v>
      </c>
      <c r="IK144" s="237">
        <v>43572</v>
      </c>
      <c r="IL144" s="261" t="s">
        <v>8517</v>
      </c>
      <c r="IM144" s="261">
        <v>3</v>
      </c>
      <c r="IN144" s="261" t="s">
        <v>1214</v>
      </c>
      <c r="IO144" s="261" t="s">
        <v>600</v>
      </c>
      <c r="IP144" s="261">
        <v>2</v>
      </c>
      <c r="IQ144" s="261">
        <v>0</v>
      </c>
      <c r="IR144" s="261">
        <v>0</v>
      </c>
      <c r="IS144" s="262">
        <v>43572</v>
      </c>
    </row>
    <row r="145" spans="1:253" x14ac:dyDescent="0.3">
      <c r="A145" s="11" t="s">
        <v>1113</v>
      </c>
      <c r="B145" s="11" t="s">
        <v>1280</v>
      </c>
      <c r="C145" s="11" t="s">
        <v>1115</v>
      </c>
      <c r="D145" s="11" t="s">
        <v>351</v>
      </c>
      <c r="E145" s="11" t="s">
        <v>350</v>
      </c>
      <c r="F145" s="11" t="s">
        <v>8518</v>
      </c>
      <c r="G145" s="235">
        <v>30500000</v>
      </c>
      <c r="H145" s="236" t="s">
        <v>2738</v>
      </c>
      <c r="I145" s="236" t="s">
        <v>600</v>
      </c>
      <c r="J145" s="236">
        <v>2</v>
      </c>
      <c r="K145" s="236" t="s">
        <v>1474</v>
      </c>
      <c r="L145" s="236" t="s">
        <v>2741</v>
      </c>
      <c r="M145" s="237">
        <v>44123</v>
      </c>
      <c r="N145" s="260" t="s">
        <v>8519</v>
      </c>
      <c r="O145" s="239">
        <v>1240</v>
      </c>
      <c r="P145" s="239" t="s">
        <v>1347</v>
      </c>
      <c r="Q145" s="239" t="s">
        <v>600</v>
      </c>
      <c r="R145" s="239">
        <v>2</v>
      </c>
      <c r="S145" s="239" t="s">
        <v>1349</v>
      </c>
      <c r="T145" s="239" t="s">
        <v>1348</v>
      </c>
      <c r="U145" s="240">
        <v>44123</v>
      </c>
      <c r="V145" s="260" t="s">
        <v>8520</v>
      </c>
      <c r="W145" s="236">
        <v>4073000</v>
      </c>
      <c r="X145" s="236" t="s">
        <v>2738</v>
      </c>
      <c r="Y145" s="236" t="s">
        <v>600</v>
      </c>
      <c r="Z145" s="236">
        <v>2</v>
      </c>
      <c r="AA145" s="236" t="s">
        <v>2742</v>
      </c>
      <c r="AB145" s="236" t="s">
        <v>2740</v>
      </c>
      <c r="AC145" s="237">
        <v>44123</v>
      </c>
      <c r="AD145" s="260" t="s">
        <v>8521</v>
      </c>
      <c r="AE145" s="241">
        <v>422000</v>
      </c>
      <c r="AF145" s="241" t="s">
        <v>2738</v>
      </c>
      <c r="AG145" s="241" t="s">
        <v>600</v>
      </c>
      <c r="AH145" s="241">
        <v>2</v>
      </c>
      <c r="AI145" s="241" t="s">
        <v>931</v>
      </c>
      <c r="AJ145" s="241" t="s">
        <v>2740</v>
      </c>
      <c r="AK145" s="242">
        <v>44123</v>
      </c>
      <c r="AL145" s="260" t="s">
        <v>8522</v>
      </c>
      <c r="AM145" s="236">
        <v>422000</v>
      </c>
      <c r="AN145" s="236" t="s">
        <v>2738</v>
      </c>
      <c r="AO145" s="236" t="s">
        <v>600</v>
      </c>
      <c r="AP145" s="236">
        <v>2</v>
      </c>
      <c r="AQ145" s="236" t="s">
        <v>931</v>
      </c>
      <c r="AR145" s="236" t="s">
        <v>2740</v>
      </c>
      <c r="AS145" s="237">
        <v>44123</v>
      </c>
      <c r="AT145" s="261" t="s">
        <v>8523</v>
      </c>
      <c r="AU145" s="241" t="s">
        <v>393</v>
      </c>
      <c r="AV145" s="241" t="s">
        <v>393</v>
      </c>
      <c r="AW145" s="241" t="s">
        <v>393</v>
      </c>
      <c r="AX145" s="241" t="s">
        <v>393</v>
      </c>
      <c r="AY145" s="241" t="s">
        <v>988</v>
      </c>
      <c r="AZ145" s="241" t="s">
        <v>393</v>
      </c>
      <c r="BA145" s="242">
        <v>43579</v>
      </c>
      <c r="BB145" s="260" t="s">
        <v>8524</v>
      </c>
      <c r="BC145" s="236">
        <v>552437</v>
      </c>
      <c r="BD145" s="236" t="s">
        <v>1563</v>
      </c>
      <c r="BE145" s="236" t="s">
        <v>600</v>
      </c>
      <c r="BF145" s="236">
        <v>2</v>
      </c>
      <c r="BG145" s="236" t="s">
        <v>1564</v>
      </c>
      <c r="BH145" s="236" t="s">
        <v>1245</v>
      </c>
      <c r="BI145" s="237">
        <v>43734</v>
      </c>
      <c r="BJ145" s="261" t="s">
        <v>8525</v>
      </c>
      <c r="BK145" s="261">
        <v>17</v>
      </c>
      <c r="BL145" s="261" t="s">
        <v>3688</v>
      </c>
      <c r="BM145" s="261" t="s">
        <v>600</v>
      </c>
      <c r="BN145" s="261">
        <v>2</v>
      </c>
      <c r="BO145" s="261" t="s">
        <v>3696</v>
      </c>
      <c r="BP145" s="241" t="s">
        <v>1565</v>
      </c>
      <c r="BQ145" s="262">
        <v>44123</v>
      </c>
      <c r="BR145" s="260" t="s">
        <v>8526</v>
      </c>
      <c r="BS145" s="263" t="s">
        <v>393</v>
      </c>
      <c r="BT145" s="263" t="s">
        <v>393</v>
      </c>
      <c r="BU145" s="263" t="s">
        <v>393</v>
      </c>
      <c r="BV145" s="263" t="s">
        <v>393</v>
      </c>
      <c r="BW145" s="263" t="s">
        <v>393</v>
      </c>
      <c r="BX145" s="263" t="s">
        <v>393</v>
      </c>
      <c r="BY145" s="237">
        <v>43532</v>
      </c>
      <c r="BZ145" s="261" t="s">
        <v>8527</v>
      </c>
      <c r="CA145" s="261" t="s">
        <v>393</v>
      </c>
      <c r="CB145" s="261" t="s">
        <v>393</v>
      </c>
      <c r="CC145" s="261" t="s">
        <v>393</v>
      </c>
      <c r="CD145" s="261" t="s">
        <v>393</v>
      </c>
      <c r="CE145" s="261" t="s">
        <v>393</v>
      </c>
      <c r="CF145" s="261" t="s">
        <v>393</v>
      </c>
      <c r="CG145" s="262">
        <v>43532</v>
      </c>
      <c r="CH145" s="260" t="s">
        <v>8528</v>
      </c>
      <c r="CI145" s="261" t="e">
        <v>#N/A</v>
      </c>
      <c r="CJ145" s="261" t="e">
        <v>#N/A</v>
      </c>
      <c r="CK145" s="261" t="e">
        <v>#N/A</v>
      </c>
      <c r="CL145" s="261" t="e">
        <v>#N/A</v>
      </c>
      <c r="CM145" s="261" t="e">
        <v>#N/A</v>
      </c>
      <c r="CN145" s="261" t="e">
        <v>#N/A</v>
      </c>
      <c r="CO145" s="264" t="e">
        <v>#N/A</v>
      </c>
      <c r="CP145" s="261" t="s">
        <v>8529</v>
      </c>
      <c r="CQ145" s="263" t="s">
        <v>393</v>
      </c>
      <c r="CR145" s="263" t="s">
        <v>393</v>
      </c>
      <c r="CS145" s="263" t="s">
        <v>393</v>
      </c>
      <c r="CT145" s="263" t="s">
        <v>393</v>
      </c>
      <c r="CU145" s="263" t="s">
        <v>393</v>
      </c>
      <c r="CV145" s="263" t="s">
        <v>393</v>
      </c>
      <c r="CW145" s="237">
        <v>43532</v>
      </c>
      <c r="CX145" s="261" t="s">
        <v>8530</v>
      </c>
      <c r="CY145" s="241">
        <v>422000</v>
      </c>
      <c r="CZ145" s="241" t="s">
        <v>1223</v>
      </c>
      <c r="DA145" s="241" t="s">
        <v>600</v>
      </c>
      <c r="DB145" s="241">
        <v>2</v>
      </c>
      <c r="DC145" s="241" t="s">
        <v>1232</v>
      </c>
      <c r="DD145" s="241" t="s">
        <v>1231</v>
      </c>
      <c r="DE145" s="243">
        <v>44019</v>
      </c>
      <c r="DF145" s="260" t="s">
        <v>8531</v>
      </c>
      <c r="DG145" s="236">
        <v>3873000</v>
      </c>
      <c r="DH145" s="263" t="s">
        <v>1223</v>
      </c>
      <c r="DI145" s="263" t="s">
        <v>600</v>
      </c>
      <c r="DJ145" s="263">
        <v>2</v>
      </c>
      <c r="DK145" s="263" t="s">
        <v>1213</v>
      </c>
      <c r="DL145" s="263" t="s">
        <v>1231</v>
      </c>
      <c r="DM145" s="237">
        <v>43579</v>
      </c>
      <c r="DN145" s="261" t="s">
        <v>8532</v>
      </c>
      <c r="DO145" s="241">
        <v>0</v>
      </c>
      <c r="DP145" s="261" t="s">
        <v>1223</v>
      </c>
      <c r="DQ145" s="261" t="s">
        <v>600</v>
      </c>
      <c r="DR145" s="261">
        <v>2</v>
      </c>
      <c r="DS145" s="261" t="s">
        <v>1232</v>
      </c>
      <c r="DT145" s="261" t="s">
        <v>1231</v>
      </c>
      <c r="DU145" s="262">
        <v>43579</v>
      </c>
      <c r="DV145" s="260" t="s">
        <v>8533</v>
      </c>
      <c r="DW145" s="236">
        <v>245000</v>
      </c>
      <c r="DX145" s="263" t="s">
        <v>1223</v>
      </c>
      <c r="DY145" s="263" t="s">
        <v>600</v>
      </c>
      <c r="DZ145" s="263">
        <v>2</v>
      </c>
      <c r="EA145" s="263" t="s">
        <v>1232</v>
      </c>
      <c r="EB145" s="263" t="s">
        <v>1231</v>
      </c>
      <c r="EC145" s="237">
        <v>44019</v>
      </c>
      <c r="ED145" s="261" t="s">
        <v>8534</v>
      </c>
      <c r="EE145" s="241">
        <v>177000</v>
      </c>
      <c r="EF145" s="261" t="s">
        <v>1223</v>
      </c>
      <c r="EG145" s="261" t="s">
        <v>600</v>
      </c>
      <c r="EH145" s="261">
        <v>2</v>
      </c>
      <c r="EI145" s="261" t="s">
        <v>1232</v>
      </c>
      <c r="EJ145" s="261" t="s">
        <v>1231</v>
      </c>
      <c r="EK145" s="262">
        <v>44019</v>
      </c>
      <c r="EL145" s="260" t="s">
        <v>8535</v>
      </c>
      <c r="EM145" s="236">
        <v>0</v>
      </c>
      <c r="EN145" s="263" t="s">
        <v>1223</v>
      </c>
      <c r="EO145" s="263" t="s">
        <v>600</v>
      </c>
      <c r="EP145" s="263">
        <v>2</v>
      </c>
      <c r="EQ145" s="263" t="s">
        <v>1232</v>
      </c>
      <c r="ER145" s="263" t="s">
        <v>1231</v>
      </c>
      <c r="ES145" s="237">
        <v>43579</v>
      </c>
      <c r="ET145" s="261" t="s">
        <v>8536</v>
      </c>
      <c r="EU145" s="261">
        <v>12222</v>
      </c>
      <c r="EV145" s="261" t="s">
        <v>3688</v>
      </c>
      <c r="EW145" s="261" t="s">
        <v>600</v>
      </c>
      <c r="EX145" s="261">
        <v>2</v>
      </c>
      <c r="EY145" s="261" t="s">
        <v>3694</v>
      </c>
      <c r="EZ145" s="261" t="s">
        <v>1246</v>
      </c>
      <c r="FA145" s="262">
        <v>44123</v>
      </c>
      <c r="FB145" s="260" t="s">
        <v>8537</v>
      </c>
      <c r="FC145" s="263">
        <v>2</v>
      </c>
      <c r="FD145" s="263">
        <v>0</v>
      </c>
      <c r="FE145" s="263" t="s">
        <v>600</v>
      </c>
      <c r="FF145" s="263">
        <v>2</v>
      </c>
      <c r="FG145" s="263" t="s">
        <v>1138</v>
      </c>
      <c r="FH145" s="263">
        <v>0</v>
      </c>
      <c r="FI145" s="237">
        <v>43523</v>
      </c>
      <c r="FJ145" s="260" t="s">
        <v>8538</v>
      </c>
      <c r="FK145" s="261" t="s">
        <v>393</v>
      </c>
      <c r="FL145" s="261">
        <v>0</v>
      </c>
      <c r="FM145" s="261" t="s">
        <v>393</v>
      </c>
      <c r="FN145" s="261" t="s">
        <v>393</v>
      </c>
      <c r="FO145" s="261">
        <v>0</v>
      </c>
      <c r="FP145" s="241">
        <v>0</v>
      </c>
      <c r="FQ145" s="242">
        <v>43523</v>
      </c>
      <c r="FR145" s="260" t="s">
        <v>8539</v>
      </c>
      <c r="FS145" s="263" t="s">
        <v>393</v>
      </c>
      <c r="FT145" s="263">
        <v>0</v>
      </c>
      <c r="FU145" s="263" t="s">
        <v>393</v>
      </c>
      <c r="FV145" s="263" t="s">
        <v>393</v>
      </c>
      <c r="FW145" s="263">
        <v>0</v>
      </c>
      <c r="FX145" s="263">
        <v>0</v>
      </c>
      <c r="FY145" s="237">
        <v>43523</v>
      </c>
      <c r="FZ145" s="261" t="s">
        <v>8540</v>
      </c>
      <c r="GA145" s="261">
        <v>2</v>
      </c>
      <c r="GB145" s="261" t="s">
        <v>1214</v>
      </c>
      <c r="GC145" s="261" t="s">
        <v>600</v>
      </c>
      <c r="GD145" s="261">
        <v>2</v>
      </c>
      <c r="GE145" s="261">
        <v>0</v>
      </c>
      <c r="GF145" s="261">
        <v>0</v>
      </c>
      <c r="GG145" s="262">
        <v>43572</v>
      </c>
      <c r="GH145" s="260" t="s">
        <v>8541</v>
      </c>
      <c r="GI145" s="263">
        <v>3</v>
      </c>
      <c r="GJ145" s="263" t="s">
        <v>1214</v>
      </c>
      <c r="GK145" s="263" t="s">
        <v>600</v>
      </c>
      <c r="GL145" s="263">
        <v>2</v>
      </c>
      <c r="GM145" s="263">
        <v>0</v>
      </c>
      <c r="GN145" s="263">
        <v>0</v>
      </c>
      <c r="GO145" s="237">
        <v>43572</v>
      </c>
      <c r="GP145" s="261" t="s">
        <v>8542</v>
      </c>
      <c r="GQ145" s="261">
        <v>3</v>
      </c>
      <c r="GR145" s="261" t="s">
        <v>1214</v>
      </c>
      <c r="GS145" s="261" t="s">
        <v>600</v>
      </c>
      <c r="GT145" s="261">
        <v>2</v>
      </c>
      <c r="GU145" s="261">
        <v>0</v>
      </c>
      <c r="GV145" s="261">
        <v>0</v>
      </c>
      <c r="GW145" s="262">
        <v>43572</v>
      </c>
      <c r="GX145" s="260" t="s">
        <v>8543</v>
      </c>
      <c r="GY145" s="263">
        <v>3</v>
      </c>
      <c r="GZ145" s="263" t="s">
        <v>1214</v>
      </c>
      <c r="HA145" s="263" t="s">
        <v>600</v>
      </c>
      <c r="HB145" s="263">
        <v>2</v>
      </c>
      <c r="HC145" s="263">
        <v>0</v>
      </c>
      <c r="HD145" s="263">
        <v>0</v>
      </c>
      <c r="HE145" s="237">
        <v>43572</v>
      </c>
      <c r="HF145" s="261" t="s">
        <v>8544</v>
      </c>
      <c r="HG145" s="261">
        <v>2</v>
      </c>
      <c r="HH145" s="261" t="s">
        <v>1214</v>
      </c>
      <c r="HI145" s="261" t="s">
        <v>600</v>
      </c>
      <c r="HJ145" s="261">
        <v>2</v>
      </c>
      <c r="HK145" s="261">
        <v>0</v>
      </c>
      <c r="HL145" s="261">
        <v>0</v>
      </c>
      <c r="HM145" s="262">
        <v>43572</v>
      </c>
      <c r="HN145" s="260" t="s">
        <v>8545</v>
      </c>
      <c r="HO145" s="263">
        <v>3</v>
      </c>
      <c r="HP145" s="263" t="s">
        <v>1214</v>
      </c>
      <c r="HQ145" s="263" t="s">
        <v>600</v>
      </c>
      <c r="HR145" s="263">
        <v>2</v>
      </c>
      <c r="HS145" s="263">
        <v>0</v>
      </c>
      <c r="HT145" s="263">
        <v>0</v>
      </c>
      <c r="HU145" s="237">
        <v>43572</v>
      </c>
      <c r="HV145" s="261" t="s">
        <v>8546</v>
      </c>
      <c r="HW145" s="261">
        <v>3</v>
      </c>
      <c r="HX145" s="261" t="s">
        <v>1214</v>
      </c>
      <c r="HY145" s="261" t="s">
        <v>600</v>
      </c>
      <c r="HZ145" s="261">
        <v>2</v>
      </c>
      <c r="IA145" s="261">
        <v>0</v>
      </c>
      <c r="IB145" s="261">
        <v>0</v>
      </c>
      <c r="IC145" s="262">
        <v>43572</v>
      </c>
      <c r="ID145" s="260" t="s">
        <v>8547</v>
      </c>
      <c r="IE145" s="263">
        <v>3</v>
      </c>
      <c r="IF145" s="263" t="s">
        <v>1214</v>
      </c>
      <c r="IG145" s="263" t="s">
        <v>600</v>
      </c>
      <c r="IH145" s="263">
        <v>2</v>
      </c>
      <c r="II145" s="263">
        <v>0</v>
      </c>
      <c r="IJ145" s="263">
        <v>0</v>
      </c>
      <c r="IK145" s="237">
        <v>43572</v>
      </c>
      <c r="IL145" s="261" t="s">
        <v>8548</v>
      </c>
      <c r="IM145" s="261">
        <v>3</v>
      </c>
      <c r="IN145" s="261" t="s">
        <v>1214</v>
      </c>
      <c r="IO145" s="261" t="s">
        <v>600</v>
      </c>
      <c r="IP145" s="261">
        <v>2</v>
      </c>
      <c r="IQ145" s="261">
        <v>0</v>
      </c>
      <c r="IR145" s="261">
        <v>0</v>
      </c>
      <c r="IS145" s="262">
        <v>43572</v>
      </c>
    </row>
    <row r="146" spans="1:253" x14ac:dyDescent="0.3">
      <c r="A146" s="11" t="s">
        <v>788</v>
      </c>
      <c r="B146" s="11" t="s">
        <v>651</v>
      </c>
      <c r="C146" s="11" t="s">
        <v>682</v>
      </c>
      <c r="D146" s="11" t="s">
        <v>353</v>
      </c>
      <c r="E146" s="11" t="s">
        <v>352</v>
      </c>
      <c r="F146" s="11" t="s">
        <v>8549</v>
      </c>
      <c r="G146" s="235">
        <v>16487000</v>
      </c>
      <c r="H146" s="236" t="s">
        <v>1537</v>
      </c>
      <c r="I146" s="236" t="s">
        <v>601</v>
      </c>
      <c r="J146" s="236">
        <v>1</v>
      </c>
      <c r="K146" s="236" t="s">
        <v>1539</v>
      </c>
      <c r="L146" s="236" t="s">
        <v>1538</v>
      </c>
      <c r="M146" s="237">
        <v>43707</v>
      </c>
      <c r="N146" s="260" t="s">
        <v>8550</v>
      </c>
      <c r="O146" s="239">
        <v>626890</v>
      </c>
      <c r="P146" s="239" t="s">
        <v>1541</v>
      </c>
      <c r="Q146" s="239" t="s">
        <v>600</v>
      </c>
      <c r="R146" s="239">
        <v>2</v>
      </c>
      <c r="S146" s="239" t="s">
        <v>1542</v>
      </c>
      <c r="T146" s="239" t="s">
        <v>1540</v>
      </c>
      <c r="U146" s="240">
        <v>43707</v>
      </c>
      <c r="V146" s="260" t="s">
        <v>8551</v>
      </c>
      <c r="W146" s="236">
        <v>9480000</v>
      </c>
      <c r="X146" s="236" t="s">
        <v>1625</v>
      </c>
      <c r="Y146" s="236" t="s">
        <v>600</v>
      </c>
      <c r="Z146" s="236">
        <v>2</v>
      </c>
      <c r="AA146" s="236" t="s">
        <v>1629</v>
      </c>
      <c r="AB146" s="236" t="s">
        <v>1627</v>
      </c>
      <c r="AC146" s="237">
        <v>43784</v>
      </c>
      <c r="AD146" s="260" t="s">
        <v>8552</v>
      </c>
      <c r="AE146" s="241">
        <v>3128000</v>
      </c>
      <c r="AF146" s="241" t="s">
        <v>1626</v>
      </c>
      <c r="AG146" s="241" t="s">
        <v>600</v>
      </c>
      <c r="AH146" s="241">
        <v>2</v>
      </c>
      <c r="AI146" s="241" t="s">
        <v>1630</v>
      </c>
      <c r="AJ146" s="241" t="s">
        <v>1628</v>
      </c>
      <c r="AK146" s="242">
        <v>43784</v>
      </c>
      <c r="AL146" s="260" t="s">
        <v>8553</v>
      </c>
      <c r="AM146" s="236">
        <v>0</v>
      </c>
      <c r="AN146" s="236" t="s">
        <v>393</v>
      </c>
      <c r="AO146" s="236" t="s">
        <v>600</v>
      </c>
      <c r="AP146" s="236">
        <v>2</v>
      </c>
      <c r="AQ146" s="236" t="s">
        <v>1545</v>
      </c>
      <c r="AR146" s="236" t="s">
        <v>393</v>
      </c>
      <c r="AS146" s="237">
        <v>43707</v>
      </c>
      <c r="AT146" s="261" t="s">
        <v>8554</v>
      </c>
      <c r="AU146" s="241">
        <v>0</v>
      </c>
      <c r="AV146" s="241" t="s">
        <v>393</v>
      </c>
      <c r="AW146" s="241" t="s">
        <v>601</v>
      </c>
      <c r="AX146" s="241">
        <v>1</v>
      </c>
      <c r="AY146" s="241" t="s">
        <v>393</v>
      </c>
      <c r="AZ146" s="241" t="s">
        <v>393</v>
      </c>
      <c r="BA146" s="242">
        <v>43784</v>
      </c>
      <c r="BB146" s="260" t="s">
        <v>8555</v>
      </c>
      <c r="BC146" s="236">
        <v>0</v>
      </c>
      <c r="BD146" s="236" t="s">
        <v>393</v>
      </c>
      <c r="BE146" s="236" t="s">
        <v>601</v>
      </c>
      <c r="BF146" s="236">
        <v>1</v>
      </c>
      <c r="BG146" s="236" t="s">
        <v>393</v>
      </c>
      <c r="BH146" s="236" t="s">
        <v>393</v>
      </c>
      <c r="BI146" s="237">
        <v>43784</v>
      </c>
      <c r="BJ146" s="261" t="s">
        <v>8556</v>
      </c>
      <c r="BK146" s="261" t="s">
        <v>393</v>
      </c>
      <c r="BL146" s="261" t="s">
        <v>393</v>
      </c>
      <c r="BM146" s="261" t="s">
        <v>393</v>
      </c>
      <c r="BN146" s="261" t="s">
        <v>393</v>
      </c>
      <c r="BO146" s="261" t="s">
        <v>3917</v>
      </c>
      <c r="BP146" s="241" t="s">
        <v>393</v>
      </c>
      <c r="BQ146" s="262">
        <v>44134</v>
      </c>
      <c r="BR146" s="260" t="s">
        <v>8557</v>
      </c>
      <c r="BS146" s="263">
        <v>0</v>
      </c>
      <c r="BT146" s="263">
        <v>0</v>
      </c>
      <c r="BU146" s="263" t="s">
        <v>600</v>
      </c>
      <c r="BV146" s="263">
        <v>2</v>
      </c>
      <c r="BW146" s="263" t="s">
        <v>855</v>
      </c>
      <c r="BX146" s="263">
        <v>0</v>
      </c>
      <c r="BY146" s="237">
        <v>43509</v>
      </c>
      <c r="BZ146" s="261" t="s">
        <v>8558</v>
      </c>
      <c r="CA146" s="261">
        <v>0</v>
      </c>
      <c r="CB146" s="261">
        <v>0</v>
      </c>
      <c r="CC146" s="261" t="s">
        <v>600</v>
      </c>
      <c r="CD146" s="261">
        <v>2</v>
      </c>
      <c r="CE146" s="261" t="s">
        <v>855</v>
      </c>
      <c r="CF146" s="261">
        <v>0</v>
      </c>
      <c r="CG146" s="262">
        <v>43509</v>
      </c>
      <c r="CH146" s="260" t="s">
        <v>8559</v>
      </c>
      <c r="CI146" s="261" t="e">
        <v>#N/A</v>
      </c>
      <c r="CJ146" s="261" t="e">
        <v>#N/A</v>
      </c>
      <c r="CK146" s="261" t="e">
        <v>#N/A</v>
      </c>
      <c r="CL146" s="261" t="e">
        <v>#N/A</v>
      </c>
      <c r="CM146" s="261" t="e">
        <v>#N/A</v>
      </c>
      <c r="CN146" s="261" t="e">
        <v>#N/A</v>
      </c>
      <c r="CO146" s="264" t="e">
        <v>#N/A</v>
      </c>
      <c r="CP146" s="261" t="s">
        <v>8560</v>
      </c>
      <c r="CQ146" s="263" t="s">
        <v>393</v>
      </c>
      <c r="CR146" s="263" t="s">
        <v>393</v>
      </c>
      <c r="CS146" s="263" t="s">
        <v>393</v>
      </c>
      <c r="CT146" s="263" t="s">
        <v>393</v>
      </c>
      <c r="CU146" s="263" t="s">
        <v>393</v>
      </c>
      <c r="CV146" s="263" t="s">
        <v>393</v>
      </c>
      <c r="CW146" s="237">
        <v>43784</v>
      </c>
      <c r="CX146" s="261" t="s">
        <v>8561</v>
      </c>
      <c r="CY146" s="241">
        <v>2278000</v>
      </c>
      <c r="CZ146" s="241" t="s">
        <v>1615</v>
      </c>
      <c r="DA146" s="241" t="s">
        <v>600</v>
      </c>
      <c r="DB146" s="241">
        <v>2</v>
      </c>
      <c r="DC146" s="241" t="s">
        <v>1632</v>
      </c>
      <c r="DD146" s="241" t="s">
        <v>1628</v>
      </c>
      <c r="DE146" s="243">
        <v>43784</v>
      </c>
      <c r="DF146" s="260" t="s">
        <v>8562</v>
      </c>
      <c r="DG146" s="236">
        <v>4074000</v>
      </c>
      <c r="DH146" s="263" t="s">
        <v>1615</v>
      </c>
      <c r="DI146" s="263" t="s">
        <v>600</v>
      </c>
      <c r="DJ146" s="263">
        <v>2</v>
      </c>
      <c r="DK146" s="263" t="s">
        <v>1629</v>
      </c>
      <c r="DL146" s="263" t="s">
        <v>1628</v>
      </c>
      <c r="DM146" s="237">
        <v>43784</v>
      </c>
      <c r="DN146" s="261" t="s">
        <v>8563</v>
      </c>
      <c r="DO146" s="241">
        <v>3128000</v>
      </c>
      <c r="DP146" s="261" t="s">
        <v>1615</v>
      </c>
      <c r="DQ146" s="261" t="s">
        <v>600</v>
      </c>
      <c r="DR146" s="261">
        <v>2</v>
      </c>
      <c r="DS146" s="261" t="s">
        <v>1631</v>
      </c>
      <c r="DT146" s="261" t="s">
        <v>1628</v>
      </c>
      <c r="DU146" s="262">
        <v>43784</v>
      </c>
      <c r="DV146" s="260" t="s">
        <v>8564</v>
      </c>
      <c r="DW146" s="236">
        <v>1866000</v>
      </c>
      <c r="DX146" s="263" t="s">
        <v>1615</v>
      </c>
      <c r="DY146" s="263" t="s">
        <v>600</v>
      </c>
      <c r="DZ146" s="263">
        <v>2</v>
      </c>
      <c r="EA146" s="263" t="s">
        <v>1632</v>
      </c>
      <c r="EB146" s="263" t="s">
        <v>1628</v>
      </c>
      <c r="EC146" s="237">
        <v>43784</v>
      </c>
      <c r="ED146" s="261" t="s">
        <v>8565</v>
      </c>
      <c r="EE146" s="241">
        <v>412000</v>
      </c>
      <c r="EF146" s="261" t="s">
        <v>1615</v>
      </c>
      <c r="EG146" s="261" t="s">
        <v>600</v>
      </c>
      <c r="EH146" s="261">
        <v>2</v>
      </c>
      <c r="EI146" s="261" t="s">
        <v>1633</v>
      </c>
      <c r="EJ146" s="261" t="s">
        <v>1628</v>
      </c>
      <c r="EK146" s="262">
        <v>43784</v>
      </c>
      <c r="EL146" s="260" t="s">
        <v>8566</v>
      </c>
      <c r="EM146" s="236">
        <v>0</v>
      </c>
      <c r="EN146" s="263" t="s">
        <v>1543</v>
      </c>
      <c r="EO146" s="263" t="s">
        <v>599</v>
      </c>
      <c r="EP146" s="263">
        <v>3</v>
      </c>
      <c r="EQ146" s="263" t="s">
        <v>1546</v>
      </c>
      <c r="ER146" s="263" t="s">
        <v>1544</v>
      </c>
      <c r="ES146" s="237">
        <v>43707</v>
      </c>
      <c r="ET146" s="261" t="s">
        <v>8567</v>
      </c>
      <c r="EU146" s="261" t="s">
        <v>393</v>
      </c>
      <c r="EV146" s="261" t="s">
        <v>393</v>
      </c>
      <c r="EW146" s="261" t="s">
        <v>393</v>
      </c>
      <c r="EX146" s="261" t="s">
        <v>393</v>
      </c>
      <c r="EY146" s="261" t="s">
        <v>3917</v>
      </c>
      <c r="EZ146" s="261" t="s">
        <v>393</v>
      </c>
      <c r="FA146" s="262">
        <v>44134</v>
      </c>
      <c r="FB146" s="260" t="s">
        <v>8568</v>
      </c>
      <c r="FC146" s="263">
        <v>3</v>
      </c>
      <c r="FD146" s="263" t="s">
        <v>856</v>
      </c>
      <c r="FE146" s="263" t="s">
        <v>600</v>
      </c>
      <c r="FF146" s="263">
        <v>2</v>
      </c>
      <c r="FG146" s="263" t="s">
        <v>857</v>
      </c>
      <c r="FH146" s="263" t="s">
        <v>858</v>
      </c>
      <c r="FI146" s="237">
        <v>43509</v>
      </c>
      <c r="FJ146" s="260" t="s">
        <v>8569</v>
      </c>
      <c r="FK146" s="261" t="s">
        <v>393</v>
      </c>
      <c r="FL146" s="261" t="s">
        <v>750</v>
      </c>
      <c r="FM146" s="261" t="s">
        <v>393</v>
      </c>
      <c r="FN146" s="261" t="s">
        <v>393</v>
      </c>
      <c r="FO146" s="261" t="s">
        <v>1315</v>
      </c>
      <c r="FP146" s="241" t="s">
        <v>1316</v>
      </c>
      <c r="FQ146" s="242">
        <v>43578</v>
      </c>
      <c r="FR146" s="260" t="s">
        <v>8570</v>
      </c>
      <c r="FS146" s="263" t="s">
        <v>393</v>
      </c>
      <c r="FT146" s="263" t="s">
        <v>1217</v>
      </c>
      <c r="FU146" s="263" t="s">
        <v>393</v>
      </c>
      <c r="FV146" s="263" t="s">
        <v>393</v>
      </c>
      <c r="FW146" s="263" t="s">
        <v>1315</v>
      </c>
      <c r="FX146" s="263" t="s">
        <v>1316</v>
      </c>
      <c r="FY146" s="237">
        <v>43578</v>
      </c>
      <c r="FZ146" s="261" t="s">
        <v>8571</v>
      </c>
      <c r="GA146" s="261">
        <v>0</v>
      </c>
      <c r="GB146" s="261" t="s">
        <v>1587</v>
      </c>
      <c r="GC146" s="261" t="s">
        <v>601</v>
      </c>
      <c r="GD146" s="261">
        <v>1</v>
      </c>
      <c r="GE146" s="261" t="s">
        <v>1623</v>
      </c>
      <c r="GF146" s="261" t="s">
        <v>1624</v>
      </c>
      <c r="GG146" s="262">
        <v>43767</v>
      </c>
      <c r="GH146" s="260" t="s">
        <v>8572</v>
      </c>
      <c r="GI146" s="263">
        <v>0</v>
      </c>
      <c r="GJ146" s="263" t="s">
        <v>1587</v>
      </c>
      <c r="GK146" s="263" t="s">
        <v>601</v>
      </c>
      <c r="GL146" s="263">
        <v>1</v>
      </c>
      <c r="GM146" s="263" t="s">
        <v>1623</v>
      </c>
      <c r="GN146" s="263" t="s">
        <v>1624</v>
      </c>
      <c r="GO146" s="237">
        <v>43767</v>
      </c>
      <c r="GP146" s="261" t="s">
        <v>8573</v>
      </c>
      <c r="GQ146" s="261">
        <v>0</v>
      </c>
      <c r="GR146" s="261" t="s">
        <v>1587</v>
      </c>
      <c r="GS146" s="261" t="s">
        <v>601</v>
      </c>
      <c r="GT146" s="261">
        <v>1</v>
      </c>
      <c r="GU146" s="261" t="s">
        <v>1623</v>
      </c>
      <c r="GV146" s="261" t="s">
        <v>1624</v>
      </c>
      <c r="GW146" s="262">
        <v>43767</v>
      </c>
      <c r="GX146" s="260" t="s">
        <v>8574</v>
      </c>
      <c r="GY146" s="263">
        <v>0</v>
      </c>
      <c r="GZ146" s="263" t="s">
        <v>1587</v>
      </c>
      <c r="HA146" s="263" t="s">
        <v>601</v>
      </c>
      <c r="HB146" s="263">
        <v>1</v>
      </c>
      <c r="HC146" s="263" t="s">
        <v>1623</v>
      </c>
      <c r="HD146" s="263" t="s">
        <v>1624</v>
      </c>
      <c r="HE146" s="237">
        <v>43767</v>
      </c>
      <c r="HF146" s="261" t="s">
        <v>8575</v>
      </c>
      <c r="HG146" s="261">
        <v>0</v>
      </c>
      <c r="HH146" s="261" t="s">
        <v>1587</v>
      </c>
      <c r="HI146" s="261" t="s">
        <v>601</v>
      </c>
      <c r="HJ146" s="261">
        <v>1</v>
      </c>
      <c r="HK146" s="261" t="s">
        <v>1623</v>
      </c>
      <c r="HL146" s="261" t="s">
        <v>1624</v>
      </c>
      <c r="HM146" s="262">
        <v>43767</v>
      </c>
      <c r="HN146" s="260" t="s">
        <v>8576</v>
      </c>
      <c r="HO146" s="263">
        <v>0</v>
      </c>
      <c r="HP146" s="263" t="s">
        <v>1587</v>
      </c>
      <c r="HQ146" s="263" t="s">
        <v>601</v>
      </c>
      <c r="HR146" s="263">
        <v>1</v>
      </c>
      <c r="HS146" s="263" t="s">
        <v>1623</v>
      </c>
      <c r="HT146" s="263" t="s">
        <v>1624</v>
      </c>
      <c r="HU146" s="237">
        <v>43767</v>
      </c>
      <c r="HV146" s="261" t="s">
        <v>8577</v>
      </c>
      <c r="HW146" s="261">
        <v>0</v>
      </c>
      <c r="HX146" s="261" t="s">
        <v>1587</v>
      </c>
      <c r="HY146" s="261" t="s">
        <v>601</v>
      </c>
      <c r="HZ146" s="261">
        <v>1</v>
      </c>
      <c r="IA146" s="261" t="s">
        <v>1623</v>
      </c>
      <c r="IB146" s="261" t="s">
        <v>1624</v>
      </c>
      <c r="IC146" s="262">
        <v>43767</v>
      </c>
      <c r="ID146" s="260" t="s">
        <v>8578</v>
      </c>
      <c r="IE146" s="263">
        <v>0</v>
      </c>
      <c r="IF146" s="263" t="s">
        <v>1587</v>
      </c>
      <c r="IG146" s="263" t="s">
        <v>601</v>
      </c>
      <c r="IH146" s="263">
        <v>1</v>
      </c>
      <c r="II146" s="263" t="s">
        <v>1623</v>
      </c>
      <c r="IJ146" s="263" t="s">
        <v>1624</v>
      </c>
      <c r="IK146" s="237">
        <v>43767</v>
      </c>
      <c r="IL146" s="261" t="s">
        <v>8579</v>
      </c>
      <c r="IM146" s="261">
        <v>0</v>
      </c>
      <c r="IN146" s="261" t="s">
        <v>1587</v>
      </c>
      <c r="IO146" s="261" t="s">
        <v>600</v>
      </c>
      <c r="IP146" s="261">
        <v>2</v>
      </c>
      <c r="IQ146" s="261" t="s">
        <v>1623</v>
      </c>
      <c r="IR146" s="261" t="s">
        <v>1624</v>
      </c>
      <c r="IS146" s="262">
        <v>43767</v>
      </c>
    </row>
    <row r="147" spans="1:253" x14ac:dyDescent="0.3">
      <c r="A147" s="11" t="s">
        <v>1114</v>
      </c>
      <c r="B147" s="11" t="s">
        <v>691</v>
      </c>
      <c r="C147" s="11" t="s">
        <v>2920</v>
      </c>
      <c r="D147" s="11" t="s">
        <v>355</v>
      </c>
      <c r="E147" s="11" t="s">
        <v>354</v>
      </c>
      <c r="F147" s="11" t="s">
        <v>8580</v>
      </c>
      <c r="G147" s="235">
        <v>15413000</v>
      </c>
      <c r="H147" s="236" t="s">
        <v>2519</v>
      </c>
      <c r="I147" s="236" t="s">
        <v>600</v>
      </c>
      <c r="J147" s="236">
        <v>2</v>
      </c>
      <c r="K147" s="236" t="s">
        <v>2524</v>
      </c>
      <c r="L147" s="236" t="s">
        <v>2522</v>
      </c>
      <c r="M147" s="237">
        <v>44134</v>
      </c>
      <c r="N147" s="260" t="s">
        <v>8581</v>
      </c>
      <c r="O147" s="239">
        <v>386847</v>
      </c>
      <c r="P147" s="239" t="s">
        <v>3375</v>
      </c>
      <c r="Q147" s="239" t="s">
        <v>601</v>
      </c>
      <c r="R147" s="239">
        <v>1</v>
      </c>
      <c r="S147" s="239" t="s">
        <v>3605</v>
      </c>
      <c r="T147" s="239" t="s">
        <v>3618</v>
      </c>
      <c r="U147" s="240">
        <v>44110</v>
      </c>
      <c r="V147" s="260" t="s">
        <v>8582</v>
      </c>
      <c r="W147" s="236">
        <v>15413000</v>
      </c>
      <c r="X147" s="236" t="s">
        <v>3958</v>
      </c>
      <c r="Y147" s="236" t="s">
        <v>600</v>
      </c>
      <c r="Z147" s="236">
        <v>2</v>
      </c>
      <c r="AA147" s="236" t="s">
        <v>3950</v>
      </c>
      <c r="AB147" s="236" t="s">
        <v>2522</v>
      </c>
      <c r="AC147" s="237">
        <v>44134</v>
      </c>
      <c r="AD147" s="260" t="s">
        <v>8583</v>
      </c>
      <c r="AE147" s="241">
        <v>7000000</v>
      </c>
      <c r="AF147" s="241" t="s">
        <v>3948</v>
      </c>
      <c r="AG147" s="241" t="s">
        <v>600</v>
      </c>
      <c r="AH147" s="241">
        <v>2</v>
      </c>
      <c r="AI147" s="241" t="s">
        <v>3951</v>
      </c>
      <c r="AJ147" s="241" t="s">
        <v>3949</v>
      </c>
      <c r="AK147" s="242">
        <v>44134</v>
      </c>
      <c r="AL147" s="260" t="s">
        <v>8584</v>
      </c>
      <c r="AM147" s="236">
        <v>21000</v>
      </c>
      <c r="AN147" s="236" t="s">
        <v>1929</v>
      </c>
      <c r="AO147" s="236" t="s">
        <v>599</v>
      </c>
      <c r="AP147" s="236">
        <v>3</v>
      </c>
      <c r="AQ147" s="236" t="s">
        <v>1936</v>
      </c>
      <c r="AR147" s="236" t="s">
        <v>1937</v>
      </c>
      <c r="AS147" s="237">
        <v>43859</v>
      </c>
      <c r="AT147" s="261" t="s">
        <v>8585</v>
      </c>
      <c r="AU147" s="241">
        <v>0</v>
      </c>
      <c r="AV147" s="241" t="s">
        <v>393</v>
      </c>
      <c r="AW147" s="241" t="s">
        <v>393</v>
      </c>
      <c r="AX147" s="241" t="s">
        <v>393</v>
      </c>
      <c r="AY147" s="241" t="s">
        <v>1575</v>
      </c>
      <c r="AZ147" s="241" t="s">
        <v>393</v>
      </c>
      <c r="BA147" s="242">
        <v>43742</v>
      </c>
      <c r="BB147" s="260" t="s">
        <v>8586</v>
      </c>
      <c r="BC147" s="236">
        <v>0</v>
      </c>
      <c r="BD147" s="236" t="s">
        <v>393</v>
      </c>
      <c r="BE147" s="236" t="s">
        <v>393</v>
      </c>
      <c r="BF147" s="236" t="s">
        <v>393</v>
      </c>
      <c r="BG147" s="236" t="s">
        <v>1574</v>
      </c>
      <c r="BH147" s="236" t="s">
        <v>393</v>
      </c>
      <c r="BI147" s="237">
        <v>43742</v>
      </c>
      <c r="BJ147" s="261" t="s">
        <v>8587</v>
      </c>
      <c r="BK147" s="261">
        <v>14</v>
      </c>
      <c r="BL147" s="261" t="s">
        <v>3929</v>
      </c>
      <c r="BM147" s="261" t="s">
        <v>600</v>
      </c>
      <c r="BN147" s="261">
        <v>2</v>
      </c>
      <c r="BO147" s="261" t="s">
        <v>3947</v>
      </c>
      <c r="BP147" s="241" t="s">
        <v>2205</v>
      </c>
      <c r="BQ147" s="262">
        <v>44134</v>
      </c>
      <c r="BR147" s="260" t="s">
        <v>8588</v>
      </c>
      <c r="BS147" s="263" t="s">
        <v>393</v>
      </c>
      <c r="BT147" s="263" t="s">
        <v>393</v>
      </c>
      <c r="BU147" s="263" t="s">
        <v>393</v>
      </c>
      <c r="BV147" s="263" t="s">
        <v>393</v>
      </c>
      <c r="BW147" s="263" t="s">
        <v>393</v>
      </c>
      <c r="BX147" s="263" t="s">
        <v>393</v>
      </c>
      <c r="BY147" s="237">
        <v>43787</v>
      </c>
      <c r="BZ147" s="261" t="s">
        <v>8589</v>
      </c>
      <c r="CA147" s="261" t="s">
        <v>393</v>
      </c>
      <c r="CB147" s="261" t="s">
        <v>393</v>
      </c>
      <c r="CC147" s="261" t="s">
        <v>393</v>
      </c>
      <c r="CD147" s="261" t="s">
        <v>393</v>
      </c>
      <c r="CE147" s="261" t="s">
        <v>393</v>
      </c>
      <c r="CF147" s="261" t="s">
        <v>393</v>
      </c>
      <c r="CG147" s="262">
        <v>43787</v>
      </c>
      <c r="CH147" s="260" t="s">
        <v>8590</v>
      </c>
      <c r="CI147" s="261" t="e">
        <v>#N/A</v>
      </c>
      <c r="CJ147" s="261" t="e">
        <v>#N/A</v>
      </c>
      <c r="CK147" s="261" t="e">
        <v>#N/A</v>
      </c>
      <c r="CL147" s="261" t="e">
        <v>#N/A</v>
      </c>
      <c r="CM147" s="261" t="e">
        <v>#N/A</v>
      </c>
      <c r="CN147" s="261" t="e">
        <v>#N/A</v>
      </c>
      <c r="CO147" s="264" t="e">
        <v>#N/A</v>
      </c>
      <c r="CP147" s="261" t="s">
        <v>8591</v>
      </c>
      <c r="CQ147" s="263" t="s">
        <v>703</v>
      </c>
      <c r="CR147" s="263">
        <v>0</v>
      </c>
      <c r="CS147" s="263" t="s">
        <v>393</v>
      </c>
      <c r="CT147" s="263" t="s">
        <v>393</v>
      </c>
      <c r="CU147" s="263">
        <v>0</v>
      </c>
      <c r="CV147" s="263">
        <v>0</v>
      </c>
      <c r="CW147" s="237">
        <v>43502</v>
      </c>
      <c r="CX147" s="261" t="s">
        <v>8592</v>
      </c>
      <c r="CY147" s="241">
        <v>7000000</v>
      </c>
      <c r="CZ147" s="241" t="s">
        <v>3948</v>
      </c>
      <c r="DA147" s="241" t="s">
        <v>600</v>
      </c>
      <c r="DB147" s="241">
        <v>2</v>
      </c>
      <c r="DC147" s="241" t="s">
        <v>3956</v>
      </c>
      <c r="DD147" s="241" t="s">
        <v>3949</v>
      </c>
      <c r="DE147" s="243">
        <v>44134</v>
      </c>
      <c r="DF147" s="260" t="s">
        <v>8593</v>
      </c>
      <c r="DG147" s="236">
        <v>8413000</v>
      </c>
      <c r="DH147" s="263" t="s">
        <v>3948</v>
      </c>
      <c r="DI147" s="263" t="s">
        <v>600</v>
      </c>
      <c r="DJ147" s="263">
        <v>2</v>
      </c>
      <c r="DK147" s="263" t="s">
        <v>3955</v>
      </c>
      <c r="DL147" s="263" t="s">
        <v>3949</v>
      </c>
      <c r="DM147" s="237">
        <v>44134</v>
      </c>
      <c r="DN147" s="261" t="s">
        <v>8594</v>
      </c>
      <c r="DO147" s="241">
        <v>0</v>
      </c>
      <c r="DP147" s="261" t="s">
        <v>3948</v>
      </c>
      <c r="DQ147" s="261" t="s">
        <v>600</v>
      </c>
      <c r="DR147" s="261">
        <v>2</v>
      </c>
      <c r="DS147" s="261" t="s">
        <v>3957</v>
      </c>
      <c r="DT147" s="261" t="s">
        <v>3949</v>
      </c>
      <c r="DU147" s="262">
        <v>44134</v>
      </c>
      <c r="DV147" s="260" t="s">
        <v>8595</v>
      </c>
      <c r="DW147" s="236">
        <v>7000000</v>
      </c>
      <c r="DX147" s="263" t="s">
        <v>3948</v>
      </c>
      <c r="DY147" s="263" t="s">
        <v>600</v>
      </c>
      <c r="DZ147" s="263">
        <v>2</v>
      </c>
      <c r="EA147" s="263" t="s">
        <v>3956</v>
      </c>
      <c r="EB147" s="263" t="s">
        <v>3949</v>
      </c>
      <c r="EC147" s="237">
        <v>44134</v>
      </c>
      <c r="ED147" s="261" t="s">
        <v>8596</v>
      </c>
      <c r="EE147" s="241">
        <v>0</v>
      </c>
      <c r="EF147" s="261" t="s">
        <v>3948</v>
      </c>
      <c r="EG147" s="261" t="s">
        <v>600</v>
      </c>
      <c r="EH147" s="261">
        <v>2</v>
      </c>
      <c r="EI147" s="261" t="s">
        <v>3956</v>
      </c>
      <c r="EJ147" s="261" t="s">
        <v>3949</v>
      </c>
      <c r="EK147" s="262">
        <v>44134</v>
      </c>
      <c r="EL147" s="260" t="s">
        <v>8597</v>
      </c>
      <c r="EM147" s="236">
        <v>0</v>
      </c>
      <c r="EN147" s="263" t="s">
        <v>3948</v>
      </c>
      <c r="EO147" s="263" t="s">
        <v>600</v>
      </c>
      <c r="EP147" s="263">
        <v>2</v>
      </c>
      <c r="EQ147" s="263" t="s">
        <v>3956</v>
      </c>
      <c r="ER147" s="263" t="s">
        <v>3949</v>
      </c>
      <c r="ES147" s="237">
        <v>44134</v>
      </c>
      <c r="ET147" s="261" t="s">
        <v>8598</v>
      </c>
      <c r="EU147" s="261">
        <v>375</v>
      </c>
      <c r="EV147" s="261" t="s">
        <v>3953</v>
      </c>
      <c r="EW147" s="261" t="s">
        <v>599</v>
      </c>
      <c r="EX147" s="261">
        <v>3</v>
      </c>
      <c r="EY147" s="261" t="s">
        <v>3952</v>
      </c>
      <c r="EZ147" s="261" t="s">
        <v>3954</v>
      </c>
      <c r="FA147" s="262">
        <v>44134</v>
      </c>
      <c r="FB147" s="260" t="s">
        <v>8599</v>
      </c>
      <c r="FC147" s="263">
        <v>5</v>
      </c>
      <c r="FD147" s="263" t="s">
        <v>393</v>
      </c>
      <c r="FE147" s="263" t="s">
        <v>601</v>
      </c>
      <c r="FF147" s="263">
        <v>1</v>
      </c>
      <c r="FG147" s="263" t="s">
        <v>1244</v>
      </c>
      <c r="FH147" s="263" t="s">
        <v>393</v>
      </c>
      <c r="FI147" s="237">
        <v>43580</v>
      </c>
      <c r="FJ147" s="260" t="s">
        <v>8600</v>
      </c>
      <c r="FK147" s="261" t="s">
        <v>703</v>
      </c>
      <c r="FL147" s="261">
        <v>0</v>
      </c>
      <c r="FM147" s="261" t="s">
        <v>393</v>
      </c>
      <c r="FN147" s="261" t="s">
        <v>393</v>
      </c>
      <c r="FO147" s="261">
        <v>0</v>
      </c>
      <c r="FP147" s="241">
        <v>0</v>
      </c>
      <c r="FQ147" s="242">
        <v>43502</v>
      </c>
      <c r="FR147" s="260" t="s">
        <v>8601</v>
      </c>
      <c r="FS147" s="263" t="s">
        <v>703</v>
      </c>
      <c r="FT147" s="263">
        <v>0</v>
      </c>
      <c r="FU147" s="263" t="s">
        <v>393</v>
      </c>
      <c r="FV147" s="263" t="s">
        <v>393</v>
      </c>
      <c r="FW147" s="263">
        <v>0</v>
      </c>
      <c r="FX147" s="263">
        <v>0</v>
      </c>
      <c r="FY147" s="237">
        <v>43502</v>
      </c>
      <c r="FZ147" s="261" t="s">
        <v>8602</v>
      </c>
      <c r="GA147" s="261">
        <v>0</v>
      </c>
      <c r="GB147" s="261" t="s">
        <v>1587</v>
      </c>
      <c r="GC147" s="261" t="s">
        <v>601</v>
      </c>
      <c r="GD147" s="261">
        <v>1</v>
      </c>
      <c r="GE147" s="261" t="s">
        <v>1623</v>
      </c>
      <c r="GF147" s="261" t="s">
        <v>1624</v>
      </c>
      <c r="GG147" s="262">
        <v>43767</v>
      </c>
      <c r="GH147" s="260" t="s">
        <v>8603</v>
      </c>
      <c r="GI147" s="263">
        <v>0</v>
      </c>
      <c r="GJ147" s="263" t="s">
        <v>1587</v>
      </c>
      <c r="GK147" s="263" t="s">
        <v>601</v>
      </c>
      <c r="GL147" s="263">
        <v>1</v>
      </c>
      <c r="GM147" s="263" t="s">
        <v>1623</v>
      </c>
      <c r="GN147" s="263" t="s">
        <v>1624</v>
      </c>
      <c r="GO147" s="237">
        <v>43767</v>
      </c>
      <c r="GP147" s="261" t="s">
        <v>8604</v>
      </c>
      <c r="GQ147" s="261">
        <v>0</v>
      </c>
      <c r="GR147" s="261" t="s">
        <v>1587</v>
      </c>
      <c r="GS147" s="261" t="s">
        <v>600</v>
      </c>
      <c r="GT147" s="261">
        <v>2</v>
      </c>
      <c r="GU147" s="261" t="s">
        <v>1623</v>
      </c>
      <c r="GV147" s="261" t="s">
        <v>1624</v>
      </c>
      <c r="GW147" s="262">
        <v>43767</v>
      </c>
      <c r="GX147" s="260" t="s">
        <v>8605</v>
      </c>
      <c r="GY147" s="263">
        <v>0</v>
      </c>
      <c r="GZ147" s="263" t="s">
        <v>1587</v>
      </c>
      <c r="HA147" s="263" t="s">
        <v>601</v>
      </c>
      <c r="HB147" s="263">
        <v>1</v>
      </c>
      <c r="HC147" s="263" t="s">
        <v>1623</v>
      </c>
      <c r="HD147" s="263" t="s">
        <v>1624</v>
      </c>
      <c r="HE147" s="237">
        <v>43767</v>
      </c>
      <c r="HF147" s="261" t="s">
        <v>8606</v>
      </c>
      <c r="HG147" s="261">
        <v>0</v>
      </c>
      <c r="HH147" s="261" t="s">
        <v>1587</v>
      </c>
      <c r="HI147" s="261" t="s">
        <v>600</v>
      </c>
      <c r="HJ147" s="261">
        <v>2</v>
      </c>
      <c r="HK147" s="261" t="s">
        <v>1623</v>
      </c>
      <c r="HL147" s="261" t="s">
        <v>1624</v>
      </c>
      <c r="HM147" s="262">
        <v>43767</v>
      </c>
      <c r="HN147" s="260" t="s">
        <v>8607</v>
      </c>
      <c r="HO147" s="263">
        <v>0</v>
      </c>
      <c r="HP147" s="263" t="s">
        <v>1587</v>
      </c>
      <c r="HQ147" s="263" t="s">
        <v>600</v>
      </c>
      <c r="HR147" s="263">
        <v>2</v>
      </c>
      <c r="HS147" s="263" t="s">
        <v>1623</v>
      </c>
      <c r="HT147" s="263" t="s">
        <v>1624</v>
      </c>
      <c r="HU147" s="237">
        <v>43767</v>
      </c>
      <c r="HV147" s="261" t="s">
        <v>8608</v>
      </c>
      <c r="HW147" s="261">
        <v>0</v>
      </c>
      <c r="HX147" s="261" t="s">
        <v>1587</v>
      </c>
      <c r="HY147" s="261" t="s">
        <v>601</v>
      </c>
      <c r="HZ147" s="261">
        <v>1</v>
      </c>
      <c r="IA147" s="261" t="s">
        <v>1623</v>
      </c>
      <c r="IB147" s="261" t="s">
        <v>1624</v>
      </c>
      <c r="IC147" s="262">
        <v>43767</v>
      </c>
      <c r="ID147" s="260" t="s">
        <v>8609</v>
      </c>
      <c r="IE147" s="263" t="s">
        <v>393</v>
      </c>
      <c r="IF147" s="263" t="s">
        <v>1587</v>
      </c>
      <c r="IG147" s="263" t="s">
        <v>393</v>
      </c>
      <c r="IH147" s="263" t="s">
        <v>393</v>
      </c>
      <c r="II147" s="263" t="s">
        <v>1623</v>
      </c>
      <c r="IJ147" s="263" t="s">
        <v>1624</v>
      </c>
      <c r="IK147" s="237">
        <v>43767</v>
      </c>
      <c r="IL147" s="261" t="s">
        <v>8610</v>
      </c>
      <c r="IM147" s="261">
        <v>2</v>
      </c>
      <c r="IN147" s="261" t="s">
        <v>1587</v>
      </c>
      <c r="IO147" s="261" t="s">
        <v>601</v>
      </c>
      <c r="IP147" s="261">
        <v>1</v>
      </c>
      <c r="IQ147" s="261" t="s">
        <v>1623</v>
      </c>
      <c r="IR147" s="261" t="s">
        <v>1624</v>
      </c>
      <c r="IS147" s="262">
        <v>43767</v>
      </c>
    </row>
    <row r="148" spans="1:253" x14ac:dyDescent="0.3">
      <c r="A148" s="11" t="s">
        <v>2514</v>
      </c>
      <c r="B148" s="11" t="s">
        <v>2516</v>
      </c>
      <c r="C148" s="11" t="s">
        <v>2515</v>
      </c>
      <c r="D148" s="11" t="s">
        <v>355</v>
      </c>
      <c r="E148" s="11" t="s">
        <v>354</v>
      </c>
      <c r="F148" s="11" t="s">
        <v>8611</v>
      </c>
      <c r="G148" s="235">
        <v>15413000</v>
      </c>
      <c r="H148" s="236" t="s">
        <v>2519</v>
      </c>
      <c r="I148" s="236" t="s">
        <v>601</v>
      </c>
      <c r="J148" s="236">
        <v>1</v>
      </c>
      <c r="K148" s="236" t="s">
        <v>2524</v>
      </c>
      <c r="L148" s="236" t="s">
        <v>2522</v>
      </c>
      <c r="M148" s="237">
        <v>43987</v>
      </c>
      <c r="N148" s="260" t="s">
        <v>8612</v>
      </c>
      <c r="O148" s="239">
        <v>125255</v>
      </c>
      <c r="P148" s="239" t="s">
        <v>2520</v>
      </c>
      <c r="Q148" s="239" t="s">
        <v>601</v>
      </c>
      <c r="R148" s="239">
        <v>1</v>
      </c>
      <c r="S148" s="239" t="s">
        <v>2525</v>
      </c>
      <c r="T148" s="239" t="s">
        <v>2523</v>
      </c>
      <c r="U148" s="240">
        <v>43988</v>
      </c>
      <c r="V148" s="260" t="s">
        <v>8613</v>
      </c>
      <c r="W148" s="236">
        <v>4781000</v>
      </c>
      <c r="X148" s="236" t="s">
        <v>2518</v>
      </c>
      <c r="Y148" s="236" t="s">
        <v>600</v>
      </c>
      <c r="Z148" s="236">
        <v>2</v>
      </c>
      <c r="AA148" s="236" t="s">
        <v>3670</v>
      </c>
      <c r="AB148" s="236" t="s">
        <v>2521</v>
      </c>
      <c r="AC148" s="237">
        <v>44119</v>
      </c>
      <c r="AD148" s="260" t="s">
        <v>8614</v>
      </c>
      <c r="AE148" s="241">
        <v>357000</v>
      </c>
      <c r="AF148" s="241" t="s">
        <v>3959</v>
      </c>
      <c r="AG148" s="241" t="s">
        <v>599</v>
      </c>
      <c r="AH148" s="241">
        <v>3</v>
      </c>
      <c r="AI148" s="241" t="s">
        <v>3966</v>
      </c>
      <c r="AJ148" s="241" t="s">
        <v>3961</v>
      </c>
      <c r="AK148" s="242">
        <v>44134</v>
      </c>
      <c r="AL148" s="260" t="s">
        <v>8615</v>
      </c>
      <c r="AM148" s="236" t="s">
        <v>393</v>
      </c>
      <c r="AN148" s="236" t="s">
        <v>393</v>
      </c>
      <c r="AO148" s="236" t="s">
        <v>393</v>
      </c>
      <c r="AP148" s="236" t="s">
        <v>393</v>
      </c>
      <c r="AQ148" s="236" t="s">
        <v>393</v>
      </c>
      <c r="AR148" s="236" t="s">
        <v>393</v>
      </c>
      <c r="AS148" s="237">
        <v>44018</v>
      </c>
      <c r="AT148" s="261" t="s">
        <v>8616</v>
      </c>
      <c r="AU148" s="241" t="s">
        <v>393</v>
      </c>
      <c r="AV148" s="241" t="s">
        <v>393</v>
      </c>
      <c r="AW148" s="241" t="s">
        <v>393</v>
      </c>
      <c r="AX148" s="241" t="s">
        <v>393</v>
      </c>
      <c r="AY148" s="241" t="s">
        <v>393</v>
      </c>
      <c r="AZ148" s="241" t="s">
        <v>393</v>
      </c>
      <c r="BA148" s="242">
        <v>44018</v>
      </c>
      <c r="BB148" s="260" t="s">
        <v>8617</v>
      </c>
      <c r="BC148" s="236">
        <v>356666</v>
      </c>
      <c r="BD148" s="236" t="s">
        <v>3959</v>
      </c>
      <c r="BE148" s="236" t="s">
        <v>599</v>
      </c>
      <c r="BF148" s="236">
        <v>3</v>
      </c>
      <c r="BG148" s="236" t="s">
        <v>3967</v>
      </c>
      <c r="BH148" s="236" t="s">
        <v>3961</v>
      </c>
      <c r="BI148" s="237">
        <v>44134</v>
      </c>
      <c r="BJ148" s="261" t="s">
        <v>8618</v>
      </c>
      <c r="BK148" s="261">
        <v>361</v>
      </c>
      <c r="BL148" s="261" t="s">
        <v>3959</v>
      </c>
      <c r="BM148" s="261" t="s">
        <v>599</v>
      </c>
      <c r="BN148" s="261">
        <v>3</v>
      </c>
      <c r="BO148" s="261" t="s">
        <v>3968</v>
      </c>
      <c r="BP148" s="241" t="s">
        <v>3961</v>
      </c>
      <c r="BQ148" s="262">
        <v>44134</v>
      </c>
      <c r="BR148" s="260" t="s">
        <v>8619</v>
      </c>
      <c r="BS148" s="263" t="s">
        <v>393</v>
      </c>
      <c r="BT148" s="263" t="s">
        <v>393</v>
      </c>
      <c r="BU148" s="263" t="s">
        <v>393</v>
      </c>
      <c r="BV148" s="263" t="s">
        <v>393</v>
      </c>
      <c r="BW148" s="263" t="s">
        <v>393</v>
      </c>
      <c r="BX148" s="263" t="s">
        <v>393</v>
      </c>
      <c r="BY148" s="237">
        <v>44018</v>
      </c>
      <c r="BZ148" s="261" t="s">
        <v>8620</v>
      </c>
      <c r="CA148" s="261" t="s">
        <v>393</v>
      </c>
      <c r="CB148" s="261" t="s">
        <v>393</v>
      </c>
      <c r="CC148" s="261" t="s">
        <v>393</v>
      </c>
      <c r="CD148" s="261" t="s">
        <v>393</v>
      </c>
      <c r="CE148" s="261" t="s">
        <v>393</v>
      </c>
      <c r="CF148" s="261" t="s">
        <v>393</v>
      </c>
      <c r="CG148" s="262">
        <v>44018</v>
      </c>
      <c r="CH148" s="260" t="s">
        <v>8621</v>
      </c>
      <c r="CI148" s="261" t="e">
        <v>#N/A</v>
      </c>
      <c r="CJ148" s="261" t="e">
        <v>#N/A</v>
      </c>
      <c r="CK148" s="261" t="e">
        <v>#N/A</v>
      </c>
      <c r="CL148" s="261" t="e">
        <v>#N/A</v>
      </c>
      <c r="CM148" s="261" t="e">
        <v>#N/A</v>
      </c>
      <c r="CN148" s="261" t="e">
        <v>#N/A</v>
      </c>
      <c r="CO148" s="264" t="e">
        <v>#N/A</v>
      </c>
      <c r="CP148" s="261" t="s">
        <v>8622</v>
      </c>
      <c r="CQ148" s="263" t="s">
        <v>393</v>
      </c>
      <c r="CR148" s="263" t="s">
        <v>393</v>
      </c>
      <c r="CS148" s="263" t="s">
        <v>393</v>
      </c>
      <c r="CT148" s="263" t="s">
        <v>393</v>
      </c>
      <c r="CU148" s="263" t="s">
        <v>393</v>
      </c>
      <c r="CV148" s="263" t="s">
        <v>393</v>
      </c>
      <c r="CW148" s="237">
        <v>44018</v>
      </c>
      <c r="CX148" s="261" t="s">
        <v>8623</v>
      </c>
      <c r="CY148" s="241">
        <v>357000</v>
      </c>
      <c r="CZ148" s="241" t="s">
        <v>3959</v>
      </c>
      <c r="DA148" s="241" t="s">
        <v>599</v>
      </c>
      <c r="DB148" s="241">
        <v>3</v>
      </c>
      <c r="DC148" s="241" t="s">
        <v>3969</v>
      </c>
      <c r="DD148" s="241" t="s">
        <v>3963</v>
      </c>
      <c r="DE148" s="243">
        <v>44134</v>
      </c>
      <c r="DF148" s="260" t="s">
        <v>8624</v>
      </c>
      <c r="DG148" s="236">
        <v>4425000</v>
      </c>
      <c r="DH148" s="263" t="s">
        <v>3960</v>
      </c>
      <c r="DI148" s="263" t="s">
        <v>599</v>
      </c>
      <c r="DJ148" s="263">
        <v>3</v>
      </c>
      <c r="DK148" s="263" t="s">
        <v>3962</v>
      </c>
      <c r="DL148" s="263" t="s">
        <v>2521</v>
      </c>
      <c r="DM148" s="237">
        <v>44134</v>
      </c>
      <c r="DN148" s="261" t="s">
        <v>8625</v>
      </c>
      <c r="DO148" s="241">
        <v>0</v>
      </c>
      <c r="DP148" s="261" t="s">
        <v>3959</v>
      </c>
      <c r="DQ148" s="261" t="s">
        <v>600</v>
      </c>
      <c r="DR148" s="261">
        <v>2</v>
      </c>
      <c r="DS148" s="261" t="s">
        <v>3937</v>
      </c>
      <c r="DT148" s="261" t="s">
        <v>3961</v>
      </c>
      <c r="DU148" s="262">
        <v>44134</v>
      </c>
      <c r="DV148" s="260" t="s">
        <v>8626</v>
      </c>
      <c r="DW148" s="236">
        <v>357000</v>
      </c>
      <c r="DX148" s="263" t="s">
        <v>3959</v>
      </c>
      <c r="DY148" s="263" t="s">
        <v>599</v>
      </c>
      <c r="DZ148" s="263">
        <v>3</v>
      </c>
      <c r="EA148" s="263" t="s">
        <v>3969</v>
      </c>
      <c r="EB148" s="263" t="s">
        <v>3963</v>
      </c>
      <c r="EC148" s="237">
        <v>44134</v>
      </c>
      <c r="ED148" s="261" t="s">
        <v>8627</v>
      </c>
      <c r="EE148" s="241">
        <v>0</v>
      </c>
      <c r="EF148" s="261" t="s">
        <v>3959</v>
      </c>
      <c r="EG148" s="261" t="s">
        <v>600</v>
      </c>
      <c r="EH148" s="261">
        <v>2</v>
      </c>
      <c r="EI148" s="261" t="s">
        <v>3937</v>
      </c>
      <c r="EJ148" s="261" t="s">
        <v>3964</v>
      </c>
      <c r="EK148" s="262">
        <v>44134</v>
      </c>
      <c r="EL148" s="260" t="s">
        <v>8628</v>
      </c>
      <c r="EM148" s="236">
        <v>0</v>
      </c>
      <c r="EN148" s="263" t="s">
        <v>3959</v>
      </c>
      <c r="EO148" s="263" t="s">
        <v>600</v>
      </c>
      <c r="EP148" s="263">
        <v>2</v>
      </c>
      <c r="EQ148" s="263" t="s">
        <v>3937</v>
      </c>
      <c r="ER148" s="263" t="s">
        <v>3965</v>
      </c>
      <c r="ES148" s="237">
        <v>44134</v>
      </c>
      <c r="ET148" s="261" t="s">
        <v>8629</v>
      </c>
      <c r="EU148" s="261">
        <v>375</v>
      </c>
      <c r="EV148" s="261" t="s">
        <v>3953</v>
      </c>
      <c r="EW148" s="261" t="s">
        <v>599</v>
      </c>
      <c r="EX148" s="261">
        <v>3</v>
      </c>
      <c r="EY148" s="261" t="s">
        <v>3952</v>
      </c>
      <c r="EZ148" s="261" t="s">
        <v>3954</v>
      </c>
      <c r="FA148" s="262">
        <v>44134</v>
      </c>
      <c r="FB148" s="260" t="s">
        <v>8630</v>
      </c>
      <c r="FC148" s="263">
        <v>2</v>
      </c>
      <c r="FD148" s="263" t="s">
        <v>393</v>
      </c>
      <c r="FE148" s="263" t="s">
        <v>601</v>
      </c>
      <c r="FF148" s="263">
        <v>1</v>
      </c>
      <c r="FG148" s="263" t="s">
        <v>2526</v>
      </c>
      <c r="FH148" s="263" t="s">
        <v>393</v>
      </c>
      <c r="FI148" s="237">
        <v>43987</v>
      </c>
      <c r="FJ148" s="260" t="s">
        <v>8631</v>
      </c>
      <c r="FK148" s="261" t="e">
        <v>#N/A</v>
      </c>
      <c r="FL148" s="261" t="e">
        <v>#N/A</v>
      </c>
      <c r="FM148" s="261" t="e">
        <v>#N/A</v>
      </c>
      <c r="FN148" s="261" t="e">
        <v>#N/A</v>
      </c>
      <c r="FO148" s="261" t="e">
        <v>#N/A</v>
      </c>
      <c r="FP148" s="241" t="e">
        <v>#N/A</v>
      </c>
      <c r="FQ148" s="242" t="e">
        <v>#N/A</v>
      </c>
      <c r="FR148" s="260" t="s">
        <v>8632</v>
      </c>
      <c r="FS148" s="263" t="e">
        <v>#N/A</v>
      </c>
      <c r="FT148" s="263" t="e">
        <v>#N/A</v>
      </c>
      <c r="FU148" s="263" t="e">
        <v>#N/A</v>
      </c>
      <c r="FV148" s="263" t="e">
        <v>#N/A</v>
      </c>
      <c r="FW148" s="263" t="e">
        <v>#N/A</v>
      </c>
      <c r="FX148" s="263" t="e">
        <v>#N/A</v>
      </c>
      <c r="FY148" s="237" t="e">
        <v>#N/A</v>
      </c>
      <c r="FZ148" s="261" t="s">
        <v>8633</v>
      </c>
      <c r="GA148" s="261" t="s">
        <v>393</v>
      </c>
      <c r="GB148" s="261" t="s">
        <v>393</v>
      </c>
      <c r="GC148" s="261" t="s">
        <v>393</v>
      </c>
      <c r="GD148" s="261" t="s">
        <v>393</v>
      </c>
      <c r="GE148" s="261" t="s">
        <v>393</v>
      </c>
      <c r="GF148" s="261" t="s">
        <v>393</v>
      </c>
      <c r="GG148" s="262">
        <v>43988</v>
      </c>
      <c r="GH148" s="260" t="s">
        <v>8634</v>
      </c>
      <c r="GI148" s="263" t="s">
        <v>393</v>
      </c>
      <c r="GJ148" s="263" t="s">
        <v>393</v>
      </c>
      <c r="GK148" s="263" t="s">
        <v>393</v>
      </c>
      <c r="GL148" s="263" t="s">
        <v>393</v>
      </c>
      <c r="GM148" s="263" t="s">
        <v>393</v>
      </c>
      <c r="GN148" s="263" t="s">
        <v>393</v>
      </c>
      <c r="GO148" s="237">
        <v>43987</v>
      </c>
      <c r="GP148" s="261" t="s">
        <v>8635</v>
      </c>
      <c r="GQ148" s="261" t="s">
        <v>393</v>
      </c>
      <c r="GR148" s="261" t="s">
        <v>393</v>
      </c>
      <c r="GS148" s="261" t="s">
        <v>393</v>
      </c>
      <c r="GT148" s="261" t="s">
        <v>393</v>
      </c>
      <c r="GU148" s="261" t="s">
        <v>393</v>
      </c>
      <c r="GV148" s="261" t="s">
        <v>393</v>
      </c>
      <c r="GW148" s="262">
        <v>43988</v>
      </c>
      <c r="GX148" s="260" t="s">
        <v>8636</v>
      </c>
      <c r="GY148" s="263" t="s">
        <v>393</v>
      </c>
      <c r="GZ148" s="263" t="s">
        <v>393</v>
      </c>
      <c r="HA148" s="263" t="s">
        <v>393</v>
      </c>
      <c r="HB148" s="263" t="s">
        <v>393</v>
      </c>
      <c r="HC148" s="263" t="s">
        <v>393</v>
      </c>
      <c r="HD148" s="263" t="s">
        <v>393</v>
      </c>
      <c r="HE148" s="237">
        <v>43987</v>
      </c>
      <c r="HF148" s="261" t="s">
        <v>8637</v>
      </c>
      <c r="HG148" s="261" t="s">
        <v>393</v>
      </c>
      <c r="HH148" s="261" t="s">
        <v>393</v>
      </c>
      <c r="HI148" s="261" t="s">
        <v>393</v>
      </c>
      <c r="HJ148" s="261" t="s">
        <v>393</v>
      </c>
      <c r="HK148" s="261" t="s">
        <v>393</v>
      </c>
      <c r="HL148" s="261" t="s">
        <v>393</v>
      </c>
      <c r="HM148" s="262">
        <v>43988</v>
      </c>
      <c r="HN148" s="260" t="s">
        <v>8638</v>
      </c>
      <c r="HO148" s="263" t="s">
        <v>393</v>
      </c>
      <c r="HP148" s="263" t="s">
        <v>393</v>
      </c>
      <c r="HQ148" s="263" t="s">
        <v>393</v>
      </c>
      <c r="HR148" s="263" t="s">
        <v>393</v>
      </c>
      <c r="HS148" s="263" t="s">
        <v>393</v>
      </c>
      <c r="HT148" s="263" t="s">
        <v>393</v>
      </c>
      <c r="HU148" s="237">
        <v>43987</v>
      </c>
      <c r="HV148" s="261" t="s">
        <v>8639</v>
      </c>
      <c r="HW148" s="261" t="s">
        <v>393</v>
      </c>
      <c r="HX148" s="261" t="s">
        <v>393</v>
      </c>
      <c r="HY148" s="261" t="s">
        <v>393</v>
      </c>
      <c r="HZ148" s="261" t="s">
        <v>393</v>
      </c>
      <c r="IA148" s="261" t="s">
        <v>393</v>
      </c>
      <c r="IB148" s="261" t="s">
        <v>393</v>
      </c>
      <c r="IC148" s="262">
        <v>43988</v>
      </c>
      <c r="ID148" s="260" t="s">
        <v>8640</v>
      </c>
      <c r="IE148" s="263" t="s">
        <v>393</v>
      </c>
      <c r="IF148" s="263" t="s">
        <v>393</v>
      </c>
      <c r="IG148" s="263" t="s">
        <v>393</v>
      </c>
      <c r="IH148" s="263" t="s">
        <v>393</v>
      </c>
      <c r="II148" s="263" t="s">
        <v>393</v>
      </c>
      <c r="IJ148" s="263" t="s">
        <v>393</v>
      </c>
      <c r="IK148" s="237">
        <v>43987</v>
      </c>
      <c r="IL148" s="261" t="s">
        <v>8641</v>
      </c>
      <c r="IM148" s="261" t="s">
        <v>393</v>
      </c>
      <c r="IN148" s="261" t="s">
        <v>393</v>
      </c>
      <c r="IO148" s="261" t="s">
        <v>393</v>
      </c>
      <c r="IP148" s="261" t="s">
        <v>393</v>
      </c>
      <c r="IQ148" s="261" t="s">
        <v>393</v>
      </c>
      <c r="IR148" s="261" t="s">
        <v>393</v>
      </c>
      <c r="IS148" s="262">
        <v>43988</v>
      </c>
    </row>
    <row r="149" spans="1:253" x14ac:dyDescent="0.3">
      <c r="M149"/>
      <c r="U149"/>
      <c r="AC149"/>
      <c r="AK149"/>
      <c r="BA149"/>
      <c r="BI149"/>
      <c r="BQ149"/>
      <c r="CG149"/>
      <c r="CO149"/>
      <c r="CW149"/>
      <c r="DE149"/>
      <c r="DM149"/>
      <c r="DU149"/>
      <c r="EC149"/>
      <c r="EK149"/>
      <c r="ES149"/>
      <c r="FA149"/>
      <c r="FI149"/>
      <c r="FQ149"/>
      <c r="FY149"/>
      <c r="GG149"/>
      <c r="GO149"/>
      <c r="GW149"/>
      <c r="HE149"/>
      <c r="HM149"/>
      <c r="HU149"/>
      <c r="IC149"/>
      <c r="IK149"/>
      <c r="IS149"/>
    </row>
    <row r="150" spans="1:253" x14ac:dyDescent="0.3">
      <c r="M150"/>
      <c r="U150"/>
      <c r="AC150"/>
      <c r="AK150"/>
      <c r="BA150"/>
      <c r="BI150"/>
      <c r="BQ150"/>
      <c r="CG150"/>
      <c r="CO150"/>
      <c r="CW150"/>
      <c r="DE150"/>
      <c r="DM150"/>
      <c r="DU150"/>
      <c r="EC150"/>
      <c r="EK150"/>
      <c r="ES150"/>
      <c r="FA150"/>
      <c r="FI150"/>
      <c r="FQ150"/>
      <c r="FY150"/>
      <c r="GG150"/>
      <c r="GO150"/>
      <c r="GW150"/>
      <c r="HE150"/>
      <c r="HM150"/>
      <c r="HU150"/>
      <c r="IC150"/>
      <c r="IK150"/>
      <c r="IS150"/>
    </row>
    <row r="151" spans="1:253" x14ac:dyDescent="0.3">
      <c r="M151"/>
      <c r="U151"/>
      <c r="AC151"/>
      <c r="AK151"/>
      <c r="BA151"/>
      <c r="BI151"/>
      <c r="BQ151"/>
      <c r="CG151"/>
      <c r="CO151"/>
      <c r="CW151"/>
      <c r="DE151"/>
      <c r="DM151"/>
      <c r="DU151"/>
      <c r="EC151"/>
      <c r="EK151"/>
      <c r="ES151"/>
      <c r="FA151"/>
      <c r="FI151"/>
      <c r="FQ151"/>
      <c r="FY151"/>
      <c r="GG151"/>
      <c r="GO151"/>
      <c r="GW151"/>
      <c r="HE151"/>
      <c r="HM151"/>
      <c r="HU151"/>
      <c r="IC151"/>
      <c r="IK151"/>
      <c r="IS151"/>
    </row>
    <row r="152" spans="1:253" x14ac:dyDescent="0.3">
      <c r="M152"/>
      <c r="U152"/>
      <c r="AC152"/>
      <c r="AK152"/>
      <c r="BA152"/>
      <c r="BI152"/>
      <c r="BQ152"/>
      <c r="CG152"/>
      <c r="CO152"/>
      <c r="CW152"/>
      <c r="DE152"/>
      <c r="DM152"/>
      <c r="DU152"/>
      <c r="EC152"/>
      <c r="EK152"/>
      <c r="ES152"/>
      <c r="FA152"/>
      <c r="FI152"/>
      <c r="FQ152"/>
      <c r="FY152"/>
      <c r="GG152"/>
      <c r="GO152"/>
      <c r="GW152"/>
      <c r="HE152"/>
      <c r="HM152"/>
      <c r="HU152"/>
      <c r="IC152"/>
      <c r="IK152"/>
      <c r="IS152"/>
    </row>
    <row r="153" spans="1:253" x14ac:dyDescent="0.3">
      <c r="M153"/>
      <c r="U153"/>
      <c r="AC153"/>
      <c r="AK153"/>
      <c r="BA153"/>
      <c r="BI153"/>
      <c r="BQ153"/>
      <c r="CG153"/>
      <c r="CO153"/>
      <c r="CW153"/>
      <c r="DE153"/>
      <c r="DM153"/>
      <c r="DU153"/>
      <c r="EC153"/>
      <c r="EK153"/>
      <c r="ES153"/>
      <c r="FA153"/>
      <c r="FI153"/>
      <c r="FQ153"/>
      <c r="FY153"/>
      <c r="GG153"/>
      <c r="GO153"/>
      <c r="GW153"/>
      <c r="HE153"/>
      <c r="HM153"/>
      <c r="HU153"/>
      <c r="IC153"/>
      <c r="IK153"/>
      <c r="IS153"/>
    </row>
    <row r="154" spans="1:253" x14ac:dyDescent="0.3">
      <c r="M154"/>
      <c r="U154"/>
      <c r="AC154"/>
      <c r="AK154"/>
      <c r="BA154"/>
      <c r="BI154"/>
      <c r="BQ154"/>
      <c r="CG154"/>
      <c r="CO154"/>
      <c r="CW154"/>
      <c r="DE154"/>
      <c r="DM154"/>
      <c r="DU154"/>
      <c r="EC154"/>
      <c r="EK154"/>
      <c r="ES154"/>
      <c r="FA154"/>
      <c r="FI154"/>
      <c r="FQ154"/>
      <c r="FY154"/>
      <c r="GG154"/>
      <c r="GO154"/>
      <c r="GW154"/>
      <c r="HE154"/>
      <c r="HM154"/>
      <c r="HU154"/>
      <c r="IC154"/>
      <c r="IK154"/>
      <c r="IS154"/>
    </row>
    <row r="155" spans="1:253" x14ac:dyDescent="0.3">
      <c r="M155" s="61"/>
      <c r="U155" s="61"/>
      <c r="AC155" s="61"/>
      <c r="AK155" s="61"/>
      <c r="AS155" s="40"/>
      <c r="IK155" s="61"/>
    </row>
    <row r="156" spans="1:253" x14ac:dyDescent="0.3">
      <c r="M156" s="61"/>
      <c r="U156" s="61"/>
      <c r="AC156" s="61"/>
      <c r="AK156" s="61"/>
      <c r="AS156" s="40"/>
      <c r="IK156" s="61"/>
    </row>
    <row r="157" spans="1:253" x14ac:dyDescent="0.3">
      <c r="M157" s="61"/>
      <c r="U157" s="61"/>
      <c r="IK157" s="61"/>
    </row>
    <row r="158" spans="1:253" x14ac:dyDescent="0.3">
      <c r="M158" s="61"/>
      <c r="U158" s="61"/>
      <c r="IK158" s="61"/>
    </row>
    <row r="159" spans="1:253" x14ac:dyDescent="0.3">
      <c r="M159" s="61"/>
      <c r="U159" s="61"/>
      <c r="IK159" s="61"/>
    </row>
    <row r="160" spans="1:253" x14ac:dyDescent="0.3">
      <c r="M160" s="61"/>
      <c r="U160" s="61"/>
      <c r="IK160" s="61"/>
    </row>
    <row r="161" spans="13:245" x14ac:dyDescent="0.3">
      <c r="M161" s="61"/>
      <c r="U161" s="61"/>
      <c r="IK161" s="61"/>
    </row>
    <row r="162" spans="13:245" x14ac:dyDescent="0.3">
      <c r="M162" s="61"/>
      <c r="U162" s="61"/>
      <c r="IK162" s="61"/>
    </row>
    <row r="163" spans="13:245" x14ac:dyDescent="0.3">
      <c r="M163" s="61"/>
      <c r="U163" s="61"/>
      <c r="IK163" s="61"/>
    </row>
    <row r="164" spans="13:245" x14ac:dyDescent="0.3">
      <c r="M164" s="61"/>
      <c r="U164" s="61"/>
      <c r="IK164" s="61"/>
    </row>
    <row r="165" spans="13:245" x14ac:dyDescent="0.3">
      <c r="M165" s="61"/>
      <c r="U165" s="61"/>
      <c r="IK165" s="61"/>
    </row>
    <row r="166" spans="13:245" x14ac:dyDescent="0.3">
      <c r="M166" s="61"/>
      <c r="U166" s="61"/>
      <c r="IK166" s="61"/>
    </row>
    <row r="167" spans="13:245" x14ac:dyDescent="0.3">
      <c r="M167" s="61"/>
      <c r="U167" s="61"/>
      <c r="IK167" s="61"/>
    </row>
    <row r="168" spans="13:245" x14ac:dyDescent="0.3">
      <c r="IK168" s="61"/>
    </row>
    <row r="169" spans="13:245" x14ac:dyDescent="0.3">
      <c r="IK169" s="61"/>
    </row>
    <row r="170" spans="13:245" x14ac:dyDescent="0.3">
      <c r="IK170" s="61"/>
    </row>
    <row r="171" spans="13:245" x14ac:dyDescent="0.3">
      <c r="IK171" s="61"/>
    </row>
    <row r="172" spans="13:245" x14ac:dyDescent="0.3">
      <c r="IK172" s="61"/>
    </row>
    <row r="173" spans="13:245" x14ac:dyDescent="0.3">
      <c r="IK173" s="61"/>
    </row>
    <row r="174" spans="13:245" x14ac:dyDescent="0.3">
      <c r="IK174" s="61"/>
    </row>
    <row r="175" spans="13:245" x14ac:dyDescent="0.3">
      <c r="IK175" s="61"/>
    </row>
    <row r="176" spans="13:245" x14ac:dyDescent="0.3">
      <c r="IK176" s="61"/>
    </row>
    <row r="177" spans="245:245" x14ac:dyDescent="0.3">
      <c r="IK177" s="61"/>
    </row>
    <row r="178" spans="245:245" x14ac:dyDescent="0.3">
      <c r="IK178" s="61"/>
    </row>
    <row r="179" spans="245:245" x14ac:dyDescent="0.3">
      <c r="IK179" s="61"/>
    </row>
    <row r="180" spans="245:245" x14ac:dyDescent="0.3">
      <c r="IK180" s="61"/>
    </row>
    <row r="181" spans="245:245" x14ac:dyDescent="0.3">
      <c r="IK181" s="61"/>
    </row>
    <row r="182" spans="245:245" x14ac:dyDescent="0.3">
      <c r="IK182" s="61"/>
    </row>
    <row r="183" spans="245:245" x14ac:dyDescent="0.3">
      <c r="IK183" s="61"/>
    </row>
    <row r="184" spans="245:245" x14ac:dyDescent="0.3">
      <c r="IK184" s="61"/>
    </row>
    <row r="185" spans="245:245" x14ac:dyDescent="0.3">
      <c r="IK185" s="61"/>
    </row>
    <row r="186" spans="245:245" x14ac:dyDescent="0.3">
      <c r="IK186" s="61"/>
    </row>
    <row r="187" spans="245:245" x14ac:dyDescent="0.3">
      <c r="IK187" s="61"/>
    </row>
    <row r="188" spans="245:245" x14ac:dyDescent="0.3">
      <c r="IK188" s="61"/>
    </row>
    <row r="189" spans="245:245" x14ac:dyDescent="0.3">
      <c r="IK189" s="61"/>
    </row>
    <row r="190" spans="245:245" x14ac:dyDescent="0.3">
      <c r="IK190" s="61"/>
    </row>
    <row r="191" spans="245:245" x14ac:dyDescent="0.3">
      <c r="IK191" s="61"/>
    </row>
    <row r="192" spans="245:245" x14ac:dyDescent="0.3">
      <c r="IK192" s="61"/>
    </row>
    <row r="193" spans="245:245" x14ac:dyDescent="0.3">
      <c r="IK193" s="61"/>
    </row>
    <row r="194" spans="245:245" x14ac:dyDescent="0.3">
      <c r="IK194" s="61"/>
    </row>
    <row r="195" spans="245:245" x14ac:dyDescent="0.3">
      <c r="IK195" s="61"/>
    </row>
    <row r="196" spans="245:245" x14ac:dyDescent="0.3">
      <c r="IK196" s="61"/>
    </row>
    <row r="197" spans="245:245" x14ac:dyDescent="0.3">
      <c r="IK197" s="61"/>
    </row>
    <row r="198" spans="245:245" x14ac:dyDescent="0.3">
      <c r="IK198" s="61"/>
    </row>
    <row r="199" spans="245:245" x14ac:dyDescent="0.3">
      <c r="IK199" s="61"/>
    </row>
    <row r="200" spans="245:245" x14ac:dyDescent="0.3">
      <c r="IK200" s="61"/>
    </row>
    <row r="201" spans="245:245" x14ac:dyDescent="0.3">
      <c r="IK201" s="61"/>
    </row>
    <row r="202" spans="245:245" x14ac:dyDescent="0.3">
      <c r="IK202" s="61"/>
    </row>
    <row r="203" spans="245:245" x14ac:dyDescent="0.3">
      <c r="IK203" s="61"/>
    </row>
    <row r="204" spans="245:245" x14ac:dyDescent="0.3">
      <c r="IK204" s="61"/>
    </row>
    <row r="205" spans="245:245" x14ac:dyDescent="0.3">
      <c r="IK205" s="61"/>
    </row>
    <row r="206" spans="245:245" x14ac:dyDescent="0.3">
      <c r="IK206" s="61"/>
    </row>
    <row r="207" spans="245:245" x14ac:dyDescent="0.3">
      <c r="IK207" s="61"/>
    </row>
    <row r="208" spans="245:245" x14ac:dyDescent="0.3">
      <c r="IK208" s="61"/>
    </row>
    <row r="209" spans="245:245" x14ac:dyDescent="0.3">
      <c r="IK209" s="61"/>
    </row>
    <row r="210" spans="245:245" x14ac:dyDescent="0.3">
      <c r="IK210" s="61"/>
    </row>
    <row r="211" spans="245:245" x14ac:dyDescent="0.3">
      <c r="IK211" s="61"/>
    </row>
    <row r="212" spans="245:245" x14ac:dyDescent="0.3">
      <c r="IK212" s="61"/>
    </row>
    <row r="213" spans="245:245" x14ac:dyDescent="0.3">
      <c r="IK213" s="61"/>
    </row>
    <row r="214" spans="245:245" x14ac:dyDescent="0.3">
      <c r="IK214" s="61"/>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showGridLines="0" zoomScale="80" zoomScaleNormal="80" zoomScalePageLayoutView="80" workbookViewId="0">
      <pane xSplit="5" ySplit="2" topLeftCell="F3" activePane="bottomRight" state="frozen"/>
      <selection pane="topRight" activeCell="C1" sqref="C1"/>
      <selection pane="bottomLeft" activeCell="A5" sqref="A5"/>
      <selection pane="bottomRight" activeCell="S12" sqref="S12"/>
    </sheetView>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8" width="11.44140625" style="4" bestFit="1"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1.44140625" style="4" bestFit="1" customWidth="1"/>
    <col min="18"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410</v>
      </c>
      <c r="C1" s="16" t="s">
        <v>400</v>
      </c>
      <c r="D1" s="16" t="s">
        <v>367</v>
      </c>
      <c r="E1" s="11" t="s">
        <v>356</v>
      </c>
      <c r="F1" s="32" t="s">
        <v>397</v>
      </c>
      <c r="G1" s="32" t="s">
        <v>398</v>
      </c>
      <c r="H1" s="32" t="s">
        <v>411</v>
      </c>
      <c r="I1" s="32" t="s">
        <v>412</v>
      </c>
      <c r="J1" s="32" t="s">
        <v>548</v>
      </c>
      <c r="K1" s="32" t="s">
        <v>549</v>
      </c>
      <c r="L1" s="32" t="s">
        <v>413</v>
      </c>
      <c r="M1" s="32" t="s">
        <v>401</v>
      </c>
      <c r="N1" s="32" t="s">
        <v>402</v>
      </c>
      <c r="O1" s="32" t="s">
        <v>426</v>
      </c>
      <c r="P1" s="33" t="s">
        <v>494</v>
      </c>
      <c r="Q1" s="32" t="s">
        <v>526</v>
      </c>
      <c r="R1" s="32" t="s">
        <v>624</v>
      </c>
      <c r="S1" s="32" t="s">
        <v>527</v>
      </c>
      <c r="T1" s="32" t="s">
        <v>528</v>
      </c>
      <c r="U1" s="32" t="s">
        <v>529</v>
      </c>
      <c r="V1" s="33" t="s">
        <v>2957</v>
      </c>
      <c r="W1" s="33" t="s">
        <v>428</v>
      </c>
      <c r="X1" s="33" t="s">
        <v>429</v>
      </c>
      <c r="Y1" s="33" t="s">
        <v>530</v>
      </c>
      <c r="Z1" s="33" t="s">
        <v>531</v>
      </c>
      <c r="AA1" s="33" t="s">
        <v>532</v>
      </c>
      <c r="AB1" s="33" t="s">
        <v>533</v>
      </c>
      <c r="AC1" s="33" t="s">
        <v>534</v>
      </c>
      <c r="AD1" s="33" t="s">
        <v>535</v>
      </c>
      <c r="AE1" s="33" t="s">
        <v>536</v>
      </c>
      <c r="AF1" s="33" t="s">
        <v>537</v>
      </c>
      <c r="AG1" s="33" t="s">
        <v>538</v>
      </c>
    </row>
    <row r="2" spans="1:33" ht="39.6" x14ac:dyDescent="0.3">
      <c r="A2" s="46">
        <f>'Core Indicators'!A:A</f>
        <v>0</v>
      </c>
      <c r="B2" s="17"/>
      <c r="C2" s="17"/>
      <c r="D2" s="17"/>
      <c r="E2" s="11"/>
      <c r="F2" s="12" t="s">
        <v>380</v>
      </c>
      <c r="G2" s="12" t="s">
        <v>374</v>
      </c>
      <c r="H2" s="12" t="s">
        <v>374</v>
      </c>
      <c r="I2" s="12" t="s">
        <v>374</v>
      </c>
      <c r="J2" s="12" t="s">
        <v>374</v>
      </c>
      <c r="K2" s="12"/>
      <c r="L2" s="12" t="s">
        <v>374</v>
      </c>
      <c r="M2" s="12" t="s">
        <v>374</v>
      </c>
      <c r="N2" s="12" t="s">
        <v>374</v>
      </c>
      <c r="O2" s="12" t="s">
        <v>374</v>
      </c>
      <c r="P2" s="12" t="s">
        <v>430</v>
      </c>
      <c r="Q2" s="12" t="s">
        <v>374</v>
      </c>
      <c r="R2" s="12" t="s">
        <v>374</v>
      </c>
      <c r="S2" s="12" t="s">
        <v>374</v>
      </c>
      <c r="T2" s="12" t="s">
        <v>374</v>
      </c>
      <c r="U2" s="12" t="s">
        <v>374</v>
      </c>
      <c r="V2" s="12" t="s">
        <v>374</v>
      </c>
      <c r="W2" s="12" t="s">
        <v>374</v>
      </c>
      <c r="X2" s="12" t="s">
        <v>374</v>
      </c>
      <c r="Y2" s="12"/>
      <c r="Z2" s="12"/>
      <c r="AA2" s="12"/>
      <c r="AB2" s="12"/>
      <c r="AC2" s="12"/>
      <c r="AD2" s="12"/>
      <c r="AE2" s="12"/>
      <c r="AF2" s="12"/>
      <c r="AG2" s="12"/>
    </row>
    <row r="3" spans="1:33" s="38" customFormat="1" ht="20.100000000000001" customHeight="1" x14ac:dyDescent="0.3">
      <c r="A3" s="266" t="str">
        <f>'Core Indicators'!A:A</f>
        <v>Complex crisis in Afghanistan</v>
      </c>
      <c r="B3" s="266" t="str">
        <f>'Core Indicators'!B:B</f>
        <v>Complex crisis</v>
      </c>
      <c r="C3" s="266" t="str">
        <f>'Core Indicators'!C3</f>
        <v>AFG001</v>
      </c>
      <c r="D3" s="266" t="str">
        <f>'Core Indicators'!D3</f>
        <v>Afghanistan</v>
      </c>
      <c r="E3" s="266" t="str">
        <f>'Core Indicators'!E3</f>
        <v>AFG</v>
      </c>
      <c r="F3" s="36">
        <f>'Core Indicators'!O3</f>
        <v>652867</v>
      </c>
      <c r="G3" s="36">
        <f>'Core Indicators'!W3</f>
        <v>35700000</v>
      </c>
      <c r="H3" s="36">
        <f>'Core Indicators'!AE3</f>
        <v>35700000</v>
      </c>
      <c r="I3" s="36">
        <f>'Core Indicators'!AM3</f>
        <v>5092000</v>
      </c>
      <c r="J3" s="36" t="str">
        <f>'Core Indicators'!AU3</f>
        <v>x</v>
      </c>
      <c r="K3" s="36" t="str">
        <f>'Core Indicators'!BC3</f>
        <v>x</v>
      </c>
      <c r="L3" s="36">
        <f>'Core Indicators'!BK3</f>
        <v>11042</v>
      </c>
      <c r="M3" s="36" t="str">
        <f>'Core Indicators'!BS3</f>
        <v>x</v>
      </c>
      <c r="N3" s="36" t="str">
        <f>'Core Indicators'!CA3</f>
        <v>x</v>
      </c>
      <c r="O3" s="36" t="e">
        <f>'Core Indicators'!CI3</f>
        <v>#N/A</v>
      </c>
      <c r="P3" s="36">
        <f>'Core Indicators'!CQ3</f>
        <v>13114</v>
      </c>
      <c r="Q3" s="36">
        <f>'Core Indicators'!DG3</f>
        <v>0</v>
      </c>
      <c r="R3" s="36">
        <f>'Core Indicators'!DO3</f>
        <v>21700000</v>
      </c>
      <c r="S3" s="36">
        <f>'Core Indicators'!DW3</f>
        <v>10447000</v>
      </c>
      <c r="T3" s="36">
        <f>'Core Indicators'!EE3</f>
        <v>3553000</v>
      </c>
      <c r="U3" s="36">
        <f>'Core Indicators'!EM3</f>
        <v>0</v>
      </c>
      <c r="V3" s="36">
        <f>'Core Indicators'!FC3</f>
        <v>5</v>
      </c>
      <c r="W3" s="36" t="str">
        <f>'Core Indicators'!FK3</f>
        <v>x</v>
      </c>
      <c r="X3" s="36" t="str">
        <f>'Core Indicators'!FS3</f>
        <v>x</v>
      </c>
      <c r="Y3" s="36">
        <f>'Core Indicators'!GA3</f>
        <v>0</v>
      </c>
      <c r="Z3" s="36">
        <f>'Core Indicators'!GI3</f>
        <v>3</v>
      </c>
      <c r="AA3" s="36">
        <f>'Core Indicators'!GQ3</f>
        <v>2</v>
      </c>
      <c r="AB3" s="36">
        <f>'Core Indicators'!GY3</f>
        <v>3</v>
      </c>
      <c r="AC3" s="36">
        <f>'Core Indicators'!HG3</f>
        <v>0</v>
      </c>
      <c r="AD3" s="36">
        <f>'Core Indicators'!HO3</f>
        <v>3</v>
      </c>
      <c r="AE3" s="36">
        <f>'Core Indicators'!HW3</f>
        <v>3</v>
      </c>
      <c r="AF3" s="36">
        <f>'Core Indicators'!IE3</f>
        <v>3</v>
      </c>
      <c r="AG3" s="36">
        <f>'Core Indicators'!IM3</f>
        <v>2</v>
      </c>
    </row>
    <row r="4" spans="1:33" s="38" customFormat="1" ht="20.100000000000001" customHeight="1" x14ac:dyDescent="0.3">
      <c r="A4" s="267" t="str">
        <f>'Core Indicators'!A:A</f>
        <v>Mixed migration flows in Algeria</v>
      </c>
      <c r="B4" s="267" t="str">
        <f>'Core Indicators'!B:B</f>
        <v>International displacement</v>
      </c>
      <c r="C4" s="267" t="str">
        <f>'Core Indicators'!C4</f>
        <v>DZA002</v>
      </c>
      <c r="D4" s="267" t="str">
        <f>'Core Indicators'!D4</f>
        <v>Algeria</v>
      </c>
      <c r="E4" s="267" t="str">
        <f>'Core Indicators'!E4</f>
        <v>DZA</v>
      </c>
      <c r="F4" s="37">
        <f>'Core Indicators'!O4</f>
        <v>2381000</v>
      </c>
      <c r="G4" s="37">
        <f>'Core Indicators'!W4</f>
        <v>43100000</v>
      </c>
      <c r="H4" s="37" t="str">
        <f>'Core Indicators'!AE4</f>
        <v>x</v>
      </c>
      <c r="I4" s="37" t="str">
        <f>'Core Indicators'!AM4</f>
        <v>x</v>
      </c>
      <c r="J4" s="37" t="str">
        <f>'Core Indicators'!AU4</f>
        <v>x</v>
      </c>
      <c r="K4" s="37" t="str">
        <f>'Core Indicators'!BC4</f>
        <v>x</v>
      </c>
      <c r="L4" s="37">
        <f>'Core Indicators'!BK4</f>
        <v>629</v>
      </c>
      <c r="M4" s="37">
        <f>'Core Indicators'!BS4</f>
        <v>0</v>
      </c>
      <c r="N4" s="37">
        <f>'Core Indicators'!CA4</f>
        <v>0</v>
      </c>
      <c r="O4" s="37" t="e">
        <f>'Core Indicators'!CI4</f>
        <v>#N/A</v>
      </c>
      <c r="P4" s="37" t="str">
        <f>'Core Indicators'!CQ4</f>
        <v>X</v>
      </c>
      <c r="Q4" s="37" t="str">
        <f>'Core Indicators'!DG4</f>
        <v>x</v>
      </c>
      <c r="R4" s="37" t="str">
        <f>'Core Indicators'!DO4</f>
        <v>x</v>
      </c>
      <c r="S4" s="37" t="str">
        <f>'Core Indicators'!DW4</f>
        <v>x</v>
      </c>
      <c r="T4" s="37" t="str">
        <f>'Core Indicators'!EE4</f>
        <v>x</v>
      </c>
      <c r="U4" s="37" t="str">
        <f>'Core Indicators'!EM4</f>
        <v>x</v>
      </c>
      <c r="V4" s="37">
        <f>'Core Indicators'!FC4</f>
        <v>2</v>
      </c>
      <c r="W4" s="37" t="str">
        <f>'Core Indicators'!FK4</f>
        <v>X</v>
      </c>
      <c r="X4" s="37" t="str">
        <f>'Core Indicators'!FS4</f>
        <v>X</v>
      </c>
      <c r="Y4" s="37">
        <f>'Core Indicators'!GA4</f>
        <v>0</v>
      </c>
      <c r="Z4" s="37">
        <f>'Core Indicators'!GI4</f>
        <v>0</v>
      </c>
      <c r="AA4" s="37">
        <f>'Core Indicators'!GQ4</f>
        <v>0</v>
      </c>
      <c r="AB4" s="37">
        <f>'Core Indicators'!GY4</f>
        <v>0</v>
      </c>
      <c r="AC4" s="37">
        <f>'Core Indicators'!HG4</f>
        <v>0</v>
      </c>
      <c r="AD4" s="37">
        <f>'Core Indicators'!HO4</f>
        <v>0</v>
      </c>
      <c r="AE4" s="37">
        <f>'Core Indicators'!HW4</f>
        <v>0</v>
      </c>
      <c r="AF4" s="37">
        <f>'Core Indicators'!IE4</f>
        <v>1</v>
      </c>
      <c r="AG4" s="37">
        <f>'Core Indicators'!IM4</f>
        <v>0</v>
      </c>
    </row>
    <row r="5" spans="1:33" s="38" customFormat="1" ht="20.100000000000001" customHeight="1" x14ac:dyDescent="0.3">
      <c r="A5" s="266" t="str">
        <f>'Core Indicators'!A:A</f>
        <v>Sahrawi refugees in Algeria</v>
      </c>
      <c r="B5" s="266" t="str">
        <f>'Core Indicators'!B:B</f>
        <v>International displacement</v>
      </c>
      <c r="C5" s="266" t="str">
        <f>'Core Indicators'!C5</f>
        <v>DZA003</v>
      </c>
      <c r="D5" s="266" t="str">
        <f>'Core Indicators'!D5</f>
        <v>Algeria</v>
      </c>
      <c r="E5" s="266" t="str">
        <f>'Core Indicators'!E5</f>
        <v>DZA</v>
      </c>
      <c r="F5" s="36">
        <f>'Core Indicators'!O5</f>
        <v>159000</v>
      </c>
      <c r="G5" s="36">
        <f>'Core Indicators'!W5</f>
        <v>223000</v>
      </c>
      <c r="H5" s="36">
        <f>'Core Indicators'!AE5</f>
        <v>174000</v>
      </c>
      <c r="I5" s="36">
        <f>'Core Indicators'!AM5</f>
        <v>174000</v>
      </c>
      <c r="J5" s="36" t="str">
        <f>'Core Indicators'!AU5</f>
        <v>x</v>
      </c>
      <c r="K5" s="36" t="str">
        <f>'Core Indicators'!BC5</f>
        <v>x</v>
      </c>
      <c r="L5" s="36">
        <f>'Core Indicators'!BK5</f>
        <v>0</v>
      </c>
      <c r="M5" s="36" t="str">
        <f>'Core Indicators'!BS5</f>
        <v>x</v>
      </c>
      <c r="N5" s="36" t="str">
        <f>'Core Indicators'!CA5</f>
        <v>x</v>
      </c>
      <c r="O5" s="36" t="e">
        <f>'Core Indicators'!CI5</f>
        <v>#N/A</v>
      </c>
      <c r="P5" s="36" t="str">
        <f>'Core Indicators'!CQ5</f>
        <v>x</v>
      </c>
      <c r="Q5" s="36">
        <f>'Core Indicators'!DG5</f>
        <v>49000</v>
      </c>
      <c r="R5" s="36">
        <f>'Core Indicators'!DO5</f>
        <v>84000</v>
      </c>
      <c r="S5" s="36">
        <f>'Core Indicators'!DW5</f>
        <v>90000</v>
      </c>
      <c r="T5" s="36">
        <f>'Core Indicators'!EE5</f>
        <v>0</v>
      </c>
      <c r="U5" s="36">
        <f>'Core Indicators'!EM5</f>
        <v>0</v>
      </c>
      <c r="V5" s="36">
        <f>'Core Indicators'!FC5</f>
        <v>1</v>
      </c>
      <c r="W5" s="36">
        <f>'Core Indicators'!FK5</f>
        <v>0</v>
      </c>
      <c r="X5" s="36">
        <f>'Core Indicators'!FS5</f>
        <v>0</v>
      </c>
      <c r="Y5" s="36">
        <f>'Core Indicators'!GA5</f>
        <v>0</v>
      </c>
      <c r="Z5" s="36">
        <f>'Core Indicators'!GI5</f>
        <v>0</v>
      </c>
      <c r="AA5" s="36">
        <f>'Core Indicators'!GQ5</f>
        <v>0</v>
      </c>
      <c r="AB5" s="36">
        <f>'Core Indicators'!GY5</f>
        <v>0</v>
      </c>
      <c r="AC5" s="36">
        <f>'Core Indicators'!HG5</f>
        <v>0</v>
      </c>
      <c r="AD5" s="36">
        <f>'Core Indicators'!HO5</f>
        <v>0</v>
      </c>
      <c r="AE5" s="36">
        <f>'Core Indicators'!HW5</f>
        <v>0</v>
      </c>
      <c r="AF5" s="36">
        <f>'Core Indicators'!IE5</f>
        <v>1</v>
      </c>
      <c r="AG5" s="36">
        <f>'Core Indicators'!IM5</f>
        <v>1</v>
      </c>
    </row>
    <row r="6" spans="1:33" s="38" customFormat="1" ht="20.100000000000001" customHeight="1" x14ac:dyDescent="0.3">
      <c r="A6" s="267" t="str">
        <f>'Core Indicators'!A:A</f>
        <v>Multiple crises in Algeria</v>
      </c>
      <c r="B6" s="267" t="str">
        <f>'Core Indicators'!B:B</f>
        <v>Multiple crises country</v>
      </c>
      <c r="C6" s="267" t="str">
        <f>'Core Indicators'!C6</f>
        <v>DZA004</v>
      </c>
      <c r="D6" s="267" t="str">
        <f>'Core Indicators'!D6</f>
        <v>Algeria</v>
      </c>
      <c r="E6" s="267" t="str">
        <f>'Core Indicators'!E6</f>
        <v>DZA</v>
      </c>
      <c r="F6" s="37">
        <f>'Core Indicators'!O6</f>
        <v>2381000</v>
      </c>
      <c r="G6" s="37">
        <f>'Core Indicators'!W6</f>
        <v>43100000</v>
      </c>
      <c r="H6" s="37" t="str">
        <f>'Core Indicators'!AE6</f>
        <v>x</v>
      </c>
      <c r="I6" s="37" t="str">
        <f>'Core Indicators'!AM6</f>
        <v>x</v>
      </c>
      <c r="J6" s="37" t="str">
        <f>'Core Indicators'!AU6</f>
        <v>X</v>
      </c>
      <c r="K6" s="37" t="str">
        <f>'Core Indicators'!BC6</f>
        <v>X</v>
      </c>
      <c r="L6" s="37">
        <f>'Core Indicators'!BK6</f>
        <v>629</v>
      </c>
      <c r="M6" s="37" t="str">
        <f>'Core Indicators'!BS6</f>
        <v>x</v>
      </c>
      <c r="N6" s="37" t="str">
        <f>'Core Indicators'!CA6</f>
        <v>x</v>
      </c>
      <c r="O6" s="37" t="e">
        <f>'Core Indicators'!CI6</f>
        <v>#N/A</v>
      </c>
      <c r="P6" s="37" t="str">
        <f>'Core Indicators'!CQ6</f>
        <v>X</v>
      </c>
      <c r="Q6" s="37" t="str">
        <f>'Core Indicators'!DG6</f>
        <v>x</v>
      </c>
      <c r="R6" s="37" t="str">
        <f>'Core Indicators'!DO6</f>
        <v>x</v>
      </c>
      <c r="S6" s="37" t="str">
        <f>'Core Indicators'!DW6</f>
        <v>x</v>
      </c>
      <c r="T6" s="37" t="str">
        <f>'Core Indicators'!EE6</f>
        <v>x</v>
      </c>
      <c r="U6" s="37" t="str">
        <f>'Core Indicators'!EM6</f>
        <v>x</v>
      </c>
      <c r="V6" s="37">
        <f>'Core Indicators'!FC6</f>
        <v>2</v>
      </c>
      <c r="W6" s="37" t="str">
        <f>'Core Indicators'!FK6</f>
        <v>X</v>
      </c>
      <c r="X6" s="37" t="str">
        <f>'Core Indicators'!FS6</f>
        <v>X</v>
      </c>
      <c r="Y6" s="37">
        <f>'Core Indicators'!GA6</f>
        <v>1</v>
      </c>
      <c r="Z6" s="37">
        <f>'Core Indicators'!GI6</f>
        <v>1</v>
      </c>
      <c r="AA6" s="37">
        <f>'Core Indicators'!GQ6</f>
        <v>1</v>
      </c>
      <c r="AB6" s="37">
        <f>'Core Indicators'!GY6</f>
        <v>0</v>
      </c>
      <c r="AC6" s="37">
        <f>'Core Indicators'!HG6</f>
        <v>0</v>
      </c>
      <c r="AD6" s="37">
        <f>'Core Indicators'!HO6</f>
        <v>2</v>
      </c>
      <c r="AE6" s="37">
        <f>'Core Indicators'!HW6</f>
        <v>0</v>
      </c>
      <c r="AF6" s="37">
        <f>'Core Indicators'!IE6</f>
        <v>0</v>
      </c>
      <c r="AG6" s="37">
        <f>'Core Indicators'!IM6</f>
        <v>1</v>
      </c>
    </row>
    <row r="7" spans="1:33" s="38" customFormat="1" ht="20.100000000000001" customHeight="1" x14ac:dyDescent="0.3">
      <c r="A7" s="266" t="str">
        <f>'Core Indicators'!A:A</f>
        <v>Western Mediterranean Route</v>
      </c>
      <c r="B7" s="266" t="str">
        <f>'Core Indicators'!B:B</f>
        <v>Regional crisis</v>
      </c>
      <c r="C7" s="266" t="str">
        <f>'Core Indicators'!C7</f>
        <v>REG008</v>
      </c>
      <c r="D7" s="266" t="str">
        <f>'Core Indicators'!D7</f>
        <v>Algeria, Morocco, Spain</v>
      </c>
      <c r="E7" s="266" t="str">
        <f>'Core Indicators'!E7</f>
        <v>DZA, MAR, ESP</v>
      </c>
      <c r="F7" s="36" t="str">
        <f>'Core Indicators'!O7</f>
        <v>x</v>
      </c>
      <c r="G7" s="36" t="str">
        <f>'Core Indicators'!W7</f>
        <v>x</v>
      </c>
      <c r="H7" s="36" t="str">
        <f>'Core Indicators'!AE7</f>
        <v>x</v>
      </c>
      <c r="I7" s="36" t="str">
        <f>'Core Indicators'!AM7</f>
        <v>x</v>
      </c>
      <c r="J7" s="36" t="str">
        <f>'Core Indicators'!AU7</f>
        <v>x</v>
      </c>
      <c r="K7" s="36" t="str">
        <f>'Core Indicators'!BC7</f>
        <v>x</v>
      </c>
      <c r="L7" s="36">
        <f>'Core Indicators'!BK7</f>
        <v>63</v>
      </c>
      <c r="M7" s="36" t="str">
        <f>'Core Indicators'!BS7</f>
        <v>x</v>
      </c>
      <c r="N7" s="36" t="str">
        <f>'Core Indicators'!CA7</f>
        <v>x</v>
      </c>
      <c r="O7" s="36" t="e">
        <f>'Core Indicators'!CI7</f>
        <v>#N/A</v>
      </c>
      <c r="P7" s="36" t="str">
        <f>'Core Indicators'!CQ7</f>
        <v>x</v>
      </c>
      <c r="Q7" s="36" t="str">
        <f>'Core Indicators'!DG7</f>
        <v>x</v>
      </c>
      <c r="R7" s="36" t="str">
        <f>'Core Indicators'!DO7</f>
        <v>x</v>
      </c>
      <c r="S7" s="36" t="str">
        <f>'Core Indicators'!DW7</f>
        <v>x</v>
      </c>
      <c r="T7" s="36" t="str">
        <f>'Core Indicators'!EE7</f>
        <v>x</v>
      </c>
      <c r="U7" s="36" t="str">
        <f>'Core Indicators'!EM7</f>
        <v>x</v>
      </c>
      <c r="V7" s="36">
        <f>'Core Indicators'!FC7</f>
        <v>2</v>
      </c>
      <c r="W7" s="36" t="str">
        <f>'Core Indicators'!FK7</f>
        <v>x</v>
      </c>
      <c r="X7" s="36" t="str">
        <f>'Core Indicators'!FS7</f>
        <v>x</v>
      </c>
      <c r="Y7" s="36">
        <f>'Core Indicators'!GA7</f>
        <v>0</v>
      </c>
      <c r="Z7" s="36">
        <f>'Core Indicators'!GI7</f>
        <v>0.33</v>
      </c>
      <c r="AA7" s="36">
        <f>'Core Indicators'!GQ7</f>
        <v>0.33</v>
      </c>
      <c r="AB7" s="36">
        <f>'Core Indicators'!GY7</f>
        <v>0</v>
      </c>
      <c r="AC7" s="36">
        <f>'Core Indicators'!HG7</f>
        <v>0</v>
      </c>
      <c r="AD7" s="36">
        <f>'Core Indicators'!HO7</f>
        <v>0</v>
      </c>
      <c r="AE7" s="36">
        <f>'Core Indicators'!HW7</f>
        <v>0</v>
      </c>
      <c r="AF7" s="36">
        <f>'Core Indicators'!IE7</f>
        <v>0.33</v>
      </c>
      <c r="AG7" s="36">
        <f>'Core Indicators'!IM7</f>
        <v>0.33</v>
      </c>
    </row>
    <row r="8" spans="1:33" s="38" customFormat="1" ht="20.100000000000001" customHeight="1" x14ac:dyDescent="0.3">
      <c r="A8" s="267" t="str">
        <f>'Core Indicators'!A:A</f>
        <v>Central Mediterranean Route</v>
      </c>
      <c r="B8" s="267" t="str">
        <f>'Core Indicators'!B:B</f>
        <v>Regional crisis</v>
      </c>
      <c r="C8" s="267" t="str">
        <f>'Core Indicators'!C8</f>
        <v>REG007</v>
      </c>
      <c r="D8" s="267" t="str">
        <f>'Core Indicators'!D8</f>
        <v>Algeria, Tunisia, Libya, Italy</v>
      </c>
      <c r="E8" s="267" t="str">
        <f>'Core Indicators'!E8</f>
        <v>DZA, TUN, LBY, ITA</v>
      </c>
      <c r="F8" s="37" t="str">
        <f>'Core Indicators'!O8</f>
        <v>x</v>
      </c>
      <c r="G8" s="37" t="str">
        <f>'Core Indicators'!W8</f>
        <v>x</v>
      </c>
      <c r="H8" s="37" t="str">
        <f>'Core Indicators'!AE8</f>
        <v>x</v>
      </c>
      <c r="I8" s="37" t="str">
        <f>'Core Indicators'!AM8</f>
        <v>x</v>
      </c>
      <c r="J8" s="37" t="str">
        <f>'Core Indicators'!AU8</f>
        <v>x</v>
      </c>
      <c r="K8" s="37" t="str">
        <f>'Core Indicators'!BC8</f>
        <v>x</v>
      </c>
      <c r="L8" s="37">
        <f>'Core Indicators'!BK8</f>
        <v>344</v>
      </c>
      <c r="M8" s="37" t="str">
        <f>'Core Indicators'!BS8</f>
        <v>x</v>
      </c>
      <c r="N8" s="37" t="str">
        <f>'Core Indicators'!CA8</f>
        <v>x</v>
      </c>
      <c r="O8" s="37" t="e">
        <f>'Core Indicators'!CI8</f>
        <v>#N/A</v>
      </c>
      <c r="P8" s="37" t="str">
        <f>'Core Indicators'!CQ8</f>
        <v>x</v>
      </c>
      <c r="Q8" s="37" t="str">
        <f>'Core Indicators'!DG8</f>
        <v>x</v>
      </c>
      <c r="R8" s="37" t="str">
        <f>'Core Indicators'!DO8</f>
        <v>x</v>
      </c>
      <c r="S8" s="37" t="str">
        <f>'Core Indicators'!DW8</f>
        <v>x</v>
      </c>
      <c r="T8" s="37" t="str">
        <f>'Core Indicators'!EE8</f>
        <v>x</v>
      </c>
      <c r="U8" s="37" t="str">
        <f>'Core Indicators'!EM8</f>
        <v>x</v>
      </c>
      <c r="V8" s="37">
        <f>'Core Indicators'!FC8</f>
        <v>2</v>
      </c>
      <c r="W8" s="37" t="str">
        <f>'Core Indicators'!FK8</f>
        <v>x</v>
      </c>
      <c r="X8" s="37" t="str">
        <f>'Core Indicators'!FS8</f>
        <v>x</v>
      </c>
      <c r="Y8" s="37">
        <f>'Core Indicators'!GA8</f>
        <v>0.33333333333333298</v>
      </c>
      <c r="Z8" s="37">
        <f>'Core Indicators'!GI8</f>
        <v>1</v>
      </c>
      <c r="AA8" s="37">
        <f>'Core Indicators'!GQ8</f>
        <v>1</v>
      </c>
      <c r="AB8" s="37">
        <f>'Core Indicators'!GY8</f>
        <v>0.33333333333333298</v>
      </c>
      <c r="AC8" s="37">
        <f>'Core Indicators'!HG8</f>
        <v>0.66666666666666696</v>
      </c>
      <c r="AD8" s="37">
        <f>'Core Indicators'!HO8</f>
        <v>0.66666666666666696</v>
      </c>
      <c r="AE8" s="37">
        <f>'Core Indicators'!HW8</f>
        <v>1</v>
      </c>
      <c r="AF8" s="37">
        <f>'Core Indicators'!IE8</f>
        <v>1.6666666666666701</v>
      </c>
      <c r="AG8" s="37">
        <f>'Core Indicators'!IM8</f>
        <v>1</v>
      </c>
    </row>
    <row r="9" spans="1:33" s="38" customFormat="1" ht="20.100000000000001" customHeight="1" x14ac:dyDescent="0.3">
      <c r="A9" s="266" t="str">
        <f>'Core Indicators'!A:A</f>
        <v>Nagorno-Karabakh Conflict in Armenia</v>
      </c>
      <c r="B9" s="266" t="str">
        <f>'Core Indicators'!B:B</f>
        <v>Conflict</v>
      </c>
      <c r="C9" s="266" t="str">
        <f>'Core Indicators'!C9</f>
        <v>ARM002</v>
      </c>
      <c r="D9" s="266" t="str">
        <f>'Core Indicators'!D9</f>
        <v>Armenia</v>
      </c>
      <c r="E9" s="266" t="str">
        <f>'Core Indicators'!E9</f>
        <v>ARM</v>
      </c>
      <c r="F9" s="36">
        <f>'Core Indicators'!O9</f>
        <v>231</v>
      </c>
      <c r="G9" s="36">
        <f>'Core Indicators'!W9</f>
        <v>1198000</v>
      </c>
      <c r="H9" s="36">
        <f>'Core Indicators'!AE9</f>
        <v>1198000</v>
      </c>
      <c r="I9" s="36">
        <f>'Core Indicators'!AM9</f>
        <v>90000</v>
      </c>
      <c r="J9" s="36" t="str">
        <f>'Core Indicators'!AU9</f>
        <v>x</v>
      </c>
      <c r="K9" s="36" t="str">
        <f>'Core Indicators'!BC9</f>
        <v>x</v>
      </c>
      <c r="L9" s="36">
        <f>'Core Indicators'!BK9</f>
        <v>2</v>
      </c>
      <c r="M9" s="36" t="str">
        <f>'Core Indicators'!BS9</f>
        <v>x</v>
      </c>
      <c r="N9" s="36" t="str">
        <f>'Core Indicators'!CA9</f>
        <v>x</v>
      </c>
      <c r="O9" s="36" t="e">
        <f>'Core Indicators'!CI9</f>
        <v>#N/A</v>
      </c>
      <c r="P9" s="36" t="str">
        <f>'Core Indicators'!CQ9</f>
        <v>x</v>
      </c>
      <c r="Q9" s="36" t="str">
        <f>'Core Indicators'!DG9</f>
        <v>x</v>
      </c>
      <c r="R9" s="36" t="str">
        <f>'Core Indicators'!DO9</f>
        <v>x</v>
      </c>
      <c r="S9" s="36" t="str">
        <f>'Core Indicators'!DW9</f>
        <v>x</v>
      </c>
      <c r="T9" s="36" t="str">
        <f>'Core Indicators'!EE9</f>
        <v>x</v>
      </c>
      <c r="U9" s="36" t="str">
        <f>'Core Indicators'!EM9</f>
        <v>x</v>
      </c>
      <c r="V9" s="36">
        <f>'Core Indicators'!FC9</f>
        <v>3</v>
      </c>
      <c r="W9" s="36" t="str">
        <f>'Core Indicators'!FK9</f>
        <v>x</v>
      </c>
      <c r="X9" s="36" t="str">
        <f>'Core Indicators'!FS9</f>
        <v>x</v>
      </c>
      <c r="Y9" s="36">
        <f>'Core Indicators'!GA9</f>
        <v>0</v>
      </c>
      <c r="Z9" s="36">
        <f>'Core Indicators'!GI9</f>
        <v>0</v>
      </c>
      <c r="AA9" s="36">
        <f>'Core Indicators'!GQ9</f>
        <v>0</v>
      </c>
      <c r="AB9" s="36">
        <f>'Core Indicators'!GY9</f>
        <v>0</v>
      </c>
      <c r="AC9" s="36">
        <f>'Core Indicators'!HG9</f>
        <v>0</v>
      </c>
      <c r="AD9" s="36">
        <f>'Core Indicators'!HO9</f>
        <v>0</v>
      </c>
      <c r="AE9" s="36">
        <f>'Core Indicators'!HW9</f>
        <v>0</v>
      </c>
      <c r="AF9" s="36">
        <f>'Core Indicators'!IE9</f>
        <v>0</v>
      </c>
      <c r="AG9" s="36">
        <f>'Core Indicators'!IM9</f>
        <v>0</v>
      </c>
    </row>
    <row r="10" spans="1:33" s="38" customFormat="1" ht="20.100000000000001" customHeight="1" x14ac:dyDescent="0.3">
      <c r="A10" s="267" t="str">
        <f>'Core Indicators'!A:A</f>
        <v>Nagorno-Karabakh Conflict</v>
      </c>
      <c r="B10" s="267" t="str">
        <f>'Core Indicators'!B:B</f>
        <v>Regional crisis</v>
      </c>
      <c r="C10" s="267" t="str">
        <f>'Core Indicators'!C10</f>
        <v>REG013</v>
      </c>
      <c r="D10" s="267" t="str">
        <f>'Core Indicators'!D10</f>
        <v>Armenia, Azerbaijan</v>
      </c>
      <c r="E10" s="267" t="str">
        <f>'Core Indicators'!E10</f>
        <v>ARM, AZE</v>
      </c>
      <c r="F10" s="37">
        <f>'Core Indicators'!O10</f>
        <v>31791</v>
      </c>
      <c r="G10" s="37">
        <f>'Core Indicators'!W10</f>
        <v>4024000</v>
      </c>
      <c r="H10" s="37">
        <f>'Core Indicators'!AE10</f>
        <v>4024000</v>
      </c>
      <c r="I10" s="37">
        <f>'Core Indicators'!AM10</f>
        <v>130000</v>
      </c>
      <c r="J10" s="37" t="str">
        <f>'Core Indicators'!AU10</f>
        <v>x</v>
      </c>
      <c r="K10" s="37" t="str">
        <f>'Core Indicators'!BC10</f>
        <v>x</v>
      </c>
      <c r="L10" s="37">
        <f>'Core Indicators'!BK10</f>
        <v>138</v>
      </c>
      <c r="M10" s="37" t="str">
        <f>'Core Indicators'!BS10</f>
        <v>x</v>
      </c>
      <c r="N10" s="37" t="str">
        <f>'Core Indicators'!CA10</f>
        <v>x</v>
      </c>
      <c r="O10" s="37" t="e">
        <f>'Core Indicators'!CI10</f>
        <v>#N/A</v>
      </c>
      <c r="P10" s="37" t="str">
        <f>'Core Indicators'!CQ10</f>
        <v>x</v>
      </c>
      <c r="Q10" s="37" t="str">
        <f>'Core Indicators'!DG10</f>
        <v>x</v>
      </c>
      <c r="R10" s="37" t="str">
        <f>'Core Indicators'!DO10</f>
        <v>x</v>
      </c>
      <c r="S10" s="37" t="str">
        <f>'Core Indicators'!DW10</f>
        <v>x</v>
      </c>
      <c r="T10" s="37" t="str">
        <f>'Core Indicators'!EE10</f>
        <v>x</v>
      </c>
      <c r="U10" s="37" t="str">
        <f>'Core Indicators'!EM10</f>
        <v>x</v>
      </c>
      <c r="V10" s="37">
        <f>'Core Indicators'!FC10</f>
        <v>3</v>
      </c>
      <c r="W10" s="37" t="str">
        <f>'Core Indicators'!FK10</f>
        <v>x</v>
      </c>
      <c r="X10" s="37" t="str">
        <f>'Core Indicators'!FS10</f>
        <v>x</v>
      </c>
      <c r="Y10" s="37">
        <f>'Core Indicators'!GA10</f>
        <v>2</v>
      </c>
      <c r="Z10" s="37">
        <f>'Core Indicators'!GI10</f>
        <v>2</v>
      </c>
      <c r="AA10" s="37">
        <f>'Core Indicators'!GQ10</f>
        <v>0</v>
      </c>
      <c r="AB10" s="37">
        <f>'Core Indicators'!GY10</f>
        <v>0</v>
      </c>
      <c r="AC10" s="37">
        <f>'Core Indicators'!HG10</f>
        <v>0</v>
      </c>
      <c r="AD10" s="37">
        <f>'Core Indicators'!HO10</f>
        <v>0</v>
      </c>
      <c r="AE10" s="37">
        <f>'Core Indicators'!HW10</f>
        <v>1</v>
      </c>
      <c r="AF10" s="37">
        <f>'Core Indicators'!IE10</f>
        <v>0</v>
      </c>
      <c r="AG10" s="37">
        <f>'Core Indicators'!IM10</f>
        <v>0</v>
      </c>
    </row>
    <row r="11" spans="1:33" s="38" customFormat="1" ht="20.100000000000001" customHeight="1" x14ac:dyDescent="0.3">
      <c r="A11" s="266" t="str">
        <f>'Core Indicators'!A:A</f>
        <v>Nagorno-Karabakh conflict in Azerbaijan</v>
      </c>
      <c r="B11" s="266" t="str">
        <f>'Core Indicators'!B:B</f>
        <v>Conflict</v>
      </c>
      <c r="C11" s="266" t="str">
        <f>'Core Indicators'!C11</f>
        <v>AZE002</v>
      </c>
      <c r="D11" s="266" t="str">
        <f>'Core Indicators'!D11</f>
        <v>Azerbaijan</v>
      </c>
      <c r="E11" s="266" t="str">
        <f>'Core Indicators'!E11</f>
        <v>AZE</v>
      </c>
      <c r="F11" s="36">
        <f>'Core Indicators'!O11</f>
        <v>31560</v>
      </c>
      <c r="G11" s="36">
        <f>'Core Indicators'!W11</f>
        <v>2826000</v>
      </c>
      <c r="H11" s="36">
        <f>'Core Indicators'!AE11</f>
        <v>2826000</v>
      </c>
      <c r="I11" s="36">
        <f>'Core Indicators'!AM11</f>
        <v>40000</v>
      </c>
      <c r="J11" s="36" t="str">
        <f>'Core Indicators'!AU11</f>
        <v>x</v>
      </c>
      <c r="K11" s="36" t="str">
        <f>'Core Indicators'!BC11</f>
        <v>x</v>
      </c>
      <c r="L11" s="36">
        <f>'Core Indicators'!BK11</f>
        <v>136</v>
      </c>
      <c r="M11" s="36" t="str">
        <f>'Core Indicators'!BS11</f>
        <v>x</v>
      </c>
      <c r="N11" s="36" t="str">
        <f>'Core Indicators'!CA11</f>
        <v>x</v>
      </c>
      <c r="O11" s="36" t="e">
        <f>'Core Indicators'!CI11</f>
        <v>#N/A</v>
      </c>
      <c r="P11" s="36" t="str">
        <f>'Core Indicators'!CQ11</f>
        <v>x</v>
      </c>
      <c r="Q11" s="36" t="str">
        <f>'Core Indicators'!DG11</f>
        <v>x</v>
      </c>
      <c r="R11" s="36" t="str">
        <f>'Core Indicators'!DO11</f>
        <v>x</v>
      </c>
      <c r="S11" s="36" t="str">
        <f>'Core Indicators'!DW11</f>
        <v>x</v>
      </c>
      <c r="T11" s="36" t="str">
        <f>'Core Indicators'!EE11</f>
        <v>x</v>
      </c>
      <c r="U11" s="36" t="str">
        <f>'Core Indicators'!EM11</f>
        <v>x</v>
      </c>
      <c r="V11" s="36">
        <f>'Core Indicators'!FC11</f>
        <v>3</v>
      </c>
      <c r="W11" s="36" t="str">
        <f>'Core Indicators'!FK11</f>
        <v>x</v>
      </c>
      <c r="X11" s="36" t="str">
        <f>'Core Indicators'!FS11</f>
        <v>x</v>
      </c>
      <c r="Y11" s="36">
        <f>'Core Indicators'!GA11</f>
        <v>2</v>
      </c>
      <c r="Z11" s="36">
        <f>'Core Indicators'!GI11</f>
        <v>1</v>
      </c>
      <c r="AA11" s="36">
        <f>'Core Indicators'!GQ11</f>
        <v>0</v>
      </c>
      <c r="AB11" s="36">
        <f>'Core Indicators'!GY11</f>
        <v>0</v>
      </c>
      <c r="AC11" s="36">
        <f>'Core Indicators'!HG11</f>
        <v>0</v>
      </c>
      <c r="AD11" s="36">
        <f>'Core Indicators'!HO11</f>
        <v>0</v>
      </c>
      <c r="AE11" s="36">
        <f>'Core Indicators'!HW11</f>
        <v>1</v>
      </c>
      <c r="AF11" s="36">
        <f>'Core Indicators'!IE11</f>
        <v>0</v>
      </c>
      <c r="AG11" s="36">
        <f>'Core Indicators'!IM11</f>
        <v>0</v>
      </c>
    </row>
    <row r="12" spans="1:33" s="38" customFormat="1" ht="20.100000000000001" customHeight="1" x14ac:dyDescent="0.3">
      <c r="A12" s="267" t="str">
        <f>'Core Indicators'!A:A</f>
        <v>Mutliple crises in Bangladesh</v>
      </c>
      <c r="B12" s="267" t="str">
        <f>'Core Indicators'!B:B</f>
        <v>Multiple crises country</v>
      </c>
      <c r="C12" s="267" t="str">
        <f>'Core Indicators'!C12</f>
        <v>BGD001</v>
      </c>
      <c r="D12" s="267" t="str">
        <f>'Core Indicators'!D12</f>
        <v>Bangladesh</v>
      </c>
      <c r="E12" s="267" t="str">
        <f>'Core Indicators'!E12</f>
        <v>BGD</v>
      </c>
      <c r="F12" s="37">
        <f>'Core Indicators'!O12</f>
        <v>39433</v>
      </c>
      <c r="G12" s="37">
        <f>'Core Indicators'!W12</f>
        <v>98684000</v>
      </c>
      <c r="H12" s="37">
        <f>'Core Indicators'!AE12</f>
        <v>19484000</v>
      </c>
      <c r="I12" s="37">
        <f>'Core Indicators'!AM12</f>
        <v>1176000</v>
      </c>
      <c r="J12" s="37" t="str">
        <f>'Core Indicators'!AU12</f>
        <v>x</v>
      </c>
      <c r="K12" s="37" t="str">
        <f>'Core Indicators'!BC12</f>
        <v>x</v>
      </c>
      <c r="L12" s="37">
        <f>'Core Indicators'!BK12</f>
        <v>71</v>
      </c>
      <c r="M12" s="37" t="str">
        <f>'Core Indicators'!BS12</f>
        <v>x</v>
      </c>
      <c r="N12" s="37" t="str">
        <f>'Core Indicators'!CA12</f>
        <v>x</v>
      </c>
      <c r="O12" s="37" t="e">
        <f>'Core Indicators'!CI12</f>
        <v>#N/A</v>
      </c>
      <c r="P12" s="37" t="str">
        <f>'Core Indicators'!CQ12</f>
        <v>x</v>
      </c>
      <c r="Q12" s="37">
        <f>'Core Indicators'!DG12</f>
        <v>79200000</v>
      </c>
      <c r="R12" s="37">
        <f>'Core Indicators'!DO12</f>
        <v>17828000</v>
      </c>
      <c r="S12" s="37">
        <f>'Core Indicators'!DW12</f>
        <v>1449000</v>
      </c>
      <c r="T12" s="37">
        <f>'Core Indicators'!EE12</f>
        <v>207000</v>
      </c>
      <c r="U12" s="37">
        <f>'Core Indicators'!EM12</f>
        <v>0</v>
      </c>
      <c r="V12" s="37">
        <f>'Core Indicators'!FC12</f>
        <v>3</v>
      </c>
      <c r="W12" s="37" t="str">
        <f>'Core Indicators'!FK12</f>
        <v>x</v>
      </c>
      <c r="X12" s="37" t="str">
        <f>'Core Indicators'!FS12</f>
        <v>x</v>
      </c>
      <c r="Y12" s="37">
        <f>'Core Indicators'!GA12</f>
        <v>2</v>
      </c>
      <c r="Z12" s="37">
        <f>'Core Indicators'!GI12</f>
        <v>1</v>
      </c>
      <c r="AA12" s="37">
        <f>'Core Indicators'!GQ12</f>
        <v>2</v>
      </c>
      <c r="AB12" s="37">
        <f>'Core Indicators'!GY12</f>
        <v>0</v>
      </c>
      <c r="AC12" s="37">
        <f>'Core Indicators'!HG12</f>
        <v>2</v>
      </c>
      <c r="AD12" s="37">
        <f>'Core Indicators'!HO12</f>
        <v>3</v>
      </c>
      <c r="AE12" s="37">
        <f>'Core Indicators'!HW12</f>
        <v>3</v>
      </c>
      <c r="AF12" s="37">
        <f>'Core Indicators'!IE12</f>
        <v>1</v>
      </c>
      <c r="AG12" s="37">
        <f>'Core Indicators'!IM12</f>
        <v>3</v>
      </c>
    </row>
    <row r="13" spans="1:33" s="38" customFormat="1" ht="20.100000000000001" customHeight="1" x14ac:dyDescent="0.3">
      <c r="A13" s="266" t="str">
        <f>'Core Indicators'!A:A</f>
        <v>Rohingya refugee crisis</v>
      </c>
      <c r="B13" s="266" t="str">
        <f>'Core Indicators'!B:B</f>
        <v>International displacement</v>
      </c>
      <c r="C13" s="266" t="str">
        <f>'Core Indicators'!C13</f>
        <v>BGD002</v>
      </c>
      <c r="D13" s="266" t="str">
        <f>'Core Indicators'!D13</f>
        <v>Bangladesh</v>
      </c>
      <c r="E13" s="266" t="str">
        <f>'Core Indicators'!E13</f>
        <v>BGD</v>
      </c>
      <c r="F13" s="36">
        <f>'Core Indicators'!O13</f>
        <v>650</v>
      </c>
      <c r="G13" s="36">
        <f>'Core Indicators'!W13</f>
        <v>1333000</v>
      </c>
      <c r="H13" s="36">
        <f>'Core Indicators'!AE13</f>
        <v>1333000</v>
      </c>
      <c r="I13" s="36">
        <f>'Core Indicators'!AM13</f>
        <v>862000</v>
      </c>
      <c r="J13" s="36">
        <f>'Core Indicators'!AU13</f>
        <v>37140</v>
      </c>
      <c r="K13" s="36">
        <f>'Core Indicators'!BC13</f>
        <v>141302</v>
      </c>
      <c r="L13" s="36">
        <f>'Core Indicators'!BK13</f>
        <v>4</v>
      </c>
      <c r="M13" s="36" t="str">
        <f>'Core Indicators'!BS13</f>
        <v>x</v>
      </c>
      <c r="N13" s="36" t="str">
        <f>'Core Indicators'!CA13</f>
        <v>x</v>
      </c>
      <c r="O13" s="36" t="e">
        <f>'Core Indicators'!CI13</f>
        <v>#N/A</v>
      </c>
      <c r="P13" s="36" t="str">
        <f>'Core Indicators'!CQ13</f>
        <v>x</v>
      </c>
      <c r="Q13" s="36">
        <f>'Core Indicators'!DG13</f>
        <v>0</v>
      </c>
      <c r="R13" s="36">
        <f>'Core Indicators'!DO13</f>
        <v>472000</v>
      </c>
      <c r="S13" s="36">
        <f>'Core Indicators'!DW13</f>
        <v>654000</v>
      </c>
      <c r="T13" s="36">
        <f>'Core Indicators'!EE13</f>
        <v>207000</v>
      </c>
      <c r="U13" s="36">
        <f>'Core Indicators'!EM13</f>
        <v>0</v>
      </c>
      <c r="V13" s="36">
        <f>'Core Indicators'!FC13</f>
        <v>3</v>
      </c>
      <c r="W13" s="36">
        <f>'Core Indicators'!FK13</f>
        <v>0</v>
      </c>
      <c r="X13" s="36">
        <f>'Core Indicators'!FS13</f>
        <v>0</v>
      </c>
      <c r="Y13" s="36">
        <f>'Core Indicators'!GA13</f>
        <v>2</v>
      </c>
      <c r="Z13" s="36">
        <f>'Core Indicators'!GI13</f>
        <v>1</v>
      </c>
      <c r="AA13" s="36">
        <f>'Core Indicators'!GQ13</f>
        <v>1</v>
      </c>
      <c r="AB13" s="36">
        <f>'Core Indicators'!GY13</f>
        <v>0</v>
      </c>
      <c r="AC13" s="36">
        <f>'Core Indicators'!HG13</f>
        <v>1</v>
      </c>
      <c r="AD13" s="36">
        <f>'Core Indicators'!HO13</f>
        <v>2</v>
      </c>
      <c r="AE13" s="36">
        <f>'Core Indicators'!HW13</f>
        <v>3</v>
      </c>
      <c r="AF13" s="36">
        <f>'Core Indicators'!IE13</f>
        <v>0</v>
      </c>
      <c r="AG13" s="36">
        <f>'Core Indicators'!IM13</f>
        <v>2</v>
      </c>
    </row>
    <row r="14" spans="1:33" s="38" customFormat="1" ht="20.100000000000001" customHeight="1" x14ac:dyDescent="0.3">
      <c r="A14" s="267" t="str">
        <f>'Core Indicators'!A:A</f>
        <v>Floods in Bangladesh</v>
      </c>
      <c r="B14" s="267" t="str">
        <f>'Core Indicators'!B:B</f>
        <v>Flood</v>
      </c>
      <c r="C14" s="267" t="str">
        <f>'Core Indicators'!C14</f>
        <v>BGD003</v>
      </c>
      <c r="D14" s="267" t="str">
        <f>'Core Indicators'!D14</f>
        <v>Bangladesh</v>
      </c>
      <c r="E14" s="267" t="str">
        <f>'Core Indicators'!E14</f>
        <v>BGD</v>
      </c>
      <c r="F14" s="37">
        <f>'Core Indicators'!O14</f>
        <v>34002</v>
      </c>
      <c r="G14" s="37">
        <f>'Core Indicators'!W14</f>
        <v>70168000</v>
      </c>
      <c r="H14" s="37">
        <f>'Core Indicators'!AE14</f>
        <v>5400000</v>
      </c>
      <c r="I14" s="37">
        <f>'Core Indicators'!AM14</f>
        <v>94000</v>
      </c>
      <c r="J14" s="37" t="str">
        <f>'Core Indicators'!AU14</f>
        <v>x</v>
      </c>
      <c r="K14" s="37" t="str">
        <f>'Core Indicators'!BC14</f>
        <v>x</v>
      </c>
      <c r="L14" s="37">
        <f>'Core Indicators'!BK14</f>
        <v>41</v>
      </c>
      <c r="M14" s="37" t="str">
        <f>'Core Indicators'!BS14</f>
        <v>x</v>
      </c>
      <c r="N14" s="37" t="str">
        <f>'Core Indicators'!CA14</f>
        <v>x</v>
      </c>
      <c r="O14" s="37" t="e">
        <f>'Core Indicators'!CI14</f>
        <v>#N/A</v>
      </c>
      <c r="P14" s="37" t="str">
        <f>'Core Indicators'!CQ14</f>
        <v>x</v>
      </c>
      <c r="Q14" s="37">
        <f>'Core Indicators'!DG14</f>
        <v>64768000</v>
      </c>
      <c r="R14" s="37">
        <f>'Core Indicators'!DO14</f>
        <v>5306000</v>
      </c>
      <c r="S14" s="37">
        <f>'Core Indicators'!DW14</f>
        <v>94000</v>
      </c>
      <c r="T14" s="37">
        <f>'Core Indicators'!EE14</f>
        <v>0</v>
      </c>
      <c r="U14" s="37">
        <f>'Core Indicators'!EM14</f>
        <v>0</v>
      </c>
      <c r="V14" s="37">
        <f>'Core Indicators'!FC14</f>
        <v>5</v>
      </c>
      <c r="W14" s="37" t="str">
        <f>'Core Indicators'!FK14</f>
        <v>x</v>
      </c>
      <c r="X14" s="37" t="str">
        <f>'Core Indicators'!FS14</f>
        <v>x</v>
      </c>
      <c r="Y14" s="37" t="str">
        <f>'Core Indicators'!GA14</f>
        <v>x</v>
      </c>
      <c r="Z14" s="37" t="str">
        <f>'Core Indicators'!GI14</f>
        <v>x</v>
      </c>
      <c r="AA14" s="37" t="str">
        <f>'Core Indicators'!GQ14</f>
        <v>x</v>
      </c>
      <c r="AB14" s="37" t="str">
        <f>'Core Indicators'!GY14</f>
        <v>x</v>
      </c>
      <c r="AC14" s="37" t="str">
        <f>'Core Indicators'!HG14</f>
        <v>x</v>
      </c>
      <c r="AD14" s="37" t="str">
        <f>'Core Indicators'!HO14</f>
        <v>x</v>
      </c>
      <c r="AE14" s="37" t="str">
        <f>'Core Indicators'!HW14</f>
        <v>x</v>
      </c>
      <c r="AF14" s="37" t="str">
        <f>'Core Indicators'!IE14</f>
        <v>x</v>
      </c>
      <c r="AG14" s="37" t="str">
        <f>'Core Indicators'!IM14</f>
        <v>x</v>
      </c>
    </row>
    <row r="15" spans="1:33" s="38" customFormat="1" ht="20.100000000000001" customHeight="1" x14ac:dyDescent="0.3">
      <c r="A15" s="266" t="str">
        <f>'Core Indicators'!A:A</f>
        <v>Cyclone Amphan Bangladesh</v>
      </c>
      <c r="B15" s="266" t="str">
        <f>'Core Indicators'!B:B</f>
        <v>Tropical cyclone</v>
      </c>
      <c r="C15" s="266" t="str">
        <f>'Core Indicators'!C15</f>
        <v>BGD006</v>
      </c>
      <c r="D15" s="266" t="str">
        <f>'Core Indicators'!D15</f>
        <v>Bangladesh</v>
      </c>
      <c r="E15" s="266" t="str">
        <f>'Core Indicators'!E15</f>
        <v>BGD</v>
      </c>
      <c r="F15" s="36">
        <f>'Core Indicators'!O15</f>
        <v>38783</v>
      </c>
      <c r="G15" s="36">
        <f>'Core Indicators'!W15</f>
        <v>27182000</v>
      </c>
      <c r="H15" s="36">
        <f>'Core Indicators'!AE15</f>
        <v>12751000</v>
      </c>
      <c r="I15" s="36">
        <f>'Core Indicators'!AM15</f>
        <v>220000</v>
      </c>
      <c r="J15" s="36" t="str">
        <f>'Core Indicators'!AU15</f>
        <v>x</v>
      </c>
      <c r="K15" s="36" t="str">
        <f>'Core Indicators'!BC15</f>
        <v>x</v>
      </c>
      <c r="L15" s="36">
        <f>'Core Indicators'!BK15</f>
        <v>26</v>
      </c>
      <c r="M15" s="36" t="str">
        <f>'Core Indicators'!BS15</f>
        <v>x</v>
      </c>
      <c r="N15" s="36" t="str">
        <f>'Core Indicators'!CA15</f>
        <v>x</v>
      </c>
      <c r="O15" s="36" t="e">
        <f>'Core Indicators'!CI15</f>
        <v>#N/A</v>
      </c>
      <c r="P15" s="36" t="str">
        <f>'Core Indicators'!CQ15</f>
        <v>x</v>
      </c>
      <c r="Q15" s="36">
        <f>'Core Indicators'!DG15</f>
        <v>14432000</v>
      </c>
      <c r="R15" s="36">
        <f>'Core Indicators'!DO15</f>
        <v>12051000</v>
      </c>
      <c r="S15" s="36">
        <f>'Core Indicators'!DW15</f>
        <v>700000</v>
      </c>
      <c r="T15" s="36">
        <f>'Core Indicators'!EE15</f>
        <v>0</v>
      </c>
      <c r="U15" s="36">
        <f>'Core Indicators'!EM15</f>
        <v>0</v>
      </c>
      <c r="V15" s="36">
        <f>'Core Indicators'!FC15</f>
        <v>3</v>
      </c>
      <c r="W15" s="36" t="str">
        <f>'Core Indicators'!FK15</f>
        <v>x</v>
      </c>
      <c r="X15" s="36" t="str">
        <f>'Core Indicators'!FS15</f>
        <v>x</v>
      </c>
      <c r="Y15" s="36">
        <f>'Core Indicators'!GA15</f>
        <v>0</v>
      </c>
      <c r="Z15" s="36">
        <f>'Core Indicators'!GI15</f>
        <v>0</v>
      </c>
      <c r="AA15" s="36">
        <f>'Core Indicators'!GQ15</f>
        <v>0</v>
      </c>
      <c r="AB15" s="36">
        <f>'Core Indicators'!GY15</f>
        <v>0</v>
      </c>
      <c r="AC15" s="36">
        <f>'Core Indicators'!HG15</f>
        <v>0</v>
      </c>
      <c r="AD15" s="36">
        <f>'Core Indicators'!HO15</f>
        <v>0</v>
      </c>
      <c r="AE15" s="36">
        <f>'Core Indicators'!HW15</f>
        <v>0</v>
      </c>
      <c r="AF15" s="36">
        <f>'Core Indicators'!IE15</f>
        <v>1</v>
      </c>
      <c r="AG15" s="36">
        <f>'Core Indicators'!IM15</f>
        <v>2</v>
      </c>
    </row>
    <row r="16" spans="1:33" s="38" customFormat="1" ht="20.100000000000001" customHeight="1" x14ac:dyDescent="0.3">
      <c r="A16" s="267" t="str">
        <f>'Core Indicators'!A:A</f>
        <v>Rohingya Regional Crisis</v>
      </c>
      <c r="B16" s="267" t="str">
        <f>'Core Indicators'!B:B</f>
        <v>Regional crisis</v>
      </c>
      <c r="C16" s="267" t="str">
        <f>'Core Indicators'!C16</f>
        <v>REG011</v>
      </c>
      <c r="D16" s="267" t="str">
        <f>'Core Indicators'!D16</f>
        <v>Bangladesh, Myanmar</v>
      </c>
      <c r="E16" s="267" t="str">
        <f>'Core Indicators'!E16</f>
        <v>BGD, MMR</v>
      </c>
      <c r="F16" s="37">
        <f>'Core Indicators'!O16</f>
        <v>45507</v>
      </c>
      <c r="G16" s="37">
        <f>'Core Indicators'!W16</f>
        <v>5215000</v>
      </c>
      <c r="H16" s="37">
        <f>'Core Indicators'!AE16</f>
        <v>2897000</v>
      </c>
      <c r="I16" s="37">
        <f>'Core Indicators'!AM16</f>
        <v>1238000</v>
      </c>
      <c r="J16" s="37" t="str">
        <f>'Core Indicators'!AU16</f>
        <v>x</v>
      </c>
      <c r="K16" s="37" t="str">
        <f>'Core Indicators'!BC16</f>
        <v>x</v>
      </c>
      <c r="L16" s="37">
        <f>'Core Indicators'!BK16</f>
        <v>195</v>
      </c>
      <c r="M16" s="37" t="str">
        <f>'Core Indicators'!BS16</f>
        <v>x</v>
      </c>
      <c r="N16" s="37" t="str">
        <f>'Core Indicators'!CA16</f>
        <v>x</v>
      </c>
      <c r="O16" s="37" t="e">
        <f>'Core Indicators'!CI16</f>
        <v>#N/A</v>
      </c>
      <c r="P16" s="37" t="str">
        <f>'Core Indicators'!CQ16</f>
        <v>x</v>
      </c>
      <c r="Q16" s="37">
        <f>'Core Indicators'!DG16</f>
        <v>2318000</v>
      </c>
      <c r="R16" s="37">
        <f>'Core Indicators'!DO16</f>
        <v>1281000</v>
      </c>
      <c r="S16" s="37">
        <f>'Core Indicators'!DW16</f>
        <v>905000</v>
      </c>
      <c r="T16" s="37">
        <f>'Core Indicators'!EE16</f>
        <v>711000</v>
      </c>
      <c r="U16" s="37">
        <f>'Core Indicators'!EM16</f>
        <v>0</v>
      </c>
      <c r="V16" s="37">
        <f>'Core Indicators'!FC16</f>
        <v>4</v>
      </c>
      <c r="W16" s="37" t="str">
        <f>'Core Indicators'!FK16</f>
        <v>x</v>
      </c>
      <c r="X16" s="37" t="str">
        <f>'Core Indicators'!FS16</f>
        <v>x</v>
      </c>
      <c r="Y16" s="37">
        <f>'Core Indicators'!GA16</f>
        <v>2</v>
      </c>
      <c r="Z16" s="37">
        <f>'Core Indicators'!GI16</f>
        <v>2</v>
      </c>
      <c r="AA16" s="37">
        <f>'Core Indicators'!GQ16</f>
        <v>1</v>
      </c>
      <c r="AB16" s="37">
        <f>'Core Indicators'!GY16</f>
        <v>0</v>
      </c>
      <c r="AC16" s="37">
        <f>'Core Indicators'!HG16</f>
        <v>2</v>
      </c>
      <c r="AD16" s="37">
        <f>'Core Indicators'!HO16</f>
        <v>3</v>
      </c>
      <c r="AE16" s="37">
        <f>'Core Indicators'!HW16</f>
        <v>3</v>
      </c>
      <c r="AF16" s="37">
        <f>'Core Indicators'!IE16</f>
        <v>0</v>
      </c>
      <c r="AG16" s="37">
        <f>'Core Indicators'!IM16</f>
        <v>2</v>
      </c>
    </row>
    <row r="17" spans="1:33" s="38" customFormat="1" ht="20.100000000000001" customHeight="1" x14ac:dyDescent="0.3">
      <c r="A17" s="266" t="str">
        <f>'Core Indicators'!A:A</f>
        <v>Venezuela displacement in Brazil</v>
      </c>
      <c r="B17" s="266" t="str">
        <f>'Core Indicators'!B:B</f>
        <v>International displacement</v>
      </c>
      <c r="C17" s="266" t="str">
        <f>'Core Indicators'!C17</f>
        <v>BRA002</v>
      </c>
      <c r="D17" s="266" t="str">
        <f>'Core Indicators'!D17</f>
        <v>Brazil</v>
      </c>
      <c r="E17" s="266" t="str">
        <f>'Core Indicators'!E17</f>
        <v>BRA</v>
      </c>
      <c r="F17" s="36">
        <f>'Core Indicators'!O17</f>
        <v>224274</v>
      </c>
      <c r="G17" s="36">
        <f>'Core Indicators'!W17</f>
        <v>870000</v>
      </c>
      <c r="H17" s="36">
        <f>'Core Indicators'!AE17</f>
        <v>663000</v>
      </c>
      <c r="I17" s="36">
        <f>'Core Indicators'!AM17</f>
        <v>264000</v>
      </c>
      <c r="J17" s="36" t="str">
        <f>'Core Indicators'!AU17</f>
        <v>x</v>
      </c>
      <c r="K17" s="36" t="str">
        <f>'Core Indicators'!BC17</f>
        <v>x</v>
      </c>
      <c r="L17" s="36">
        <f>'Core Indicators'!BK17</f>
        <v>0</v>
      </c>
      <c r="M17" s="36" t="str">
        <f>'Core Indicators'!BS17</f>
        <v>x</v>
      </c>
      <c r="N17" s="36" t="str">
        <f>'Core Indicators'!CA17</f>
        <v>x</v>
      </c>
      <c r="O17" s="36" t="e">
        <f>'Core Indicators'!CI17</f>
        <v>#N/A</v>
      </c>
      <c r="P17" s="36" t="str">
        <f>'Core Indicators'!CQ17</f>
        <v>x</v>
      </c>
      <c r="Q17" s="36">
        <f>'Core Indicators'!DG17</f>
        <v>207000</v>
      </c>
      <c r="R17" s="36">
        <f>'Core Indicators'!DO17</f>
        <v>399000</v>
      </c>
      <c r="S17" s="36">
        <f>'Core Indicators'!DW17</f>
        <v>264000</v>
      </c>
      <c r="T17" s="36">
        <f>'Core Indicators'!EE17</f>
        <v>0</v>
      </c>
      <c r="U17" s="36">
        <f>'Core Indicators'!EM17</f>
        <v>0</v>
      </c>
      <c r="V17" s="36">
        <f>'Core Indicators'!FC17</f>
        <v>2</v>
      </c>
      <c r="W17" s="36" t="str">
        <f>'Core Indicators'!FK17</f>
        <v>x</v>
      </c>
      <c r="X17" s="36" t="str">
        <f>'Core Indicators'!FS17</f>
        <v>x</v>
      </c>
      <c r="Y17" s="36">
        <f>'Core Indicators'!GA17</f>
        <v>0</v>
      </c>
      <c r="Z17" s="36">
        <f>'Core Indicators'!GI17</f>
        <v>0</v>
      </c>
      <c r="AA17" s="36">
        <f>'Core Indicators'!GQ17</f>
        <v>0</v>
      </c>
      <c r="AB17" s="36">
        <f>'Core Indicators'!GY17</f>
        <v>0</v>
      </c>
      <c r="AC17" s="36">
        <f>'Core Indicators'!HG17</f>
        <v>0</v>
      </c>
      <c r="AD17" s="36">
        <f>'Core Indicators'!HO17</f>
        <v>0</v>
      </c>
      <c r="AE17" s="36">
        <f>'Core Indicators'!HW17</f>
        <v>0</v>
      </c>
      <c r="AF17" s="36">
        <f>'Core Indicators'!IE17</f>
        <v>0</v>
      </c>
      <c r="AG17" s="36">
        <f>'Core Indicators'!IM17</f>
        <v>0</v>
      </c>
    </row>
    <row r="18" spans="1:33" s="38" customFormat="1" ht="20.100000000000001" customHeight="1" x14ac:dyDescent="0.3">
      <c r="A18" s="267" t="str">
        <f>'Core Indicators'!A:A</f>
        <v>Conflict in Burkina Faso</v>
      </c>
      <c r="B18" s="267" t="str">
        <f>'Core Indicators'!B:B</f>
        <v>Conflict</v>
      </c>
      <c r="C18" s="267" t="str">
        <f>'Core Indicators'!C18</f>
        <v>BFA002</v>
      </c>
      <c r="D18" s="267" t="str">
        <f>'Core Indicators'!D18</f>
        <v>Burkina Faso</v>
      </c>
      <c r="E18" s="267" t="str">
        <f>'Core Indicators'!E18</f>
        <v>BFA</v>
      </c>
      <c r="F18" s="37">
        <f>'Core Indicators'!O18</f>
        <v>151789</v>
      </c>
      <c r="G18" s="37">
        <f>'Core Indicators'!W18</f>
        <v>8736000</v>
      </c>
      <c r="H18" s="37">
        <f>'Core Indicators'!AE18</f>
        <v>5277000</v>
      </c>
      <c r="I18" s="37">
        <f>'Core Indicators'!AM18</f>
        <v>1051000</v>
      </c>
      <c r="J18" s="37" t="str">
        <f>'Core Indicators'!AU18</f>
        <v>X</v>
      </c>
      <c r="K18" s="37" t="str">
        <f>'Core Indicators'!BC18</f>
        <v>X</v>
      </c>
      <c r="L18" s="37">
        <f>'Core Indicators'!BK18</f>
        <v>1116</v>
      </c>
      <c r="M18" s="37" t="str">
        <f>'Core Indicators'!BS18</f>
        <v>X</v>
      </c>
      <c r="N18" s="37" t="str">
        <f>'Core Indicators'!CA18</f>
        <v>X</v>
      </c>
      <c r="O18" s="37" t="e">
        <f>'Core Indicators'!CI18</f>
        <v>#N/A</v>
      </c>
      <c r="P18" s="37" t="str">
        <f>'Core Indicators'!CQ18</f>
        <v>X</v>
      </c>
      <c r="Q18" s="37">
        <f>'Core Indicators'!DG18</f>
        <v>3459000</v>
      </c>
      <c r="R18" s="37">
        <f>'Core Indicators'!DO18</f>
        <v>3107000</v>
      </c>
      <c r="S18" s="37">
        <f>'Core Indicators'!DW18</f>
        <v>490000</v>
      </c>
      <c r="T18" s="37">
        <f>'Core Indicators'!EE18</f>
        <v>764000</v>
      </c>
      <c r="U18" s="37">
        <f>'Core Indicators'!EM18</f>
        <v>916000</v>
      </c>
      <c r="V18" s="37">
        <f>'Core Indicators'!FC18</f>
        <v>4</v>
      </c>
      <c r="W18" s="37" t="str">
        <f>'Core Indicators'!FK18</f>
        <v>x</v>
      </c>
      <c r="X18" s="37" t="str">
        <f>'Core Indicators'!FS18</f>
        <v>x</v>
      </c>
      <c r="Y18" s="37">
        <f>'Core Indicators'!GA18</f>
        <v>0</v>
      </c>
      <c r="Z18" s="37">
        <f>'Core Indicators'!GI18</f>
        <v>2</v>
      </c>
      <c r="AA18" s="37">
        <f>'Core Indicators'!GQ18</f>
        <v>0</v>
      </c>
      <c r="AB18" s="37">
        <f>'Core Indicators'!GY18</f>
        <v>3</v>
      </c>
      <c r="AC18" s="37">
        <f>'Core Indicators'!HG18</f>
        <v>0</v>
      </c>
      <c r="AD18" s="37">
        <f>'Core Indicators'!HO18</f>
        <v>2</v>
      </c>
      <c r="AE18" s="37">
        <f>'Core Indicators'!HW18</f>
        <v>3</v>
      </c>
      <c r="AF18" s="37">
        <f>'Core Indicators'!IE18</f>
        <v>0</v>
      </c>
      <c r="AG18" s="37">
        <f>'Core Indicators'!IM18</f>
        <v>0</v>
      </c>
    </row>
    <row r="19" spans="1:33" s="38" customFormat="1" ht="20.100000000000001" customHeight="1" x14ac:dyDescent="0.3">
      <c r="A19" s="266" t="str">
        <f>'Core Indicators'!A:A</f>
        <v>Floods in Burkina Faso</v>
      </c>
      <c r="B19" s="266" t="str">
        <f>'Core Indicators'!B:B</f>
        <v>Flood</v>
      </c>
      <c r="C19" s="266" t="str">
        <f>'Core Indicators'!C19</f>
        <v>BFA003</v>
      </c>
      <c r="D19" s="266" t="str">
        <f>'Core Indicators'!D19</f>
        <v>Burkina Faso</v>
      </c>
      <c r="E19" s="266" t="str">
        <f>'Core Indicators'!E19</f>
        <v>BFA</v>
      </c>
      <c r="F19" s="36">
        <f>'Core Indicators'!O19</f>
        <v>270764</v>
      </c>
      <c r="G19" s="36">
        <f>'Core Indicators'!W19</f>
        <v>21138000</v>
      </c>
      <c r="H19" s="36">
        <f>'Core Indicators'!AE19</f>
        <v>106000</v>
      </c>
      <c r="I19" s="36" t="str">
        <f>'Core Indicators'!AM19</f>
        <v>x</v>
      </c>
      <c r="J19" s="36">
        <f>'Core Indicators'!AU19</f>
        <v>112</v>
      </c>
      <c r="K19" s="36" t="str">
        <f>'Core Indicators'!BC19</f>
        <v>x</v>
      </c>
      <c r="L19" s="36">
        <f>'Core Indicators'!BK19</f>
        <v>41</v>
      </c>
      <c r="M19" s="36">
        <f>'Core Indicators'!BS19</f>
        <v>3446</v>
      </c>
      <c r="N19" s="36">
        <f>'Core Indicators'!CA19</f>
        <v>12378</v>
      </c>
      <c r="O19" s="36" t="e">
        <f>'Core Indicators'!CI19</f>
        <v>#N/A</v>
      </c>
      <c r="P19" s="36" t="str">
        <f>'Core Indicators'!CQ19</f>
        <v>x</v>
      </c>
      <c r="Q19" s="36">
        <f>'Core Indicators'!DG19</f>
        <v>21032000</v>
      </c>
      <c r="R19" s="36">
        <f>'Core Indicators'!DO19</f>
        <v>56000</v>
      </c>
      <c r="S19" s="36">
        <f>'Core Indicators'!DW19</f>
        <v>50000</v>
      </c>
      <c r="T19" s="36">
        <f>'Core Indicators'!EE19</f>
        <v>0</v>
      </c>
      <c r="U19" s="36">
        <f>'Core Indicators'!EM19</f>
        <v>0</v>
      </c>
      <c r="V19" s="36">
        <f>'Core Indicators'!FC19</f>
        <v>5</v>
      </c>
      <c r="W19" s="36" t="str">
        <f>'Core Indicators'!FK19</f>
        <v>x</v>
      </c>
      <c r="X19" s="36" t="str">
        <f>'Core Indicators'!FS19</f>
        <v>x</v>
      </c>
      <c r="Y19" s="36">
        <f>'Core Indicators'!GA19</f>
        <v>0</v>
      </c>
      <c r="Z19" s="36">
        <f>'Core Indicators'!GI19</f>
        <v>2</v>
      </c>
      <c r="AA19" s="36">
        <f>'Core Indicators'!GQ19</f>
        <v>0</v>
      </c>
      <c r="AB19" s="36">
        <f>'Core Indicators'!GY19</f>
        <v>3</v>
      </c>
      <c r="AC19" s="36">
        <f>'Core Indicators'!HG19</f>
        <v>0</v>
      </c>
      <c r="AD19" s="36">
        <f>'Core Indicators'!HO19</f>
        <v>2</v>
      </c>
      <c r="AE19" s="36">
        <f>'Core Indicators'!HW19</f>
        <v>3</v>
      </c>
      <c r="AF19" s="36">
        <f>'Core Indicators'!IE19</f>
        <v>0</v>
      </c>
      <c r="AG19" s="36">
        <f>'Core Indicators'!IM19</f>
        <v>0</v>
      </c>
    </row>
    <row r="20" spans="1:33" s="38" customFormat="1" ht="20.100000000000001" customHeight="1" x14ac:dyDescent="0.3">
      <c r="A20" s="267" t="str">
        <f>'Core Indicators'!A:A</f>
        <v>Multiple crises in Burkina Faso</v>
      </c>
      <c r="B20" s="267" t="str">
        <f>'Core Indicators'!B:B</f>
        <v>Multiple crises country</v>
      </c>
      <c r="C20" s="267" t="str">
        <f>'Core Indicators'!C20</f>
        <v>BFA004</v>
      </c>
      <c r="D20" s="267" t="str">
        <f>'Core Indicators'!D20</f>
        <v>Burkina Faso</v>
      </c>
      <c r="E20" s="267" t="str">
        <f>'Core Indicators'!E20</f>
        <v>BFA</v>
      </c>
      <c r="F20" s="37">
        <f>'Core Indicators'!O20</f>
        <v>270764</v>
      </c>
      <c r="G20" s="37">
        <f>'Core Indicators'!W20</f>
        <v>21138000</v>
      </c>
      <c r="H20" s="37">
        <f>'Core Indicators'!AE20</f>
        <v>5383000</v>
      </c>
      <c r="I20" s="37">
        <f>'Core Indicators'!AM20</f>
        <v>1051000</v>
      </c>
      <c r="J20" s="37" t="str">
        <f>'Core Indicators'!AU20</f>
        <v>x</v>
      </c>
      <c r="K20" s="37" t="str">
        <f>'Core Indicators'!BC20</f>
        <v>x</v>
      </c>
      <c r="L20" s="37">
        <f>'Core Indicators'!BK20</f>
        <v>1157</v>
      </c>
      <c r="M20" s="37">
        <f>'Core Indicators'!BS20</f>
        <v>3446</v>
      </c>
      <c r="N20" s="37">
        <f>'Core Indicators'!CA20</f>
        <v>12378</v>
      </c>
      <c r="O20" s="37" t="e">
        <f>'Core Indicators'!CI20</f>
        <v>#N/A</v>
      </c>
      <c r="P20" s="37" t="str">
        <f>'Core Indicators'!CQ20</f>
        <v>x</v>
      </c>
      <c r="Q20" s="37">
        <f>'Core Indicators'!DG20</f>
        <v>15755000</v>
      </c>
      <c r="R20" s="37">
        <f>'Core Indicators'!DO20</f>
        <v>3163000</v>
      </c>
      <c r="S20" s="37">
        <f>'Core Indicators'!DW20</f>
        <v>540000</v>
      </c>
      <c r="T20" s="37">
        <f>'Core Indicators'!EE20</f>
        <v>764000</v>
      </c>
      <c r="U20" s="37">
        <f>'Core Indicators'!EM20</f>
        <v>916000</v>
      </c>
      <c r="V20" s="37">
        <f>'Core Indicators'!FC20</f>
        <v>5</v>
      </c>
      <c r="W20" s="37" t="str">
        <f>'Core Indicators'!FK20</f>
        <v>x</v>
      </c>
      <c r="X20" s="37" t="str">
        <f>'Core Indicators'!FS20</f>
        <v>x</v>
      </c>
      <c r="Y20" s="37">
        <f>'Core Indicators'!GA20</f>
        <v>0</v>
      </c>
      <c r="Z20" s="37">
        <f>'Core Indicators'!GI20</f>
        <v>2</v>
      </c>
      <c r="AA20" s="37">
        <f>'Core Indicators'!GQ20</f>
        <v>0</v>
      </c>
      <c r="AB20" s="37">
        <f>'Core Indicators'!GY20</f>
        <v>3</v>
      </c>
      <c r="AC20" s="37">
        <f>'Core Indicators'!HG20</f>
        <v>0</v>
      </c>
      <c r="AD20" s="37">
        <f>'Core Indicators'!HO20</f>
        <v>2</v>
      </c>
      <c r="AE20" s="37">
        <f>'Core Indicators'!HW20</f>
        <v>3</v>
      </c>
      <c r="AF20" s="37">
        <f>'Core Indicators'!IE20</f>
        <v>0</v>
      </c>
      <c r="AG20" s="37">
        <f>'Core Indicators'!IM20</f>
        <v>0</v>
      </c>
    </row>
    <row r="21" spans="1:33" s="38" customFormat="1" ht="20.100000000000001" customHeight="1" x14ac:dyDescent="0.3">
      <c r="A21" s="266" t="str">
        <f>'Core Indicators'!A:A</f>
        <v>Complex in Burundi</v>
      </c>
      <c r="B21" s="266" t="str">
        <f>'Core Indicators'!B:B</f>
        <v>Complex crisis</v>
      </c>
      <c r="C21" s="266" t="str">
        <f>'Core Indicators'!C21</f>
        <v>BDI001</v>
      </c>
      <c r="D21" s="266" t="str">
        <f>'Core Indicators'!D21</f>
        <v>Burundi</v>
      </c>
      <c r="E21" s="266" t="str">
        <f>'Core Indicators'!E21</f>
        <v>BDI</v>
      </c>
      <c r="F21" s="36">
        <f>'Core Indicators'!O21</f>
        <v>25680</v>
      </c>
      <c r="G21" s="36">
        <f>'Core Indicators'!W21</f>
        <v>11657000</v>
      </c>
      <c r="H21" s="36">
        <f>'Core Indicators'!AE21</f>
        <v>5289000</v>
      </c>
      <c r="I21" s="36">
        <f>'Core Indicators'!AM21</f>
        <v>502000</v>
      </c>
      <c r="J21" s="36" t="str">
        <f>'Core Indicators'!AU21</f>
        <v>x</v>
      </c>
      <c r="K21" s="36">
        <f>'Core Indicators'!BC21</f>
        <v>70187</v>
      </c>
      <c r="L21" s="36">
        <f>'Core Indicators'!BK21</f>
        <v>223</v>
      </c>
      <c r="M21" s="36" t="str">
        <f>'Core Indicators'!BS21</f>
        <v>x</v>
      </c>
      <c r="N21" s="36" t="str">
        <f>'Core Indicators'!CA21</f>
        <v>x</v>
      </c>
      <c r="O21" s="36" t="e">
        <f>'Core Indicators'!CI21</f>
        <v>#N/A</v>
      </c>
      <c r="P21" s="36">
        <f>'Core Indicators'!CQ21</f>
        <v>444</v>
      </c>
      <c r="Q21" s="36">
        <f>'Core Indicators'!DG21</f>
        <v>6368000</v>
      </c>
      <c r="R21" s="36">
        <f>'Core Indicators'!DO21</f>
        <v>3955000</v>
      </c>
      <c r="S21" s="36">
        <f>'Core Indicators'!DW21</f>
        <v>1206000</v>
      </c>
      <c r="T21" s="36">
        <f>'Core Indicators'!EE21</f>
        <v>128000</v>
      </c>
      <c r="U21" s="36">
        <f>'Core Indicators'!EM21</f>
        <v>0</v>
      </c>
      <c r="V21" s="36">
        <f>'Core Indicators'!FC21</f>
        <v>5</v>
      </c>
      <c r="W21" s="36" t="str">
        <f>'Core Indicators'!FK21</f>
        <v>x</v>
      </c>
      <c r="X21" s="36" t="str">
        <f>'Core Indicators'!FS21</f>
        <v>x</v>
      </c>
      <c r="Y21" s="36">
        <f>'Core Indicators'!GA21</f>
        <v>2</v>
      </c>
      <c r="Z21" s="36">
        <f>'Core Indicators'!GI21</f>
        <v>2</v>
      </c>
      <c r="AA21" s="36">
        <f>'Core Indicators'!GQ21</f>
        <v>1</v>
      </c>
      <c r="AB21" s="36">
        <f>'Core Indicators'!GY21</f>
        <v>0</v>
      </c>
      <c r="AC21" s="36">
        <f>'Core Indicators'!HG21</f>
        <v>3</v>
      </c>
      <c r="AD21" s="36">
        <f>'Core Indicators'!HO21</f>
        <v>1</v>
      </c>
      <c r="AE21" s="36">
        <f>'Core Indicators'!HW21</f>
        <v>1</v>
      </c>
      <c r="AF21" s="36">
        <f>'Core Indicators'!IE21</f>
        <v>0</v>
      </c>
      <c r="AG21" s="36">
        <f>'Core Indicators'!IM21</f>
        <v>2</v>
      </c>
    </row>
    <row r="22" spans="1:33" s="38" customFormat="1" ht="20.100000000000001" customHeight="1" x14ac:dyDescent="0.3">
      <c r="A22" s="267" t="str">
        <f>'Core Indicators'!A:A</f>
        <v>Multiple crises in Cameroon</v>
      </c>
      <c r="B22" s="267" t="str">
        <f>'Core Indicators'!B:B</f>
        <v>Multiple crises country</v>
      </c>
      <c r="C22" s="267" t="str">
        <f>'Core Indicators'!C22</f>
        <v>CMR001</v>
      </c>
      <c r="D22" s="267" t="str">
        <f>'Core Indicators'!D22</f>
        <v>Cameroon</v>
      </c>
      <c r="E22" s="267" t="str">
        <f>'Core Indicators'!E22</f>
        <v>CMR</v>
      </c>
      <c r="F22" s="37">
        <f>'Core Indicators'!O22</f>
        <v>283816</v>
      </c>
      <c r="G22" s="37">
        <f>'Core Indicators'!W22</f>
        <v>10316000</v>
      </c>
      <c r="H22" s="37">
        <f>'Core Indicators'!AE22</f>
        <v>5567000</v>
      </c>
      <c r="I22" s="37">
        <f>'Core Indicators'!AM22</f>
        <v>1976000</v>
      </c>
      <c r="J22" s="37">
        <f>'Core Indicators'!AU22</f>
        <v>150</v>
      </c>
      <c r="K22" s="37" t="str">
        <f>'Core Indicators'!BC22</f>
        <v>x</v>
      </c>
      <c r="L22" s="37">
        <f>'Core Indicators'!BK22</f>
        <v>519</v>
      </c>
      <c r="M22" s="37" t="str">
        <f>'Core Indicators'!BS22</f>
        <v>x</v>
      </c>
      <c r="N22" s="37" t="str">
        <f>'Core Indicators'!CA22</f>
        <v>x</v>
      </c>
      <c r="O22" s="37" t="e">
        <f>'Core Indicators'!CI22</f>
        <v>#N/A</v>
      </c>
      <c r="P22" s="37" t="str">
        <f>'Core Indicators'!CQ22</f>
        <v>x</v>
      </c>
      <c r="Q22" s="37">
        <f>'Core Indicators'!DG22</f>
        <v>5124000</v>
      </c>
      <c r="R22" s="37">
        <f>'Core Indicators'!DO22</f>
        <v>3855000</v>
      </c>
      <c r="S22" s="37">
        <f>'Core Indicators'!DW22</f>
        <v>1543000</v>
      </c>
      <c r="T22" s="37">
        <f>'Core Indicators'!EE22</f>
        <v>185000</v>
      </c>
      <c r="U22" s="37">
        <f>'Core Indicators'!EM22</f>
        <v>0</v>
      </c>
      <c r="V22" s="37">
        <f>'Core Indicators'!FC22</f>
        <v>5</v>
      </c>
      <c r="W22" s="37" t="str">
        <f>'Core Indicators'!FK22</f>
        <v>x</v>
      </c>
      <c r="X22" s="37" t="str">
        <f>'Core Indicators'!FS22</f>
        <v>x</v>
      </c>
      <c r="Y22" s="37">
        <f>'Core Indicators'!GA22</f>
        <v>0</v>
      </c>
      <c r="Z22" s="37">
        <f>'Core Indicators'!GI22</f>
        <v>3</v>
      </c>
      <c r="AA22" s="37">
        <f>'Core Indicators'!GQ22</f>
        <v>3</v>
      </c>
      <c r="AB22" s="37">
        <f>'Core Indicators'!GY22</f>
        <v>0</v>
      </c>
      <c r="AC22" s="37">
        <f>'Core Indicators'!HG22</f>
        <v>1</v>
      </c>
      <c r="AD22" s="37">
        <f>'Core Indicators'!HO22</f>
        <v>3</v>
      </c>
      <c r="AE22" s="37">
        <f>'Core Indicators'!HW22</f>
        <v>2</v>
      </c>
      <c r="AF22" s="37">
        <f>'Core Indicators'!IE22</f>
        <v>1</v>
      </c>
      <c r="AG22" s="37">
        <f>'Core Indicators'!IM22</f>
        <v>3</v>
      </c>
    </row>
    <row r="23" spans="1:33" s="38" customFormat="1" ht="20.100000000000001" customHeight="1" x14ac:dyDescent="0.3">
      <c r="A23" s="266" t="str">
        <f>'Core Indicators'!A:A</f>
        <v>Boko Haram in Cameroon</v>
      </c>
      <c r="B23" s="266" t="str">
        <f>'Core Indicators'!B:B</f>
        <v>Conflict</v>
      </c>
      <c r="C23" s="266" t="str">
        <f>'Core Indicators'!C23</f>
        <v>CMR002</v>
      </c>
      <c r="D23" s="266" t="str">
        <f>'Core Indicators'!D23</f>
        <v>Cameroon</v>
      </c>
      <c r="E23" s="266" t="str">
        <f>'Core Indicators'!E23</f>
        <v>CMR</v>
      </c>
      <c r="F23" s="36">
        <f>'Core Indicators'!O23</f>
        <v>34263</v>
      </c>
      <c r="G23" s="36">
        <f>'Core Indicators'!W23</f>
        <v>4378000</v>
      </c>
      <c r="H23" s="36">
        <f>'Core Indicators'!AE23</f>
        <v>2521000</v>
      </c>
      <c r="I23" s="36">
        <f>'Core Indicators'!AM23</f>
        <v>560000</v>
      </c>
      <c r="J23" s="36" t="str">
        <f>'Core Indicators'!AU23</f>
        <v>X</v>
      </c>
      <c r="K23" s="36" t="str">
        <f>'Core Indicators'!BC23</f>
        <v>X</v>
      </c>
      <c r="L23" s="36">
        <f>'Core Indicators'!BK23</f>
        <v>189</v>
      </c>
      <c r="M23" s="36" t="str">
        <f>'Core Indicators'!BS23</f>
        <v>x</v>
      </c>
      <c r="N23" s="36" t="str">
        <f>'Core Indicators'!CA23</f>
        <v>x</v>
      </c>
      <c r="O23" s="36" t="e">
        <f>'Core Indicators'!CI23</f>
        <v>#N/A</v>
      </c>
      <c r="P23" s="36">
        <f>'Core Indicators'!CQ23</f>
        <v>5.2</v>
      </c>
      <c r="Q23" s="36">
        <f>'Core Indicators'!DG23</f>
        <v>1857000</v>
      </c>
      <c r="R23" s="36">
        <f>'Core Indicators'!DO23</f>
        <v>1879000</v>
      </c>
      <c r="S23" s="36">
        <f>'Core Indicators'!DW23</f>
        <v>553000</v>
      </c>
      <c r="T23" s="36">
        <f>'Core Indicators'!EE23</f>
        <v>89000</v>
      </c>
      <c r="U23" s="36">
        <f>'Core Indicators'!EM23</f>
        <v>0</v>
      </c>
      <c r="V23" s="36">
        <f>'Core Indicators'!FC23</f>
        <v>5</v>
      </c>
      <c r="W23" s="36" t="str">
        <f>'Core Indicators'!FK23</f>
        <v>x</v>
      </c>
      <c r="X23" s="36" t="str">
        <f>'Core Indicators'!FS23</f>
        <v>x</v>
      </c>
      <c r="Y23" s="36">
        <f>'Core Indicators'!GA23</f>
        <v>0</v>
      </c>
      <c r="Z23" s="36">
        <f>'Core Indicators'!GI23</f>
        <v>0</v>
      </c>
      <c r="AA23" s="36">
        <f>'Core Indicators'!GQ23</f>
        <v>0</v>
      </c>
      <c r="AB23" s="36">
        <f>'Core Indicators'!GY23</f>
        <v>0</v>
      </c>
      <c r="AC23" s="36">
        <f>'Core Indicators'!HG23</f>
        <v>0</v>
      </c>
      <c r="AD23" s="36">
        <f>'Core Indicators'!HO23</f>
        <v>2</v>
      </c>
      <c r="AE23" s="36">
        <f>'Core Indicators'!HW23</f>
        <v>1</v>
      </c>
      <c r="AF23" s="36">
        <f>'Core Indicators'!IE23</f>
        <v>2</v>
      </c>
      <c r="AG23" s="36">
        <f>'Core Indicators'!IM23</f>
        <v>2</v>
      </c>
    </row>
    <row r="24" spans="1:33" s="38" customFormat="1" ht="20.100000000000001" customHeight="1" x14ac:dyDescent="0.3">
      <c r="A24" s="267" t="str">
        <f>'Core Indicators'!A:A</f>
        <v>Anglophone Crisis in Cameroon</v>
      </c>
      <c r="B24" s="267" t="str">
        <f>'Core Indicators'!B:B</f>
        <v>Conflict</v>
      </c>
      <c r="C24" s="267" t="str">
        <f>'Core Indicators'!C24</f>
        <v>CMR003</v>
      </c>
      <c r="D24" s="267" t="str">
        <f>'Core Indicators'!D24</f>
        <v>Cameroon</v>
      </c>
      <c r="E24" s="267" t="str">
        <f>'Core Indicators'!E24</f>
        <v>CMR</v>
      </c>
      <c r="F24" s="37">
        <f>'Core Indicators'!O24</f>
        <v>76850</v>
      </c>
      <c r="G24" s="37">
        <f>'Core Indicators'!W24</f>
        <v>4374000</v>
      </c>
      <c r="H24" s="37">
        <f>'Core Indicators'!AE24</f>
        <v>2763000</v>
      </c>
      <c r="I24" s="37">
        <f>'Core Indicators'!AM24</f>
        <v>1133000</v>
      </c>
      <c r="J24" s="37" t="str">
        <f>'Core Indicators'!AU24</f>
        <v>X</v>
      </c>
      <c r="K24" s="37" t="str">
        <f>'Core Indicators'!BC24</f>
        <v>x</v>
      </c>
      <c r="L24" s="37">
        <f>'Core Indicators'!BK24</f>
        <v>330</v>
      </c>
      <c r="M24" s="37" t="str">
        <f>'Core Indicators'!BS24</f>
        <v>X</v>
      </c>
      <c r="N24" s="37" t="str">
        <f>'Core Indicators'!CA24</f>
        <v>X</v>
      </c>
      <c r="O24" s="37" t="e">
        <f>'Core Indicators'!CI24</f>
        <v>#N/A</v>
      </c>
      <c r="P24" s="37" t="str">
        <f>'Core Indicators'!CQ24</f>
        <v>X</v>
      </c>
      <c r="Q24" s="37">
        <f>'Core Indicators'!DG24</f>
        <v>1611000</v>
      </c>
      <c r="R24" s="37">
        <f>'Core Indicators'!DO24</f>
        <v>1976000</v>
      </c>
      <c r="S24" s="37">
        <f>'Core Indicators'!DW24</f>
        <v>690000</v>
      </c>
      <c r="T24" s="37">
        <f>'Core Indicators'!EE24</f>
        <v>97000</v>
      </c>
      <c r="U24" s="37">
        <f>'Core Indicators'!EM24</f>
        <v>0</v>
      </c>
      <c r="V24" s="37">
        <f>'Core Indicators'!FC24</f>
        <v>4</v>
      </c>
      <c r="W24" s="37" t="str">
        <f>'Core Indicators'!FK24</f>
        <v>x</v>
      </c>
      <c r="X24" s="37">
        <f>'Core Indicators'!FS24</f>
        <v>377500</v>
      </c>
      <c r="Y24" s="37">
        <f>'Core Indicators'!GA24</f>
        <v>1</v>
      </c>
      <c r="Z24" s="37">
        <f>'Core Indicators'!GI24</f>
        <v>2</v>
      </c>
      <c r="AA24" s="37">
        <f>'Core Indicators'!GQ24</f>
        <v>3</v>
      </c>
      <c r="AB24" s="37">
        <f>'Core Indicators'!GY24</f>
        <v>0</v>
      </c>
      <c r="AC24" s="37">
        <f>'Core Indicators'!HG24</f>
        <v>1</v>
      </c>
      <c r="AD24" s="37">
        <f>'Core Indicators'!HO24</f>
        <v>3</v>
      </c>
      <c r="AE24" s="37">
        <f>'Core Indicators'!HW24</f>
        <v>0</v>
      </c>
      <c r="AF24" s="37">
        <f>'Core Indicators'!IE24</f>
        <v>2</v>
      </c>
      <c r="AG24" s="37">
        <f>'Core Indicators'!IM24</f>
        <v>2</v>
      </c>
    </row>
    <row r="25" spans="1:33" s="38" customFormat="1" ht="20.100000000000001" customHeight="1" x14ac:dyDescent="0.3">
      <c r="A25" s="266" t="str">
        <f>'Core Indicators'!A:A</f>
        <v>CAR refugees in Cameroon</v>
      </c>
      <c r="B25" s="266" t="str">
        <f>'Core Indicators'!B:B</f>
        <v>International displacement</v>
      </c>
      <c r="C25" s="266" t="str">
        <f>'Core Indicators'!C25</f>
        <v>CMR004</v>
      </c>
      <c r="D25" s="266" t="str">
        <f>'Core Indicators'!D25</f>
        <v>Cameroon</v>
      </c>
      <c r="E25" s="266" t="str">
        <f>'Core Indicators'!E25</f>
        <v>CMR</v>
      </c>
      <c r="F25" s="36">
        <f>'Core Indicators'!O25</f>
        <v>172703</v>
      </c>
      <c r="G25" s="36">
        <f>'Core Indicators'!W25</f>
        <v>1565000</v>
      </c>
      <c r="H25" s="36">
        <f>'Core Indicators'!AE25</f>
        <v>284000</v>
      </c>
      <c r="I25" s="36">
        <f>'Core Indicators'!AM25</f>
        <v>284000</v>
      </c>
      <c r="J25" s="36">
        <f>'Core Indicators'!AU25</f>
        <v>0</v>
      </c>
      <c r="K25" s="36" t="str">
        <f>'Core Indicators'!BC25</f>
        <v>x</v>
      </c>
      <c r="L25" s="36">
        <f>'Core Indicators'!BK25</f>
        <v>0</v>
      </c>
      <c r="M25" s="36">
        <f>'Core Indicators'!BS25</f>
        <v>0</v>
      </c>
      <c r="N25" s="36">
        <f>'Core Indicators'!CA25</f>
        <v>0</v>
      </c>
      <c r="O25" s="36" t="e">
        <f>'Core Indicators'!CI25</f>
        <v>#N/A</v>
      </c>
      <c r="P25" s="36" t="str">
        <f>'Core Indicators'!CQ25</f>
        <v>x</v>
      </c>
      <c r="Q25" s="36">
        <f>'Core Indicators'!DG25</f>
        <v>1281000</v>
      </c>
      <c r="R25" s="36">
        <f>'Core Indicators'!DO25</f>
        <v>0</v>
      </c>
      <c r="S25" s="36">
        <f>'Core Indicators'!DW25</f>
        <v>284000</v>
      </c>
      <c r="T25" s="36">
        <f>'Core Indicators'!EE25</f>
        <v>0</v>
      </c>
      <c r="U25" s="36">
        <f>'Core Indicators'!EM25</f>
        <v>0</v>
      </c>
      <c r="V25" s="36">
        <f>'Core Indicators'!FC25</f>
        <v>3</v>
      </c>
      <c r="W25" s="36" t="str">
        <f>'Core Indicators'!FK25</f>
        <v>x</v>
      </c>
      <c r="X25" s="36" t="str">
        <f>'Core Indicators'!FS25</f>
        <v>x</v>
      </c>
      <c r="Y25" s="36">
        <f>'Core Indicators'!GA25</f>
        <v>0</v>
      </c>
      <c r="Z25" s="36">
        <f>'Core Indicators'!GI25</f>
        <v>0</v>
      </c>
      <c r="AA25" s="36">
        <f>'Core Indicators'!GQ25</f>
        <v>0</v>
      </c>
      <c r="AB25" s="36">
        <f>'Core Indicators'!GY25</f>
        <v>0</v>
      </c>
      <c r="AC25" s="36">
        <f>'Core Indicators'!HG25</f>
        <v>0</v>
      </c>
      <c r="AD25" s="36">
        <f>'Core Indicators'!HO25</f>
        <v>0</v>
      </c>
      <c r="AE25" s="36">
        <f>'Core Indicators'!HW25</f>
        <v>0</v>
      </c>
      <c r="AF25" s="36">
        <f>'Core Indicators'!IE25</f>
        <v>2</v>
      </c>
      <c r="AG25" s="36">
        <f>'Core Indicators'!IM25</f>
        <v>0</v>
      </c>
    </row>
    <row r="26" spans="1:33" s="38" customFormat="1" ht="20.100000000000001" customHeight="1" x14ac:dyDescent="0.3">
      <c r="A26" s="267" t="str">
        <f>'Core Indicators'!A:A</f>
        <v>Complex crisis in CAR</v>
      </c>
      <c r="B26" s="267" t="str">
        <f>'Core Indicators'!B:B</f>
        <v>Complex crisis</v>
      </c>
      <c r="C26" s="267" t="str">
        <f>'Core Indicators'!C26</f>
        <v>CAF001</v>
      </c>
      <c r="D26" s="267" t="str">
        <f>'Core Indicators'!D26</f>
        <v>CAR</v>
      </c>
      <c r="E26" s="267" t="str">
        <f>'Core Indicators'!E26</f>
        <v>CAF</v>
      </c>
      <c r="F26" s="37">
        <f>'Core Indicators'!O26</f>
        <v>623000</v>
      </c>
      <c r="G26" s="37">
        <f>'Core Indicators'!W26</f>
        <v>4900000</v>
      </c>
      <c r="H26" s="37">
        <f>'Core Indicators'!AE26</f>
        <v>4900000</v>
      </c>
      <c r="I26" s="37">
        <f>'Core Indicators'!AM26</f>
        <v>1722000</v>
      </c>
      <c r="J26" s="37" t="str">
        <f>'Core Indicators'!AU26</f>
        <v>X</v>
      </c>
      <c r="K26" s="37" t="str">
        <f>'Core Indicators'!BC26</f>
        <v>X</v>
      </c>
      <c r="L26" s="37">
        <f>'Core Indicators'!BK26</f>
        <v>117</v>
      </c>
      <c r="M26" s="37" t="str">
        <f>'Core Indicators'!BS26</f>
        <v>X</v>
      </c>
      <c r="N26" s="37" t="str">
        <f>'Core Indicators'!CA26</f>
        <v>X</v>
      </c>
      <c r="O26" s="37" t="e">
        <f>'Core Indicators'!CI26</f>
        <v>#N/A</v>
      </c>
      <c r="P26" s="37" t="str">
        <f>'Core Indicators'!CQ26</f>
        <v>X</v>
      </c>
      <c r="Q26" s="37">
        <f>'Core Indicators'!DG26</f>
        <v>0</v>
      </c>
      <c r="R26" s="37">
        <f>'Core Indicators'!DO26</f>
        <v>2100000</v>
      </c>
      <c r="S26" s="37">
        <f>'Core Indicators'!DW26</f>
        <v>900000</v>
      </c>
      <c r="T26" s="37">
        <f>'Core Indicators'!EE26</f>
        <v>1900000</v>
      </c>
      <c r="U26" s="37">
        <f>'Core Indicators'!EM26</f>
        <v>0</v>
      </c>
      <c r="V26" s="37">
        <f>'Core Indicators'!FC26</f>
        <v>5</v>
      </c>
      <c r="W26" s="37" t="str">
        <f>'Core Indicators'!FK26</f>
        <v>X</v>
      </c>
      <c r="X26" s="37" t="str">
        <f>'Core Indicators'!FS26</f>
        <v>X</v>
      </c>
      <c r="Y26" s="37">
        <f>'Core Indicators'!GA26</f>
        <v>0</v>
      </c>
      <c r="Z26" s="37">
        <f>'Core Indicators'!GI26</f>
        <v>3</v>
      </c>
      <c r="AA26" s="37">
        <f>'Core Indicators'!GQ26</f>
        <v>2</v>
      </c>
      <c r="AB26" s="37">
        <f>'Core Indicators'!GY26</f>
        <v>3</v>
      </c>
      <c r="AC26" s="37">
        <f>'Core Indicators'!HG26</f>
        <v>0</v>
      </c>
      <c r="AD26" s="37">
        <f>'Core Indicators'!HO26</f>
        <v>2</v>
      </c>
      <c r="AE26" s="37">
        <f>'Core Indicators'!HW26</f>
        <v>3</v>
      </c>
      <c r="AF26" s="37">
        <f>'Core Indicators'!IE26</f>
        <v>0</v>
      </c>
      <c r="AG26" s="37">
        <f>'Core Indicators'!IM26</f>
        <v>3</v>
      </c>
    </row>
    <row r="27" spans="1:33" s="38" customFormat="1" ht="20.100000000000001" customHeight="1" x14ac:dyDescent="0.3">
      <c r="A27" s="266" t="str">
        <f>'Core Indicators'!A:A</f>
        <v>Complex crisis in Chad</v>
      </c>
      <c r="B27" s="266" t="str">
        <f>'Core Indicators'!B:B</f>
        <v>Multiple crises country</v>
      </c>
      <c r="C27" s="266" t="str">
        <f>'Core Indicators'!C27</f>
        <v>TCD001</v>
      </c>
      <c r="D27" s="266" t="str">
        <f>'Core Indicators'!D27</f>
        <v>Chad</v>
      </c>
      <c r="E27" s="266" t="str">
        <f>'Core Indicators'!E27</f>
        <v>TCD</v>
      </c>
      <c r="F27" s="36">
        <f>'Core Indicators'!O27</f>
        <v>1259200</v>
      </c>
      <c r="G27" s="36">
        <f>'Core Indicators'!W27</f>
        <v>16783000</v>
      </c>
      <c r="H27" s="36">
        <f>'Core Indicators'!AE27</f>
        <v>16787000</v>
      </c>
      <c r="I27" s="36">
        <f>'Core Indicators'!AM27</f>
        <v>884000</v>
      </c>
      <c r="J27" s="36" t="str">
        <f>'Core Indicators'!AU27</f>
        <v>x</v>
      </c>
      <c r="K27" s="36" t="str">
        <f>'Core Indicators'!BC27</f>
        <v>x</v>
      </c>
      <c r="L27" s="36">
        <f>'Core Indicators'!BK27</f>
        <v>370</v>
      </c>
      <c r="M27" s="36" t="str">
        <f>'Core Indicators'!BS27</f>
        <v>x</v>
      </c>
      <c r="N27" s="36" t="str">
        <f>'Core Indicators'!CA27</f>
        <v>x</v>
      </c>
      <c r="O27" s="36" t="e">
        <f>'Core Indicators'!CI27</f>
        <v>#N/A</v>
      </c>
      <c r="P27" s="36" t="str">
        <f>'Core Indicators'!CQ27</f>
        <v>x</v>
      </c>
      <c r="Q27" s="36">
        <f>'Core Indicators'!DG27</f>
        <v>9169000</v>
      </c>
      <c r="R27" s="36">
        <f>'Core Indicators'!DO27</f>
        <v>1207000</v>
      </c>
      <c r="S27" s="36">
        <f>'Core Indicators'!DW27</f>
        <v>4736000</v>
      </c>
      <c r="T27" s="36">
        <f>'Core Indicators'!EE27</f>
        <v>1472000</v>
      </c>
      <c r="U27" s="36">
        <f>'Core Indicators'!EM27</f>
        <v>192000</v>
      </c>
      <c r="V27" s="36">
        <f>'Core Indicators'!FC27</f>
        <v>5</v>
      </c>
      <c r="W27" s="36" t="str">
        <f>'Core Indicators'!FK27</f>
        <v>x</v>
      </c>
      <c r="X27" s="36" t="str">
        <f>'Core Indicators'!FS27</f>
        <v>x</v>
      </c>
      <c r="Y27" s="36">
        <f>'Core Indicators'!GA27</f>
        <v>1</v>
      </c>
      <c r="Z27" s="36">
        <f>'Core Indicators'!GI27</f>
        <v>2</v>
      </c>
      <c r="AA27" s="36">
        <f>'Core Indicators'!GQ27</f>
        <v>2</v>
      </c>
      <c r="AB27" s="36">
        <f>'Core Indicators'!GY27</f>
        <v>0</v>
      </c>
      <c r="AC27" s="36">
        <f>'Core Indicators'!HG27</f>
        <v>0</v>
      </c>
      <c r="AD27" s="36">
        <f>'Core Indicators'!HO27</f>
        <v>2</v>
      </c>
      <c r="AE27" s="36">
        <f>'Core Indicators'!HW27</f>
        <v>3</v>
      </c>
      <c r="AF27" s="36">
        <f>'Core Indicators'!IE27</f>
        <v>2</v>
      </c>
      <c r="AG27" s="36">
        <f>'Core Indicators'!IM27</f>
        <v>3</v>
      </c>
    </row>
    <row r="28" spans="1:33" s="38" customFormat="1" ht="20.100000000000001" customHeight="1" x14ac:dyDescent="0.3">
      <c r="A28" s="267" t="str">
        <f>'Core Indicators'!A:A</f>
        <v>Boko Haram in Chad</v>
      </c>
      <c r="B28" s="267" t="str">
        <f>'Core Indicators'!B:B</f>
        <v>Conflict</v>
      </c>
      <c r="C28" s="267" t="str">
        <f>'Core Indicators'!C28</f>
        <v>TCD003</v>
      </c>
      <c r="D28" s="267" t="str">
        <f>'Core Indicators'!D28</f>
        <v>Chad</v>
      </c>
      <c r="E28" s="267" t="str">
        <f>'Core Indicators'!E28</f>
        <v>TCD</v>
      </c>
      <c r="F28" s="37">
        <f>'Core Indicators'!O28</f>
        <v>19915</v>
      </c>
      <c r="G28" s="37">
        <f>'Core Indicators'!W28</f>
        <v>685000</v>
      </c>
      <c r="H28" s="37">
        <f>'Core Indicators'!AE28</f>
        <v>685000</v>
      </c>
      <c r="I28" s="37">
        <f>'Core Indicators'!AM28</f>
        <v>343000</v>
      </c>
      <c r="J28" s="37" t="str">
        <f>'Core Indicators'!AU28</f>
        <v>x</v>
      </c>
      <c r="K28" s="37" t="str">
        <f>'Core Indicators'!BC28</f>
        <v>x</v>
      </c>
      <c r="L28" s="37">
        <f>'Core Indicators'!BK28</f>
        <v>261</v>
      </c>
      <c r="M28" s="37" t="str">
        <f>'Core Indicators'!BS28</f>
        <v>x</v>
      </c>
      <c r="N28" s="37" t="str">
        <f>'Core Indicators'!CA28</f>
        <v>x</v>
      </c>
      <c r="O28" s="37" t="e">
        <f>'Core Indicators'!CI28</f>
        <v>#N/A</v>
      </c>
      <c r="P28" s="37" t="str">
        <f>'Core Indicators'!CQ28</f>
        <v>x</v>
      </c>
      <c r="Q28" s="37">
        <f>'Core Indicators'!DG28</f>
        <v>0</v>
      </c>
      <c r="R28" s="37">
        <f>'Core Indicators'!DO28</f>
        <v>318000</v>
      </c>
      <c r="S28" s="37">
        <f>'Core Indicators'!DW28</f>
        <v>98000</v>
      </c>
      <c r="T28" s="37">
        <f>'Core Indicators'!EE28</f>
        <v>147000</v>
      </c>
      <c r="U28" s="37">
        <f>'Core Indicators'!EM28</f>
        <v>122000</v>
      </c>
      <c r="V28" s="37">
        <f>'Core Indicators'!FC28</f>
        <v>5</v>
      </c>
      <c r="W28" s="37" t="str">
        <f>'Core Indicators'!FK28</f>
        <v>x</v>
      </c>
      <c r="X28" s="37" t="str">
        <f>'Core Indicators'!FS28</f>
        <v>x</v>
      </c>
      <c r="Y28" s="37">
        <f>'Core Indicators'!GA28</f>
        <v>1</v>
      </c>
      <c r="Z28" s="37">
        <f>'Core Indicators'!GI28</f>
        <v>2</v>
      </c>
      <c r="AA28" s="37">
        <f>'Core Indicators'!GQ28</f>
        <v>2</v>
      </c>
      <c r="AB28" s="37">
        <f>'Core Indicators'!GY28</f>
        <v>0</v>
      </c>
      <c r="AC28" s="37">
        <f>'Core Indicators'!HG28</f>
        <v>0</v>
      </c>
      <c r="AD28" s="37">
        <f>'Core Indicators'!HO28</f>
        <v>2</v>
      </c>
      <c r="AE28" s="37">
        <f>'Core Indicators'!HW28</f>
        <v>3</v>
      </c>
      <c r="AF28" s="37">
        <f>'Core Indicators'!IE28</f>
        <v>2</v>
      </c>
      <c r="AG28" s="37">
        <f>'Core Indicators'!IM28</f>
        <v>3</v>
      </c>
    </row>
    <row r="29" spans="1:33" ht="20.100000000000001" customHeight="1" x14ac:dyDescent="0.3">
      <c r="A29" s="266" t="str">
        <f>'Core Indicators'!A:A</f>
        <v>CAR refugees in Chad</v>
      </c>
      <c r="B29" s="266" t="str">
        <f>'Core Indicators'!B:B</f>
        <v>International displacement</v>
      </c>
      <c r="C29" s="266" t="str">
        <f>'Core Indicators'!C29</f>
        <v>TCD004</v>
      </c>
      <c r="D29" s="266" t="str">
        <f>'Core Indicators'!D29</f>
        <v>Chad</v>
      </c>
      <c r="E29" s="266" t="str">
        <f>'Core Indicators'!E29</f>
        <v>TCD</v>
      </c>
      <c r="F29" s="36">
        <f>'Core Indicators'!O29</f>
        <v>154623</v>
      </c>
      <c r="G29" s="36">
        <f>'Core Indicators'!W29</f>
        <v>4456000</v>
      </c>
      <c r="H29" s="36">
        <f>'Core Indicators'!AE29</f>
        <v>1004000</v>
      </c>
      <c r="I29" s="36">
        <f>'Core Indicators'!AM29</f>
        <v>164000</v>
      </c>
      <c r="J29" s="36" t="str">
        <f>'Core Indicators'!AU29</f>
        <v>X</v>
      </c>
      <c r="K29" s="36" t="str">
        <f>'Core Indicators'!BC29</f>
        <v>X</v>
      </c>
      <c r="L29" s="36" t="str">
        <f>'Core Indicators'!BK29</f>
        <v>X</v>
      </c>
      <c r="M29" s="36" t="str">
        <f>'Core Indicators'!BS29</f>
        <v>X</v>
      </c>
      <c r="N29" s="36">
        <f>'Core Indicators'!CA29</f>
        <v>0</v>
      </c>
      <c r="O29" s="36" t="e">
        <f>'Core Indicators'!CI29</f>
        <v>#N/A</v>
      </c>
      <c r="P29" s="36" t="str">
        <f>'Core Indicators'!CQ29</f>
        <v>X</v>
      </c>
      <c r="Q29" s="36">
        <f>'Core Indicators'!DG29</f>
        <v>3452000</v>
      </c>
      <c r="R29" s="36">
        <f>'Core Indicators'!DO29</f>
        <v>0</v>
      </c>
      <c r="S29" s="36">
        <f>'Core Indicators'!DW29</f>
        <v>743000</v>
      </c>
      <c r="T29" s="36">
        <f>'Core Indicators'!EE29</f>
        <v>261000</v>
      </c>
      <c r="U29" s="36">
        <f>'Core Indicators'!EM29</f>
        <v>0</v>
      </c>
      <c r="V29" s="36">
        <f>'Core Indicators'!FC29</f>
        <v>3</v>
      </c>
      <c r="W29" s="36" t="str">
        <f>'Core Indicators'!FK29</f>
        <v>X</v>
      </c>
      <c r="X29" s="36" t="str">
        <f>'Core Indicators'!FS29</f>
        <v>X</v>
      </c>
      <c r="Y29" s="36">
        <f>'Core Indicators'!GA29</f>
        <v>1</v>
      </c>
      <c r="Z29" s="36">
        <f>'Core Indicators'!GI29</f>
        <v>2</v>
      </c>
      <c r="AA29" s="36">
        <f>'Core Indicators'!GQ29</f>
        <v>2</v>
      </c>
      <c r="AB29" s="36">
        <f>'Core Indicators'!GY29</f>
        <v>0</v>
      </c>
      <c r="AC29" s="36">
        <f>'Core Indicators'!HG29</f>
        <v>0</v>
      </c>
      <c r="AD29" s="36">
        <f>'Core Indicators'!HO29</f>
        <v>2</v>
      </c>
      <c r="AE29" s="36">
        <f>'Core Indicators'!HW29</f>
        <v>3</v>
      </c>
      <c r="AF29" s="36">
        <f>'Core Indicators'!IE29</f>
        <v>2</v>
      </c>
      <c r="AG29" s="36">
        <f>'Core Indicators'!IM29</f>
        <v>3</v>
      </c>
    </row>
    <row r="30" spans="1:33" ht="20.100000000000001" customHeight="1" x14ac:dyDescent="0.3">
      <c r="A30" s="267" t="str">
        <f>'Core Indicators'!A:A</f>
        <v>Darfur refugees in Chad</v>
      </c>
      <c r="B30" s="267" t="str">
        <f>'Core Indicators'!B:B</f>
        <v>International displacement</v>
      </c>
      <c r="C30" s="267" t="str">
        <f>'Core Indicators'!C30</f>
        <v>TCD005</v>
      </c>
      <c r="D30" s="267" t="str">
        <f>'Core Indicators'!D30</f>
        <v>Chad</v>
      </c>
      <c r="E30" s="267" t="str">
        <f>'Core Indicators'!E30</f>
        <v>TCD</v>
      </c>
      <c r="F30" s="37">
        <f>'Core Indicators'!O30</f>
        <v>205671</v>
      </c>
      <c r="G30" s="37">
        <f>'Core Indicators'!W30</f>
        <v>2577000</v>
      </c>
      <c r="H30" s="37">
        <f>'Core Indicators'!AE30</f>
        <v>1123000</v>
      </c>
      <c r="I30" s="37">
        <f>'Core Indicators'!AM30</f>
        <v>371000</v>
      </c>
      <c r="J30" s="37" t="str">
        <f>'Core Indicators'!AU30</f>
        <v>X</v>
      </c>
      <c r="K30" s="37" t="str">
        <f>'Core Indicators'!BC30</f>
        <v>X</v>
      </c>
      <c r="L30" s="37">
        <f>'Core Indicators'!BK30</f>
        <v>5</v>
      </c>
      <c r="M30" s="37" t="str">
        <f>'Core Indicators'!BS30</f>
        <v>X</v>
      </c>
      <c r="N30" s="37">
        <f>'Core Indicators'!CA30</f>
        <v>0</v>
      </c>
      <c r="O30" s="37" t="e">
        <f>'Core Indicators'!CI30</f>
        <v>#N/A</v>
      </c>
      <c r="P30" s="37" t="str">
        <f>'Core Indicators'!CQ30</f>
        <v>X</v>
      </c>
      <c r="Q30" s="37">
        <f>'Core Indicators'!DG30</f>
        <v>1454000</v>
      </c>
      <c r="R30" s="37">
        <f>'Core Indicators'!DO30</f>
        <v>0</v>
      </c>
      <c r="S30" s="37">
        <f>'Core Indicators'!DW30</f>
        <v>694000</v>
      </c>
      <c r="T30" s="37">
        <f>'Core Indicators'!EE30</f>
        <v>429000</v>
      </c>
      <c r="U30" s="37">
        <f>'Core Indicators'!EM30</f>
        <v>0</v>
      </c>
      <c r="V30" s="37">
        <f>'Core Indicators'!FC30</f>
        <v>2</v>
      </c>
      <c r="W30" s="37" t="str">
        <f>'Core Indicators'!FK30</f>
        <v>X</v>
      </c>
      <c r="X30" s="37" t="str">
        <f>'Core Indicators'!FS30</f>
        <v>X</v>
      </c>
      <c r="Y30" s="37">
        <f>'Core Indicators'!GA30</f>
        <v>1</v>
      </c>
      <c r="Z30" s="37">
        <f>'Core Indicators'!GI30</f>
        <v>2</v>
      </c>
      <c r="AA30" s="37">
        <f>'Core Indicators'!GQ30</f>
        <v>2</v>
      </c>
      <c r="AB30" s="37">
        <f>'Core Indicators'!GY30</f>
        <v>0</v>
      </c>
      <c r="AC30" s="37">
        <f>'Core Indicators'!HG30</f>
        <v>0</v>
      </c>
      <c r="AD30" s="37">
        <f>'Core Indicators'!HO30</f>
        <v>2</v>
      </c>
      <c r="AE30" s="37">
        <f>'Core Indicators'!HW30</f>
        <v>3</v>
      </c>
      <c r="AF30" s="37">
        <f>'Core Indicators'!IE30</f>
        <v>2</v>
      </c>
      <c r="AG30" s="37">
        <f>'Core Indicators'!IM30</f>
        <v>3</v>
      </c>
    </row>
    <row r="31" spans="1:33" ht="20.100000000000001" customHeight="1" x14ac:dyDescent="0.3">
      <c r="A31" s="266" t="str">
        <f>'Core Indicators'!A:A</f>
        <v>Tibesti Conflict in Chad</v>
      </c>
      <c r="B31" s="266" t="str">
        <f>'Core Indicators'!B:B</f>
        <v>Conflict</v>
      </c>
      <c r="C31" s="266" t="str">
        <f>'Core Indicators'!C31</f>
        <v>TCD006</v>
      </c>
      <c r="D31" s="266" t="str">
        <f>'Core Indicators'!D31</f>
        <v>Chad</v>
      </c>
      <c r="E31" s="266" t="str">
        <f>'Core Indicators'!E31</f>
        <v>TCD</v>
      </c>
      <c r="F31" s="36">
        <f>'Core Indicators'!O31</f>
        <v>220000</v>
      </c>
      <c r="G31" s="36">
        <f>'Core Indicators'!W31</f>
        <v>38000</v>
      </c>
      <c r="H31" s="36">
        <f>'Core Indicators'!AE31</f>
        <v>38000</v>
      </c>
      <c r="I31" s="36" t="str">
        <f>'Core Indicators'!AM31</f>
        <v>x</v>
      </c>
      <c r="J31" s="36" t="str">
        <f>'Core Indicators'!AU31</f>
        <v>x</v>
      </c>
      <c r="K31" s="36" t="str">
        <f>'Core Indicators'!BC31</f>
        <v>x</v>
      </c>
      <c r="L31" s="36">
        <f>'Core Indicators'!BK31</f>
        <v>37</v>
      </c>
      <c r="M31" s="36" t="str">
        <f>'Core Indicators'!BS31</f>
        <v>x</v>
      </c>
      <c r="N31" s="36" t="str">
        <f>'Core Indicators'!CA31</f>
        <v>x</v>
      </c>
      <c r="O31" s="36" t="e">
        <f>'Core Indicators'!CI31</f>
        <v>#N/A</v>
      </c>
      <c r="P31" s="36" t="str">
        <f>'Core Indicators'!CQ31</f>
        <v>x</v>
      </c>
      <c r="Q31" s="36">
        <f>'Core Indicators'!DG31</f>
        <v>0</v>
      </c>
      <c r="R31" s="36">
        <f>'Core Indicators'!DO31</f>
        <v>20000</v>
      </c>
      <c r="S31" s="36">
        <f>'Core Indicators'!DW31</f>
        <v>11000</v>
      </c>
      <c r="T31" s="36">
        <f>'Core Indicators'!EE31</f>
        <v>6000</v>
      </c>
      <c r="U31" s="36">
        <f>'Core Indicators'!EM31</f>
        <v>1000</v>
      </c>
      <c r="V31" s="36">
        <f>'Core Indicators'!FC31</f>
        <v>3</v>
      </c>
      <c r="W31" s="36" t="str">
        <f>'Core Indicators'!FK31</f>
        <v>x</v>
      </c>
      <c r="X31" s="36" t="str">
        <f>'Core Indicators'!FS31</f>
        <v>x</v>
      </c>
      <c r="Y31" s="36">
        <f>'Core Indicators'!GA31</f>
        <v>1</v>
      </c>
      <c r="Z31" s="36">
        <f>'Core Indicators'!GI31</f>
        <v>2</v>
      </c>
      <c r="AA31" s="36">
        <f>'Core Indicators'!GQ31</f>
        <v>0</v>
      </c>
      <c r="AB31" s="36">
        <f>'Core Indicators'!GY31</f>
        <v>0</v>
      </c>
      <c r="AC31" s="36">
        <f>'Core Indicators'!HG31</f>
        <v>0</v>
      </c>
      <c r="AD31" s="36">
        <f>'Core Indicators'!HO31</f>
        <v>0</v>
      </c>
      <c r="AE31" s="36">
        <f>'Core Indicators'!HW31</f>
        <v>0</v>
      </c>
      <c r="AF31" s="36">
        <f>'Core Indicators'!IE31</f>
        <v>2</v>
      </c>
      <c r="AG31" s="36">
        <f>'Core Indicators'!IM31</f>
        <v>3</v>
      </c>
    </row>
    <row r="32" spans="1:33" ht="20.100000000000001" customHeight="1" x14ac:dyDescent="0.3">
      <c r="A32" s="267" t="str">
        <f>'Core Indicators'!A:A</f>
        <v>Floods in Chad</v>
      </c>
      <c r="B32" s="267" t="str">
        <f>'Core Indicators'!B:B</f>
        <v>Flood</v>
      </c>
      <c r="C32" s="267" t="str">
        <f>'Core Indicators'!C32</f>
        <v>TCD008</v>
      </c>
      <c r="D32" s="267" t="str">
        <f>'Core Indicators'!D32</f>
        <v>Chad</v>
      </c>
      <c r="E32" s="267" t="str">
        <f>'Core Indicators'!E32</f>
        <v>TCD</v>
      </c>
      <c r="F32" s="37">
        <f>'Core Indicators'!O32</f>
        <v>682200</v>
      </c>
      <c r="G32" s="37">
        <f>'Core Indicators'!W32</f>
        <v>16364000</v>
      </c>
      <c r="H32" s="37">
        <f>'Core Indicators'!AE32</f>
        <v>388000</v>
      </c>
      <c r="I32" s="37">
        <f>'Core Indicators'!AM32</f>
        <v>120000</v>
      </c>
      <c r="J32" s="37" t="str">
        <f>'Core Indicators'!AU32</f>
        <v>x</v>
      </c>
      <c r="K32" s="37" t="str">
        <f>'Core Indicators'!BC32</f>
        <v>x</v>
      </c>
      <c r="L32" s="37">
        <f>'Core Indicators'!BK32</f>
        <v>10</v>
      </c>
      <c r="M32" s="37" t="str">
        <f>'Core Indicators'!BS32</f>
        <v>x</v>
      </c>
      <c r="N32" s="37" t="str">
        <f>'Core Indicators'!CA32</f>
        <v>x</v>
      </c>
      <c r="O32" s="37" t="e">
        <f>'Core Indicators'!CI32</f>
        <v>#N/A</v>
      </c>
      <c r="P32" s="37" t="str">
        <f>'Core Indicators'!CQ32</f>
        <v>x</v>
      </c>
      <c r="Q32" s="37">
        <f>'Core Indicators'!DG32</f>
        <v>15976000</v>
      </c>
      <c r="R32" s="37">
        <f>'Core Indicators'!DO32</f>
        <v>113000</v>
      </c>
      <c r="S32" s="37">
        <f>'Core Indicators'!DW32</f>
        <v>275000</v>
      </c>
      <c r="T32" s="37">
        <f>'Core Indicators'!EE32</f>
        <v>0</v>
      </c>
      <c r="U32" s="37">
        <f>'Core Indicators'!EM32</f>
        <v>0</v>
      </c>
      <c r="V32" s="37">
        <f>'Core Indicators'!FC32</f>
        <v>5</v>
      </c>
      <c r="W32" s="37" t="str">
        <f>'Core Indicators'!FK32</f>
        <v>x</v>
      </c>
      <c r="X32" s="37" t="str">
        <f>'Core Indicators'!FS32</f>
        <v>x</v>
      </c>
      <c r="Y32" s="37">
        <f>'Core Indicators'!GA32</f>
        <v>1</v>
      </c>
      <c r="Z32" s="37">
        <f>'Core Indicators'!GI32</f>
        <v>2</v>
      </c>
      <c r="AA32" s="37">
        <f>'Core Indicators'!GQ32</f>
        <v>2</v>
      </c>
      <c r="AB32" s="37">
        <f>'Core Indicators'!GY32</f>
        <v>0</v>
      </c>
      <c r="AC32" s="37">
        <f>'Core Indicators'!HG32</f>
        <v>0</v>
      </c>
      <c r="AD32" s="37">
        <f>'Core Indicators'!HO32</f>
        <v>2</v>
      </c>
      <c r="AE32" s="37">
        <f>'Core Indicators'!HW32</f>
        <v>3</v>
      </c>
      <c r="AF32" s="37">
        <f>'Core Indicators'!IE32</f>
        <v>2</v>
      </c>
      <c r="AG32" s="37">
        <f>'Core Indicators'!IM32</f>
        <v>3</v>
      </c>
    </row>
    <row r="33" spans="1:33" ht="20.100000000000001" customHeight="1" x14ac:dyDescent="0.3">
      <c r="A33" s="266" t="str">
        <f>'Core Indicators'!A:A</f>
        <v>Complex crisis in Colombia</v>
      </c>
      <c r="B33" s="266" t="str">
        <f>'Core Indicators'!B:B</f>
        <v>Complex crisis</v>
      </c>
      <c r="C33" s="266" t="str">
        <f>'Core Indicators'!C33</f>
        <v>COL001</v>
      </c>
      <c r="D33" s="266" t="str">
        <f>'Core Indicators'!D33</f>
        <v>Colombia</v>
      </c>
      <c r="E33" s="266" t="str">
        <f>'Core Indicators'!E33</f>
        <v>COL</v>
      </c>
      <c r="F33" s="36">
        <f>'Core Indicators'!O33</f>
        <v>1109500</v>
      </c>
      <c r="G33" s="36">
        <f>'Core Indicators'!W33</f>
        <v>48300000</v>
      </c>
      <c r="H33" s="36">
        <f>'Core Indicators'!AE33</f>
        <v>13400000</v>
      </c>
      <c r="I33" s="36">
        <f>'Core Indicators'!AM33</f>
        <v>3126000</v>
      </c>
      <c r="J33" s="36" t="str">
        <f>'Core Indicators'!AU33</f>
        <v>x</v>
      </c>
      <c r="K33" s="36" t="str">
        <f>'Core Indicators'!BC33</f>
        <v>x</v>
      </c>
      <c r="L33" s="36" t="str">
        <f>'Core Indicators'!BK33</f>
        <v>x</v>
      </c>
      <c r="M33" s="36" t="str">
        <f>'Core Indicators'!BS33</f>
        <v>x</v>
      </c>
      <c r="N33" s="36" t="str">
        <f>'Core Indicators'!CA33</f>
        <v>x</v>
      </c>
      <c r="O33" s="36" t="e">
        <f>'Core Indicators'!CI33</f>
        <v>#N/A</v>
      </c>
      <c r="P33" s="36" t="str">
        <f>'Core Indicators'!CQ33</f>
        <v>x</v>
      </c>
      <c r="Q33" s="36">
        <f>'Core Indicators'!DG33</f>
        <v>34900000</v>
      </c>
      <c r="R33" s="36">
        <f>'Core Indicators'!DO33</f>
        <v>4900000</v>
      </c>
      <c r="S33" s="36">
        <f>'Core Indicators'!DW33</f>
        <v>5998000</v>
      </c>
      <c r="T33" s="36">
        <f>'Core Indicators'!EE33</f>
        <v>2502000</v>
      </c>
      <c r="U33" s="36">
        <f>'Core Indicators'!EM33</f>
        <v>0</v>
      </c>
      <c r="V33" s="36">
        <f>'Core Indicators'!FC33</f>
        <v>5</v>
      </c>
      <c r="W33" s="36">
        <f>'Core Indicators'!FK33</f>
        <v>1800000</v>
      </c>
      <c r="X33" s="36">
        <f>'Core Indicators'!FS33</f>
        <v>11500</v>
      </c>
      <c r="Y33" s="36">
        <f>'Core Indicators'!GA33</f>
        <v>0</v>
      </c>
      <c r="Z33" s="36">
        <f>'Core Indicators'!GI33</f>
        <v>2</v>
      </c>
      <c r="AA33" s="36">
        <f>'Core Indicators'!GQ33</f>
        <v>0</v>
      </c>
      <c r="AB33" s="36">
        <f>'Core Indicators'!GY33</f>
        <v>0</v>
      </c>
      <c r="AC33" s="36">
        <f>'Core Indicators'!HG33</f>
        <v>0</v>
      </c>
      <c r="AD33" s="36">
        <f>'Core Indicators'!HO33</f>
        <v>2</v>
      </c>
      <c r="AE33" s="36">
        <f>'Core Indicators'!HW33</f>
        <v>1</v>
      </c>
      <c r="AF33" s="36">
        <f>'Core Indicators'!IE33</f>
        <v>3</v>
      </c>
      <c r="AG33" s="36">
        <f>'Core Indicators'!IM33</f>
        <v>1</v>
      </c>
    </row>
    <row r="34" spans="1:33" ht="20.100000000000001" customHeight="1" x14ac:dyDescent="0.3">
      <c r="A34" s="267" t="str">
        <f>'Core Indicators'!A:A</f>
        <v>Venezuela displacement in Colombia</v>
      </c>
      <c r="B34" s="267" t="str">
        <f>'Core Indicators'!B:B</f>
        <v>International displacement</v>
      </c>
      <c r="C34" s="267" t="str">
        <f>'Core Indicators'!C34</f>
        <v>COL002</v>
      </c>
      <c r="D34" s="267" t="str">
        <f>'Core Indicators'!D34</f>
        <v>Colombia</v>
      </c>
      <c r="E34" s="267" t="str">
        <f>'Core Indicators'!E34</f>
        <v>COL</v>
      </c>
      <c r="F34" s="37">
        <f>'Core Indicators'!O34</f>
        <v>135000</v>
      </c>
      <c r="G34" s="37">
        <f>'Core Indicators'!W34</f>
        <v>26910000</v>
      </c>
      <c r="H34" s="37">
        <f>'Core Indicators'!AE34</f>
        <v>2825000</v>
      </c>
      <c r="I34" s="37">
        <f>'Core Indicators'!AM34</f>
        <v>2765000</v>
      </c>
      <c r="J34" s="37" t="str">
        <f>'Core Indicators'!AU34</f>
        <v>x</v>
      </c>
      <c r="K34" s="37" t="str">
        <f>'Core Indicators'!BC34</f>
        <v>x</v>
      </c>
      <c r="L34" s="37" t="str">
        <f>'Core Indicators'!BK34</f>
        <v>x</v>
      </c>
      <c r="M34" s="37" t="str">
        <f>'Core Indicators'!BS34</f>
        <v>x</v>
      </c>
      <c r="N34" s="37" t="str">
        <f>'Core Indicators'!CA34</f>
        <v>x</v>
      </c>
      <c r="O34" s="37" t="e">
        <f>'Core Indicators'!CI34</f>
        <v>#N/A</v>
      </c>
      <c r="P34" s="37" t="str">
        <f>'Core Indicators'!CQ34</f>
        <v>x</v>
      </c>
      <c r="Q34" s="37">
        <f>'Core Indicators'!DG34</f>
        <v>23545000</v>
      </c>
      <c r="R34" s="37">
        <f>'Core Indicators'!DO34</f>
        <v>0</v>
      </c>
      <c r="S34" s="37">
        <f>'Core Indicators'!DW34</f>
        <v>2865000</v>
      </c>
      <c r="T34" s="37">
        <f>'Core Indicators'!EE34</f>
        <v>500000</v>
      </c>
      <c r="U34" s="37">
        <f>'Core Indicators'!EM34</f>
        <v>0</v>
      </c>
      <c r="V34" s="37">
        <f>'Core Indicators'!FC34</f>
        <v>3</v>
      </c>
      <c r="W34" s="37" t="str">
        <f>'Core Indicators'!FK34</f>
        <v>x</v>
      </c>
      <c r="X34" s="37" t="str">
        <f>'Core Indicators'!FS34</f>
        <v>x</v>
      </c>
      <c r="Y34" s="37">
        <f>'Core Indicators'!GA34</f>
        <v>0</v>
      </c>
      <c r="Z34" s="37">
        <f>'Core Indicators'!GI34</f>
        <v>2</v>
      </c>
      <c r="AA34" s="37">
        <f>'Core Indicators'!GQ34</f>
        <v>0</v>
      </c>
      <c r="AB34" s="37">
        <f>'Core Indicators'!GY34</f>
        <v>0</v>
      </c>
      <c r="AC34" s="37">
        <f>'Core Indicators'!HG34</f>
        <v>0</v>
      </c>
      <c r="AD34" s="37">
        <f>'Core Indicators'!HO34</f>
        <v>2</v>
      </c>
      <c r="AE34" s="37">
        <f>'Core Indicators'!HW34</f>
        <v>1</v>
      </c>
      <c r="AF34" s="37">
        <f>'Core Indicators'!IE34</f>
        <v>3</v>
      </c>
      <c r="AG34" s="37">
        <f>'Core Indicators'!IM34</f>
        <v>1</v>
      </c>
    </row>
    <row r="35" spans="1:33" ht="20.100000000000001" customHeight="1" x14ac:dyDescent="0.3">
      <c r="A35" s="266" t="str">
        <f>'Core Indicators'!A:A</f>
        <v>Floods in Congo</v>
      </c>
      <c r="B35" s="266" t="str">
        <f>'Core Indicators'!B:B</f>
        <v>Flood</v>
      </c>
      <c r="C35" s="266" t="str">
        <f>'Core Indicators'!C35</f>
        <v>COG004</v>
      </c>
      <c r="D35" s="266" t="str">
        <f>'Core Indicators'!D35</f>
        <v>Congo</v>
      </c>
      <c r="E35" s="266" t="str">
        <f>'Core Indicators'!E35</f>
        <v>COG</v>
      </c>
      <c r="F35" s="36">
        <f>'Core Indicators'!O35</f>
        <v>66044</v>
      </c>
      <c r="G35" s="36">
        <f>'Core Indicators'!W35</f>
        <v>154000</v>
      </c>
      <c r="H35" s="36">
        <f>'Core Indicators'!AE35</f>
        <v>66000</v>
      </c>
      <c r="I35" s="36" t="str">
        <f>'Core Indicators'!AM35</f>
        <v>x</v>
      </c>
      <c r="J35" s="36" t="str">
        <f>'Core Indicators'!AU35</f>
        <v>x</v>
      </c>
      <c r="K35" s="36" t="str">
        <f>'Core Indicators'!BC35</f>
        <v>x</v>
      </c>
      <c r="L35" s="36" t="str">
        <f>'Core Indicators'!BK35</f>
        <v>x</v>
      </c>
      <c r="M35" s="36" t="str">
        <f>'Core Indicators'!BS35</f>
        <v>x</v>
      </c>
      <c r="N35" s="36" t="str">
        <f>'Core Indicators'!CA35</f>
        <v>x</v>
      </c>
      <c r="O35" s="36" t="e">
        <f>'Core Indicators'!CI35</f>
        <v>#N/A</v>
      </c>
      <c r="P35" s="36" t="str">
        <f>'Core Indicators'!CQ35</f>
        <v>x</v>
      </c>
      <c r="Q35" s="36">
        <f>'Core Indicators'!DG35</f>
        <v>88000</v>
      </c>
      <c r="R35" s="36">
        <f>'Core Indicators'!DO35</f>
        <v>0</v>
      </c>
      <c r="S35" s="36">
        <f>'Core Indicators'!DW35</f>
        <v>66000</v>
      </c>
      <c r="T35" s="36">
        <f>'Core Indicators'!EE35</f>
        <v>0</v>
      </c>
      <c r="U35" s="36">
        <f>'Core Indicators'!EM35</f>
        <v>0</v>
      </c>
      <c r="V35" s="36">
        <f>'Core Indicators'!FC35</f>
        <v>4</v>
      </c>
      <c r="W35" s="36" t="str">
        <f>'Core Indicators'!FK35</f>
        <v>x</v>
      </c>
      <c r="X35" s="36" t="str">
        <f>'Core Indicators'!FS35</f>
        <v>x</v>
      </c>
      <c r="Y35" s="36">
        <f>'Core Indicators'!GA35</f>
        <v>0</v>
      </c>
      <c r="Z35" s="36">
        <f>'Core Indicators'!GI35</f>
        <v>0</v>
      </c>
      <c r="AA35" s="36">
        <f>'Core Indicators'!GQ35</f>
        <v>0</v>
      </c>
      <c r="AB35" s="36">
        <f>'Core Indicators'!GY35</f>
        <v>0</v>
      </c>
      <c r="AC35" s="36">
        <f>'Core Indicators'!HG35</f>
        <v>0</v>
      </c>
      <c r="AD35" s="36">
        <f>'Core Indicators'!HO35</f>
        <v>0</v>
      </c>
      <c r="AE35" s="36">
        <f>'Core Indicators'!HW35</f>
        <v>0</v>
      </c>
      <c r="AF35" s="36">
        <f>'Core Indicators'!IE35</f>
        <v>0</v>
      </c>
      <c r="AG35" s="36">
        <f>'Core Indicators'!IM35</f>
        <v>1</v>
      </c>
    </row>
    <row r="36" spans="1:33" ht="20.100000000000001" customHeight="1" x14ac:dyDescent="0.3">
      <c r="A36" s="267" t="str">
        <f>'Core Indicators'!A:A</f>
        <v>Nicaraguan refugees in Costa Rica</v>
      </c>
      <c r="B36" s="267" t="str">
        <f>'Core Indicators'!B:B</f>
        <v>International displacement</v>
      </c>
      <c r="C36" s="267" t="str">
        <f>'Core Indicators'!C36</f>
        <v>CRI002</v>
      </c>
      <c r="D36" s="267" t="str">
        <f>'Core Indicators'!D36</f>
        <v>Costa Rica</v>
      </c>
      <c r="E36" s="267" t="str">
        <f>'Core Indicators'!E36</f>
        <v>CRI</v>
      </c>
      <c r="F36" s="37">
        <f>'Core Indicators'!O36</f>
        <v>4966</v>
      </c>
      <c r="G36" s="37">
        <f>'Core Indicators'!W36</f>
        <v>1730000</v>
      </c>
      <c r="H36" s="37">
        <f>'Core Indicators'!AE36</f>
        <v>81000</v>
      </c>
      <c r="I36" s="37">
        <f>'Core Indicators'!AM36</f>
        <v>81000</v>
      </c>
      <c r="J36" s="37">
        <f>'Core Indicators'!AU36</f>
        <v>0</v>
      </c>
      <c r="K36" s="37">
        <f>'Core Indicators'!BC36</f>
        <v>0</v>
      </c>
      <c r="L36" s="37">
        <f>'Core Indicators'!BK36</f>
        <v>0</v>
      </c>
      <c r="M36" s="37">
        <f>'Core Indicators'!BS36</f>
        <v>0</v>
      </c>
      <c r="N36" s="37">
        <f>'Core Indicators'!CA36</f>
        <v>0</v>
      </c>
      <c r="O36" s="37" t="e">
        <f>'Core Indicators'!CI36</f>
        <v>#N/A</v>
      </c>
      <c r="P36" s="37">
        <f>'Core Indicators'!CQ36</f>
        <v>0</v>
      </c>
      <c r="Q36" s="37">
        <f>'Core Indicators'!DG36</f>
        <v>1651000</v>
      </c>
      <c r="R36" s="37">
        <f>'Core Indicators'!DO36</f>
        <v>39000</v>
      </c>
      <c r="S36" s="37">
        <f>'Core Indicators'!DW36</f>
        <v>41000</v>
      </c>
      <c r="T36" s="37">
        <f>'Core Indicators'!EE36</f>
        <v>0</v>
      </c>
      <c r="U36" s="37">
        <f>'Core Indicators'!EM36</f>
        <v>0</v>
      </c>
      <c r="V36" s="37">
        <f>'Core Indicators'!FC36</f>
        <v>2</v>
      </c>
      <c r="W36" s="37">
        <f>'Core Indicators'!FK36</f>
        <v>0</v>
      </c>
      <c r="X36" s="37" t="e">
        <f>'Core Indicators'!FS36</f>
        <v>#N/A</v>
      </c>
      <c r="Y36" s="37">
        <f>'Core Indicators'!GA36</f>
        <v>0</v>
      </c>
      <c r="Z36" s="37">
        <f>'Core Indicators'!GI36</f>
        <v>0</v>
      </c>
      <c r="AA36" s="37">
        <f>'Core Indicators'!GQ36</f>
        <v>0</v>
      </c>
      <c r="AB36" s="37">
        <f>'Core Indicators'!GY36</f>
        <v>0</v>
      </c>
      <c r="AC36" s="37">
        <f>'Core Indicators'!HG36</f>
        <v>0</v>
      </c>
      <c r="AD36" s="37">
        <f>'Core Indicators'!HO36</f>
        <v>0</v>
      </c>
      <c r="AE36" s="37">
        <f>'Core Indicators'!HW36</f>
        <v>0</v>
      </c>
      <c r="AF36" s="37">
        <f>'Core Indicators'!IE36</f>
        <v>0</v>
      </c>
      <c r="AG36" s="37">
        <f>'Core Indicators'!IM36</f>
        <v>0</v>
      </c>
    </row>
    <row r="37" spans="1:33" ht="20.100000000000001" customHeight="1" x14ac:dyDescent="0.3">
      <c r="A37" s="266" t="str">
        <f>'Core Indicators'!A:A</f>
        <v>Multiple crises in Djibouti</v>
      </c>
      <c r="B37" s="266" t="str">
        <f>'Core Indicators'!B:B</f>
        <v>Multiple crises country</v>
      </c>
      <c r="C37" s="266" t="str">
        <f>'Core Indicators'!C37</f>
        <v>DJI001</v>
      </c>
      <c r="D37" s="266" t="str">
        <f>'Core Indicators'!D37</f>
        <v>Djibouti</v>
      </c>
      <c r="E37" s="266" t="str">
        <f>'Core Indicators'!E37</f>
        <v>DJI</v>
      </c>
      <c r="F37" s="36">
        <f>'Core Indicators'!O37</f>
        <v>23180</v>
      </c>
      <c r="G37" s="36">
        <f>'Core Indicators'!W37</f>
        <v>1011000</v>
      </c>
      <c r="H37" s="36">
        <f>'Core Indicators'!AE37</f>
        <v>640000</v>
      </c>
      <c r="I37" s="36" t="str">
        <f>'Core Indicators'!AM37</f>
        <v>x</v>
      </c>
      <c r="J37" s="36" t="str">
        <f>'Core Indicators'!AU37</f>
        <v>x</v>
      </c>
      <c r="K37" s="36" t="str">
        <f>'Core Indicators'!BC37</f>
        <v>x</v>
      </c>
      <c r="L37" s="36">
        <f>'Core Indicators'!BK37</f>
        <v>0</v>
      </c>
      <c r="M37" s="36" t="str">
        <f>'Core Indicators'!BS37</f>
        <v>x</v>
      </c>
      <c r="N37" s="36" t="str">
        <f>'Core Indicators'!CA37</f>
        <v>x</v>
      </c>
      <c r="O37" s="36" t="e">
        <f>'Core Indicators'!CI37</f>
        <v>#N/A</v>
      </c>
      <c r="P37" s="36" t="str">
        <f>'Core Indicators'!CQ37</f>
        <v>x</v>
      </c>
      <c r="Q37" s="36">
        <f>'Core Indicators'!DG37</f>
        <v>372000</v>
      </c>
      <c r="R37" s="36">
        <f>'Core Indicators'!DO37</f>
        <v>329000</v>
      </c>
      <c r="S37" s="36">
        <f>'Core Indicators'!DW37</f>
        <v>203000</v>
      </c>
      <c r="T37" s="36">
        <f>'Core Indicators'!EE37</f>
        <v>107000</v>
      </c>
      <c r="U37" s="36">
        <f>'Core Indicators'!EM37</f>
        <v>0</v>
      </c>
      <c r="V37" s="36">
        <f>'Core Indicators'!FC37</f>
        <v>5</v>
      </c>
      <c r="W37" s="36" t="str">
        <f>'Core Indicators'!FK37</f>
        <v>x</v>
      </c>
      <c r="X37" s="36" t="str">
        <f>'Core Indicators'!FS37</f>
        <v>x</v>
      </c>
      <c r="Y37" s="36">
        <f>'Core Indicators'!GA37</f>
        <v>1</v>
      </c>
      <c r="Z37" s="36">
        <f>'Core Indicators'!GI37</f>
        <v>0</v>
      </c>
      <c r="AA37" s="36">
        <f>'Core Indicators'!GQ37</f>
        <v>0</v>
      </c>
      <c r="AB37" s="36">
        <f>'Core Indicators'!GY37</f>
        <v>0</v>
      </c>
      <c r="AC37" s="36">
        <f>'Core Indicators'!HG37</f>
        <v>0</v>
      </c>
      <c r="AD37" s="36">
        <f>'Core Indicators'!HO37</f>
        <v>0</v>
      </c>
      <c r="AE37" s="36">
        <f>'Core Indicators'!HW37</f>
        <v>0</v>
      </c>
      <c r="AF37" s="36">
        <f>'Core Indicators'!IE37</f>
        <v>0</v>
      </c>
      <c r="AG37" s="36">
        <f>'Core Indicators'!IM37</f>
        <v>3</v>
      </c>
    </row>
    <row r="38" spans="1:33" ht="20.100000000000001" customHeight="1" x14ac:dyDescent="0.3">
      <c r="A38" s="267" t="str">
        <f>'Core Indicators'!A:A</f>
        <v>Mixed migration in Djibouti</v>
      </c>
      <c r="B38" s="267" t="str">
        <f>'Core Indicators'!B:B</f>
        <v>International displacement</v>
      </c>
      <c r="C38" s="267" t="str">
        <f>'Core Indicators'!C38</f>
        <v>DJI002</v>
      </c>
      <c r="D38" s="267" t="str">
        <f>'Core Indicators'!D38</f>
        <v>Djibouti</v>
      </c>
      <c r="E38" s="267" t="str">
        <f>'Core Indicators'!E38</f>
        <v>DJI</v>
      </c>
      <c r="F38" s="37">
        <f>'Core Indicators'!O38</f>
        <v>23180</v>
      </c>
      <c r="G38" s="37">
        <f>'Core Indicators'!W38</f>
        <v>1011000</v>
      </c>
      <c r="H38" s="37">
        <f>'Core Indicators'!AE38</f>
        <v>30000</v>
      </c>
      <c r="I38" s="37">
        <f>'Core Indicators'!AM38</f>
        <v>30000</v>
      </c>
      <c r="J38" s="37" t="str">
        <f>'Core Indicators'!AU38</f>
        <v>x</v>
      </c>
      <c r="K38" s="37" t="str">
        <f>'Core Indicators'!BC38</f>
        <v>x</v>
      </c>
      <c r="L38" s="37">
        <f>'Core Indicators'!BK38</f>
        <v>0</v>
      </c>
      <c r="M38" s="37">
        <f>'Core Indicators'!BS38</f>
        <v>0</v>
      </c>
      <c r="N38" s="37">
        <f>'Core Indicators'!CA38</f>
        <v>0</v>
      </c>
      <c r="O38" s="37" t="e">
        <f>'Core Indicators'!CI38</f>
        <v>#N/A</v>
      </c>
      <c r="P38" s="37">
        <f>'Core Indicators'!CQ38</f>
        <v>0</v>
      </c>
      <c r="Q38" s="37">
        <f>'Core Indicators'!DG38</f>
        <v>981000</v>
      </c>
      <c r="R38" s="37">
        <f>'Core Indicators'!DO38</f>
        <v>0</v>
      </c>
      <c r="S38" s="37">
        <f>'Core Indicators'!DW38</f>
        <v>30000</v>
      </c>
      <c r="T38" s="37">
        <f>'Core Indicators'!EE38</f>
        <v>0</v>
      </c>
      <c r="U38" s="37">
        <f>'Core Indicators'!EM38</f>
        <v>0</v>
      </c>
      <c r="V38" s="37">
        <f>'Core Indicators'!FC38</f>
        <v>2</v>
      </c>
      <c r="W38" s="37">
        <f>'Core Indicators'!FK38</f>
        <v>0</v>
      </c>
      <c r="X38" s="37">
        <f>'Core Indicators'!FS38</f>
        <v>0</v>
      </c>
      <c r="Y38" s="37">
        <f>'Core Indicators'!GA38</f>
        <v>1</v>
      </c>
      <c r="Z38" s="37">
        <f>'Core Indicators'!GI38</f>
        <v>0</v>
      </c>
      <c r="AA38" s="37">
        <f>'Core Indicators'!GQ38</f>
        <v>0</v>
      </c>
      <c r="AB38" s="37">
        <f>'Core Indicators'!GY38</f>
        <v>0</v>
      </c>
      <c r="AC38" s="37">
        <f>'Core Indicators'!HG38</f>
        <v>0</v>
      </c>
      <c r="AD38" s="37">
        <f>'Core Indicators'!HO38</f>
        <v>0</v>
      </c>
      <c r="AE38" s="37">
        <f>'Core Indicators'!HW38</f>
        <v>0</v>
      </c>
      <c r="AF38" s="37">
        <f>'Core Indicators'!IE38</f>
        <v>0</v>
      </c>
      <c r="AG38" s="37">
        <f>'Core Indicators'!IM38</f>
        <v>1</v>
      </c>
    </row>
    <row r="39" spans="1:33" ht="20.100000000000001" customHeight="1" x14ac:dyDescent="0.3">
      <c r="A39" s="266" t="str">
        <f>'Core Indicators'!A:A</f>
        <v>Drought in Djibouti</v>
      </c>
      <c r="B39" s="266" t="str">
        <f>'Core Indicators'!B:B</f>
        <v>Drought</v>
      </c>
      <c r="C39" s="266" t="str">
        <f>'Core Indicators'!C39</f>
        <v>DJI003</v>
      </c>
      <c r="D39" s="266" t="str">
        <f>'Core Indicators'!D39</f>
        <v>Djibouti</v>
      </c>
      <c r="E39" s="266" t="str">
        <f>'Core Indicators'!E39</f>
        <v>DJI</v>
      </c>
      <c r="F39" s="36">
        <f>'Core Indicators'!O39</f>
        <v>23180</v>
      </c>
      <c r="G39" s="36">
        <f>'Core Indicators'!W39</f>
        <v>1011000</v>
      </c>
      <c r="H39" s="36">
        <f>'Core Indicators'!AE39</f>
        <v>639000</v>
      </c>
      <c r="I39" s="36" t="str">
        <f>'Core Indicators'!AM39</f>
        <v>x</v>
      </c>
      <c r="J39" s="36">
        <f>'Core Indicators'!AU39</f>
        <v>0</v>
      </c>
      <c r="K39" s="36" t="str">
        <f>'Core Indicators'!BC39</f>
        <v>x</v>
      </c>
      <c r="L39" s="36">
        <f>'Core Indicators'!BK39</f>
        <v>0</v>
      </c>
      <c r="M39" s="36">
        <f>'Core Indicators'!BS39</f>
        <v>0</v>
      </c>
      <c r="N39" s="36">
        <f>'Core Indicators'!CA39</f>
        <v>0</v>
      </c>
      <c r="O39" s="36" t="e">
        <f>'Core Indicators'!CI39</f>
        <v>#N/A</v>
      </c>
      <c r="P39" s="36" t="str">
        <f>'Core Indicators'!CQ39</f>
        <v>x</v>
      </c>
      <c r="Q39" s="36">
        <f>'Core Indicators'!DG39</f>
        <v>372000</v>
      </c>
      <c r="R39" s="36">
        <f>'Core Indicators'!DO39</f>
        <v>329000</v>
      </c>
      <c r="S39" s="36">
        <f>'Core Indicators'!DW39</f>
        <v>203000</v>
      </c>
      <c r="T39" s="36">
        <f>'Core Indicators'!EE39</f>
        <v>107000</v>
      </c>
      <c r="U39" s="36">
        <f>'Core Indicators'!EM39</f>
        <v>0</v>
      </c>
      <c r="V39" s="36">
        <f>'Core Indicators'!FC39</f>
        <v>5</v>
      </c>
      <c r="W39" s="36">
        <f>'Core Indicators'!FK39</f>
        <v>0</v>
      </c>
      <c r="X39" s="36">
        <f>'Core Indicators'!FS39</f>
        <v>0</v>
      </c>
      <c r="Y39" s="36">
        <f>'Core Indicators'!GA39</f>
        <v>1</v>
      </c>
      <c r="Z39" s="36">
        <f>'Core Indicators'!GI39</f>
        <v>0</v>
      </c>
      <c r="AA39" s="36">
        <f>'Core Indicators'!GQ39</f>
        <v>0</v>
      </c>
      <c r="AB39" s="36">
        <f>'Core Indicators'!GY39</f>
        <v>0</v>
      </c>
      <c r="AC39" s="36">
        <f>'Core Indicators'!HG39</f>
        <v>0</v>
      </c>
      <c r="AD39" s="36">
        <f>'Core Indicators'!HO39</f>
        <v>0</v>
      </c>
      <c r="AE39" s="36">
        <f>'Core Indicators'!HW39</f>
        <v>0</v>
      </c>
      <c r="AF39" s="36">
        <f>'Core Indicators'!IE39</f>
        <v>0</v>
      </c>
      <c r="AG39" s="36">
        <f>'Core Indicators'!IM39</f>
        <v>1</v>
      </c>
    </row>
    <row r="40" spans="1:33" ht="20.100000000000001" customHeight="1" x14ac:dyDescent="0.3">
      <c r="A40" s="267" t="str">
        <f>'Core Indicators'!A:A</f>
        <v>Complex crisis in DPRK</v>
      </c>
      <c r="B40" s="267" t="str">
        <f>'Core Indicators'!B:B</f>
        <v>Complex crisis</v>
      </c>
      <c r="C40" s="267" t="str">
        <f>'Core Indicators'!C40</f>
        <v>PRK001</v>
      </c>
      <c r="D40" s="267" t="str">
        <f>'Core Indicators'!D40</f>
        <v>DPRK</v>
      </c>
      <c r="E40" s="267" t="str">
        <f>'Core Indicators'!E40</f>
        <v>PRK</v>
      </c>
      <c r="F40" s="37">
        <f>'Core Indicators'!O40</f>
        <v>120410</v>
      </c>
      <c r="G40" s="37">
        <f>'Core Indicators'!W40</f>
        <v>25550000</v>
      </c>
      <c r="H40" s="37">
        <f>'Core Indicators'!AE40</f>
        <v>25550000</v>
      </c>
      <c r="I40" s="37" t="str">
        <f>'Core Indicators'!AM40</f>
        <v>x</v>
      </c>
      <c r="J40" s="37" t="str">
        <f>'Core Indicators'!AU40</f>
        <v>x</v>
      </c>
      <c r="K40" s="37" t="str">
        <f>'Core Indicators'!BC40</f>
        <v>x</v>
      </c>
      <c r="L40" s="37" t="str">
        <f>'Core Indicators'!BK40</f>
        <v>x</v>
      </c>
      <c r="M40" s="37" t="str">
        <f>'Core Indicators'!BS40</f>
        <v>x</v>
      </c>
      <c r="N40" s="37" t="str">
        <f>'Core Indicators'!CA40</f>
        <v>x</v>
      </c>
      <c r="O40" s="37" t="e">
        <f>'Core Indicators'!CI40</f>
        <v>#N/A</v>
      </c>
      <c r="P40" s="37" t="str">
        <f>'Core Indicators'!CQ40</f>
        <v>x</v>
      </c>
      <c r="Q40" s="37">
        <f>'Core Indicators'!DG40</f>
        <v>0</v>
      </c>
      <c r="R40" s="37">
        <f>'Core Indicators'!DO40</f>
        <v>15120000</v>
      </c>
      <c r="S40" s="37">
        <f>'Core Indicators'!DW40</f>
        <v>4970000</v>
      </c>
      <c r="T40" s="37">
        <f>'Core Indicators'!EE40</f>
        <v>5459000</v>
      </c>
      <c r="U40" s="37">
        <f>'Core Indicators'!EM40</f>
        <v>0</v>
      </c>
      <c r="V40" s="37">
        <f>'Core Indicators'!FC40</f>
        <v>1</v>
      </c>
      <c r="W40" s="37" t="str">
        <f>'Core Indicators'!FK40</f>
        <v>x</v>
      </c>
      <c r="X40" s="37" t="str">
        <f>'Core Indicators'!FS40</f>
        <v>x</v>
      </c>
      <c r="Y40" s="37">
        <f>'Core Indicators'!GA40</f>
        <v>2</v>
      </c>
      <c r="Z40" s="37">
        <f>'Core Indicators'!GI40</f>
        <v>2</v>
      </c>
      <c r="AA40" s="37">
        <f>'Core Indicators'!GQ40</f>
        <v>2</v>
      </c>
      <c r="AB40" s="37">
        <f>'Core Indicators'!GY40</f>
        <v>0</v>
      </c>
      <c r="AC40" s="37">
        <f>'Core Indicators'!HG40</f>
        <v>3</v>
      </c>
      <c r="AD40" s="37">
        <f>'Core Indicators'!HO40</f>
        <v>2</v>
      </c>
      <c r="AE40" s="37">
        <f>'Core Indicators'!HW40</f>
        <v>0</v>
      </c>
      <c r="AF40" s="37">
        <f>'Core Indicators'!IE40</f>
        <v>1</v>
      </c>
      <c r="AG40" s="37">
        <f>'Core Indicators'!IM40</f>
        <v>2</v>
      </c>
    </row>
    <row r="41" spans="1:33" ht="20.100000000000001" customHeight="1" x14ac:dyDescent="0.3">
      <c r="A41" s="266" t="str">
        <f>'Core Indicators'!A:A</f>
        <v>Complex crisis in DRC</v>
      </c>
      <c r="B41" s="266" t="str">
        <f>'Core Indicators'!B:B</f>
        <v>Complex crisis</v>
      </c>
      <c r="C41" s="266" t="str">
        <f>'Core Indicators'!C41</f>
        <v>COD001</v>
      </c>
      <c r="D41" s="266" t="str">
        <f>'Core Indicators'!D41</f>
        <v>DRC</v>
      </c>
      <c r="E41" s="266" t="str">
        <f>'Core Indicators'!E41</f>
        <v>COD</v>
      </c>
      <c r="F41" s="36">
        <f>'Core Indicators'!O41</f>
        <v>2267048</v>
      </c>
      <c r="G41" s="36">
        <f>'Core Indicators'!W41</f>
        <v>99510000</v>
      </c>
      <c r="H41" s="36">
        <f>'Core Indicators'!AE41</f>
        <v>43245000</v>
      </c>
      <c r="I41" s="36">
        <f>'Core Indicators'!AM41</f>
        <v>8466000</v>
      </c>
      <c r="J41" s="36" t="str">
        <f>'Core Indicators'!AU41</f>
        <v>x</v>
      </c>
      <c r="K41" s="36" t="str">
        <f>'Core Indicators'!BC41</f>
        <v>x</v>
      </c>
      <c r="L41" s="36">
        <f>'Core Indicators'!BK41</f>
        <v>3614</v>
      </c>
      <c r="M41" s="36" t="str">
        <f>'Core Indicators'!BS41</f>
        <v>x</v>
      </c>
      <c r="N41" s="36" t="str">
        <f>'Core Indicators'!CA41</f>
        <v>x</v>
      </c>
      <c r="O41" s="36" t="e">
        <f>'Core Indicators'!CI41</f>
        <v>#N/A</v>
      </c>
      <c r="P41" s="36">
        <f>'Core Indicators'!CQ41</f>
        <v>1700</v>
      </c>
      <c r="Q41" s="36">
        <f>'Core Indicators'!DG41</f>
        <v>46241000</v>
      </c>
      <c r="R41" s="36">
        <f>'Core Indicators'!DO41</f>
        <v>29826000</v>
      </c>
      <c r="S41" s="36">
        <f>'Core Indicators'!DW41</f>
        <v>16511000</v>
      </c>
      <c r="T41" s="36">
        <f>'Core Indicators'!EE41</f>
        <v>6391000</v>
      </c>
      <c r="U41" s="36">
        <f>'Core Indicators'!EM41</f>
        <v>533000</v>
      </c>
      <c r="V41" s="36">
        <f>'Core Indicators'!FC41</f>
        <v>5</v>
      </c>
      <c r="W41" s="36" t="str">
        <f>'Core Indicators'!FK41</f>
        <v>x</v>
      </c>
      <c r="X41" s="36" t="str">
        <f>'Core Indicators'!FS41</f>
        <v>x</v>
      </c>
      <c r="Y41" s="36">
        <f>'Core Indicators'!GA41</f>
        <v>1</v>
      </c>
      <c r="Z41" s="36">
        <f>'Core Indicators'!GI41</f>
        <v>3</v>
      </c>
      <c r="AA41" s="36">
        <f>'Core Indicators'!GQ41</f>
        <v>2</v>
      </c>
      <c r="AB41" s="36">
        <f>'Core Indicators'!GY41</f>
        <v>3</v>
      </c>
      <c r="AC41" s="36">
        <f>'Core Indicators'!HG41</f>
        <v>1</v>
      </c>
      <c r="AD41" s="36">
        <f>'Core Indicators'!HO41</f>
        <v>2</v>
      </c>
      <c r="AE41" s="36">
        <f>'Core Indicators'!HW41</f>
        <v>3</v>
      </c>
      <c r="AF41" s="36">
        <f>'Core Indicators'!IE41</f>
        <v>1</v>
      </c>
      <c r="AG41" s="36">
        <f>'Core Indicators'!IM41</f>
        <v>3</v>
      </c>
    </row>
    <row r="42" spans="1:33" ht="20.100000000000001" customHeight="1" x14ac:dyDescent="0.3">
      <c r="A42" s="267" t="str">
        <f>'Core Indicators'!A:A</f>
        <v>Floods in south-eastern DRC</v>
      </c>
      <c r="B42" s="267" t="str">
        <f>'Core Indicators'!B:B</f>
        <v>Flood</v>
      </c>
      <c r="C42" s="267" t="str">
        <f>'Core Indicators'!C42</f>
        <v>COD003</v>
      </c>
      <c r="D42" s="267" t="str">
        <f>'Core Indicators'!D42</f>
        <v>DRC</v>
      </c>
      <c r="E42" s="267" t="str">
        <f>'Core Indicators'!E42</f>
        <v>COD</v>
      </c>
      <c r="F42" s="37">
        <f>'Core Indicators'!O42</f>
        <v>575949</v>
      </c>
      <c r="G42" s="37">
        <f>'Core Indicators'!W42</f>
        <v>23077000</v>
      </c>
      <c r="H42" s="37">
        <f>'Core Indicators'!AE42</f>
        <v>587000</v>
      </c>
      <c r="I42" s="37" t="str">
        <f>'Core Indicators'!AM42</f>
        <v>x</v>
      </c>
      <c r="J42" s="37" t="str">
        <f>'Core Indicators'!AU42</f>
        <v>x</v>
      </c>
      <c r="K42" s="37" t="str">
        <f>'Core Indicators'!BC42</f>
        <v>x</v>
      </c>
      <c r="L42" s="37" t="str">
        <f>'Core Indicators'!BK42</f>
        <v>x</v>
      </c>
      <c r="M42" s="37" t="str">
        <f>'Core Indicators'!BS42</f>
        <v>x</v>
      </c>
      <c r="N42" s="37" t="str">
        <f>'Core Indicators'!CA42</f>
        <v>x</v>
      </c>
      <c r="O42" s="37" t="e">
        <f>'Core Indicators'!CI42</f>
        <v>#N/A</v>
      </c>
      <c r="P42" s="37" t="str">
        <f>'Core Indicators'!CQ42</f>
        <v>x</v>
      </c>
      <c r="Q42" s="37">
        <f>'Core Indicators'!DG42</f>
        <v>22490000</v>
      </c>
      <c r="R42" s="37">
        <f>'Core Indicators'!DO42</f>
        <v>0</v>
      </c>
      <c r="S42" s="37">
        <f>'Core Indicators'!DW42</f>
        <v>523000</v>
      </c>
      <c r="T42" s="37">
        <f>'Core Indicators'!EE42</f>
        <v>64000</v>
      </c>
      <c r="U42" s="37">
        <f>'Core Indicators'!EM42</f>
        <v>0</v>
      </c>
      <c r="V42" s="37">
        <f>'Core Indicators'!FC42</f>
        <v>5</v>
      </c>
      <c r="W42" s="37" t="str">
        <f>'Core Indicators'!FK42</f>
        <v>x</v>
      </c>
      <c r="X42" s="37" t="str">
        <f>'Core Indicators'!FS42</f>
        <v>x</v>
      </c>
      <c r="Y42" s="37">
        <f>'Core Indicators'!GA42</f>
        <v>1</v>
      </c>
      <c r="Z42" s="37">
        <f>'Core Indicators'!GI42</f>
        <v>2</v>
      </c>
      <c r="AA42" s="37">
        <f>'Core Indicators'!GQ42</f>
        <v>1</v>
      </c>
      <c r="AB42" s="37">
        <f>'Core Indicators'!GY42</f>
        <v>3</v>
      </c>
      <c r="AC42" s="37">
        <f>'Core Indicators'!HG42</f>
        <v>0</v>
      </c>
      <c r="AD42" s="37">
        <f>'Core Indicators'!HO42</f>
        <v>2</v>
      </c>
      <c r="AE42" s="37">
        <f>'Core Indicators'!HW42</f>
        <v>2</v>
      </c>
      <c r="AF42" s="37">
        <f>'Core Indicators'!IE42</f>
        <v>1</v>
      </c>
      <c r="AG42" s="37">
        <f>'Core Indicators'!IM42</f>
        <v>3</v>
      </c>
    </row>
    <row r="43" spans="1:33" ht="20.100000000000001" customHeight="1" x14ac:dyDescent="0.3">
      <c r="A43" s="266" t="str">
        <f>'Core Indicators'!A:A</f>
        <v>Venezuela displacement in Ecuador</v>
      </c>
      <c r="B43" s="266" t="str">
        <f>'Core Indicators'!B:B</f>
        <v>International displacement</v>
      </c>
      <c r="C43" s="266" t="str">
        <f>'Core Indicators'!C43</f>
        <v>ECU002</v>
      </c>
      <c r="D43" s="266" t="str">
        <f>'Core Indicators'!D43</f>
        <v>Ecuador</v>
      </c>
      <c r="E43" s="266" t="str">
        <f>'Core Indicators'!E43</f>
        <v>ECU</v>
      </c>
      <c r="F43" s="36">
        <f>'Core Indicators'!O43</f>
        <v>3449</v>
      </c>
      <c r="G43" s="36">
        <f>'Core Indicators'!W43</f>
        <v>4817000</v>
      </c>
      <c r="H43" s="36">
        <f>'Core Indicators'!AE43</f>
        <v>572000</v>
      </c>
      <c r="I43" s="36">
        <f>'Core Indicators'!AM43</f>
        <v>363000</v>
      </c>
      <c r="J43" s="36" t="str">
        <f>'Core Indicators'!AU43</f>
        <v>x</v>
      </c>
      <c r="K43" s="36" t="str">
        <f>'Core Indicators'!BC43</f>
        <v>x</v>
      </c>
      <c r="L43" s="36">
        <f>'Core Indicators'!BK43</f>
        <v>1</v>
      </c>
      <c r="M43" s="36" t="str">
        <f>'Core Indicators'!BS43</f>
        <v>x</v>
      </c>
      <c r="N43" s="36" t="str">
        <f>'Core Indicators'!CA43</f>
        <v>x</v>
      </c>
      <c r="O43" s="36" t="e">
        <f>'Core Indicators'!CI43</f>
        <v>#N/A</v>
      </c>
      <c r="P43" s="36" t="str">
        <f>'Core Indicators'!CQ43</f>
        <v>x</v>
      </c>
      <c r="Q43" s="36">
        <f>'Core Indicators'!DG43</f>
        <v>4245000</v>
      </c>
      <c r="R43" s="36">
        <f>'Core Indicators'!DO43</f>
        <v>0</v>
      </c>
      <c r="S43" s="36">
        <f>'Core Indicators'!DW43</f>
        <v>572000</v>
      </c>
      <c r="T43" s="36">
        <f>'Core Indicators'!EE43</f>
        <v>0</v>
      </c>
      <c r="U43" s="36">
        <f>'Core Indicators'!EM43</f>
        <v>0</v>
      </c>
      <c r="V43" s="36">
        <f>'Core Indicators'!FC43</f>
        <v>2</v>
      </c>
      <c r="W43" s="36" t="str">
        <f>'Core Indicators'!FK43</f>
        <v>x</v>
      </c>
      <c r="X43" s="36">
        <f>'Core Indicators'!FS43</f>
        <v>0</v>
      </c>
      <c r="Y43" s="36">
        <f>'Core Indicators'!GA43</f>
        <v>0</v>
      </c>
      <c r="Z43" s="36">
        <f>'Core Indicators'!GI43</f>
        <v>0</v>
      </c>
      <c r="AA43" s="36">
        <f>'Core Indicators'!GQ43</f>
        <v>0</v>
      </c>
      <c r="AB43" s="36">
        <f>'Core Indicators'!GY43</f>
        <v>0</v>
      </c>
      <c r="AC43" s="36">
        <f>'Core Indicators'!HG43</f>
        <v>0</v>
      </c>
      <c r="AD43" s="36">
        <f>'Core Indicators'!HO43</f>
        <v>1</v>
      </c>
      <c r="AE43" s="36">
        <f>'Core Indicators'!HW43</f>
        <v>0</v>
      </c>
      <c r="AF43" s="36">
        <f>'Core Indicators'!IE43</f>
        <v>0</v>
      </c>
      <c r="AG43" s="36">
        <f>'Core Indicators'!IM43</f>
        <v>1</v>
      </c>
    </row>
    <row r="44" spans="1:33" ht="20.100000000000001" customHeight="1" x14ac:dyDescent="0.3">
      <c r="A44" s="267" t="str">
        <f>'Core Indicators'!A:A</f>
        <v>Syrian Refugee Crisis in Egypt</v>
      </c>
      <c r="B44" s="267" t="str">
        <f>'Core Indicators'!B:B</f>
        <v>International displacement</v>
      </c>
      <c r="C44" s="267" t="str">
        <f>'Core Indicators'!C44</f>
        <v>EGY002</v>
      </c>
      <c r="D44" s="267" t="str">
        <f>'Core Indicators'!D44</f>
        <v>Egypt</v>
      </c>
      <c r="E44" s="267" t="str">
        <f>'Core Indicators'!E44</f>
        <v>EGY</v>
      </c>
      <c r="F44" s="37">
        <f>'Core Indicators'!O44</f>
        <v>91071.77</v>
      </c>
      <c r="G44" s="37">
        <f>'Core Indicators'!W44</f>
        <v>21884000</v>
      </c>
      <c r="H44" s="37">
        <f>'Core Indicators'!AE44</f>
        <v>3157000</v>
      </c>
      <c r="I44" s="37">
        <f>'Core Indicators'!AM44</f>
        <v>503000</v>
      </c>
      <c r="J44" s="37" t="str">
        <f>'Core Indicators'!AU44</f>
        <v>x</v>
      </c>
      <c r="K44" s="37" t="str">
        <f>'Core Indicators'!BC44</f>
        <v>x</v>
      </c>
      <c r="L44" s="37">
        <f>'Core Indicators'!BK44</f>
        <v>0</v>
      </c>
      <c r="M44" s="37" t="str">
        <f>'Core Indicators'!BS44</f>
        <v>x</v>
      </c>
      <c r="N44" s="37" t="str">
        <f>'Core Indicators'!CA44</f>
        <v>x</v>
      </c>
      <c r="O44" s="37" t="e">
        <f>'Core Indicators'!CI44</f>
        <v>#N/A</v>
      </c>
      <c r="P44" s="37" t="str">
        <f>'Core Indicators'!CQ44</f>
        <v>x</v>
      </c>
      <c r="Q44" s="37">
        <f>'Core Indicators'!DG44</f>
        <v>18731000</v>
      </c>
      <c r="R44" s="37">
        <f>'Core Indicators'!DO44</f>
        <v>3030000</v>
      </c>
      <c r="S44" s="37">
        <f>'Core Indicators'!DW44</f>
        <v>37000</v>
      </c>
      <c r="T44" s="37">
        <f>'Core Indicators'!EE44</f>
        <v>87000</v>
      </c>
      <c r="U44" s="37">
        <f>'Core Indicators'!EM44</f>
        <v>0</v>
      </c>
      <c r="V44" s="37">
        <f>'Core Indicators'!FC44</f>
        <v>2</v>
      </c>
      <c r="W44" s="37" t="str">
        <f>'Core Indicators'!FK44</f>
        <v>x</v>
      </c>
      <c r="X44" s="37" t="str">
        <f>'Core Indicators'!FS44</f>
        <v>x</v>
      </c>
      <c r="Y44" s="37">
        <f>'Core Indicators'!GA44</f>
        <v>1</v>
      </c>
      <c r="Z44" s="37">
        <f>'Core Indicators'!GI44</f>
        <v>1</v>
      </c>
      <c r="AA44" s="37">
        <f>'Core Indicators'!GQ44</f>
        <v>1</v>
      </c>
      <c r="AB44" s="37">
        <f>'Core Indicators'!GY44</f>
        <v>0</v>
      </c>
      <c r="AC44" s="37">
        <f>'Core Indicators'!HG44</f>
        <v>2</v>
      </c>
      <c r="AD44" s="37">
        <f>'Core Indicators'!HO44</f>
        <v>0</v>
      </c>
      <c r="AE44" s="37">
        <f>'Core Indicators'!HW44</f>
        <v>0</v>
      </c>
      <c r="AF44" s="37">
        <f>'Core Indicators'!IE44</f>
        <v>2</v>
      </c>
      <c r="AG44" s="37">
        <f>'Core Indicators'!IM44</f>
        <v>0</v>
      </c>
    </row>
    <row r="45" spans="1:33" ht="20.100000000000001" customHeight="1" x14ac:dyDescent="0.3">
      <c r="A45" s="266" t="str">
        <f>'Core Indicators'!A:A</f>
        <v>Complex crisis in El Salvador</v>
      </c>
      <c r="B45" s="266" t="str">
        <f>'Core Indicators'!B:B</f>
        <v>Complex crisis</v>
      </c>
      <c r="C45" s="266" t="str">
        <f>'Core Indicators'!C45</f>
        <v>SLV001</v>
      </c>
      <c r="D45" s="266" t="str">
        <f>'Core Indicators'!D45</f>
        <v>El Salvador</v>
      </c>
      <c r="E45" s="266" t="str">
        <f>'Core Indicators'!E45</f>
        <v>SLV</v>
      </c>
      <c r="F45" s="36">
        <f>'Core Indicators'!O45</f>
        <v>20720</v>
      </c>
      <c r="G45" s="36">
        <f>'Core Indicators'!W45</f>
        <v>6700000</v>
      </c>
      <c r="H45" s="36">
        <f>'Core Indicators'!AE45</f>
        <v>1400000</v>
      </c>
      <c r="I45" s="36">
        <f>'Core Indicators'!AM45</f>
        <v>454000</v>
      </c>
      <c r="J45" s="36" t="str">
        <f>'Core Indicators'!AU45</f>
        <v>x</v>
      </c>
      <c r="K45" s="36">
        <f>'Core Indicators'!BC45</f>
        <v>2304</v>
      </c>
      <c r="L45" s="36">
        <f>'Core Indicators'!BK45</f>
        <v>399</v>
      </c>
      <c r="M45" s="36" t="str">
        <f>'Core Indicators'!BS45</f>
        <v>x</v>
      </c>
      <c r="N45" s="36" t="str">
        <f>'Core Indicators'!CA45</f>
        <v>x</v>
      </c>
      <c r="O45" s="36" t="e">
        <f>'Core Indicators'!CI45</f>
        <v>#N/A</v>
      </c>
      <c r="P45" s="36" t="str">
        <f>'Core Indicators'!CQ45</f>
        <v>x</v>
      </c>
      <c r="Q45" s="36">
        <f>'Core Indicators'!DG45</f>
        <v>5300000</v>
      </c>
      <c r="R45" s="36">
        <f>'Core Indicators'!DO45</f>
        <v>757000</v>
      </c>
      <c r="S45" s="36">
        <f>'Core Indicators'!DW45</f>
        <v>580000</v>
      </c>
      <c r="T45" s="36">
        <f>'Core Indicators'!EE45</f>
        <v>63000</v>
      </c>
      <c r="U45" s="36">
        <f>'Core Indicators'!EM45</f>
        <v>0</v>
      </c>
      <c r="V45" s="36">
        <f>'Core Indicators'!FC45</f>
        <v>3</v>
      </c>
      <c r="W45" s="36" t="str">
        <f>'Core Indicators'!FK45</f>
        <v>x</v>
      </c>
      <c r="X45" s="36" t="str">
        <f>'Core Indicators'!FS45</f>
        <v>x</v>
      </c>
      <c r="Y45" s="36">
        <f>'Core Indicators'!GA45</f>
        <v>0</v>
      </c>
      <c r="Z45" s="36">
        <f>'Core Indicators'!GI45</f>
        <v>2</v>
      </c>
      <c r="AA45" s="36">
        <f>'Core Indicators'!GQ45</f>
        <v>1</v>
      </c>
      <c r="AB45" s="36">
        <f>'Core Indicators'!GY45</f>
        <v>0</v>
      </c>
      <c r="AC45" s="36">
        <f>'Core Indicators'!HG45</f>
        <v>0</v>
      </c>
      <c r="AD45" s="36">
        <f>'Core Indicators'!HO45</f>
        <v>2</v>
      </c>
      <c r="AE45" s="36">
        <f>'Core Indicators'!HW45</f>
        <v>1</v>
      </c>
      <c r="AF45" s="36">
        <f>'Core Indicators'!IE45</f>
        <v>0</v>
      </c>
      <c r="AG45" s="36">
        <f>'Core Indicators'!IM45</f>
        <v>2</v>
      </c>
    </row>
    <row r="46" spans="1:33" ht="20.100000000000001" customHeight="1" x14ac:dyDescent="0.3">
      <c r="A46" s="267" t="str">
        <f>'Core Indicators'!A:A</f>
        <v>Complex crisis in Eritrea</v>
      </c>
      <c r="B46" s="267" t="str">
        <f>'Core Indicators'!B:B</f>
        <v>Complex crisis</v>
      </c>
      <c r="C46" s="267" t="str">
        <f>'Core Indicators'!C46</f>
        <v>ERI001</v>
      </c>
      <c r="D46" s="267" t="str">
        <f>'Core Indicators'!D46</f>
        <v>Eritrea</v>
      </c>
      <c r="E46" s="267" t="str">
        <f>'Core Indicators'!E46</f>
        <v>ERI</v>
      </c>
      <c r="F46" s="37">
        <f>'Core Indicators'!O46</f>
        <v>101000</v>
      </c>
      <c r="G46" s="37">
        <f>'Core Indicators'!W46</f>
        <v>3227000</v>
      </c>
      <c r="H46" s="37">
        <f>'Core Indicators'!AE46</f>
        <v>3227000</v>
      </c>
      <c r="I46" s="37">
        <f>'Core Indicators'!AM46</f>
        <v>300000</v>
      </c>
      <c r="J46" s="37" t="str">
        <f>'Core Indicators'!AU46</f>
        <v>x</v>
      </c>
      <c r="K46" s="37" t="str">
        <f>'Core Indicators'!BC46</f>
        <v>x</v>
      </c>
      <c r="L46" s="37">
        <f>'Core Indicators'!BK46</f>
        <v>0</v>
      </c>
      <c r="M46" s="37" t="str">
        <f>'Core Indicators'!BS46</f>
        <v>x</v>
      </c>
      <c r="N46" s="37" t="str">
        <f>'Core Indicators'!CA46</f>
        <v>x</v>
      </c>
      <c r="O46" s="37" t="e">
        <f>'Core Indicators'!CI46</f>
        <v>#N/A</v>
      </c>
      <c r="P46" s="37" t="str">
        <f>'Core Indicators'!CQ46</f>
        <v>x</v>
      </c>
      <c r="Q46" s="37">
        <f>'Core Indicators'!DG46</f>
        <v>645000</v>
      </c>
      <c r="R46" s="37">
        <f>'Core Indicators'!DO46</f>
        <v>0</v>
      </c>
      <c r="S46" s="37">
        <f>'Core Indicators'!DW46</f>
        <v>2582000</v>
      </c>
      <c r="T46" s="37">
        <f>'Core Indicators'!EE46</f>
        <v>0</v>
      </c>
      <c r="U46" s="37">
        <f>'Core Indicators'!EM46</f>
        <v>0</v>
      </c>
      <c r="V46" s="37">
        <f>'Core Indicators'!FC46</f>
        <v>5</v>
      </c>
      <c r="W46" s="37" t="str">
        <f>'Core Indicators'!FK46</f>
        <v>x</v>
      </c>
      <c r="X46" s="37" t="str">
        <f>'Core Indicators'!FS46</f>
        <v>x</v>
      </c>
      <c r="Y46" s="37">
        <f>'Core Indicators'!GA46</f>
        <v>3</v>
      </c>
      <c r="Z46" s="37" t="str">
        <f>'Core Indicators'!GI46</f>
        <v>x</v>
      </c>
      <c r="AA46" s="37" t="str">
        <f>'Core Indicators'!GQ46</f>
        <v>x</v>
      </c>
      <c r="AB46" s="37">
        <f>'Core Indicators'!GY46</f>
        <v>0</v>
      </c>
      <c r="AC46" s="37" t="str">
        <f>'Core Indicators'!HG46</f>
        <v>x</v>
      </c>
      <c r="AD46" s="37" t="str">
        <f>'Core Indicators'!HO46</f>
        <v>x</v>
      </c>
      <c r="AE46" s="37">
        <f>'Core Indicators'!HW46</f>
        <v>0</v>
      </c>
      <c r="AF46" s="37">
        <f>'Core Indicators'!IE46</f>
        <v>2</v>
      </c>
      <c r="AG46" s="37" t="str">
        <f>'Core Indicators'!IM46</f>
        <v>x</v>
      </c>
    </row>
    <row r="47" spans="1:33" ht="20.100000000000001" customHeight="1" x14ac:dyDescent="0.3">
      <c r="A47" s="266" t="str">
        <f>'Core Indicators'!A:A</f>
        <v>Food Security Crisis in Eswatini</v>
      </c>
      <c r="B47" s="266" t="str">
        <f>'Core Indicators'!B:B</f>
        <v>Food Security</v>
      </c>
      <c r="C47" s="266" t="str">
        <f>'Core Indicators'!C47</f>
        <v>SWZ001</v>
      </c>
      <c r="D47" s="266" t="str">
        <f>'Core Indicators'!D47</f>
        <v>Eswatini</v>
      </c>
      <c r="E47" s="266" t="str">
        <f>'Core Indicators'!E47</f>
        <v>SWZ</v>
      </c>
      <c r="F47" s="36">
        <f>'Core Indicators'!O47</f>
        <v>17204</v>
      </c>
      <c r="G47" s="36">
        <f>'Core Indicators'!W47</f>
        <v>1131000</v>
      </c>
      <c r="H47" s="36">
        <f>'Core Indicators'!AE47</f>
        <v>752000</v>
      </c>
      <c r="I47" s="36">
        <f>'Core Indicators'!AM47</f>
        <v>0</v>
      </c>
      <c r="J47" s="36">
        <f>'Core Indicators'!AU47</f>
        <v>0</v>
      </c>
      <c r="K47" s="36">
        <f>'Core Indicators'!BC47</f>
        <v>0</v>
      </c>
      <c r="L47" s="36" t="str">
        <f>'Core Indicators'!BK47</f>
        <v>x</v>
      </c>
      <c r="M47" s="36" t="e">
        <f>'Core Indicators'!BS47</f>
        <v>#N/A</v>
      </c>
      <c r="N47" s="36" t="e">
        <f>'Core Indicators'!CA47</f>
        <v>#N/A</v>
      </c>
      <c r="O47" s="36" t="e">
        <f>'Core Indicators'!CI47</f>
        <v>#N/A</v>
      </c>
      <c r="P47" s="36" t="e">
        <f>'Core Indicators'!CQ47</f>
        <v>#N/A</v>
      </c>
      <c r="Q47" s="36">
        <f>'Core Indicators'!DG47</f>
        <v>379000</v>
      </c>
      <c r="R47" s="36">
        <f>'Core Indicators'!DO47</f>
        <v>385000</v>
      </c>
      <c r="S47" s="36">
        <f>'Core Indicators'!DW47</f>
        <v>307000</v>
      </c>
      <c r="T47" s="36">
        <f>'Core Indicators'!EE47</f>
        <v>60000</v>
      </c>
      <c r="U47" s="36">
        <f>'Core Indicators'!EM47</f>
        <v>0</v>
      </c>
      <c r="V47" s="36">
        <f>'Core Indicators'!FC47</f>
        <v>1</v>
      </c>
      <c r="W47" s="36" t="e">
        <f>'Core Indicators'!FK47</f>
        <v>#N/A</v>
      </c>
      <c r="X47" s="36" t="e">
        <f>'Core Indicators'!FS47</f>
        <v>#N/A</v>
      </c>
      <c r="Y47" s="36">
        <f>'Core Indicators'!GA47</f>
        <v>0</v>
      </c>
      <c r="Z47" s="36">
        <f>'Core Indicators'!GI47</f>
        <v>0</v>
      </c>
      <c r="AA47" s="36">
        <f>'Core Indicators'!GQ47</f>
        <v>0</v>
      </c>
      <c r="AB47" s="36">
        <f>'Core Indicators'!GY47</f>
        <v>0</v>
      </c>
      <c r="AC47" s="36">
        <f>'Core Indicators'!HG47</f>
        <v>0</v>
      </c>
      <c r="AD47" s="36">
        <f>'Core Indicators'!HO47</f>
        <v>0</v>
      </c>
      <c r="AE47" s="36">
        <f>'Core Indicators'!HW47</f>
        <v>0</v>
      </c>
      <c r="AF47" s="36">
        <f>'Core Indicators'!IE47</f>
        <v>0</v>
      </c>
      <c r="AG47" s="36">
        <f>'Core Indicators'!IM47</f>
        <v>0</v>
      </c>
    </row>
    <row r="48" spans="1:33" ht="20.100000000000001" customHeight="1" x14ac:dyDescent="0.3">
      <c r="A48" s="267" t="str">
        <f>'Core Indicators'!A:A</f>
        <v>Complex crisis in Ethiopia</v>
      </c>
      <c r="B48" s="267" t="str">
        <f>'Core Indicators'!B:B</f>
        <v>Complex crisis</v>
      </c>
      <c r="C48" s="267" t="str">
        <f>'Core Indicators'!C48</f>
        <v>ETH001</v>
      </c>
      <c r="D48" s="267" t="str">
        <f>'Core Indicators'!D48</f>
        <v>Ethiopia</v>
      </c>
      <c r="E48" s="267" t="str">
        <f>'Core Indicators'!E48</f>
        <v>ETH</v>
      </c>
      <c r="F48" s="37">
        <f>'Core Indicators'!O48</f>
        <v>1000000</v>
      </c>
      <c r="G48" s="37">
        <f>'Core Indicators'!W48</f>
        <v>29225000</v>
      </c>
      <c r="H48" s="37">
        <f>'Core Indicators'!AE48</f>
        <v>18770000</v>
      </c>
      <c r="I48" s="37">
        <f>'Core Indicators'!AM48</f>
        <v>1735000</v>
      </c>
      <c r="J48" s="37" t="str">
        <f>'Core Indicators'!AU48</f>
        <v>x</v>
      </c>
      <c r="K48" s="37" t="str">
        <f>'Core Indicators'!BC48</f>
        <v>x</v>
      </c>
      <c r="L48" s="37">
        <f>'Core Indicators'!BK48</f>
        <v>571</v>
      </c>
      <c r="M48" s="37" t="str">
        <f>'Core Indicators'!BS48</f>
        <v>x</v>
      </c>
      <c r="N48" s="37" t="str">
        <f>'Core Indicators'!CA48</f>
        <v>x</v>
      </c>
      <c r="O48" s="37" t="e">
        <f>'Core Indicators'!CI48</f>
        <v>#N/A</v>
      </c>
      <c r="P48" s="37" t="str">
        <f>'Core Indicators'!CQ48</f>
        <v>x</v>
      </c>
      <c r="Q48" s="37">
        <f>'Core Indicators'!DG48</f>
        <v>10455000</v>
      </c>
      <c r="R48" s="37">
        <f>'Core Indicators'!DO48</f>
        <v>10296000</v>
      </c>
      <c r="S48" s="37">
        <f>'Core Indicators'!DW48</f>
        <v>6497000</v>
      </c>
      <c r="T48" s="37">
        <f>'Core Indicators'!EE48</f>
        <v>1977000</v>
      </c>
      <c r="U48" s="37">
        <f>'Core Indicators'!EM48</f>
        <v>0</v>
      </c>
      <c r="V48" s="37">
        <f>'Core Indicators'!FC48</f>
        <v>4</v>
      </c>
      <c r="W48" s="37" t="str">
        <f>'Core Indicators'!FK48</f>
        <v>x</v>
      </c>
      <c r="X48" s="37" t="str">
        <f>'Core Indicators'!FS48</f>
        <v>x</v>
      </c>
      <c r="Y48" s="37">
        <f>'Core Indicators'!GA48</f>
        <v>2</v>
      </c>
      <c r="Z48" s="37">
        <f>'Core Indicators'!GI48</f>
        <v>1</v>
      </c>
      <c r="AA48" s="37">
        <f>'Core Indicators'!GQ48</f>
        <v>2</v>
      </c>
      <c r="AB48" s="37">
        <f>'Core Indicators'!GY48</f>
        <v>0</v>
      </c>
      <c r="AC48" s="37">
        <f>'Core Indicators'!HG48</f>
        <v>2</v>
      </c>
      <c r="AD48" s="37" t="str">
        <f>'Core Indicators'!HO48</f>
        <v>x</v>
      </c>
      <c r="AE48" s="37">
        <f>'Core Indicators'!HW48</f>
        <v>2</v>
      </c>
      <c r="AF48" s="37">
        <f>'Core Indicators'!IE48</f>
        <v>2</v>
      </c>
      <c r="AG48" s="37">
        <f>'Core Indicators'!IM48</f>
        <v>2</v>
      </c>
    </row>
    <row r="49" spans="1:33" ht="20.100000000000001" customHeight="1" x14ac:dyDescent="0.3">
      <c r="A49" s="266" t="str">
        <f>'Core Indicators'!A:A</f>
        <v>Flood Crisis in Ethiopia</v>
      </c>
      <c r="B49" s="266" t="str">
        <f>'Core Indicators'!B:B</f>
        <v>Flood</v>
      </c>
      <c r="C49" s="266" t="str">
        <f>'Core Indicators'!C49</f>
        <v>ETH002</v>
      </c>
      <c r="D49" s="266" t="str">
        <f>'Core Indicators'!D49</f>
        <v>Ethiopia</v>
      </c>
      <c r="E49" s="266" t="str">
        <f>'Core Indicators'!E49</f>
        <v>ETH</v>
      </c>
      <c r="F49" s="36">
        <f>'Core Indicators'!O49</f>
        <v>742878</v>
      </c>
      <c r="G49" s="36">
        <f>'Core Indicators'!W49</f>
        <v>61952000</v>
      </c>
      <c r="H49" s="36">
        <f>'Core Indicators'!AE49</f>
        <v>1018000</v>
      </c>
      <c r="I49" s="36">
        <f>'Core Indicators'!AM49</f>
        <v>294000</v>
      </c>
      <c r="J49" s="36" t="str">
        <f>'Core Indicators'!AU49</f>
        <v>x</v>
      </c>
      <c r="K49" s="36" t="str">
        <f>'Core Indicators'!BC49</f>
        <v>x</v>
      </c>
      <c r="L49" s="36">
        <f>'Core Indicators'!BK49</f>
        <v>12</v>
      </c>
      <c r="M49" s="36" t="str">
        <f>'Core Indicators'!BS49</f>
        <v>x</v>
      </c>
      <c r="N49" s="36" t="str">
        <f>'Core Indicators'!CA49</f>
        <v>x</v>
      </c>
      <c r="O49" s="36" t="e">
        <f>'Core Indicators'!CI49</f>
        <v>#N/A</v>
      </c>
      <c r="P49" s="36" t="str">
        <f>'Core Indicators'!CQ49</f>
        <v>x</v>
      </c>
      <c r="Q49" s="36">
        <f>'Core Indicators'!DG49</f>
        <v>61221000</v>
      </c>
      <c r="R49" s="36">
        <f>'Core Indicators'!DO49</f>
        <v>221000</v>
      </c>
      <c r="S49" s="36">
        <f>'Core Indicators'!DW49</f>
        <v>401000</v>
      </c>
      <c r="T49" s="36">
        <f>'Core Indicators'!EE49</f>
        <v>0</v>
      </c>
      <c r="U49" s="36">
        <f>'Core Indicators'!EM49</f>
        <v>0</v>
      </c>
      <c r="V49" s="36">
        <f>'Core Indicators'!FC49</f>
        <v>3</v>
      </c>
      <c r="W49" s="36" t="str">
        <f>'Core Indicators'!FK49</f>
        <v>x</v>
      </c>
      <c r="X49" s="36" t="str">
        <f>'Core Indicators'!FS49</f>
        <v>x</v>
      </c>
      <c r="Y49" s="36" t="str">
        <f>'Core Indicators'!GA49</f>
        <v>x</v>
      </c>
      <c r="Z49" s="36" t="str">
        <f>'Core Indicators'!GI49</f>
        <v>x</v>
      </c>
      <c r="AA49" s="36" t="str">
        <f>'Core Indicators'!GQ49</f>
        <v>x</v>
      </c>
      <c r="AB49" s="36" t="str">
        <f>'Core Indicators'!GY49</f>
        <v>x</v>
      </c>
      <c r="AC49" s="36" t="str">
        <f>'Core Indicators'!HG49</f>
        <v>x</v>
      </c>
      <c r="AD49" s="36" t="str">
        <f>'Core Indicators'!HO49</f>
        <v>x</v>
      </c>
      <c r="AE49" s="36" t="str">
        <f>'Core Indicators'!HW49</f>
        <v>x</v>
      </c>
      <c r="AF49" s="36" t="str">
        <f>'Core Indicators'!IE49</f>
        <v>x</v>
      </c>
      <c r="AG49" s="36">
        <f>'Core Indicators'!IM49</f>
        <v>2</v>
      </c>
    </row>
    <row r="50" spans="1:33" ht="20.100000000000001" customHeight="1" x14ac:dyDescent="0.3">
      <c r="A50" s="267" t="str">
        <f>'Core Indicators'!A:A</f>
        <v>International Displacement</v>
      </c>
      <c r="B50" s="267" t="str">
        <f>'Core Indicators'!B:B</f>
        <v>International displacement</v>
      </c>
      <c r="C50" s="267" t="str">
        <f>'Core Indicators'!C50</f>
        <v>ETH003</v>
      </c>
      <c r="D50" s="267" t="str">
        <f>'Core Indicators'!D50</f>
        <v>Ethiopia</v>
      </c>
      <c r="E50" s="267" t="str">
        <f>'Core Indicators'!E50</f>
        <v>ETH</v>
      </c>
      <c r="F50" s="37">
        <f>'Core Indicators'!O50</f>
        <v>907050</v>
      </c>
      <c r="G50" s="37">
        <f>'Core Indicators'!W50</f>
        <v>72381000</v>
      </c>
      <c r="H50" s="37">
        <f>'Core Indicators'!AE50</f>
        <v>769000</v>
      </c>
      <c r="I50" s="37">
        <f>'Core Indicators'!AM50</f>
        <v>769000</v>
      </c>
      <c r="J50" s="37" t="str">
        <f>'Core Indicators'!AU50</f>
        <v>x</v>
      </c>
      <c r="K50" s="37" t="str">
        <f>'Core Indicators'!BC50</f>
        <v>x</v>
      </c>
      <c r="L50" s="37" t="str">
        <f>'Core Indicators'!BK50</f>
        <v>x</v>
      </c>
      <c r="M50" s="37" t="str">
        <f>'Core Indicators'!BS50</f>
        <v>x</v>
      </c>
      <c r="N50" s="37" t="str">
        <f>'Core Indicators'!CA50</f>
        <v>x</v>
      </c>
      <c r="O50" s="37" t="e">
        <f>'Core Indicators'!CI50</f>
        <v>#N/A</v>
      </c>
      <c r="P50" s="37" t="str">
        <f>'Core Indicators'!CQ50</f>
        <v>x</v>
      </c>
      <c r="Q50" s="37">
        <f>'Core Indicators'!DG50</f>
        <v>71612000</v>
      </c>
      <c r="R50" s="37">
        <f>'Core Indicators'!DO50</f>
        <v>0</v>
      </c>
      <c r="S50" s="37">
        <f>'Core Indicators'!DW50</f>
        <v>769000</v>
      </c>
      <c r="T50" s="37">
        <f>'Core Indicators'!EE50</f>
        <v>0</v>
      </c>
      <c r="U50" s="37">
        <f>'Core Indicators'!EM50</f>
        <v>0</v>
      </c>
      <c r="V50" s="37">
        <f>'Core Indicators'!FC50</f>
        <v>3</v>
      </c>
      <c r="W50" s="37" t="str">
        <f>'Core Indicators'!FK50</f>
        <v>x</v>
      </c>
      <c r="X50" s="37" t="str">
        <f>'Core Indicators'!FS50</f>
        <v>x</v>
      </c>
      <c r="Y50" s="37">
        <f>'Core Indicators'!GA50</f>
        <v>2</v>
      </c>
      <c r="Z50" s="37">
        <f>'Core Indicators'!GI50</f>
        <v>1</v>
      </c>
      <c r="AA50" s="37">
        <f>'Core Indicators'!GQ50</f>
        <v>2</v>
      </c>
      <c r="AB50" s="37">
        <f>'Core Indicators'!GY50</f>
        <v>0</v>
      </c>
      <c r="AC50" s="37">
        <f>'Core Indicators'!HG50</f>
        <v>2</v>
      </c>
      <c r="AD50" s="37">
        <f>'Core Indicators'!HO50</f>
        <v>2</v>
      </c>
      <c r="AE50" s="37">
        <f>'Core Indicators'!HW50</f>
        <v>1</v>
      </c>
      <c r="AF50" s="37">
        <f>'Core Indicators'!IE50</f>
        <v>3</v>
      </c>
      <c r="AG50" s="37" t="str">
        <f>'Core Indicators'!IM50</f>
        <v>x</v>
      </c>
    </row>
    <row r="51" spans="1:33" ht="20.100000000000001" customHeight="1" x14ac:dyDescent="0.3">
      <c r="A51" s="266" t="str">
        <f>'Core Indicators'!A:A</f>
        <v>Mixed migration flows in Greece</v>
      </c>
      <c r="B51" s="266" t="str">
        <f>'Core Indicators'!B:B</f>
        <v>International displacement</v>
      </c>
      <c r="C51" s="266" t="str">
        <f>'Core Indicators'!C51</f>
        <v>GRC002</v>
      </c>
      <c r="D51" s="266" t="str">
        <f>'Core Indicators'!D51</f>
        <v>Greece</v>
      </c>
      <c r="E51" s="266" t="str">
        <f>'Core Indicators'!E51</f>
        <v>GRC</v>
      </c>
      <c r="F51" s="36">
        <f>'Core Indicators'!O51</f>
        <v>3364.07</v>
      </c>
      <c r="G51" s="36">
        <f>'Core Indicators'!W51</f>
        <v>335000</v>
      </c>
      <c r="H51" s="36">
        <f>'Core Indicators'!AE51</f>
        <v>121000</v>
      </c>
      <c r="I51" s="36">
        <f>'Core Indicators'!AM51</f>
        <v>121000</v>
      </c>
      <c r="J51" s="36">
        <f>'Core Indicators'!AU51</f>
        <v>0</v>
      </c>
      <c r="K51" s="36" t="str">
        <f>'Core Indicators'!BC51</f>
        <v>x</v>
      </c>
      <c r="L51" s="36">
        <f>'Core Indicators'!BK51</f>
        <v>19</v>
      </c>
      <c r="M51" s="36" t="str">
        <f>'Core Indicators'!BS51</f>
        <v>x</v>
      </c>
      <c r="N51" s="36" t="str">
        <f>'Core Indicators'!CA51</f>
        <v>x</v>
      </c>
      <c r="O51" s="36" t="e">
        <f>'Core Indicators'!CI51</f>
        <v>#N/A</v>
      </c>
      <c r="P51" s="36" t="str">
        <f>'Core Indicators'!CQ51</f>
        <v>x</v>
      </c>
      <c r="Q51" s="36">
        <f>'Core Indicators'!DG51</f>
        <v>214000</v>
      </c>
      <c r="R51" s="36">
        <f>'Core Indicators'!DO51</f>
        <v>98000</v>
      </c>
      <c r="S51" s="36">
        <f>'Core Indicators'!DW51</f>
        <v>24000</v>
      </c>
      <c r="T51" s="36">
        <f>'Core Indicators'!EE51</f>
        <v>0</v>
      </c>
      <c r="U51" s="36">
        <f>'Core Indicators'!EM51</f>
        <v>0</v>
      </c>
      <c r="V51" s="36">
        <f>'Core Indicators'!FC51</f>
        <v>2</v>
      </c>
      <c r="W51" s="36" t="str">
        <f>'Core Indicators'!FK51</f>
        <v>x</v>
      </c>
      <c r="X51" s="36" t="str">
        <f>'Core Indicators'!FS51</f>
        <v>x</v>
      </c>
      <c r="Y51" s="36">
        <f>'Core Indicators'!GA51</f>
        <v>0</v>
      </c>
      <c r="Z51" s="36">
        <f>'Core Indicators'!GI51</f>
        <v>0</v>
      </c>
      <c r="AA51" s="36">
        <f>'Core Indicators'!GQ51</f>
        <v>1</v>
      </c>
      <c r="AB51" s="36">
        <f>'Core Indicators'!GY51</f>
        <v>0</v>
      </c>
      <c r="AC51" s="36">
        <f>'Core Indicators'!HG51</f>
        <v>0</v>
      </c>
      <c r="AD51" s="36">
        <f>'Core Indicators'!HO51</f>
        <v>2</v>
      </c>
      <c r="AE51" s="36">
        <f>'Core Indicators'!HW51</f>
        <v>0</v>
      </c>
      <c r="AF51" s="36">
        <f>'Core Indicators'!IE51</f>
        <v>0</v>
      </c>
      <c r="AG51" s="36">
        <f>'Core Indicators'!IM51</f>
        <v>0</v>
      </c>
    </row>
    <row r="52" spans="1:33" ht="20.100000000000001" customHeight="1" x14ac:dyDescent="0.3">
      <c r="A52" s="267" t="str">
        <f>'Core Indicators'!A:A</f>
        <v>Complex crisis in Guatemala</v>
      </c>
      <c r="B52" s="267" t="str">
        <f>'Core Indicators'!B:B</f>
        <v>Complex crisis</v>
      </c>
      <c r="C52" s="267" t="str">
        <f>'Core Indicators'!C52</f>
        <v>GTM001</v>
      </c>
      <c r="D52" s="267" t="str">
        <f>'Core Indicators'!D52</f>
        <v>Guatemala</v>
      </c>
      <c r="E52" s="267" t="str">
        <f>'Core Indicators'!E52</f>
        <v>GTM</v>
      </c>
      <c r="F52" s="37">
        <f>'Core Indicators'!O52</f>
        <v>107160</v>
      </c>
      <c r="G52" s="37">
        <f>'Core Indicators'!W52</f>
        <v>14900000</v>
      </c>
      <c r="H52" s="37">
        <f>'Core Indicators'!AE52</f>
        <v>5500000</v>
      </c>
      <c r="I52" s="37">
        <f>'Core Indicators'!AM52</f>
        <v>242000</v>
      </c>
      <c r="J52" s="37" t="str">
        <f>'Core Indicators'!AU52</f>
        <v>x</v>
      </c>
      <c r="K52" s="37">
        <f>'Core Indicators'!BC52</f>
        <v>1678</v>
      </c>
      <c r="L52" s="37">
        <f>'Core Indicators'!BK52</f>
        <v>1661</v>
      </c>
      <c r="M52" s="37">
        <f>'Core Indicators'!BS52</f>
        <v>0</v>
      </c>
      <c r="N52" s="37">
        <f>'Core Indicators'!CA52</f>
        <v>0</v>
      </c>
      <c r="O52" s="37" t="e">
        <f>'Core Indicators'!CI52</f>
        <v>#N/A</v>
      </c>
      <c r="P52" s="37" t="str">
        <f>'Core Indicators'!CQ52</f>
        <v>x</v>
      </c>
      <c r="Q52" s="37">
        <f>'Core Indicators'!DG52</f>
        <v>9104000</v>
      </c>
      <c r="R52" s="37">
        <f>'Core Indicators'!DO52</f>
        <v>2496000</v>
      </c>
      <c r="S52" s="37">
        <f>'Core Indicators'!DW52</f>
        <v>3074000</v>
      </c>
      <c r="T52" s="37">
        <f>'Core Indicators'!EE52</f>
        <v>226000</v>
      </c>
      <c r="U52" s="37">
        <f>'Core Indicators'!EM52</f>
        <v>0</v>
      </c>
      <c r="V52" s="37">
        <f>'Core Indicators'!FC52</f>
        <v>3</v>
      </c>
      <c r="W52" s="37" t="str">
        <f>'Core Indicators'!FK52</f>
        <v>x</v>
      </c>
      <c r="X52" s="37" t="str">
        <f>'Core Indicators'!FS52</f>
        <v>x</v>
      </c>
      <c r="Y52" s="37">
        <f>'Core Indicators'!GA52</f>
        <v>0</v>
      </c>
      <c r="Z52" s="37">
        <f>'Core Indicators'!GI52</f>
        <v>1</v>
      </c>
      <c r="AA52" s="37">
        <f>'Core Indicators'!GQ52</f>
        <v>0</v>
      </c>
      <c r="AB52" s="37">
        <f>'Core Indicators'!GY52</f>
        <v>1</v>
      </c>
      <c r="AC52" s="37">
        <f>'Core Indicators'!HG52</f>
        <v>0</v>
      </c>
      <c r="AD52" s="37">
        <f>'Core Indicators'!HO52</f>
        <v>2</v>
      </c>
      <c r="AE52" s="37">
        <f>'Core Indicators'!HW52</f>
        <v>0</v>
      </c>
      <c r="AF52" s="37">
        <f>'Core Indicators'!IE52</f>
        <v>0</v>
      </c>
      <c r="AG52" s="37">
        <f>'Core Indicators'!IM52</f>
        <v>1</v>
      </c>
    </row>
    <row r="53" spans="1:33" ht="20.100000000000001" customHeight="1" x14ac:dyDescent="0.3">
      <c r="A53" s="266" t="str">
        <f>'Core Indicators'!A:A</f>
        <v>Complex crisis in Haiti</v>
      </c>
      <c r="B53" s="266" t="str">
        <f>'Core Indicators'!B:B</f>
        <v>Complex crisis</v>
      </c>
      <c r="C53" s="266" t="str">
        <f>'Core Indicators'!C53</f>
        <v>HTI001</v>
      </c>
      <c r="D53" s="266" t="str">
        <f>'Core Indicators'!D53</f>
        <v>Haiti</v>
      </c>
      <c r="E53" s="266" t="str">
        <f>'Core Indicators'!E53</f>
        <v>HTI</v>
      </c>
      <c r="F53" s="36">
        <f>'Core Indicators'!O53</f>
        <v>27166</v>
      </c>
      <c r="G53" s="36">
        <f>'Core Indicators'!W53</f>
        <v>10900000</v>
      </c>
      <c r="H53" s="36">
        <f>'Core Indicators'!AE53</f>
        <v>6300000</v>
      </c>
      <c r="I53" s="36">
        <f>'Core Indicators'!AM53</f>
        <v>53000</v>
      </c>
      <c r="J53" s="36" t="str">
        <f>'Core Indicators'!AU53</f>
        <v>x</v>
      </c>
      <c r="K53" s="36" t="str">
        <f>'Core Indicators'!BC53</f>
        <v>x</v>
      </c>
      <c r="L53" s="36">
        <f>'Core Indicators'!BK53</f>
        <v>222</v>
      </c>
      <c r="M53" s="36" t="str">
        <f>'Core Indicators'!BS53</f>
        <v>x</v>
      </c>
      <c r="N53" s="36" t="str">
        <f>'Core Indicators'!CA53</f>
        <v>x</v>
      </c>
      <c r="O53" s="36" t="e">
        <f>'Core Indicators'!CI53</f>
        <v>#N/A</v>
      </c>
      <c r="P53" s="36" t="str">
        <f>'Core Indicators'!CQ53</f>
        <v>x</v>
      </c>
      <c r="Q53" s="36">
        <f>'Core Indicators'!DG53</f>
        <v>3878000</v>
      </c>
      <c r="R53" s="36">
        <f>'Core Indicators'!DO53</f>
        <v>3022000</v>
      </c>
      <c r="S53" s="36">
        <f>'Core Indicators'!DW53</f>
        <v>3095000</v>
      </c>
      <c r="T53" s="36">
        <f>'Core Indicators'!EE53</f>
        <v>905000</v>
      </c>
      <c r="U53" s="36">
        <f>'Core Indicators'!EM53</f>
        <v>0</v>
      </c>
      <c r="V53" s="36">
        <f>'Core Indicators'!FC53</f>
        <v>2</v>
      </c>
      <c r="W53" s="36" t="str">
        <f>'Core Indicators'!FK53</f>
        <v>x</v>
      </c>
      <c r="X53" s="36" t="str">
        <f>'Core Indicators'!FS53</f>
        <v>x</v>
      </c>
      <c r="Y53" s="36">
        <f>'Core Indicators'!GA53</f>
        <v>0</v>
      </c>
      <c r="Z53" s="36">
        <f>'Core Indicators'!GI53</f>
        <v>1</v>
      </c>
      <c r="AA53" s="36">
        <f>'Core Indicators'!GQ53</f>
        <v>0</v>
      </c>
      <c r="AB53" s="36">
        <f>'Core Indicators'!GY53</f>
        <v>0</v>
      </c>
      <c r="AC53" s="36">
        <f>'Core Indicators'!HG53</f>
        <v>0</v>
      </c>
      <c r="AD53" s="36">
        <f>'Core Indicators'!HO53</f>
        <v>0</v>
      </c>
      <c r="AE53" s="36">
        <f>'Core Indicators'!HW53</f>
        <v>2</v>
      </c>
      <c r="AF53" s="36">
        <f>'Core Indicators'!IE53</f>
        <v>0</v>
      </c>
      <c r="AG53" s="36">
        <f>'Core Indicators'!IM53</f>
        <v>3</v>
      </c>
    </row>
    <row r="54" spans="1:33" ht="20.100000000000001" customHeight="1" x14ac:dyDescent="0.3">
      <c r="A54" s="267" t="str">
        <f>'Core Indicators'!A:A</f>
        <v>Complex crisis in Honduras</v>
      </c>
      <c r="B54" s="267" t="str">
        <f>'Core Indicators'!B:B</f>
        <v>Complex crisis</v>
      </c>
      <c r="C54" s="267" t="str">
        <f>'Core Indicators'!C54</f>
        <v>HND001</v>
      </c>
      <c r="D54" s="267" t="str">
        <f>'Core Indicators'!D54</f>
        <v>Honduras</v>
      </c>
      <c r="E54" s="267" t="str">
        <f>'Core Indicators'!E54</f>
        <v>HND</v>
      </c>
      <c r="F54" s="37">
        <f>'Core Indicators'!O54</f>
        <v>111890</v>
      </c>
      <c r="G54" s="37">
        <f>'Core Indicators'!W54</f>
        <v>9158000</v>
      </c>
      <c r="H54" s="37">
        <f>'Core Indicators'!AE54</f>
        <v>2700000</v>
      </c>
      <c r="I54" s="37">
        <f>'Core Indicators'!AM54</f>
        <v>247000</v>
      </c>
      <c r="J54" s="37">
        <f>'Core Indicators'!AU54</f>
        <v>75122</v>
      </c>
      <c r="K54" s="37">
        <f>'Core Indicators'!BC54</f>
        <v>7103</v>
      </c>
      <c r="L54" s="37">
        <f>'Core Indicators'!BK54</f>
        <v>2078</v>
      </c>
      <c r="M54" s="37" t="str">
        <f>'Core Indicators'!BS54</f>
        <v>x</v>
      </c>
      <c r="N54" s="37" t="str">
        <f>'Core Indicators'!CA54</f>
        <v>x</v>
      </c>
      <c r="O54" s="37" t="e">
        <f>'Core Indicators'!CI54</f>
        <v>#N/A</v>
      </c>
      <c r="P54" s="37">
        <f>'Core Indicators'!CQ54</f>
        <v>12965</v>
      </c>
      <c r="Q54" s="37">
        <f>'Core Indicators'!DG54</f>
        <v>6014000</v>
      </c>
      <c r="R54" s="37">
        <f>'Core Indicators'!DO54</f>
        <v>1844000</v>
      </c>
      <c r="S54" s="37">
        <f>'Core Indicators'!DW54</f>
        <v>1042000</v>
      </c>
      <c r="T54" s="37">
        <f>'Core Indicators'!EE54</f>
        <v>258000</v>
      </c>
      <c r="U54" s="37">
        <f>'Core Indicators'!EM54</f>
        <v>0</v>
      </c>
      <c r="V54" s="37">
        <f>'Core Indicators'!FC54</f>
        <v>3</v>
      </c>
      <c r="W54" s="37" t="str">
        <f>'Core Indicators'!FK54</f>
        <v>x</v>
      </c>
      <c r="X54" s="37" t="str">
        <f>'Core Indicators'!FS54</f>
        <v>x</v>
      </c>
      <c r="Y54" s="37">
        <f>'Core Indicators'!GA54</f>
        <v>0</v>
      </c>
      <c r="Z54" s="37">
        <f>'Core Indicators'!GI54</f>
        <v>2</v>
      </c>
      <c r="AA54" s="37">
        <f>'Core Indicators'!GQ54</f>
        <v>1</v>
      </c>
      <c r="AB54" s="37">
        <f>'Core Indicators'!GY54</f>
        <v>1</v>
      </c>
      <c r="AC54" s="37">
        <f>'Core Indicators'!HG54</f>
        <v>0</v>
      </c>
      <c r="AD54" s="37">
        <f>'Core Indicators'!HO54</f>
        <v>2</v>
      </c>
      <c r="AE54" s="37">
        <f>'Core Indicators'!HW54</f>
        <v>1</v>
      </c>
      <c r="AF54" s="37">
        <f>'Core Indicators'!IE54</f>
        <v>0</v>
      </c>
      <c r="AG54" s="37">
        <f>'Core Indicators'!IM54</f>
        <v>0</v>
      </c>
    </row>
    <row r="55" spans="1:33" ht="20.100000000000001" customHeight="1" x14ac:dyDescent="0.3">
      <c r="A55" s="266" t="str">
        <f>'Core Indicators'!A:A</f>
        <v>Multiple Crises in India</v>
      </c>
      <c r="B55" s="266" t="str">
        <f>'Core Indicators'!B:B</f>
        <v>Multiple crises country</v>
      </c>
      <c r="C55" s="266" t="str">
        <f>'Core Indicators'!C55</f>
        <v>IND001</v>
      </c>
      <c r="D55" s="266" t="str">
        <f>'Core Indicators'!D55</f>
        <v>India</v>
      </c>
      <c r="E55" s="266" t="str">
        <f>'Core Indicators'!E55</f>
        <v>IND</v>
      </c>
      <c r="F55" s="36">
        <f>'Core Indicators'!O55</f>
        <v>2119339</v>
      </c>
      <c r="G55" s="36">
        <f>'Core Indicators'!W55</f>
        <v>865053000</v>
      </c>
      <c r="H55" s="36">
        <f>'Core Indicators'!AE55</f>
        <v>22615000</v>
      </c>
      <c r="I55" s="36">
        <f>'Core Indicators'!AM55</f>
        <v>1827000</v>
      </c>
      <c r="J55" s="36" t="str">
        <f>'Core Indicators'!AU55</f>
        <v>x</v>
      </c>
      <c r="K55" s="36" t="str">
        <f>'Core Indicators'!BC55</f>
        <v>x</v>
      </c>
      <c r="L55" s="36">
        <f>'Core Indicators'!BK55</f>
        <v>2019</v>
      </c>
      <c r="M55" s="36" t="str">
        <f>'Core Indicators'!BS55</f>
        <v>x</v>
      </c>
      <c r="N55" s="36" t="str">
        <f>'Core Indicators'!CA55</f>
        <v>x</v>
      </c>
      <c r="O55" s="36" t="e">
        <f>'Core Indicators'!CI55</f>
        <v>#N/A</v>
      </c>
      <c r="P55" s="36" t="str">
        <f>'Core Indicators'!CQ55</f>
        <v>x</v>
      </c>
      <c r="Q55" s="36">
        <f>'Core Indicators'!DG55</f>
        <v>842438000</v>
      </c>
      <c r="R55" s="36">
        <f>'Core Indicators'!DO55</f>
        <v>20788000</v>
      </c>
      <c r="S55" s="36">
        <f>'Core Indicators'!DW55</f>
        <v>1827000</v>
      </c>
      <c r="T55" s="36">
        <f>'Core Indicators'!EE55</f>
        <v>0</v>
      </c>
      <c r="U55" s="36">
        <f>'Core Indicators'!EM55</f>
        <v>0</v>
      </c>
      <c r="V55" s="36" t="str">
        <f>'Core Indicators'!FC55</f>
        <v>x</v>
      </c>
      <c r="W55" s="36" t="str">
        <f>'Core Indicators'!FK55</f>
        <v>x</v>
      </c>
      <c r="X55" s="36" t="str">
        <f>'Core Indicators'!FS55</f>
        <v>x</v>
      </c>
      <c r="Y55" s="36" t="str">
        <f>'Core Indicators'!GA55</f>
        <v>x</v>
      </c>
      <c r="Z55" s="36">
        <f>'Core Indicators'!GI55</f>
        <v>1</v>
      </c>
      <c r="AA55" s="36" t="str">
        <f>'Core Indicators'!GQ55</f>
        <v>x</v>
      </c>
      <c r="AB55" s="36" t="str">
        <f>'Core Indicators'!GY55</f>
        <v>x</v>
      </c>
      <c r="AC55" s="36" t="str">
        <f>'Core Indicators'!HG55</f>
        <v>x</v>
      </c>
      <c r="AD55" s="36" t="str">
        <f>'Core Indicators'!HO55</f>
        <v>x</v>
      </c>
      <c r="AE55" s="36" t="str">
        <f>'Core Indicators'!HW55</f>
        <v>x</v>
      </c>
      <c r="AF55" s="36" t="str">
        <f>'Core Indicators'!IE55</f>
        <v>x</v>
      </c>
      <c r="AG55" s="36" t="str">
        <f>'Core Indicators'!IM55</f>
        <v>x</v>
      </c>
    </row>
    <row r="56" spans="1:33" ht="20.100000000000001" customHeight="1" x14ac:dyDescent="0.3">
      <c r="A56" s="267" t="str">
        <f>'Core Indicators'!A:A</f>
        <v>Conflict in Jammu and Kashmir</v>
      </c>
      <c r="B56" s="267" t="str">
        <f>'Core Indicators'!B:B</f>
        <v>Conflict</v>
      </c>
      <c r="C56" s="267" t="str">
        <f>'Core Indicators'!C56</f>
        <v>IND002</v>
      </c>
      <c r="D56" s="267" t="str">
        <f>'Core Indicators'!D56</f>
        <v>India</v>
      </c>
      <c r="E56" s="267" t="str">
        <f>'Core Indicators'!E56</f>
        <v>IND</v>
      </c>
      <c r="F56" s="37">
        <f>'Core Indicators'!O56</f>
        <v>222236</v>
      </c>
      <c r="G56" s="37">
        <f>'Core Indicators'!W56</f>
        <v>12541000</v>
      </c>
      <c r="H56" s="37" t="str">
        <f>'Core Indicators'!AE56</f>
        <v>x</v>
      </c>
      <c r="I56" s="37" t="str">
        <f>'Core Indicators'!AM56</f>
        <v>x</v>
      </c>
      <c r="J56" s="37" t="str">
        <f>'Core Indicators'!AU56</f>
        <v>x</v>
      </c>
      <c r="K56" s="37" t="str">
        <f>'Core Indicators'!BC56</f>
        <v>x</v>
      </c>
      <c r="L56" s="37">
        <f>'Core Indicators'!BK56</f>
        <v>271</v>
      </c>
      <c r="M56" s="37" t="str">
        <f>'Core Indicators'!BS56</f>
        <v>x</v>
      </c>
      <c r="N56" s="37" t="str">
        <f>'Core Indicators'!CA56</f>
        <v>x</v>
      </c>
      <c r="O56" s="37" t="e">
        <f>'Core Indicators'!CI56</f>
        <v>#N/A</v>
      </c>
      <c r="P56" s="37" t="str">
        <f>'Core Indicators'!CQ56</f>
        <v>x</v>
      </c>
      <c r="Q56" s="37">
        <f>'Core Indicators'!DG56</f>
        <v>12541000</v>
      </c>
      <c r="R56" s="37" t="str">
        <f>'Core Indicators'!DO56</f>
        <v>x</v>
      </c>
      <c r="S56" s="37" t="str">
        <f>'Core Indicators'!DW56</f>
        <v>x</v>
      </c>
      <c r="T56" s="37" t="str">
        <f>'Core Indicators'!EE56</f>
        <v>x</v>
      </c>
      <c r="U56" s="37">
        <f>'Core Indicators'!EM56</f>
        <v>0</v>
      </c>
      <c r="V56" s="37" t="str">
        <f>'Core Indicators'!FC56</f>
        <v>x</v>
      </c>
      <c r="W56" s="37" t="str">
        <f>'Core Indicators'!FK56</f>
        <v>x</v>
      </c>
      <c r="X56" s="37" t="str">
        <f>'Core Indicators'!FS56</f>
        <v>x</v>
      </c>
      <c r="Y56" s="37">
        <f>'Core Indicators'!GA56</f>
        <v>1</v>
      </c>
      <c r="Z56" s="37">
        <f>'Core Indicators'!GI56</f>
        <v>1</v>
      </c>
      <c r="AA56" s="37">
        <f>'Core Indicators'!GQ56</f>
        <v>1</v>
      </c>
      <c r="AB56" s="37">
        <f>'Core Indicators'!GY56</f>
        <v>0</v>
      </c>
      <c r="AC56" s="37">
        <f>'Core Indicators'!HG56</f>
        <v>1</v>
      </c>
      <c r="AD56" s="37">
        <f>'Core Indicators'!HO56</f>
        <v>1</v>
      </c>
      <c r="AE56" s="37">
        <f>'Core Indicators'!HW56</f>
        <v>1</v>
      </c>
      <c r="AF56" s="37">
        <f>'Core Indicators'!IE56</f>
        <v>1</v>
      </c>
      <c r="AG56" s="37">
        <f>'Core Indicators'!IM56</f>
        <v>1</v>
      </c>
    </row>
    <row r="57" spans="1:33" ht="20.100000000000001" customHeight="1" x14ac:dyDescent="0.3">
      <c r="A57" s="266" t="str">
        <f>'Core Indicators'!A:A</f>
        <v>Cyclone Amphan India</v>
      </c>
      <c r="B57" s="266" t="str">
        <f>'Core Indicators'!B:B</f>
        <v>Tropical cyclone</v>
      </c>
      <c r="C57" s="266" t="str">
        <f>'Core Indicators'!C57</f>
        <v>IND003</v>
      </c>
      <c r="D57" s="266" t="str">
        <f>'Core Indicators'!D57</f>
        <v>India</v>
      </c>
      <c r="E57" s="266" t="str">
        <f>'Core Indicators'!E57</f>
        <v>IND</v>
      </c>
      <c r="F57" s="36">
        <f>'Core Indicators'!O57</f>
        <v>269249</v>
      </c>
      <c r="G57" s="36">
        <f>'Core Indicators'!W57</f>
        <v>44047000</v>
      </c>
      <c r="H57" s="36">
        <f>'Core Indicators'!AE57</f>
        <v>18000000</v>
      </c>
      <c r="I57" s="36">
        <f>'Core Indicators'!AM57</f>
        <v>660000</v>
      </c>
      <c r="J57" s="36" t="str">
        <f>'Core Indicators'!AU57</f>
        <v>x</v>
      </c>
      <c r="K57" s="36" t="str">
        <f>'Core Indicators'!BC57</f>
        <v>x</v>
      </c>
      <c r="L57" s="36">
        <f>'Core Indicators'!BK57</f>
        <v>86</v>
      </c>
      <c r="M57" s="36" t="str">
        <f>'Core Indicators'!BS57</f>
        <v>x</v>
      </c>
      <c r="N57" s="36" t="str">
        <f>'Core Indicators'!CA57</f>
        <v>x</v>
      </c>
      <c r="O57" s="36" t="e">
        <f>'Core Indicators'!CI57</f>
        <v>#N/A</v>
      </c>
      <c r="P57" s="36" t="str">
        <f>'Core Indicators'!CQ57</f>
        <v>x</v>
      </c>
      <c r="Q57" s="36">
        <f>'Core Indicators'!DG57</f>
        <v>26047000</v>
      </c>
      <c r="R57" s="36">
        <f>'Core Indicators'!DO57</f>
        <v>17340000</v>
      </c>
      <c r="S57" s="36">
        <f>'Core Indicators'!DW57</f>
        <v>660000</v>
      </c>
      <c r="T57" s="36">
        <f>'Core Indicators'!EE57</f>
        <v>0</v>
      </c>
      <c r="U57" s="36">
        <f>'Core Indicators'!EM57</f>
        <v>0</v>
      </c>
      <c r="V57" s="36" t="str">
        <f>'Core Indicators'!FC57</f>
        <v>x</v>
      </c>
      <c r="W57" s="36" t="str">
        <f>'Core Indicators'!FK57</f>
        <v>x</v>
      </c>
      <c r="X57" s="36" t="str">
        <f>'Core Indicators'!FS57</f>
        <v>x</v>
      </c>
      <c r="Y57" s="36" t="str">
        <f>'Core Indicators'!GA57</f>
        <v>x</v>
      </c>
      <c r="Z57" s="36" t="str">
        <f>'Core Indicators'!GI57</f>
        <v>x</v>
      </c>
      <c r="AA57" s="36" t="str">
        <f>'Core Indicators'!GQ57</f>
        <v>x</v>
      </c>
      <c r="AB57" s="36" t="str">
        <f>'Core Indicators'!GY57</f>
        <v>x</v>
      </c>
      <c r="AC57" s="36" t="str">
        <f>'Core Indicators'!HG57</f>
        <v>x</v>
      </c>
      <c r="AD57" s="36" t="str">
        <f>'Core Indicators'!HO57</f>
        <v>x</v>
      </c>
      <c r="AE57" s="36" t="str">
        <f>'Core Indicators'!HW57</f>
        <v>x</v>
      </c>
      <c r="AF57" s="36" t="str">
        <f>'Core Indicators'!IE57</f>
        <v>x</v>
      </c>
      <c r="AG57" s="36" t="str">
        <f>'Core Indicators'!IM57</f>
        <v>x</v>
      </c>
    </row>
    <row r="58" spans="1:33" ht="20.100000000000001" customHeight="1" x14ac:dyDescent="0.3">
      <c r="A58" s="267" t="str">
        <f>'Core Indicators'!A:A</f>
        <v>Floods in India</v>
      </c>
      <c r="B58" s="267" t="str">
        <f>'Core Indicators'!B:B</f>
        <v>Flood</v>
      </c>
      <c r="C58" s="267" t="str">
        <f>'Core Indicators'!C58</f>
        <v>IND005</v>
      </c>
      <c r="D58" s="267" t="str">
        <f>'Core Indicators'!D58</f>
        <v>India</v>
      </c>
      <c r="E58" s="267" t="str">
        <f>'Core Indicators'!E58</f>
        <v>IND</v>
      </c>
      <c r="F58" s="37">
        <f>'Core Indicators'!O58</f>
        <v>1897103</v>
      </c>
      <c r="G58" s="37">
        <f>'Core Indicators'!W58</f>
        <v>821006000</v>
      </c>
      <c r="H58" s="37">
        <f>'Core Indicators'!AE58</f>
        <v>22615000</v>
      </c>
      <c r="I58" s="37">
        <f>'Core Indicators'!AM58</f>
        <v>1167000</v>
      </c>
      <c r="J58" s="37" t="str">
        <f>'Core Indicators'!AU58</f>
        <v>x</v>
      </c>
      <c r="K58" s="37" t="str">
        <f>'Core Indicators'!BC58</f>
        <v>x</v>
      </c>
      <c r="L58" s="37">
        <f>'Core Indicators'!BK58</f>
        <v>1662</v>
      </c>
      <c r="M58" s="37" t="str">
        <f>'Core Indicators'!BS58</f>
        <v>x</v>
      </c>
      <c r="N58" s="37" t="str">
        <f>'Core Indicators'!CA58</f>
        <v>x</v>
      </c>
      <c r="O58" s="37" t="e">
        <f>'Core Indicators'!CI58</f>
        <v>#N/A</v>
      </c>
      <c r="P58" s="37" t="str">
        <f>'Core Indicators'!CQ58</f>
        <v>x</v>
      </c>
      <c r="Q58" s="37">
        <f>'Core Indicators'!DG58</f>
        <v>797224000</v>
      </c>
      <c r="R58" s="37">
        <f>'Core Indicators'!DO58</f>
        <v>21448000</v>
      </c>
      <c r="S58" s="37">
        <f>'Core Indicators'!DW58</f>
        <v>1167000</v>
      </c>
      <c r="T58" s="37">
        <f>'Core Indicators'!EE58</f>
        <v>0</v>
      </c>
      <c r="U58" s="37">
        <f>'Core Indicators'!EM58</f>
        <v>0</v>
      </c>
      <c r="V58" s="37">
        <f>'Core Indicators'!FC58</f>
        <v>2</v>
      </c>
      <c r="W58" s="37" t="str">
        <f>'Core Indicators'!FK58</f>
        <v>x</v>
      </c>
      <c r="X58" s="37" t="str">
        <f>'Core Indicators'!FS58</f>
        <v>x</v>
      </c>
      <c r="Y58" s="37">
        <f>'Core Indicators'!GA58</f>
        <v>1</v>
      </c>
      <c r="Z58" s="37">
        <f>'Core Indicators'!GI58</f>
        <v>1</v>
      </c>
      <c r="AA58" s="37">
        <f>'Core Indicators'!GQ58</f>
        <v>0</v>
      </c>
      <c r="AB58" s="37">
        <f>'Core Indicators'!GY58</f>
        <v>0</v>
      </c>
      <c r="AC58" s="37">
        <f>'Core Indicators'!HG58</f>
        <v>0</v>
      </c>
      <c r="AD58" s="37">
        <f>'Core Indicators'!HO58</f>
        <v>2</v>
      </c>
      <c r="AE58" s="37">
        <f>'Core Indicators'!HW58</f>
        <v>0</v>
      </c>
      <c r="AF58" s="37">
        <f>'Core Indicators'!IE58</f>
        <v>0</v>
      </c>
      <c r="AG58" s="37">
        <f>'Core Indicators'!IM58</f>
        <v>3</v>
      </c>
    </row>
    <row r="59" spans="1:33" ht="20.100000000000001" customHeight="1" x14ac:dyDescent="0.3">
      <c r="A59" s="266" t="str">
        <f>'Core Indicators'!A:A</f>
        <v>Regional Kashmir conflict</v>
      </c>
      <c r="B59" s="266" t="str">
        <f>'Core Indicators'!B:B</f>
        <v>Regional crisis</v>
      </c>
      <c r="C59" s="266" t="str">
        <f>'Core Indicators'!C59</f>
        <v>REG003</v>
      </c>
      <c r="D59" s="266" t="str">
        <f>'Core Indicators'!D59</f>
        <v>India, Pakistan</v>
      </c>
      <c r="E59" s="266" t="str">
        <f>'Core Indicators'!E59</f>
        <v>IND, PAK</v>
      </c>
      <c r="F59" s="36">
        <f>'Core Indicators'!O59</f>
        <v>235533</v>
      </c>
      <c r="G59" s="36">
        <f>'Core Indicators'!W59</f>
        <v>16991000</v>
      </c>
      <c r="H59" s="36">
        <f>'Core Indicators'!AE59</f>
        <v>16991000</v>
      </c>
      <c r="I59" s="36" t="str">
        <f>'Core Indicators'!AM59</f>
        <v>x</v>
      </c>
      <c r="J59" s="36" t="str">
        <f>'Core Indicators'!AU59</f>
        <v>x</v>
      </c>
      <c r="K59" s="36" t="str">
        <f>'Core Indicators'!BC59</f>
        <v>x</v>
      </c>
      <c r="L59" s="36">
        <f>'Core Indicators'!BK59</f>
        <v>308</v>
      </c>
      <c r="M59" s="36" t="str">
        <f>'Core Indicators'!BS59</f>
        <v>x</v>
      </c>
      <c r="N59" s="36" t="str">
        <f>'Core Indicators'!CA59</f>
        <v>x</v>
      </c>
      <c r="O59" s="36" t="e">
        <f>'Core Indicators'!CI59</f>
        <v>#N/A</v>
      </c>
      <c r="P59" s="36" t="str">
        <f>'Core Indicators'!CQ59</f>
        <v>x</v>
      </c>
      <c r="Q59" s="36" t="str">
        <f>'Core Indicators'!DG59</f>
        <v>x</v>
      </c>
      <c r="R59" s="36" t="str">
        <f>'Core Indicators'!DO59</f>
        <v>x</v>
      </c>
      <c r="S59" s="36" t="str">
        <f>'Core Indicators'!DW59</f>
        <v>x</v>
      </c>
      <c r="T59" s="36" t="str">
        <f>'Core Indicators'!EE59</f>
        <v>x</v>
      </c>
      <c r="U59" s="36" t="str">
        <f>'Core Indicators'!EM59</f>
        <v>x</v>
      </c>
      <c r="V59" s="36">
        <f>'Core Indicators'!FC59</f>
        <v>3</v>
      </c>
      <c r="W59" s="36" t="str">
        <f>'Core Indicators'!FK59</f>
        <v>x</v>
      </c>
      <c r="X59" s="36" t="str">
        <f>'Core Indicators'!FS59</f>
        <v>x</v>
      </c>
      <c r="Y59" s="36">
        <f>'Core Indicators'!GA59</f>
        <v>1</v>
      </c>
      <c r="Z59" s="36">
        <f>'Core Indicators'!GI59</f>
        <v>1</v>
      </c>
      <c r="AA59" s="36">
        <f>'Core Indicators'!GQ59</f>
        <v>1</v>
      </c>
      <c r="AB59" s="36">
        <f>'Core Indicators'!GY59</f>
        <v>0</v>
      </c>
      <c r="AC59" s="36">
        <f>'Core Indicators'!HG59</f>
        <v>0</v>
      </c>
      <c r="AD59" s="36">
        <f>'Core Indicators'!HO59</f>
        <v>2</v>
      </c>
      <c r="AE59" s="36">
        <f>'Core Indicators'!HW59</f>
        <v>1</v>
      </c>
      <c r="AF59" s="36">
        <f>'Core Indicators'!IE59</f>
        <v>1</v>
      </c>
      <c r="AG59" s="36">
        <f>'Core Indicators'!IM59</f>
        <v>2</v>
      </c>
    </row>
    <row r="60" spans="1:33" ht="20.100000000000001" customHeight="1" x14ac:dyDescent="0.3">
      <c r="A60" s="267" t="str">
        <f>'Core Indicators'!A:A</f>
        <v>Papua Conflict</v>
      </c>
      <c r="B60" s="267" t="str">
        <f>'Core Indicators'!B:B</f>
        <v>Conflict</v>
      </c>
      <c r="C60" s="267" t="str">
        <f>'Core Indicators'!C60</f>
        <v>IDN002</v>
      </c>
      <c r="D60" s="267" t="str">
        <f>'Core Indicators'!D60</f>
        <v>Indonesia</v>
      </c>
      <c r="E60" s="267" t="str">
        <f>'Core Indicators'!E60</f>
        <v>IDN</v>
      </c>
      <c r="F60" s="37">
        <f>'Core Indicators'!O60</f>
        <v>416060</v>
      </c>
      <c r="G60" s="37">
        <f>'Core Indicators'!W60</f>
        <v>3594000</v>
      </c>
      <c r="H60" s="37">
        <f>'Core Indicators'!AE60</f>
        <v>3594000</v>
      </c>
      <c r="I60" s="37" t="str">
        <f>'Core Indicators'!AM60</f>
        <v>x</v>
      </c>
      <c r="J60" s="37" t="str">
        <f>'Core Indicators'!AU60</f>
        <v>x</v>
      </c>
      <c r="K60" s="37" t="str">
        <f>'Core Indicators'!BC60</f>
        <v>x</v>
      </c>
      <c r="L60" s="37">
        <f>'Core Indicators'!BK60</f>
        <v>36</v>
      </c>
      <c r="M60" s="37" t="str">
        <f>'Core Indicators'!BS60</f>
        <v>x</v>
      </c>
      <c r="N60" s="37" t="str">
        <f>'Core Indicators'!CA60</f>
        <v>x</v>
      </c>
      <c r="O60" s="37" t="e">
        <f>'Core Indicators'!CI60</f>
        <v>#N/A</v>
      </c>
      <c r="P60" s="37" t="str">
        <f>'Core Indicators'!CQ60</f>
        <v>x</v>
      </c>
      <c r="Q60" s="37" t="str">
        <f>'Core Indicators'!DG60</f>
        <v>x</v>
      </c>
      <c r="R60" s="37" t="str">
        <f>'Core Indicators'!DO60</f>
        <v>x</v>
      </c>
      <c r="S60" s="37" t="str">
        <f>'Core Indicators'!DW60</f>
        <v>x</v>
      </c>
      <c r="T60" s="37" t="str">
        <f>'Core Indicators'!EE60</f>
        <v>x</v>
      </c>
      <c r="U60" s="37" t="str">
        <f>'Core Indicators'!EM60</f>
        <v>x</v>
      </c>
      <c r="V60" s="37">
        <f>'Core Indicators'!FC60</f>
        <v>4</v>
      </c>
      <c r="W60" s="37" t="str">
        <f>'Core Indicators'!FK60</f>
        <v>x</v>
      </c>
      <c r="X60" s="37" t="str">
        <f>'Core Indicators'!FS60</f>
        <v>x</v>
      </c>
      <c r="Y60" s="37">
        <f>'Core Indicators'!GA60</f>
        <v>0</v>
      </c>
      <c r="Z60" s="37">
        <f>'Core Indicators'!GI60</f>
        <v>2</v>
      </c>
      <c r="AA60" s="37">
        <f>'Core Indicators'!GQ60</f>
        <v>2</v>
      </c>
      <c r="AB60" s="37">
        <f>'Core Indicators'!GY60</f>
        <v>0</v>
      </c>
      <c r="AC60" s="37">
        <f>'Core Indicators'!HG60</f>
        <v>1</v>
      </c>
      <c r="AD60" s="37">
        <f>'Core Indicators'!HO60</f>
        <v>1</v>
      </c>
      <c r="AE60" s="37">
        <f>'Core Indicators'!HW60</f>
        <v>1</v>
      </c>
      <c r="AF60" s="37">
        <f>'Core Indicators'!IE60</f>
        <v>1</v>
      </c>
      <c r="AG60" s="37">
        <f>'Core Indicators'!IM60</f>
        <v>1</v>
      </c>
    </row>
    <row r="61" spans="1:33" ht="20.100000000000001" customHeight="1" x14ac:dyDescent="0.3">
      <c r="A61" s="266" t="str">
        <f>'Core Indicators'!A:A</f>
        <v>Afghan Refugees in Iran</v>
      </c>
      <c r="B61" s="266" t="str">
        <f>'Core Indicators'!B:B</f>
        <v>International displacement</v>
      </c>
      <c r="C61" s="266" t="str">
        <f>'Core Indicators'!C61</f>
        <v>IRN004</v>
      </c>
      <c r="D61" s="266" t="str">
        <f>'Core Indicators'!D61</f>
        <v>Iran</v>
      </c>
      <c r="E61" s="266" t="str">
        <f>'Core Indicators'!E61</f>
        <v>IRN</v>
      </c>
      <c r="F61" s="36">
        <f>'Core Indicators'!O61</f>
        <v>239561</v>
      </c>
      <c r="G61" s="36">
        <f>'Core Indicators'!W61</f>
        <v>24823000</v>
      </c>
      <c r="H61" s="36">
        <f>'Core Indicators'!AE61</f>
        <v>2951000</v>
      </c>
      <c r="I61" s="36">
        <f>'Core Indicators'!AM61</f>
        <v>2951000</v>
      </c>
      <c r="J61" s="36" t="str">
        <f>'Core Indicators'!AU61</f>
        <v>x</v>
      </c>
      <c r="K61" s="36" t="str">
        <f>'Core Indicators'!BC61</f>
        <v>x</v>
      </c>
      <c r="L61" s="36">
        <f>'Core Indicators'!BK61</f>
        <v>0</v>
      </c>
      <c r="M61" s="36" t="str">
        <f>'Core Indicators'!BS61</f>
        <v>x</v>
      </c>
      <c r="N61" s="36" t="str">
        <f>'Core Indicators'!CA61</f>
        <v>x</v>
      </c>
      <c r="O61" s="36" t="e">
        <f>'Core Indicators'!CI61</f>
        <v>#N/A</v>
      </c>
      <c r="P61" s="36" t="str">
        <f>'Core Indicators'!CQ61</f>
        <v>x</v>
      </c>
      <c r="Q61" s="36">
        <f>'Core Indicators'!DG61</f>
        <v>21872000</v>
      </c>
      <c r="R61" s="36">
        <f>'Core Indicators'!DO61</f>
        <v>0</v>
      </c>
      <c r="S61" s="36">
        <f>'Core Indicators'!DW61</f>
        <v>951000</v>
      </c>
      <c r="T61" s="36">
        <f>'Core Indicators'!EE61</f>
        <v>2000000</v>
      </c>
      <c r="U61" s="36">
        <f>'Core Indicators'!EM61</f>
        <v>0</v>
      </c>
      <c r="V61" s="36">
        <f>'Core Indicators'!FC61</f>
        <v>2</v>
      </c>
      <c r="W61" s="36" t="str">
        <f>'Core Indicators'!FK61</f>
        <v>x</v>
      </c>
      <c r="X61" s="36" t="str">
        <f>'Core Indicators'!FS61</f>
        <v>x</v>
      </c>
      <c r="Y61" s="36">
        <f>'Core Indicators'!GA61</f>
        <v>2</v>
      </c>
      <c r="Z61" s="36">
        <f>'Core Indicators'!GI61</f>
        <v>1</v>
      </c>
      <c r="AA61" s="36">
        <f>'Core Indicators'!GQ61</f>
        <v>3</v>
      </c>
      <c r="AB61" s="36">
        <f>'Core Indicators'!GY61</f>
        <v>0</v>
      </c>
      <c r="AC61" s="36">
        <f>'Core Indicators'!HG61</f>
        <v>2</v>
      </c>
      <c r="AD61" s="36">
        <f>'Core Indicators'!HO61</f>
        <v>2</v>
      </c>
      <c r="AE61" s="36">
        <f>'Core Indicators'!HW61</f>
        <v>1</v>
      </c>
      <c r="AF61" s="36">
        <f>'Core Indicators'!IE61</f>
        <v>0</v>
      </c>
      <c r="AG61" s="36">
        <f>'Core Indicators'!IM61</f>
        <v>3</v>
      </c>
    </row>
    <row r="62" spans="1:33" ht="20.100000000000001" customHeight="1" x14ac:dyDescent="0.3">
      <c r="A62" s="267" t="str">
        <f>'Core Indicators'!A:A</f>
        <v>Multiple crises in Iraq</v>
      </c>
      <c r="B62" s="267" t="str">
        <f>'Core Indicators'!B:B</f>
        <v>Multiple crises country</v>
      </c>
      <c r="C62" s="267" t="str">
        <f>'Core Indicators'!C62</f>
        <v>IRQ001</v>
      </c>
      <c r="D62" s="267" t="str">
        <f>'Core Indicators'!D62</f>
        <v>Iraq</v>
      </c>
      <c r="E62" s="267" t="str">
        <f>'Core Indicators'!E62</f>
        <v>IRQ</v>
      </c>
      <c r="F62" s="37">
        <f>'Core Indicators'!O62</f>
        <v>434120</v>
      </c>
      <c r="G62" s="37">
        <f>'Core Indicators'!W62</f>
        <v>38434000</v>
      </c>
      <c r="H62" s="37">
        <f>'Core Indicators'!AE62</f>
        <v>6935000</v>
      </c>
      <c r="I62" s="37">
        <f>'Core Indicators'!AM62</f>
        <v>6934000</v>
      </c>
      <c r="J62" s="37" t="str">
        <f>'Core Indicators'!AU62</f>
        <v>x</v>
      </c>
      <c r="K62" s="37" t="str">
        <f>'Core Indicators'!BC62</f>
        <v>x</v>
      </c>
      <c r="L62" s="37">
        <f>'Core Indicators'!BK62</f>
        <v>1438</v>
      </c>
      <c r="M62" s="37" t="str">
        <f>'Core Indicators'!BS62</f>
        <v>x</v>
      </c>
      <c r="N62" s="37" t="str">
        <f>'Core Indicators'!CA62</f>
        <v>x</v>
      </c>
      <c r="O62" s="37" t="e">
        <f>'Core Indicators'!CI62</f>
        <v>#N/A</v>
      </c>
      <c r="P62" s="37">
        <f>'Core Indicators'!CQ62</f>
        <v>133900</v>
      </c>
      <c r="Q62" s="37">
        <f>'Core Indicators'!DG62</f>
        <v>31499000</v>
      </c>
      <c r="R62" s="37">
        <f>'Core Indicators'!DO62</f>
        <v>2646000</v>
      </c>
      <c r="S62" s="37">
        <f>'Core Indicators'!DW62</f>
        <v>2400000</v>
      </c>
      <c r="T62" s="37">
        <f>'Core Indicators'!EE62</f>
        <v>1889000</v>
      </c>
      <c r="U62" s="37">
        <f>'Core Indicators'!EM62</f>
        <v>0</v>
      </c>
      <c r="V62" s="37">
        <f>'Core Indicators'!FC62</f>
        <v>5</v>
      </c>
      <c r="W62" s="37">
        <f>'Core Indicators'!FK62</f>
        <v>1500000</v>
      </c>
      <c r="X62" s="37">
        <f>'Core Indicators'!FS62</f>
        <v>300000</v>
      </c>
      <c r="Y62" s="37">
        <f>'Core Indicators'!GA62</f>
        <v>1</v>
      </c>
      <c r="Z62" s="37">
        <f>'Core Indicators'!GI62</f>
        <v>2</v>
      </c>
      <c r="AA62" s="37">
        <f>'Core Indicators'!GQ62</f>
        <v>1</v>
      </c>
      <c r="AB62" s="37">
        <f>'Core Indicators'!GY62</f>
        <v>0</v>
      </c>
      <c r="AC62" s="37">
        <f>'Core Indicators'!HG62</f>
        <v>0</v>
      </c>
      <c r="AD62" s="37">
        <f>'Core Indicators'!HO62</f>
        <v>3</v>
      </c>
      <c r="AE62" s="37">
        <f>'Core Indicators'!HW62</f>
        <v>1</v>
      </c>
      <c r="AF62" s="37">
        <f>'Core Indicators'!IE62</f>
        <v>3</v>
      </c>
      <c r="AG62" s="37">
        <f>'Core Indicators'!IM62</f>
        <v>2</v>
      </c>
    </row>
    <row r="63" spans="1:33" ht="20.100000000000001" customHeight="1" x14ac:dyDescent="0.3">
      <c r="A63" s="266" t="str">
        <f>'Core Indicators'!A:A</f>
        <v>Conflict  in Iraq</v>
      </c>
      <c r="B63" s="266" t="str">
        <f>'Core Indicators'!B:B</f>
        <v>Conflict</v>
      </c>
      <c r="C63" s="266" t="str">
        <f>'Core Indicators'!C63</f>
        <v>IRQ002</v>
      </c>
      <c r="D63" s="266" t="str">
        <f>'Core Indicators'!D63</f>
        <v>Iraq</v>
      </c>
      <c r="E63" s="266" t="str">
        <f>'Core Indicators'!E63</f>
        <v>IRQ</v>
      </c>
      <c r="F63" s="36">
        <f>'Core Indicators'!O63</f>
        <v>434120</v>
      </c>
      <c r="G63" s="36">
        <f>'Core Indicators'!W63</f>
        <v>11000000</v>
      </c>
      <c r="H63" s="36">
        <f>'Core Indicators'!AE63</f>
        <v>6691000</v>
      </c>
      <c r="I63" s="36">
        <f>'Core Indicators'!AM63</f>
        <v>6691000</v>
      </c>
      <c r="J63" s="36" t="str">
        <f>'Core Indicators'!AU63</f>
        <v>x</v>
      </c>
      <c r="K63" s="36" t="str">
        <f>'Core Indicators'!BC63</f>
        <v>x</v>
      </c>
      <c r="L63" s="36">
        <f>'Core Indicators'!BK63</f>
        <v>1438</v>
      </c>
      <c r="M63" s="36" t="str">
        <f>'Core Indicators'!BS63</f>
        <v>x</v>
      </c>
      <c r="N63" s="36" t="str">
        <f>'Core Indicators'!CA63</f>
        <v>x</v>
      </c>
      <c r="O63" s="36" t="e">
        <f>'Core Indicators'!CI63</f>
        <v>#N/A</v>
      </c>
      <c r="P63" s="36">
        <f>'Core Indicators'!CQ63</f>
        <v>133900</v>
      </c>
      <c r="Q63" s="36">
        <f>'Core Indicators'!DG63</f>
        <v>4309000</v>
      </c>
      <c r="R63" s="36">
        <f>'Core Indicators'!DO63</f>
        <v>2646000</v>
      </c>
      <c r="S63" s="36">
        <f>'Core Indicators'!DW63</f>
        <v>2271000</v>
      </c>
      <c r="T63" s="36">
        <f>'Core Indicators'!EE63</f>
        <v>1775000</v>
      </c>
      <c r="U63" s="36">
        <f>'Core Indicators'!EM63</f>
        <v>0</v>
      </c>
      <c r="V63" s="36">
        <f>'Core Indicators'!FC63</f>
        <v>5</v>
      </c>
      <c r="W63" s="36">
        <f>'Core Indicators'!FK63</f>
        <v>1500000</v>
      </c>
      <c r="X63" s="36">
        <f>'Core Indicators'!FS63</f>
        <v>300000</v>
      </c>
      <c r="Y63" s="36">
        <f>'Core Indicators'!GA63</f>
        <v>1</v>
      </c>
      <c r="Z63" s="36">
        <f>'Core Indicators'!GI63</f>
        <v>2</v>
      </c>
      <c r="AA63" s="36">
        <f>'Core Indicators'!GQ63</f>
        <v>1</v>
      </c>
      <c r="AB63" s="36">
        <f>'Core Indicators'!GY63</f>
        <v>0</v>
      </c>
      <c r="AC63" s="36">
        <f>'Core Indicators'!HG63</f>
        <v>0</v>
      </c>
      <c r="AD63" s="36">
        <f>'Core Indicators'!HO63</f>
        <v>3</v>
      </c>
      <c r="AE63" s="36">
        <f>'Core Indicators'!HW63</f>
        <v>1</v>
      </c>
      <c r="AF63" s="36">
        <f>'Core Indicators'!IE63</f>
        <v>3</v>
      </c>
      <c r="AG63" s="36">
        <f>'Core Indicators'!IM63</f>
        <v>2</v>
      </c>
    </row>
    <row r="64" spans="1:33" ht="20.100000000000001" customHeight="1" x14ac:dyDescent="0.3">
      <c r="A64" s="267" t="str">
        <f>'Core Indicators'!A:A</f>
        <v>Syrian and Palestinian refugees in iraq</v>
      </c>
      <c r="B64" s="267" t="str">
        <f>'Core Indicators'!B:B</f>
        <v>International displacement</v>
      </c>
      <c r="C64" s="267" t="str">
        <f>'Core Indicators'!C64</f>
        <v>IRQ003</v>
      </c>
      <c r="D64" s="267" t="str">
        <f>'Core Indicators'!D64</f>
        <v>Iraq</v>
      </c>
      <c r="E64" s="267" t="str">
        <f>'Core Indicators'!E64</f>
        <v>IRQ</v>
      </c>
      <c r="F64" s="37">
        <f>'Core Indicators'!O64</f>
        <v>40000</v>
      </c>
      <c r="G64" s="37">
        <f>'Core Indicators'!W64</f>
        <v>5135000</v>
      </c>
      <c r="H64" s="37">
        <f>'Core Indicators'!AE64</f>
        <v>451000</v>
      </c>
      <c r="I64" s="37">
        <f>'Core Indicators'!AM64</f>
        <v>243000</v>
      </c>
      <c r="J64" s="37" t="str">
        <f>'Core Indicators'!AU64</f>
        <v>x</v>
      </c>
      <c r="K64" s="37" t="str">
        <f>'Core Indicators'!BC64</f>
        <v>x</v>
      </c>
      <c r="L64" s="37">
        <f>'Core Indicators'!BK64</f>
        <v>0</v>
      </c>
      <c r="M64" s="37" t="str">
        <f>'Core Indicators'!BS64</f>
        <v>x</v>
      </c>
      <c r="N64" s="37">
        <f>'Core Indicators'!CA64</f>
        <v>0</v>
      </c>
      <c r="O64" s="37" t="e">
        <f>'Core Indicators'!CI64</f>
        <v>#N/A</v>
      </c>
      <c r="P64" s="37" t="str">
        <f>'Core Indicators'!CQ64</f>
        <v>x</v>
      </c>
      <c r="Q64" s="37">
        <f>'Core Indicators'!DG64</f>
        <v>4685000</v>
      </c>
      <c r="R64" s="37">
        <f>'Core Indicators'!DO64</f>
        <v>0</v>
      </c>
      <c r="S64" s="37">
        <f>'Core Indicators'!DW64</f>
        <v>337000</v>
      </c>
      <c r="T64" s="37">
        <f>'Core Indicators'!EE64</f>
        <v>114000</v>
      </c>
      <c r="U64" s="37">
        <f>'Core Indicators'!EM64</f>
        <v>0</v>
      </c>
      <c r="V64" s="37">
        <f>'Core Indicators'!FC64</f>
        <v>5</v>
      </c>
      <c r="W64" s="37" t="str">
        <f>'Core Indicators'!FK64</f>
        <v>x</v>
      </c>
      <c r="X64" s="37">
        <f>'Core Indicators'!FS64</f>
        <v>0</v>
      </c>
      <c r="Y64" s="37">
        <f>'Core Indicators'!GA64</f>
        <v>0</v>
      </c>
      <c r="Z64" s="37">
        <f>'Core Indicators'!GI64</f>
        <v>2</v>
      </c>
      <c r="AA64" s="37">
        <f>'Core Indicators'!GQ64</f>
        <v>0</v>
      </c>
      <c r="AB64" s="37">
        <f>'Core Indicators'!GY64</f>
        <v>0</v>
      </c>
      <c r="AC64" s="37">
        <f>'Core Indicators'!HG64</f>
        <v>0</v>
      </c>
      <c r="AD64" s="37">
        <f>'Core Indicators'!HO64</f>
        <v>1</v>
      </c>
      <c r="AE64" s="37">
        <f>'Core Indicators'!HW64</f>
        <v>0</v>
      </c>
      <c r="AF64" s="37">
        <f>'Core Indicators'!IE64</f>
        <v>3</v>
      </c>
      <c r="AG64" s="37">
        <f>'Core Indicators'!IM64</f>
        <v>0</v>
      </c>
    </row>
    <row r="65" spans="1:33" ht="20.100000000000001" customHeight="1" x14ac:dyDescent="0.3">
      <c r="A65" s="266" t="str">
        <f>'Core Indicators'!A:A</f>
        <v>Syrian refugees in Jordan</v>
      </c>
      <c r="B65" s="266" t="str">
        <f>'Core Indicators'!B:B</f>
        <v>International displacement</v>
      </c>
      <c r="C65" s="266" t="str">
        <f>'Core Indicators'!C65</f>
        <v>JOR002</v>
      </c>
      <c r="D65" s="266" t="str">
        <f>'Core Indicators'!D65</f>
        <v>Jordan</v>
      </c>
      <c r="E65" s="266" t="str">
        <f>'Core Indicators'!E65</f>
        <v>JOR</v>
      </c>
      <c r="F65" s="36">
        <f>'Core Indicators'!O65</f>
        <v>40463</v>
      </c>
      <c r="G65" s="36">
        <f>'Core Indicators'!W65</f>
        <v>8505000</v>
      </c>
      <c r="H65" s="36">
        <f>'Core Indicators'!AE65</f>
        <v>1377000</v>
      </c>
      <c r="I65" s="36">
        <f>'Core Indicators'!AM65</f>
        <v>1377000</v>
      </c>
      <c r="J65" s="36" t="str">
        <f>'Core Indicators'!AU65</f>
        <v>x</v>
      </c>
      <c r="K65" s="36" t="str">
        <f>'Core Indicators'!BC65</f>
        <v>x</v>
      </c>
      <c r="L65" s="36">
        <f>'Core Indicators'!BK65</f>
        <v>1</v>
      </c>
      <c r="M65" s="36" t="str">
        <f>'Core Indicators'!BS65</f>
        <v>x</v>
      </c>
      <c r="N65" s="36" t="str">
        <f>'Core Indicators'!CA65</f>
        <v>x</v>
      </c>
      <c r="O65" s="36" t="e">
        <f>'Core Indicators'!CI65</f>
        <v>#N/A</v>
      </c>
      <c r="P65" s="36" t="str">
        <f>'Core Indicators'!CQ65</f>
        <v>x</v>
      </c>
      <c r="Q65" s="36">
        <f>'Core Indicators'!DG65</f>
        <v>7127000</v>
      </c>
      <c r="R65" s="36">
        <f>'Core Indicators'!DO65</f>
        <v>735000</v>
      </c>
      <c r="S65" s="36">
        <f>'Core Indicators'!DW65</f>
        <v>279000</v>
      </c>
      <c r="T65" s="36">
        <f>'Core Indicators'!EE65</f>
        <v>363000</v>
      </c>
      <c r="U65" s="36">
        <f>'Core Indicators'!EM65</f>
        <v>0</v>
      </c>
      <c r="V65" s="36">
        <f>'Core Indicators'!FC65</f>
        <v>2</v>
      </c>
      <c r="W65" s="36" t="str">
        <f>'Core Indicators'!FK65</f>
        <v>x</v>
      </c>
      <c r="X65" s="36" t="str">
        <f>'Core Indicators'!FS65</f>
        <v>x</v>
      </c>
      <c r="Y65" s="36">
        <f>'Core Indicators'!GA65</f>
        <v>0</v>
      </c>
      <c r="Z65" s="36">
        <f>'Core Indicators'!GI65</f>
        <v>0</v>
      </c>
      <c r="AA65" s="36">
        <f>'Core Indicators'!GQ65</f>
        <v>0</v>
      </c>
      <c r="AB65" s="36">
        <f>'Core Indicators'!GY65</f>
        <v>0</v>
      </c>
      <c r="AC65" s="36">
        <f>'Core Indicators'!HG65</f>
        <v>0</v>
      </c>
      <c r="AD65" s="36">
        <f>'Core Indicators'!HO65</f>
        <v>1</v>
      </c>
      <c r="AE65" s="36">
        <f>'Core Indicators'!HW65</f>
        <v>0</v>
      </c>
      <c r="AF65" s="36">
        <f>'Core Indicators'!IE65</f>
        <v>0</v>
      </c>
      <c r="AG65" s="36">
        <f>'Core Indicators'!IM65</f>
        <v>0</v>
      </c>
    </row>
    <row r="66" spans="1:33" ht="20.100000000000001" customHeight="1" x14ac:dyDescent="0.3">
      <c r="A66" s="267" t="str">
        <f>'Core Indicators'!A:A</f>
        <v xml:space="preserve">Multiple crisis in Kenya </v>
      </c>
      <c r="B66" s="267" t="str">
        <f>'Core Indicators'!B:B</f>
        <v>Multiple crises country</v>
      </c>
      <c r="C66" s="267" t="str">
        <f>'Core Indicators'!C66</f>
        <v>KEN001</v>
      </c>
      <c r="D66" s="267" t="str">
        <f>'Core Indicators'!D66</f>
        <v>Kenya</v>
      </c>
      <c r="E66" s="267" t="str">
        <f>'Core Indicators'!E66</f>
        <v>KEN</v>
      </c>
      <c r="F66" s="37">
        <f>'Core Indicators'!O66</f>
        <v>569140</v>
      </c>
      <c r="G66" s="37">
        <f>'Core Indicators'!W66</f>
        <v>51393000</v>
      </c>
      <c r="H66" s="37">
        <f>'Core Indicators'!AE66</f>
        <v>11193000</v>
      </c>
      <c r="I66" s="37">
        <f>'Core Indicators'!AM66</f>
        <v>611000</v>
      </c>
      <c r="J66" s="37">
        <f>'Core Indicators'!AU66</f>
        <v>0</v>
      </c>
      <c r="K66" s="37">
        <f>'Core Indicators'!BC66</f>
        <v>113000</v>
      </c>
      <c r="L66" s="37">
        <f>'Core Indicators'!BK66</f>
        <v>120</v>
      </c>
      <c r="M66" s="37">
        <f>'Core Indicators'!BS66</f>
        <v>0</v>
      </c>
      <c r="N66" s="37">
        <f>'Core Indicators'!CA66</f>
        <v>0</v>
      </c>
      <c r="O66" s="37" t="e">
        <f>'Core Indicators'!CI66</f>
        <v>#N/A</v>
      </c>
      <c r="P66" s="37" t="str">
        <f>'Core Indicators'!CQ66</f>
        <v>x</v>
      </c>
      <c r="Q66" s="37">
        <f>'Core Indicators'!DG66</f>
        <v>40200000</v>
      </c>
      <c r="R66" s="37">
        <f>'Core Indicators'!DO66</f>
        <v>9714000</v>
      </c>
      <c r="S66" s="37">
        <f>'Core Indicators'!DW66</f>
        <v>1367000</v>
      </c>
      <c r="T66" s="37">
        <f>'Core Indicators'!EE66</f>
        <v>113000</v>
      </c>
      <c r="U66" s="37">
        <f>'Core Indicators'!EM66</f>
        <v>0</v>
      </c>
      <c r="V66" s="37">
        <f>'Core Indicators'!FC66</f>
        <v>3</v>
      </c>
      <c r="W66" s="37" t="str">
        <f>'Core Indicators'!FK66</f>
        <v>x</v>
      </c>
      <c r="X66" s="37" t="str">
        <f>'Core Indicators'!FS66</f>
        <v>x</v>
      </c>
      <c r="Y66" s="37">
        <f>'Core Indicators'!GA66</f>
        <v>0</v>
      </c>
      <c r="Z66" s="37">
        <f>'Core Indicators'!GI66</f>
        <v>0</v>
      </c>
      <c r="AA66" s="37">
        <f>'Core Indicators'!GQ66</f>
        <v>0</v>
      </c>
      <c r="AB66" s="37">
        <f>'Core Indicators'!GY66</f>
        <v>0</v>
      </c>
      <c r="AC66" s="37">
        <f>'Core Indicators'!HG66</f>
        <v>0</v>
      </c>
      <c r="AD66" s="37">
        <f>'Core Indicators'!HO66</f>
        <v>1</v>
      </c>
      <c r="AE66" s="37">
        <f>'Core Indicators'!HW66</f>
        <v>0</v>
      </c>
      <c r="AF66" s="37">
        <f>'Core Indicators'!IE66</f>
        <v>1</v>
      </c>
      <c r="AG66" s="37">
        <f>'Core Indicators'!IM66</f>
        <v>1</v>
      </c>
    </row>
    <row r="67" spans="1:33" ht="20.100000000000001" customHeight="1" x14ac:dyDescent="0.3">
      <c r="A67" s="266" t="str">
        <f>'Core Indicators'!A:A</f>
        <v>Refugee situation in Kenya</v>
      </c>
      <c r="B67" s="266" t="str">
        <f>'Core Indicators'!B:B</f>
        <v>International displacement</v>
      </c>
      <c r="C67" s="266" t="str">
        <f>'Core Indicators'!C67</f>
        <v>KEN002</v>
      </c>
      <c r="D67" s="266" t="str">
        <f>'Core Indicators'!D67</f>
        <v>Kenya</v>
      </c>
      <c r="E67" s="266" t="str">
        <f>'Core Indicators'!E67</f>
        <v>KEN</v>
      </c>
      <c r="F67" s="36">
        <f>'Core Indicators'!O67</f>
        <v>123000</v>
      </c>
      <c r="G67" s="36">
        <f>'Core Indicators'!W67</f>
        <v>5216000</v>
      </c>
      <c r="H67" s="36">
        <f>'Core Indicators'!AE67</f>
        <v>495000</v>
      </c>
      <c r="I67" s="36">
        <f>'Core Indicators'!AM67</f>
        <v>495000</v>
      </c>
      <c r="J67" s="36">
        <f>'Core Indicators'!AU67</f>
        <v>0</v>
      </c>
      <c r="K67" s="36" t="str">
        <f>'Core Indicators'!BC67</f>
        <v>x</v>
      </c>
      <c r="L67" s="36" t="str">
        <f>'Core Indicators'!BK67</f>
        <v>x</v>
      </c>
      <c r="M67" s="36">
        <f>'Core Indicators'!BS67</f>
        <v>0</v>
      </c>
      <c r="N67" s="36">
        <f>'Core Indicators'!CA67</f>
        <v>0</v>
      </c>
      <c r="O67" s="36" t="e">
        <f>'Core Indicators'!CI67</f>
        <v>#N/A</v>
      </c>
      <c r="P67" s="36" t="str">
        <f>'Core Indicators'!CQ67</f>
        <v>x</v>
      </c>
      <c r="Q67" s="36">
        <f>'Core Indicators'!DG67</f>
        <v>4721000</v>
      </c>
      <c r="R67" s="36">
        <f>'Core Indicators'!DO67</f>
        <v>0</v>
      </c>
      <c r="S67" s="36">
        <f>'Core Indicators'!DW67</f>
        <v>495000</v>
      </c>
      <c r="T67" s="36">
        <f>'Core Indicators'!EE67</f>
        <v>0</v>
      </c>
      <c r="U67" s="36">
        <f>'Core Indicators'!EM67</f>
        <v>0</v>
      </c>
      <c r="V67" s="36">
        <f>'Core Indicators'!FC67</f>
        <v>2</v>
      </c>
      <c r="W67" s="36" t="str">
        <f>'Core Indicators'!FK67</f>
        <v>x</v>
      </c>
      <c r="X67" s="36" t="str">
        <f>'Core Indicators'!FS67</f>
        <v>x</v>
      </c>
      <c r="Y67" s="36">
        <f>'Core Indicators'!GA67</f>
        <v>0</v>
      </c>
      <c r="Z67" s="36">
        <f>'Core Indicators'!GI67</f>
        <v>0</v>
      </c>
      <c r="AA67" s="36">
        <f>'Core Indicators'!GQ67</f>
        <v>0</v>
      </c>
      <c r="AB67" s="36">
        <f>'Core Indicators'!GY67</f>
        <v>0</v>
      </c>
      <c r="AC67" s="36">
        <f>'Core Indicators'!HG67</f>
        <v>0</v>
      </c>
      <c r="AD67" s="36">
        <f>'Core Indicators'!HO67</f>
        <v>0</v>
      </c>
      <c r="AE67" s="36">
        <f>'Core Indicators'!HW67</f>
        <v>0</v>
      </c>
      <c r="AF67" s="36">
        <f>'Core Indicators'!IE67</f>
        <v>1</v>
      </c>
      <c r="AG67" s="36">
        <f>'Core Indicators'!IM67</f>
        <v>0</v>
      </c>
    </row>
    <row r="68" spans="1:33" ht="20.100000000000001" customHeight="1" x14ac:dyDescent="0.3">
      <c r="A68" s="267" t="str">
        <f>'Core Indicators'!A:A</f>
        <v>Drought in Kenya</v>
      </c>
      <c r="B68" s="267" t="str">
        <f>'Core Indicators'!B:B</f>
        <v>Drought</v>
      </c>
      <c r="C68" s="267" t="str">
        <f>'Core Indicators'!C68</f>
        <v>KEN003</v>
      </c>
      <c r="D68" s="267" t="str">
        <f>'Core Indicators'!D68</f>
        <v>Kenya</v>
      </c>
      <c r="E68" s="267" t="str">
        <f>'Core Indicators'!E68</f>
        <v>KEN</v>
      </c>
      <c r="F68" s="37">
        <f>'Core Indicators'!O68</f>
        <v>569140</v>
      </c>
      <c r="G68" s="37">
        <f>'Core Indicators'!W68</f>
        <v>51393000</v>
      </c>
      <c r="H68" s="37">
        <f>'Core Indicators'!AE68</f>
        <v>10698000</v>
      </c>
      <c r="I68" s="37" t="str">
        <f>'Core Indicators'!AM68</f>
        <v>x</v>
      </c>
      <c r="J68" s="37">
        <f>'Core Indicators'!AU68</f>
        <v>0</v>
      </c>
      <c r="K68" s="37">
        <f>'Core Indicators'!BC68</f>
        <v>113000</v>
      </c>
      <c r="L68" s="37" t="str">
        <f>'Core Indicators'!BK68</f>
        <v>x</v>
      </c>
      <c r="M68" s="37">
        <f>'Core Indicators'!BS68</f>
        <v>0</v>
      </c>
      <c r="N68" s="37">
        <f>'Core Indicators'!CA68</f>
        <v>0</v>
      </c>
      <c r="O68" s="37" t="e">
        <f>'Core Indicators'!CI68</f>
        <v>#N/A</v>
      </c>
      <c r="P68" s="37" t="str">
        <f>'Core Indicators'!CQ68</f>
        <v>x</v>
      </c>
      <c r="Q68" s="37">
        <f>'Core Indicators'!DG68</f>
        <v>40695000</v>
      </c>
      <c r="R68" s="37">
        <f>'Core Indicators'!DO68</f>
        <v>9714000</v>
      </c>
      <c r="S68" s="37">
        <f>'Core Indicators'!DW68</f>
        <v>872000</v>
      </c>
      <c r="T68" s="37">
        <f>'Core Indicators'!EE68</f>
        <v>113000</v>
      </c>
      <c r="U68" s="37">
        <f>'Core Indicators'!EM68</f>
        <v>0</v>
      </c>
      <c r="V68" s="37">
        <f>'Core Indicators'!FC68</f>
        <v>3</v>
      </c>
      <c r="W68" s="37" t="str">
        <f>'Core Indicators'!FK68</f>
        <v>x</v>
      </c>
      <c r="X68" s="37" t="str">
        <f>'Core Indicators'!FS68</f>
        <v>x</v>
      </c>
      <c r="Y68" s="37">
        <f>'Core Indicators'!GA68</f>
        <v>0</v>
      </c>
      <c r="Z68" s="37">
        <f>'Core Indicators'!GI68</f>
        <v>0</v>
      </c>
      <c r="AA68" s="37">
        <f>'Core Indicators'!GQ68</f>
        <v>0</v>
      </c>
      <c r="AB68" s="37">
        <f>'Core Indicators'!GY68</f>
        <v>0</v>
      </c>
      <c r="AC68" s="37">
        <f>'Core Indicators'!HG68</f>
        <v>0</v>
      </c>
      <c r="AD68" s="37">
        <f>'Core Indicators'!HO68</f>
        <v>0</v>
      </c>
      <c r="AE68" s="37">
        <f>'Core Indicators'!HW68</f>
        <v>0</v>
      </c>
      <c r="AF68" s="37">
        <f>'Core Indicators'!IE68</f>
        <v>1</v>
      </c>
      <c r="AG68" s="37">
        <f>'Core Indicators'!IM68</f>
        <v>0</v>
      </c>
    </row>
    <row r="69" spans="1:33" ht="20.100000000000001" customHeight="1" x14ac:dyDescent="0.3">
      <c r="A69" s="266" t="str">
        <f>'Core Indicators'!A:A</f>
        <v>Flooding and Landslides in Kenya</v>
      </c>
      <c r="B69" s="266" t="str">
        <f>'Core Indicators'!B:B</f>
        <v>Flood</v>
      </c>
      <c r="C69" s="266" t="str">
        <f>'Core Indicators'!C69</f>
        <v>KEN005</v>
      </c>
      <c r="D69" s="266" t="str">
        <f>'Core Indicators'!D69</f>
        <v>Kenya</v>
      </c>
      <c r="E69" s="266" t="str">
        <f>'Core Indicators'!E69</f>
        <v>KEN</v>
      </c>
      <c r="F69" s="36">
        <f>'Core Indicators'!O69</f>
        <v>471098</v>
      </c>
      <c r="G69" s="36">
        <f>'Core Indicators'!W69</f>
        <v>42513000</v>
      </c>
      <c r="H69" s="36">
        <f>'Core Indicators'!AE69</f>
        <v>233000</v>
      </c>
      <c r="I69" s="36">
        <f>'Core Indicators'!AM69</f>
        <v>16000</v>
      </c>
      <c r="J69" s="36" t="str">
        <f>'Core Indicators'!AU69</f>
        <v>x</v>
      </c>
      <c r="K69" s="36" t="str">
        <f>'Core Indicators'!BC69</f>
        <v>x</v>
      </c>
      <c r="L69" s="36">
        <f>'Core Indicators'!BK69</f>
        <v>237</v>
      </c>
      <c r="M69" s="36" t="str">
        <f>'Core Indicators'!BS69</f>
        <v>x</v>
      </c>
      <c r="N69" s="36" t="str">
        <f>'Core Indicators'!CA69</f>
        <v>x</v>
      </c>
      <c r="O69" s="36" t="e">
        <f>'Core Indicators'!CI69</f>
        <v>#N/A</v>
      </c>
      <c r="P69" s="36" t="str">
        <f>'Core Indicators'!CQ69</f>
        <v>x</v>
      </c>
      <c r="Q69" s="36">
        <f>'Core Indicators'!DG69</f>
        <v>42280000</v>
      </c>
      <c r="R69" s="36">
        <f>'Core Indicators'!DO69</f>
        <v>117000</v>
      </c>
      <c r="S69" s="36">
        <f>'Core Indicators'!DW69</f>
        <v>116000</v>
      </c>
      <c r="T69" s="36">
        <f>'Core Indicators'!EE69</f>
        <v>0</v>
      </c>
      <c r="U69" s="36">
        <f>'Core Indicators'!EM69</f>
        <v>0</v>
      </c>
      <c r="V69" s="36" t="str">
        <f>'Core Indicators'!FC69</f>
        <v>x</v>
      </c>
      <c r="W69" s="36" t="str">
        <f>'Core Indicators'!FK69</f>
        <v>x</v>
      </c>
      <c r="X69" s="36" t="str">
        <f>'Core Indicators'!FS69</f>
        <v>x</v>
      </c>
      <c r="Y69" s="36">
        <f>'Core Indicators'!GA69</f>
        <v>0</v>
      </c>
      <c r="Z69" s="36">
        <f>'Core Indicators'!GI69</f>
        <v>1</v>
      </c>
      <c r="AA69" s="36">
        <f>'Core Indicators'!GQ69</f>
        <v>1</v>
      </c>
      <c r="AB69" s="36">
        <f>'Core Indicators'!GY69</f>
        <v>0</v>
      </c>
      <c r="AC69" s="36">
        <f>'Core Indicators'!HG69</f>
        <v>0</v>
      </c>
      <c r="AD69" s="36">
        <f>'Core Indicators'!HO69</f>
        <v>0</v>
      </c>
      <c r="AE69" s="36">
        <f>'Core Indicators'!HW69</f>
        <v>0</v>
      </c>
      <c r="AF69" s="36">
        <f>'Core Indicators'!IE69</f>
        <v>1</v>
      </c>
      <c r="AG69" s="36">
        <f>'Core Indicators'!IM69</f>
        <v>3</v>
      </c>
    </row>
    <row r="70" spans="1:33" ht="20.100000000000001" customHeight="1" x14ac:dyDescent="0.3">
      <c r="A70" s="267" t="str">
        <f>'Core Indicators'!A:A</f>
        <v>Syrian refugees in Lebanon</v>
      </c>
      <c r="B70" s="267" t="str">
        <f>'Core Indicators'!B:B</f>
        <v>International displacement</v>
      </c>
      <c r="C70" s="267" t="str">
        <f>'Core Indicators'!C70</f>
        <v>LBN002</v>
      </c>
      <c r="D70" s="267" t="str">
        <f>'Core Indicators'!D70</f>
        <v>Lebanon</v>
      </c>
      <c r="E70" s="267" t="str">
        <f>'Core Indicators'!E70</f>
        <v>LBN</v>
      </c>
      <c r="F70" s="37">
        <f>'Core Indicators'!O70</f>
        <v>10201.200000000001</v>
      </c>
      <c r="G70" s="37">
        <f>'Core Indicators'!W70</f>
        <v>6849000</v>
      </c>
      <c r="H70" s="37">
        <f>'Core Indicators'!AE70</f>
        <v>3027000</v>
      </c>
      <c r="I70" s="37">
        <f>'Core Indicators'!AM70</f>
        <v>1527000</v>
      </c>
      <c r="J70" s="37" t="str">
        <f>'Core Indicators'!AU70</f>
        <v>x</v>
      </c>
      <c r="K70" s="37">
        <f>'Core Indicators'!BC70</f>
        <v>0</v>
      </c>
      <c r="L70" s="37">
        <f>'Core Indicators'!BK70</f>
        <v>0</v>
      </c>
      <c r="M70" s="37" t="str">
        <f>'Core Indicators'!BS70</f>
        <v>x</v>
      </c>
      <c r="N70" s="37" t="str">
        <f>'Core Indicators'!CA70</f>
        <v>x</v>
      </c>
      <c r="O70" s="37" t="e">
        <f>'Core Indicators'!CI70</f>
        <v>#N/A</v>
      </c>
      <c r="P70" s="37" t="str">
        <f>'Core Indicators'!CQ70</f>
        <v>x</v>
      </c>
      <c r="Q70" s="37">
        <f>'Core Indicators'!DG70</f>
        <v>3822000</v>
      </c>
      <c r="R70" s="37">
        <f>'Core Indicators'!DO70</f>
        <v>2361000</v>
      </c>
      <c r="S70" s="37">
        <f>'Core Indicators'!DW70</f>
        <v>180000</v>
      </c>
      <c r="T70" s="37">
        <f>'Core Indicators'!EE70</f>
        <v>486000</v>
      </c>
      <c r="U70" s="37">
        <f>'Core Indicators'!EM70</f>
        <v>0</v>
      </c>
      <c r="V70" s="37">
        <f>'Core Indicators'!FC70</f>
        <v>2</v>
      </c>
      <c r="W70" s="37" t="str">
        <f>'Core Indicators'!FK70</f>
        <v>x</v>
      </c>
      <c r="X70" s="37" t="str">
        <f>'Core Indicators'!FS70</f>
        <v>x</v>
      </c>
      <c r="Y70" s="37">
        <f>'Core Indicators'!GA70</f>
        <v>1</v>
      </c>
      <c r="Z70" s="37">
        <f>'Core Indicators'!GI70</f>
        <v>0</v>
      </c>
      <c r="AA70" s="37">
        <f>'Core Indicators'!GQ70</f>
        <v>1</v>
      </c>
      <c r="AB70" s="37">
        <f>'Core Indicators'!GY70</f>
        <v>0</v>
      </c>
      <c r="AC70" s="37">
        <f>'Core Indicators'!HG70</f>
        <v>1</v>
      </c>
      <c r="AD70" s="37">
        <f>'Core Indicators'!HO70</f>
        <v>2</v>
      </c>
      <c r="AE70" s="37">
        <f>'Core Indicators'!HW70</f>
        <v>0</v>
      </c>
      <c r="AF70" s="37">
        <f>'Core Indicators'!IE70</f>
        <v>2</v>
      </c>
      <c r="AG70" s="37">
        <f>'Core Indicators'!IM70</f>
        <v>2</v>
      </c>
    </row>
    <row r="71" spans="1:33" ht="20.100000000000001" customHeight="1" x14ac:dyDescent="0.3">
      <c r="A71" s="266" t="str">
        <f>'Core Indicators'!A:A</f>
        <v>Socioeconomic crisis in Lebanon</v>
      </c>
      <c r="B71" s="266" t="str">
        <f>'Core Indicators'!B:B</f>
        <v>Political and economic crisis</v>
      </c>
      <c r="C71" s="266" t="str">
        <f>'Core Indicators'!C71</f>
        <v>LBN004</v>
      </c>
      <c r="D71" s="266" t="str">
        <f>'Core Indicators'!D71</f>
        <v>Lebanon</v>
      </c>
      <c r="E71" s="266" t="str">
        <f>'Core Indicators'!E71</f>
        <v>LBN</v>
      </c>
      <c r="F71" s="36">
        <f>'Core Indicators'!O71</f>
        <v>10201.200000000001</v>
      </c>
      <c r="G71" s="36">
        <f>'Core Indicators'!W71</f>
        <v>6849000</v>
      </c>
      <c r="H71" s="36">
        <f>'Core Indicators'!AE71</f>
        <v>4239000</v>
      </c>
      <c r="I71" s="36" t="str">
        <f>'Core Indicators'!AM71</f>
        <v>x</v>
      </c>
      <c r="J71" s="36" t="str">
        <f>'Core Indicators'!AU71</f>
        <v>x</v>
      </c>
      <c r="K71" s="36" t="str">
        <f>'Core Indicators'!BC71</f>
        <v>x</v>
      </c>
      <c r="L71" s="36">
        <f>'Core Indicators'!BK71</f>
        <v>0</v>
      </c>
      <c r="M71" s="36" t="str">
        <f>'Core Indicators'!BS71</f>
        <v>x</v>
      </c>
      <c r="N71" s="36" t="str">
        <f>'Core Indicators'!CA71</f>
        <v>x</v>
      </c>
      <c r="O71" s="36" t="e">
        <f>'Core Indicators'!CI71</f>
        <v>#N/A</v>
      </c>
      <c r="P71" s="36" t="str">
        <f>'Core Indicators'!CQ71</f>
        <v>x</v>
      </c>
      <c r="Q71" s="36">
        <f>'Core Indicators'!DG71</f>
        <v>2609000</v>
      </c>
      <c r="R71" s="36">
        <f>'Core Indicators'!DO71</f>
        <v>473000</v>
      </c>
      <c r="S71" s="36">
        <f>'Core Indicators'!DW71</f>
        <v>2192000</v>
      </c>
      <c r="T71" s="36">
        <f>'Core Indicators'!EE71</f>
        <v>1575000</v>
      </c>
      <c r="U71" s="36">
        <f>'Core Indicators'!EM71</f>
        <v>0</v>
      </c>
      <c r="V71" s="36">
        <f>'Core Indicators'!FC71</f>
        <v>3</v>
      </c>
      <c r="W71" s="36" t="str">
        <f>'Core Indicators'!FK71</f>
        <v>x</v>
      </c>
      <c r="X71" s="36" t="str">
        <f>'Core Indicators'!FS71</f>
        <v>x</v>
      </c>
      <c r="Y71" s="36">
        <f>'Core Indicators'!GA71</f>
        <v>1</v>
      </c>
      <c r="Z71" s="36">
        <f>'Core Indicators'!GI71</f>
        <v>2</v>
      </c>
      <c r="AA71" s="36">
        <f>'Core Indicators'!GQ71</f>
        <v>2</v>
      </c>
      <c r="AB71" s="36">
        <f>'Core Indicators'!GY71</f>
        <v>0</v>
      </c>
      <c r="AC71" s="36">
        <f>'Core Indicators'!HG71</f>
        <v>2</v>
      </c>
      <c r="AD71" s="36">
        <f>'Core Indicators'!HO71</f>
        <v>3</v>
      </c>
      <c r="AE71" s="36">
        <f>'Core Indicators'!HW71</f>
        <v>0</v>
      </c>
      <c r="AF71" s="36">
        <f>'Core Indicators'!IE71</f>
        <v>3</v>
      </c>
      <c r="AG71" s="36">
        <f>'Core Indicators'!IM71</f>
        <v>0</v>
      </c>
    </row>
    <row r="72" spans="1:33" ht="20.100000000000001" customHeight="1" x14ac:dyDescent="0.3">
      <c r="A72" s="267" t="str">
        <f>'Core Indicators'!A:A</f>
        <v>Explosion in Beirut</v>
      </c>
      <c r="B72" s="267" t="str">
        <f>'Core Indicators'!B:B</f>
        <v>Industrial Accidents</v>
      </c>
      <c r="C72" s="267" t="str">
        <f>'Core Indicators'!C72</f>
        <v>LBN005</v>
      </c>
      <c r="D72" s="267" t="str">
        <f>'Core Indicators'!D72</f>
        <v>Lebanon</v>
      </c>
      <c r="E72" s="267" t="str">
        <f>'Core Indicators'!E72</f>
        <v>LBN</v>
      </c>
      <c r="F72" s="37">
        <f>'Core Indicators'!O72</f>
        <v>1987.6</v>
      </c>
      <c r="G72" s="37">
        <f>'Core Indicators'!W72</f>
        <v>2200000</v>
      </c>
      <c r="H72" s="37">
        <f>'Core Indicators'!AE72</f>
        <v>2200000</v>
      </c>
      <c r="I72" s="37">
        <f>'Core Indicators'!AM72</f>
        <v>300000</v>
      </c>
      <c r="J72" s="37">
        <f>'Core Indicators'!AU72</f>
        <v>6500</v>
      </c>
      <c r="K72" s="37" t="str">
        <f>'Core Indicators'!BC72</f>
        <v>x</v>
      </c>
      <c r="L72" s="37">
        <f>'Core Indicators'!BK72</f>
        <v>191</v>
      </c>
      <c r="M72" s="37" t="str">
        <f>'Core Indicators'!BS72</f>
        <v>x</v>
      </c>
      <c r="N72" s="37" t="str">
        <f>'Core Indicators'!CA72</f>
        <v>x</v>
      </c>
      <c r="O72" s="37" t="e">
        <f>'Core Indicators'!CI72</f>
        <v>#N/A</v>
      </c>
      <c r="P72" s="37" t="str">
        <f>'Core Indicators'!CQ72</f>
        <v>x</v>
      </c>
      <c r="Q72" s="37">
        <f>'Core Indicators'!DG72</f>
        <v>0</v>
      </c>
      <c r="R72" s="37">
        <f>'Core Indicators'!DO72</f>
        <v>1200000</v>
      </c>
      <c r="S72" s="37">
        <f>'Core Indicators'!DW72</f>
        <v>1000000</v>
      </c>
      <c r="T72" s="37">
        <f>'Core Indicators'!EE72</f>
        <v>0</v>
      </c>
      <c r="U72" s="37">
        <f>'Core Indicators'!EM72</f>
        <v>0</v>
      </c>
      <c r="V72" s="37">
        <f>'Core Indicators'!FC72</f>
        <v>4</v>
      </c>
      <c r="W72" s="37" t="str">
        <f>'Core Indicators'!FK72</f>
        <v>x</v>
      </c>
      <c r="X72" s="37" t="str">
        <f>'Core Indicators'!FS72</f>
        <v>x</v>
      </c>
      <c r="Y72" s="37">
        <f>'Core Indicators'!GA72</f>
        <v>1</v>
      </c>
      <c r="Z72" s="37">
        <f>'Core Indicators'!GI72</f>
        <v>2</v>
      </c>
      <c r="AA72" s="37">
        <f>'Core Indicators'!GQ72</f>
        <v>2</v>
      </c>
      <c r="AB72" s="37">
        <f>'Core Indicators'!GY72</f>
        <v>0</v>
      </c>
      <c r="AC72" s="37">
        <f>'Core Indicators'!HG72</f>
        <v>2</v>
      </c>
      <c r="AD72" s="37">
        <f>'Core Indicators'!HO72</f>
        <v>3</v>
      </c>
      <c r="AE72" s="37">
        <f>'Core Indicators'!HW72</f>
        <v>0</v>
      </c>
      <c r="AF72" s="37">
        <f>'Core Indicators'!IE72</f>
        <v>0</v>
      </c>
      <c r="AG72" s="37">
        <f>'Core Indicators'!IM72</f>
        <v>1</v>
      </c>
    </row>
    <row r="73" spans="1:33" ht="20.100000000000001" customHeight="1" x14ac:dyDescent="0.3">
      <c r="A73" s="266" t="str">
        <f>'Core Indicators'!A:A</f>
        <v>Drought in Lesotho</v>
      </c>
      <c r="B73" s="266" t="str">
        <f>'Core Indicators'!B:B</f>
        <v>Drought</v>
      </c>
      <c r="C73" s="266" t="str">
        <f>'Core Indicators'!C73</f>
        <v>LSO002</v>
      </c>
      <c r="D73" s="266" t="str">
        <f>'Core Indicators'!D73</f>
        <v>Lesotho</v>
      </c>
      <c r="E73" s="266" t="str">
        <f>'Core Indicators'!E73</f>
        <v>LSO</v>
      </c>
      <c r="F73" s="36">
        <f>'Core Indicators'!O73</f>
        <v>30400</v>
      </c>
      <c r="G73" s="36">
        <f>'Core Indicators'!W73</f>
        <v>1467000</v>
      </c>
      <c r="H73" s="36">
        <f>'Core Indicators'!AE73</f>
        <v>1062000</v>
      </c>
      <c r="I73" s="36" t="str">
        <f>'Core Indicators'!AM73</f>
        <v>x</v>
      </c>
      <c r="J73" s="36">
        <f>'Core Indicators'!AU73</f>
        <v>0</v>
      </c>
      <c r="K73" s="36">
        <f>'Core Indicators'!BC73</f>
        <v>0</v>
      </c>
      <c r="L73" s="36">
        <f>'Core Indicators'!BK73</f>
        <v>0</v>
      </c>
      <c r="M73" s="36">
        <f>'Core Indicators'!BS73</f>
        <v>0</v>
      </c>
      <c r="N73" s="36">
        <f>'Core Indicators'!CA73</f>
        <v>0</v>
      </c>
      <c r="O73" s="36" t="e">
        <f>'Core Indicators'!CI73</f>
        <v>#N/A</v>
      </c>
      <c r="P73" s="36" t="str">
        <f>'Core Indicators'!CQ73</f>
        <v>X</v>
      </c>
      <c r="Q73" s="36">
        <f>'Core Indicators'!DG73</f>
        <v>405000</v>
      </c>
      <c r="R73" s="36">
        <f>'Core Indicators'!DO73</f>
        <v>480000</v>
      </c>
      <c r="S73" s="36">
        <f>'Core Indicators'!DW73</f>
        <v>482000</v>
      </c>
      <c r="T73" s="36">
        <f>'Core Indicators'!EE73</f>
        <v>100000</v>
      </c>
      <c r="U73" s="36">
        <f>'Core Indicators'!EM73</f>
        <v>0</v>
      </c>
      <c r="V73" s="36">
        <f>'Core Indicators'!FC73</f>
        <v>1</v>
      </c>
      <c r="W73" s="36">
        <f>'Core Indicators'!FK73</f>
        <v>0</v>
      </c>
      <c r="X73" s="36">
        <f>'Core Indicators'!FS73</f>
        <v>0</v>
      </c>
      <c r="Y73" s="36">
        <f>'Core Indicators'!GA73</f>
        <v>0</v>
      </c>
      <c r="Z73" s="36">
        <f>'Core Indicators'!GI73</f>
        <v>0</v>
      </c>
      <c r="AA73" s="36">
        <f>'Core Indicators'!GQ73</f>
        <v>0</v>
      </c>
      <c r="AB73" s="36">
        <f>'Core Indicators'!GY73</f>
        <v>0</v>
      </c>
      <c r="AC73" s="36">
        <f>'Core Indicators'!HG73</f>
        <v>0</v>
      </c>
      <c r="AD73" s="36">
        <f>'Core Indicators'!HO73</f>
        <v>0</v>
      </c>
      <c r="AE73" s="36">
        <f>'Core Indicators'!HW73</f>
        <v>0</v>
      </c>
      <c r="AF73" s="36">
        <f>'Core Indicators'!IE73</f>
        <v>0</v>
      </c>
      <c r="AG73" s="36">
        <f>'Core Indicators'!IM73</f>
        <v>1</v>
      </c>
    </row>
    <row r="74" spans="1:33" ht="20.100000000000001" customHeight="1" x14ac:dyDescent="0.3">
      <c r="A74" s="267" t="str">
        <f>'Core Indicators'!A:A</f>
        <v>Southern Africa Regional Food Security Crisis</v>
      </c>
      <c r="B74" s="267" t="str">
        <f>'Core Indicators'!B:B</f>
        <v>Regional crisis</v>
      </c>
      <c r="C74" s="267" t="str">
        <f>'Core Indicators'!C74</f>
        <v>REG012</v>
      </c>
      <c r="D74" s="267" t="str">
        <f>'Core Indicators'!D74</f>
        <v>Lesotho,Madagascar,Malawi,Mozambique,Namibia,Eswatini,Tanzania,Zambia,Zimbabwe</v>
      </c>
      <c r="E74" s="267" t="str">
        <f>'Core Indicators'!E74</f>
        <v>LSO, MDG, MWI, MOZ, NAM, SWZ, TZA, ZMB, ZWE</v>
      </c>
      <c r="F74" s="37">
        <f>'Core Indicators'!O74</f>
        <v>1821365</v>
      </c>
      <c r="G74" s="37">
        <f>'Core Indicators'!W74</f>
        <v>52142000</v>
      </c>
      <c r="H74" s="37">
        <f>'Core Indicators'!AE74</f>
        <v>26810000</v>
      </c>
      <c r="I74" s="37">
        <f>'Core Indicators'!AM74</f>
        <v>21000</v>
      </c>
      <c r="J74" s="37">
        <f>'Core Indicators'!AU74</f>
        <v>0</v>
      </c>
      <c r="K74" s="37">
        <f>'Core Indicators'!BC74</f>
        <v>0</v>
      </c>
      <c r="L74" s="37">
        <f>'Core Indicators'!BK74</f>
        <v>47</v>
      </c>
      <c r="M74" s="37">
        <f>'Core Indicators'!BS74</f>
        <v>0</v>
      </c>
      <c r="N74" s="37">
        <f>'Core Indicators'!CA74</f>
        <v>0</v>
      </c>
      <c r="O74" s="37" t="e">
        <f>'Core Indicators'!CI74</f>
        <v>#N/A</v>
      </c>
      <c r="P74" s="37">
        <f>'Core Indicators'!CQ74</f>
        <v>0</v>
      </c>
      <c r="Q74" s="37">
        <f>'Core Indicators'!DG74</f>
        <v>25331000</v>
      </c>
      <c r="R74" s="37">
        <f>'Core Indicators'!DO74</f>
        <v>12633000</v>
      </c>
      <c r="S74" s="37">
        <f>'Core Indicators'!DW74</f>
        <v>13565000</v>
      </c>
      <c r="T74" s="37">
        <f>'Core Indicators'!EE74</f>
        <v>611000</v>
      </c>
      <c r="U74" s="37">
        <f>'Core Indicators'!EM74</f>
        <v>0</v>
      </c>
      <c r="V74" s="37">
        <f>'Core Indicators'!FC74</f>
        <v>5</v>
      </c>
      <c r="W74" s="37" t="e">
        <f>'Core Indicators'!FK74</f>
        <v>#N/A</v>
      </c>
      <c r="X74" s="37" t="e">
        <f>'Core Indicators'!FS74</f>
        <v>#N/A</v>
      </c>
      <c r="Y74" s="37">
        <f>'Core Indicators'!GA74</f>
        <v>0</v>
      </c>
      <c r="Z74" s="37">
        <f>'Core Indicators'!GI74</f>
        <v>0</v>
      </c>
      <c r="AA74" s="37">
        <f>'Core Indicators'!GQ74</f>
        <v>0</v>
      </c>
      <c r="AB74" s="37">
        <f>'Core Indicators'!GY74</f>
        <v>0</v>
      </c>
      <c r="AC74" s="37">
        <f>'Core Indicators'!HG74</f>
        <v>0</v>
      </c>
      <c r="AD74" s="37">
        <f>'Core Indicators'!HO74</f>
        <v>0</v>
      </c>
      <c r="AE74" s="37">
        <f>'Core Indicators'!HW74</f>
        <v>3</v>
      </c>
      <c r="AF74" s="37">
        <f>'Core Indicators'!IE74</f>
        <v>0</v>
      </c>
      <c r="AG74" s="37">
        <f>'Core Indicators'!IM74</f>
        <v>2</v>
      </c>
    </row>
    <row r="75" spans="1:33" ht="20.100000000000001" customHeight="1" x14ac:dyDescent="0.3">
      <c r="A75" s="266" t="str">
        <f>'Core Indicators'!A:A</f>
        <v>Complex crisis in Libya</v>
      </c>
      <c r="B75" s="266" t="str">
        <f>'Core Indicators'!B:B</f>
        <v>Multiple crises country</v>
      </c>
      <c r="C75" s="266" t="str">
        <f>'Core Indicators'!C75</f>
        <v>LBY001</v>
      </c>
      <c r="D75" s="266" t="str">
        <f>'Core Indicators'!D75</f>
        <v>Libya</v>
      </c>
      <c r="E75" s="266" t="str">
        <f>'Core Indicators'!E75</f>
        <v>LBY</v>
      </c>
      <c r="F75" s="36">
        <f>'Core Indicators'!O75</f>
        <v>1759540</v>
      </c>
      <c r="G75" s="36">
        <f>'Core Indicators'!W75</f>
        <v>6871000</v>
      </c>
      <c r="H75" s="36">
        <f>'Core Indicators'!AE75</f>
        <v>1800000</v>
      </c>
      <c r="I75" s="36">
        <f>'Core Indicators'!AM75</f>
        <v>1466000</v>
      </c>
      <c r="J75" s="36" t="str">
        <f>'Core Indicators'!AU75</f>
        <v>x</v>
      </c>
      <c r="K75" s="36" t="str">
        <f>'Core Indicators'!BC75</f>
        <v>x</v>
      </c>
      <c r="L75" s="36">
        <f>'Core Indicators'!BK75</f>
        <v>692</v>
      </c>
      <c r="M75" s="36" t="str">
        <f>'Core Indicators'!BS75</f>
        <v>x</v>
      </c>
      <c r="N75" s="36" t="str">
        <f>'Core Indicators'!CA75</f>
        <v>x</v>
      </c>
      <c r="O75" s="36" t="e">
        <f>'Core Indicators'!CI75</f>
        <v>#N/A</v>
      </c>
      <c r="P75" s="36" t="str">
        <f>'Core Indicators'!CQ75</f>
        <v>x</v>
      </c>
      <c r="Q75" s="36">
        <f>'Core Indicators'!DG75</f>
        <v>5071000</v>
      </c>
      <c r="R75" s="36">
        <f>'Core Indicators'!DO75</f>
        <v>774000</v>
      </c>
      <c r="S75" s="36">
        <f>'Core Indicators'!DW75</f>
        <v>108000</v>
      </c>
      <c r="T75" s="36">
        <f>'Core Indicators'!EE75</f>
        <v>558000</v>
      </c>
      <c r="U75" s="36">
        <f>'Core Indicators'!EM75</f>
        <v>360000</v>
      </c>
      <c r="V75" s="36">
        <f>'Core Indicators'!FC75</f>
        <v>5</v>
      </c>
      <c r="W75" s="36">
        <f>'Core Indicators'!FK75</f>
        <v>198000</v>
      </c>
      <c r="X75" s="36">
        <f>'Core Indicators'!FS75</f>
        <v>633000</v>
      </c>
      <c r="Y75" s="36">
        <f>'Core Indicators'!GA75</f>
        <v>1</v>
      </c>
      <c r="Z75" s="36">
        <f>'Core Indicators'!GI75</f>
        <v>3</v>
      </c>
      <c r="AA75" s="36">
        <f>'Core Indicators'!GQ75</f>
        <v>3</v>
      </c>
      <c r="AB75" s="36">
        <f>'Core Indicators'!GY75</f>
        <v>1</v>
      </c>
      <c r="AC75" s="36">
        <f>'Core Indicators'!HG75</f>
        <v>2</v>
      </c>
      <c r="AD75" s="36">
        <f>'Core Indicators'!HO75</f>
        <v>2</v>
      </c>
      <c r="AE75" s="36">
        <f>'Core Indicators'!HW75</f>
        <v>3</v>
      </c>
      <c r="AF75" s="36">
        <f>'Core Indicators'!IE75</f>
        <v>3</v>
      </c>
      <c r="AG75" s="36">
        <f>'Core Indicators'!IM75</f>
        <v>3</v>
      </c>
    </row>
    <row r="76" spans="1:33" ht="20.100000000000001" customHeight="1" x14ac:dyDescent="0.3">
      <c r="A76" s="267" t="str">
        <f>'Core Indicators'!A:A</f>
        <v>Mixed migration flows in Libya</v>
      </c>
      <c r="B76" s="267" t="str">
        <f>'Core Indicators'!B:B</f>
        <v>International displacement</v>
      </c>
      <c r="C76" s="267" t="str">
        <f>'Core Indicators'!C76</f>
        <v>LBY002</v>
      </c>
      <c r="D76" s="267" t="str">
        <f>'Core Indicators'!D76</f>
        <v>Libya</v>
      </c>
      <c r="E76" s="267" t="str">
        <f>'Core Indicators'!E76</f>
        <v>LBY</v>
      </c>
      <c r="F76" s="37">
        <f>'Core Indicators'!O76</f>
        <v>1759540</v>
      </c>
      <c r="G76" s="37">
        <f>'Core Indicators'!W76</f>
        <v>6871000</v>
      </c>
      <c r="H76" s="37">
        <f>'Core Indicators'!AE76</f>
        <v>585000</v>
      </c>
      <c r="I76" s="37">
        <f>'Core Indicators'!AM76</f>
        <v>585000</v>
      </c>
      <c r="J76" s="37" t="str">
        <f>'Core Indicators'!AU76</f>
        <v>x</v>
      </c>
      <c r="K76" s="37" t="str">
        <f>'Core Indicators'!BC76</f>
        <v>x</v>
      </c>
      <c r="L76" s="37">
        <f>'Core Indicators'!BK76</f>
        <v>207</v>
      </c>
      <c r="M76" s="37" t="str">
        <f>'Core Indicators'!BS76</f>
        <v>x</v>
      </c>
      <c r="N76" s="37" t="str">
        <f>'Core Indicators'!CA76</f>
        <v>x</v>
      </c>
      <c r="O76" s="37" t="e">
        <f>'Core Indicators'!CI76</f>
        <v>#N/A</v>
      </c>
      <c r="P76" s="37" t="str">
        <f>'Core Indicators'!CQ76</f>
        <v>x</v>
      </c>
      <c r="Q76" s="37">
        <f>'Core Indicators'!DG76</f>
        <v>6286000</v>
      </c>
      <c r="R76" s="37">
        <f>'Core Indicators'!DO76</f>
        <v>261000</v>
      </c>
      <c r="S76" s="37">
        <f>'Core Indicators'!DW76</f>
        <v>190000</v>
      </c>
      <c r="T76" s="37">
        <f>'Core Indicators'!EE76</f>
        <v>131000</v>
      </c>
      <c r="U76" s="37">
        <f>'Core Indicators'!EM76</f>
        <v>3000</v>
      </c>
      <c r="V76" s="37">
        <f>'Core Indicators'!FC76</f>
        <v>2</v>
      </c>
      <c r="W76" s="37">
        <f>'Core Indicators'!FK76</f>
        <v>79000</v>
      </c>
      <c r="X76" s="37">
        <f>'Core Indicators'!FS76</f>
        <v>229000</v>
      </c>
      <c r="Y76" s="37">
        <f>'Core Indicators'!GA76</f>
        <v>1</v>
      </c>
      <c r="Z76" s="37">
        <f>'Core Indicators'!GI76</f>
        <v>3</v>
      </c>
      <c r="AA76" s="37">
        <f>'Core Indicators'!GQ76</f>
        <v>3</v>
      </c>
      <c r="AB76" s="37">
        <f>'Core Indicators'!GY76</f>
        <v>1</v>
      </c>
      <c r="AC76" s="37">
        <f>'Core Indicators'!HG76</f>
        <v>2</v>
      </c>
      <c r="AD76" s="37">
        <f>'Core Indicators'!HO76</f>
        <v>2</v>
      </c>
      <c r="AE76" s="37">
        <f>'Core Indicators'!HW76</f>
        <v>3</v>
      </c>
      <c r="AF76" s="37">
        <f>'Core Indicators'!IE76</f>
        <v>3</v>
      </c>
      <c r="AG76" s="37">
        <f>'Core Indicators'!IM76</f>
        <v>3</v>
      </c>
    </row>
    <row r="77" spans="1:33" ht="20.100000000000001" customHeight="1" x14ac:dyDescent="0.3">
      <c r="A77" s="266" t="str">
        <f>'Core Indicators'!A:A</f>
        <v>Drought in Madagascar</v>
      </c>
      <c r="B77" s="266" t="str">
        <f>'Core Indicators'!B:B</f>
        <v>Drought</v>
      </c>
      <c r="C77" s="266" t="str">
        <f>'Core Indicators'!C77</f>
        <v>MDG002</v>
      </c>
      <c r="D77" s="266" t="str">
        <f>'Core Indicators'!D77</f>
        <v>Madagascar</v>
      </c>
      <c r="E77" s="266" t="str">
        <f>'Core Indicators'!E77</f>
        <v>MDG</v>
      </c>
      <c r="F77" s="36">
        <f>'Core Indicators'!O77</f>
        <v>149752</v>
      </c>
      <c r="G77" s="36">
        <f>'Core Indicators'!W77</f>
        <v>2276000</v>
      </c>
      <c r="H77" s="36">
        <f>'Core Indicators'!AE77</f>
        <v>1604000</v>
      </c>
      <c r="I77" s="36" t="str">
        <f>'Core Indicators'!AM77</f>
        <v>x</v>
      </c>
      <c r="J77" s="36">
        <f>'Core Indicators'!AU77</f>
        <v>0</v>
      </c>
      <c r="K77" s="36" t="str">
        <f>'Core Indicators'!BC77</f>
        <v>x</v>
      </c>
      <c r="L77" s="36" t="str">
        <f>'Core Indicators'!BK77</f>
        <v>x</v>
      </c>
      <c r="M77" s="36" t="str">
        <f>'Core Indicators'!BS77</f>
        <v>x</v>
      </c>
      <c r="N77" s="36" t="str">
        <f>'Core Indicators'!CA77</f>
        <v>x</v>
      </c>
      <c r="O77" s="36" t="e">
        <f>'Core Indicators'!CI77</f>
        <v>#N/A</v>
      </c>
      <c r="P77" s="36" t="str">
        <f>'Core Indicators'!CQ77</f>
        <v>x</v>
      </c>
      <c r="Q77" s="36">
        <f>'Core Indicators'!DG77</f>
        <v>672000</v>
      </c>
      <c r="R77" s="36">
        <f>'Core Indicators'!DO77</f>
        <v>1050000</v>
      </c>
      <c r="S77" s="36">
        <f>'Core Indicators'!DW77</f>
        <v>527000</v>
      </c>
      <c r="T77" s="36">
        <f>'Core Indicators'!EE77</f>
        <v>27000</v>
      </c>
      <c r="U77" s="36">
        <f>'Core Indicators'!EM77</f>
        <v>0</v>
      </c>
      <c r="V77" s="36">
        <f>'Core Indicators'!FC77</f>
        <v>1</v>
      </c>
      <c r="W77" s="36" t="str">
        <f>'Core Indicators'!FK77</f>
        <v>x</v>
      </c>
      <c r="X77" s="36" t="str">
        <f>'Core Indicators'!FS77</f>
        <v>x</v>
      </c>
      <c r="Y77" s="36">
        <f>'Core Indicators'!GA77</f>
        <v>0</v>
      </c>
      <c r="Z77" s="36">
        <f>'Core Indicators'!GI77</f>
        <v>0</v>
      </c>
      <c r="AA77" s="36">
        <f>'Core Indicators'!GQ77</f>
        <v>0</v>
      </c>
      <c r="AB77" s="36">
        <f>'Core Indicators'!GY77</f>
        <v>0</v>
      </c>
      <c r="AC77" s="36">
        <f>'Core Indicators'!HG77</f>
        <v>0</v>
      </c>
      <c r="AD77" s="36">
        <f>'Core Indicators'!HO77</f>
        <v>0</v>
      </c>
      <c r="AE77" s="36">
        <f>'Core Indicators'!HW77</f>
        <v>0</v>
      </c>
      <c r="AF77" s="36">
        <f>'Core Indicators'!IE77</f>
        <v>0</v>
      </c>
      <c r="AG77" s="36">
        <f>'Core Indicators'!IM77</f>
        <v>1</v>
      </c>
    </row>
    <row r="78" spans="1:33" ht="20.100000000000001" customHeight="1" x14ac:dyDescent="0.3">
      <c r="A78" s="267" t="str">
        <f>'Core Indicators'!A:A</f>
        <v>Floods in Madagascar</v>
      </c>
      <c r="B78" s="267" t="str">
        <f>'Core Indicators'!B:B</f>
        <v>Flood</v>
      </c>
      <c r="C78" s="267" t="str">
        <f>'Core Indicators'!C78</f>
        <v>MDG004</v>
      </c>
      <c r="D78" s="267" t="str">
        <f>'Core Indicators'!D78</f>
        <v>Madagascar</v>
      </c>
      <c r="E78" s="267" t="str">
        <f>'Core Indicators'!E78</f>
        <v>MDG</v>
      </c>
      <c r="F78" s="37">
        <f>'Core Indicators'!O78</f>
        <v>76177</v>
      </c>
      <c r="G78" s="37">
        <f>'Core Indicators'!W78</f>
        <v>4345000</v>
      </c>
      <c r="H78" s="37">
        <f>'Core Indicators'!AE78</f>
        <v>117000</v>
      </c>
      <c r="I78" s="37">
        <f>'Core Indicators'!AM78</f>
        <v>16000</v>
      </c>
      <c r="J78" s="37">
        <f>'Core Indicators'!AU78</f>
        <v>0</v>
      </c>
      <c r="K78" s="37">
        <f>'Core Indicators'!BC78</f>
        <v>0</v>
      </c>
      <c r="L78" s="37">
        <f>'Core Indicators'!BK78</f>
        <v>170</v>
      </c>
      <c r="M78" s="37" t="e">
        <f>'Core Indicators'!BS78</f>
        <v>#N/A</v>
      </c>
      <c r="N78" s="37" t="e">
        <f>'Core Indicators'!CA78</f>
        <v>#N/A</v>
      </c>
      <c r="O78" s="37" t="e">
        <f>'Core Indicators'!CI78</f>
        <v>#N/A</v>
      </c>
      <c r="P78" s="37" t="e">
        <f>'Core Indicators'!CQ78</f>
        <v>#N/A</v>
      </c>
      <c r="Q78" s="37">
        <f>'Core Indicators'!DG78</f>
        <v>4228000</v>
      </c>
      <c r="R78" s="37">
        <f>'Core Indicators'!DO78</f>
        <v>117000</v>
      </c>
      <c r="S78" s="37">
        <f>'Core Indicators'!DW78</f>
        <v>0</v>
      </c>
      <c r="T78" s="37">
        <f>'Core Indicators'!EE78</f>
        <v>0</v>
      </c>
      <c r="U78" s="37">
        <f>'Core Indicators'!EM78</f>
        <v>0</v>
      </c>
      <c r="V78" s="37">
        <f>'Core Indicators'!FC78</f>
        <v>2</v>
      </c>
      <c r="W78" s="37" t="e">
        <f>'Core Indicators'!FK78</f>
        <v>#N/A</v>
      </c>
      <c r="X78" s="37" t="e">
        <f>'Core Indicators'!FS78</f>
        <v>#N/A</v>
      </c>
      <c r="Y78" s="37">
        <f>'Core Indicators'!GA78</f>
        <v>0</v>
      </c>
      <c r="Z78" s="37">
        <f>'Core Indicators'!GI78</f>
        <v>0</v>
      </c>
      <c r="AA78" s="37">
        <f>'Core Indicators'!GQ78</f>
        <v>0</v>
      </c>
      <c r="AB78" s="37">
        <f>'Core Indicators'!GY78</f>
        <v>0</v>
      </c>
      <c r="AC78" s="37">
        <f>'Core Indicators'!HG78</f>
        <v>0</v>
      </c>
      <c r="AD78" s="37">
        <f>'Core Indicators'!HO78</f>
        <v>0</v>
      </c>
      <c r="AE78" s="37">
        <f>'Core Indicators'!HW78</f>
        <v>0</v>
      </c>
      <c r="AF78" s="37">
        <f>'Core Indicators'!IE78</f>
        <v>0</v>
      </c>
      <c r="AG78" s="37">
        <f>'Core Indicators'!IM78</f>
        <v>1</v>
      </c>
    </row>
    <row r="79" spans="1:33" ht="20.100000000000001" customHeight="1" x14ac:dyDescent="0.3">
      <c r="A79" s="266" t="str">
        <f>'Core Indicators'!A:A</f>
        <v>Complex Country Crisis in Madagascar</v>
      </c>
      <c r="B79" s="266" t="str">
        <f>'Core Indicators'!B:B</f>
        <v>Complex crisis</v>
      </c>
      <c r="C79" s="266" t="str">
        <f>'Core Indicators'!C79</f>
        <v>MDG005</v>
      </c>
      <c r="D79" s="266" t="str">
        <f>'Core Indicators'!D79</f>
        <v>Madagascar</v>
      </c>
      <c r="E79" s="266" t="str">
        <f>'Core Indicators'!E79</f>
        <v>MDG</v>
      </c>
      <c r="F79" s="36">
        <f>'Core Indicators'!O79</f>
        <v>76177</v>
      </c>
      <c r="G79" s="36">
        <f>'Core Indicators'!W79</f>
        <v>6621000</v>
      </c>
      <c r="H79" s="36">
        <f>'Core Indicators'!AE79</f>
        <v>1732000</v>
      </c>
      <c r="I79" s="36">
        <f>'Core Indicators'!AM79</f>
        <v>16000</v>
      </c>
      <c r="J79" s="36">
        <f>'Core Indicators'!AU79</f>
        <v>0</v>
      </c>
      <c r="K79" s="36">
        <f>'Core Indicators'!BC79</f>
        <v>0</v>
      </c>
      <c r="L79" s="36">
        <f>'Core Indicators'!BK79</f>
        <v>169</v>
      </c>
      <c r="M79" s="36" t="e">
        <f>'Core Indicators'!BS79</f>
        <v>#N/A</v>
      </c>
      <c r="N79" s="36" t="e">
        <f>'Core Indicators'!CA79</f>
        <v>#N/A</v>
      </c>
      <c r="O79" s="36" t="e">
        <f>'Core Indicators'!CI79</f>
        <v>#N/A</v>
      </c>
      <c r="P79" s="36" t="e">
        <f>'Core Indicators'!CQ79</f>
        <v>#N/A</v>
      </c>
      <c r="Q79" s="36">
        <f>'Core Indicators'!DG79</f>
        <v>4889000</v>
      </c>
      <c r="R79" s="36">
        <f>'Core Indicators'!DO79</f>
        <v>1050000</v>
      </c>
      <c r="S79" s="36">
        <f>'Core Indicators'!DW79</f>
        <v>655000</v>
      </c>
      <c r="T79" s="36">
        <f>'Core Indicators'!EE79</f>
        <v>27000</v>
      </c>
      <c r="U79" s="36">
        <f>'Core Indicators'!EM79</f>
        <v>0</v>
      </c>
      <c r="V79" s="36">
        <f>'Core Indicators'!FC79</f>
        <v>2</v>
      </c>
      <c r="W79" s="36" t="e">
        <f>'Core Indicators'!FK79</f>
        <v>#N/A</v>
      </c>
      <c r="X79" s="36" t="e">
        <f>'Core Indicators'!FS79</f>
        <v>#N/A</v>
      </c>
      <c r="Y79" s="36">
        <f>'Core Indicators'!GA79</f>
        <v>0</v>
      </c>
      <c r="Z79" s="36">
        <f>'Core Indicators'!GI79</f>
        <v>0</v>
      </c>
      <c r="AA79" s="36">
        <f>'Core Indicators'!GQ79</f>
        <v>0</v>
      </c>
      <c r="AB79" s="36">
        <f>'Core Indicators'!GY79</f>
        <v>0</v>
      </c>
      <c r="AC79" s="36">
        <f>'Core Indicators'!HG79</f>
        <v>0</v>
      </c>
      <c r="AD79" s="36">
        <f>'Core Indicators'!HO79</f>
        <v>0</v>
      </c>
      <c r="AE79" s="36">
        <f>'Core Indicators'!HW79</f>
        <v>1</v>
      </c>
      <c r="AF79" s="36">
        <f>'Core Indicators'!IE79</f>
        <v>0</v>
      </c>
      <c r="AG79" s="36">
        <f>'Core Indicators'!IM79</f>
        <v>1</v>
      </c>
    </row>
    <row r="80" spans="1:33" ht="20.100000000000001" customHeight="1" x14ac:dyDescent="0.3">
      <c r="A80" s="267" t="str">
        <f>'Core Indicators'!A:A</f>
        <v>Complex crisis in Malawi</v>
      </c>
      <c r="B80" s="267" t="str">
        <f>'Core Indicators'!B:B</f>
        <v>Complex crisis</v>
      </c>
      <c r="C80" s="267" t="str">
        <f>'Core Indicators'!C80</f>
        <v>MWI002</v>
      </c>
      <c r="D80" s="267" t="str">
        <f>'Core Indicators'!D80</f>
        <v>Malawi</v>
      </c>
      <c r="E80" s="267" t="str">
        <f>'Core Indicators'!E80</f>
        <v>MWI</v>
      </c>
      <c r="F80" s="37">
        <f>'Core Indicators'!O80</f>
        <v>94276</v>
      </c>
      <c r="G80" s="37">
        <f>'Core Indicators'!W80</f>
        <v>17678000</v>
      </c>
      <c r="H80" s="37">
        <f>'Core Indicators'!AE80</f>
        <v>8837000</v>
      </c>
      <c r="I80" s="37">
        <f>'Core Indicators'!AM80</f>
        <v>0</v>
      </c>
      <c r="J80" s="37">
        <f>'Core Indicators'!AU80</f>
        <v>0</v>
      </c>
      <c r="K80" s="37">
        <f>'Core Indicators'!BC80</f>
        <v>0</v>
      </c>
      <c r="L80" s="37">
        <f>'Core Indicators'!BK80</f>
        <v>33</v>
      </c>
      <c r="M80" s="37" t="str">
        <f>'Core Indicators'!BS80</f>
        <v>x</v>
      </c>
      <c r="N80" s="37" t="str">
        <f>'Core Indicators'!CA80</f>
        <v>x</v>
      </c>
      <c r="O80" s="37" t="e">
        <f>'Core Indicators'!CI80</f>
        <v>#N/A</v>
      </c>
      <c r="P80" s="37" t="str">
        <f>'Core Indicators'!CQ80</f>
        <v>x</v>
      </c>
      <c r="Q80" s="37">
        <f>'Core Indicators'!DG80</f>
        <v>8841000</v>
      </c>
      <c r="R80" s="37">
        <f>'Core Indicators'!DO80</f>
        <v>6219000</v>
      </c>
      <c r="S80" s="37">
        <f>'Core Indicators'!DW80</f>
        <v>2618000</v>
      </c>
      <c r="T80" s="37">
        <f>'Core Indicators'!EE80</f>
        <v>0</v>
      </c>
      <c r="U80" s="37">
        <f>'Core Indicators'!EM80</f>
        <v>0</v>
      </c>
      <c r="V80" s="37">
        <f>'Core Indicators'!FC80</f>
        <v>1</v>
      </c>
      <c r="W80" s="37" t="str">
        <f>'Core Indicators'!FK80</f>
        <v>x</v>
      </c>
      <c r="X80" s="37" t="str">
        <f>'Core Indicators'!FS80</f>
        <v>x</v>
      </c>
      <c r="Y80" s="37">
        <f>'Core Indicators'!GA80</f>
        <v>0</v>
      </c>
      <c r="Z80" s="37">
        <f>'Core Indicators'!GI80</f>
        <v>0</v>
      </c>
      <c r="AA80" s="37">
        <f>'Core Indicators'!GQ80</f>
        <v>0</v>
      </c>
      <c r="AB80" s="37">
        <f>'Core Indicators'!GY80</f>
        <v>0</v>
      </c>
      <c r="AC80" s="37">
        <f>'Core Indicators'!HG80</f>
        <v>0</v>
      </c>
      <c r="AD80" s="37">
        <f>'Core Indicators'!HO80</f>
        <v>0</v>
      </c>
      <c r="AE80" s="37">
        <f>'Core Indicators'!HW80</f>
        <v>0</v>
      </c>
      <c r="AF80" s="37">
        <f>'Core Indicators'!IE80</f>
        <v>0</v>
      </c>
      <c r="AG80" s="37">
        <f>'Core Indicators'!IM80</f>
        <v>1</v>
      </c>
    </row>
    <row r="81" spans="1:33" ht="20.100000000000001" customHeight="1" x14ac:dyDescent="0.3">
      <c r="A81" s="266" t="str">
        <f>'Core Indicators'!A:A</f>
        <v>Complex crisis in Mali</v>
      </c>
      <c r="B81" s="266" t="str">
        <f>'Core Indicators'!B:B</f>
        <v>Complex crisis</v>
      </c>
      <c r="C81" s="266" t="str">
        <f>'Core Indicators'!C81</f>
        <v>MLI001</v>
      </c>
      <c r="D81" s="266" t="str">
        <f>'Core Indicators'!D81</f>
        <v>Mali</v>
      </c>
      <c r="E81" s="266" t="str">
        <f>'Core Indicators'!E81</f>
        <v>MLI</v>
      </c>
      <c r="F81" s="36">
        <f>'Core Indicators'!O81</f>
        <v>1220190</v>
      </c>
      <c r="G81" s="36">
        <f>'Core Indicators'!W81</f>
        <v>19806000</v>
      </c>
      <c r="H81" s="36">
        <f>'Core Indicators'!AE81</f>
        <v>8200000</v>
      </c>
      <c r="I81" s="36">
        <f>'Core Indicators'!AM81</f>
        <v>430000</v>
      </c>
      <c r="J81" s="36" t="str">
        <f>'Core Indicators'!AU81</f>
        <v>x</v>
      </c>
      <c r="K81" s="36">
        <f>'Core Indicators'!BC81</f>
        <v>44056</v>
      </c>
      <c r="L81" s="36">
        <f>'Core Indicators'!BK81</f>
        <v>1607</v>
      </c>
      <c r="M81" s="36" t="str">
        <f>'Core Indicators'!BS81</f>
        <v>X</v>
      </c>
      <c r="N81" s="36" t="str">
        <f>'Core Indicators'!CA81</f>
        <v>X</v>
      </c>
      <c r="O81" s="36" t="e">
        <f>'Core Indicators'!CI81</f>
        <v>#N/A</v>
      </c>
      <c r="P81" s="36" t="str">
        <f>'Core Indicators'!CQ81</f>
        <v>X</v>
      </c>
      <c r="Q81" s="36">
        <f>'Core Indicators'!DG81</f>
        <v>11606000</v>
      </c>
      <c r="R81" s="36">
        <f>'Core Indicators'!DO81</f>
        <v>3900000</v>
      </c>
      <c r="S81" s="36">
        <f>'Core Indicators'!DW81</f>
        <v>3818000</v>
      </c>
      <c r="T81" s="36">
        <f>'Core Indicators'!EE81</f>
        <v>482000</v>
      </c>
      <c r="U81" s="36">
        <f>'Core Indicators'!EM81</f>
        <v>0</v>
      </c>
      <c r="V81" s="36">
        <f>'Core Indicators'!FC81</f>
        <v>5</v>
      </c>
      <c r="W81" s="36" t="str">
        <f>'Core Indicators'!FK81</f>
        <v>X</v>
      </c>
      <c r="X81" s="36" t="str">
        <f>'Core Indicators'!FS81</f>
        <v>X</v>
      </c>
      <c r="Y81" s="36">
        <f>'Core Indicators'!GA81</f>
        <v>0</v>
      </c>
      <c r="Z81" s="36">
        <f>'Core Indicators'!GI81</f>
        <v>2</v>
      </c>
      <c r="AA81" s="36">
        <f>'Core Indicators'!GQ81</f>
        <v>1</v>
      </c>
      <c r="AB81" s="36">
        <f>'Core Indicators'!GY81</f>
        <v>3</v>
      </c>
      <c r="AC81" s="36">
        <f>'Core Indicators'!HG81</f>
        <v>2</v>
      </c>
      <c r="AD81" s="36">
        <f>'Core Indicators'!HO81</f>
        <v>2</v>
      </c>
      <c r="AE81" s="36">
        <f>'Core Indicators'!HW81</f>
        <v>3</v>
      </c>
      <c r="AF81" s="36">
        <f>'Core Indicators'!IE81</f>
        <v>3</v>
      </c>
      <c r="AG81" s="36">
        <f>'Core Indicators'!IM81</f>
        <v>3</v>
      </c>
    </row>
    <row r="82" spans="1:33" ht="20.100000000000001" customHeight="1" x14ac:dyDescent="0.3">
      <c r="A82" s="267" t="str">
        <f>'Core Indicators'!A:A</f>
        <v>Refugees from Mali in Mauritania</v>
      </c>
      <c r="B82" s="267" t="str">
        <f>'Core Indicators'!B:B</f>
        <v>International displacement</v>
      </c>
      <c r="C82" s="267" t="str">
        <f>'Core Indicators'!C82</f>
        <v>MRT002</v>
      </c>
      <c r="D82" s="267" t="str">
        <f>'Core Indicators'!D82</f>
        <v>Mauritania</v>
      </c>
      <c r="E82" s="267" t="str">
        <f>'Core Indicators'!E82</f>
        <v>MRT</v>
      </c>
      <c r="F82" s="37">
        <f>'Core Indicators'!O82</f>
        <v>75</v>
      </c>
      <c r="G82" s="37">
        <f>'Core Indicators'!W82</f>
        <v>72000</v>
      </c>
      <c r="H82" s="37">
        <f>'Core Indicators'!AE82</f>
        <v>61000</v>
      </c>
      <c r="I82" s="37">
        <f>'Core Indicators'!AM82</f>
        <v>61000</v>
      </c>
      <c r="J82" s="37">
        <f>'Core Indicators'!AU82</f>
        <v>0</v>
      </c>
      <c r="K82" s="37" t="str">
        <f>'Core Indicators'!BC82</f>
        <v>x</v>
      </c>
      <c r="L82" s="37" t="str">
        <f>'Core Indicators'!BK82</f>
        <v>x</v>
      </c>
      <c r="M82" s="37">
        <f>'Core Indicators'!BS82</f>
        <v>0</v>
      </c>
      <c r="N82" s="37">
        <f>'Core Indicators'!CA82</f>
        <v>0</v>
      </c>
      <c r="O82" s="37" t="e">
        <f>'Core Indicators'!CI82</f>
        <v>#N/A</v>
      </c>
      <c r="P82" s="37" t="str">
        <f>'Core Indicators'!CQ82</f>
        <v>x</v>
      </c>
      <c r="Q82" s="37">
        <f>'Core Indicators'!DG82</f>
        <v>11000</v>
      </c>
      <c r="R82" s="37">
        <f>'Core Indicators'!DO82</f>
        <v>0</v>
      </c>
      <c r="S82" s="37">
        <f>'Core Indicators'!DW82</f>
        <v>61000</v>
      </c>
      <c r="T82" s="37">
        <f>'Core Indicators'!EE82</f>
        <v>0</v>
      </c>
      <c r="U82" s="37">
        <f>'Core Indicators'!EM82</f>
        <v>0</v>
      </c>
      <c r="V82" s="37">
        <f>'Core Indicators'!FC82</f>
        <v>2</v>
      </c>
      <c r="W82" s="37" t="str">
        <f>'Core Indicators'!FK82</f>
        <v>x</v>
      </c>
      <c r="X82" s="37" t="str">
        <f>'Core Indicators'!FS82</f>
        <v>x</v>
      </c>
      <c r="Y82" s="37">
        <f>'Core Indicators'!GA82</f>
        <v>0</v>
      </c>
      <c r="Z82" s="37">
        <f>'Core Indicators'!GI82</f>
        <v>0</v>
      </c>
      <c r="AA82" s="37">
        <f>'Core Indicators'!GQ82</f>
        <v>0</v>
      </c>
      <c r="AB82" s="37">
        <f>'Core Indicators'!GY82</f>
        <v>0</v>
      </c>
      <c r="AC82" s="37">
        <f>'Core Indicators'!HG82</f>
        <v>0</v>
      </c>
      <c r="AD82" s="37">
        <f>'Core Indicators'!HO82</f>
        <v>0</v>
      </c>
      <c r="AE82" s="37">
        <f>'Core Indicators'!HW82</f>
        <v>0</v>
      </c>
      <c r="AF82" s="37">
        <f>'Core Indicators'!IE82</f>
        <v>0</v>
      </c>
      <c r="AG82" s="37">
        <f>'Core Indicators'!IM82</f>
        <v>2</v>
      </c>
    </row>
    <row r="83" spans="1:33" ht="20.100000000000001" customHeight="1" x14ac:dyDescent="0.3">
      <c r="A83" s="266" t="str">
        <f>'Core Indicators'!A:A</f>
        <v>Food Security in Mauritania</v>
      </c>
      <c r="B83" s="266" t="str">
        <f>'Core Indicators'!B:B</f>
        <v>Drought</v>
      </c>
      <c r="C83" s="266" t="str">
        <f>'Core Indicators'!C83</f>
        <v>MRT003</v>
      </c>
      <c r="D83" s="266" t="str">
        <f>'Core Indicators'!D83</f>
        <v>Mauritania</v>
      </c>
      <c r="E83" s="266" t="str">
        <f>'Core Indicators'!E83</f>
        <v>MRT</v>
      </c>
      <c r="F83" s="36">
        <f>'Core Indicators'!O83</f>
        <v>1030700</v>
      </c>
      <c r="G83" s="36">
        <f>'Core Indicators'!W83</f>
        <v>4145000</v>
      </c>
      <c r="H83" s="36">
        <f>'Core Indicators'!AE83</f>
        <v>1476000</v>
      </c>
      <c r="I83" s="36" t="str">
        <f>'Core Indicators'!AM83</f>
        <v>x</v>
      </c>
      <c r="J83" s="36" t="str">
        <f>'Core Indicators'!AU83</f>
        <v>x</v>
      </c>
      <c r="K83" s="36" t="str">
        <f>'Core Indicators'!BC83</f>
        <v>x</v>
      </c>
      <c r="L83" s="36" t="str">
        <f>'Core Indicators'!BK83</f>
        <v>x</v>
      </c>
      <c r="M83" s="36" t="str">
        <f>'Core Indicators'!BS83</f>
        <v>x</v>
      </c>
      <c r="N83" s="36" t="str">
        <f>'Core Indicators'!CA83</f>
        <v>x</v>
      </c>
      <c r="O83" s="36" t="e">
        <f>'Core Indicators'!CI83</f>
        <v>#N/A</v>
      </c>
      <c r="P83" s="36" t="str">
        <f>'Core Indicators'!CQ83</f>
        <v>x</v>
      </c>
      <c r="Q83" s="36">
        <f>'Core Indicators'!DG83</f>
        <v>2669000</v>
      </c>
      <c r="R83" s="36">
        <f>'Core Indicators'!DO83</f>
        <v>800000</v>
      </c>
      <c r="S83" s="36">
        <f>'Core Indicators'!DW83</f>
        <v>609000</v>
      </c>
      <c r="T83" s="36">
        <f>'Core Indicators'!EE83</f>
        <v>66000</v>
      </c>
      <c r="U83" s="36">
        <f>'Core Indicators'!EM83</f>
        <v>0</v>
      </c>
      <c r="V83" s="36">
        <f>'Core Indicators'!FC83</f>
        <v>3</v>
      </c>
      <c r="W83" s="36" t="str">
        <f>'Core Indicators'!FK83</f>
        <v>x</v>
      </c>
      <c r="X83" s="36" t="str">
        <f>'Core Indicators'!FS83</f>
        <v>x</v>
      </c>
      <c r="Y83" s="36">
        <f>'Core Indicators'!GA83</f>
        <v>0</v>
      </c>
      <c r="Z83" s="36">
        <f>'Core Indicators'!GI83</f>
        <v>0</v>
      </c>
      <c r="AA83" s="36">
        <f>'Core Indicators'!GQ83</f>
        <v>0</v>
      </c>
      <c r="AB83" s="36">
        <f>'Core Indicators'!GY83</f>
        <v>0</v>
      </c>
      <c r="AC83" s="36">
        <f>'Core Indicators'!HG83</f>
        <v>0</v>
      </c>
      <c r="AD83" s="36">
        <f>'Core Indicators'!HO83</f>
        <v>2</v>
      </c>
      <c r="AE83" s="36">
        <f>'Core Indicators'!HW83</f>
        <v>0</v>
      </c>
      <c r="AF83" s="36">
        <f>'Core Indicators'!IE83</f>
        <v>1</v>
      </c>
      <c r="AG83" s="36">
        <f>'Core Indicators'!IM83</f>
        <v>2</v>
      </c>
    </row>
    <row r="84" spans="1:33" ht="20.100000000000001" customHeight="1" x14ac:dyDescent="0.3">
      <c r="A84" s="267" t="str">
        <f>'Core Indicators'!A:A</f>
        <v>Multiple crisis in Mexico</v>
      </c>
      <c r="B84" s="267" t="str">
        <f>'Core Indicators'!B:B</f>
        <v>Multiple crises country</v>
      </c>
      <c r="C84" s="267" t="str">
        <f>'Core Indicators'!C84</f>
        <v>MEX001</v>
      </c>
      <c r="D84" s="267" t="str">
        <f>'Core Indicators'!D84</f>
        <v>Mexico</v>
      </c>
      <c r="E84" s="267" t="str">
        <f>'Core Indicators'!E84</f>
        <v>MEX</v>
      </c>
      <c r="F84" s="37">
        <f>'Core Indicators'!O84</f>
        <v>1635481</v>
      </c>
      <c r="G84" s="37">
        <f>'Core Indicators'!W84</f>
        <v>92033000</v>
      </c>
      <c r="H84" s="37" t="str">
        <f>'Core Indicators'!AE84</f>
        <v>x</v>
      </c>
      <c r="I84" s="37">
        <f>'Core Indicators'!AM84</f>
        <v>584000</v>
      </c>
      <c r="J84" s="37" t="str">
        <f>'Core Indicators'!AU84</f>
        <v>x</v>
      </c>
      <c r="K84" s="37">
        <f>'Core Indicators'!BC84</f>
        <v>45472</v>
      </c>
      <c r="L84" s="37" t="str">
        <f>'Core Indicators'!BK84</f>
        <v>x</v>
      </c>
      <c r="M84" s="37" t="str">
        <f>'Core Indicators'!BS84</f>
        <v>X</v>
      </c>
      <c r="N84" s="37" t="str">
        <f>'Core Indicators'!CA84</f>
        <v>X</v>
      </c>
      <c r="O84" s="37" t="e">
        <f>'Core Indicators'!CI84</f>
        <v>#N/A</v>
      </c>
      <c r="P84" s="37" t="str">
        <f>'Core Indicators'!CQ84</f>
        <v>x</v>
      </c>
      <c r="Q84" s="37" t="str">
        <f>'Core Indicators'!DG84</f>
        <v>x</v>
      </c>
      <c r="R84" s="37" t="str">
        <f>'Core Indicators'!DO84</f>
        <v>x</v>
      </c>
      <c r="S84" s="37" t="str">
        <f>'Core Indicators'!DW84</f>
        <v>x</v>
      </c>
      <c r="T84" s="37" t="str">
        <f>'Core Indicators'!EE84</f>
        <v>x</v>
      </c>
      <c r="U84" s="37" t="str">
        <f>'Core Indicators'!EM84</f>
        <v>x</v>
      </c>
      <c r="V84" s="37">
        <f>'Core Indicators'!FC84</f>
        <v>5</v>
      </c>
      <c r="W84" s="37" t="str">
        <f>'Core Indicators'!FK84</f>
        <v>x</v>
      </c>
      <c r="X84" s="37" t="str">
        <f>'Core Indicators'!FS84</f>
        <v>x</v>
      </c>
      <c r="Y84" s="37" t="str">
        <f>'Core Indicators'!GA84</f>
        <v>X</v>
      </c>
      <c r="Z84" s="37">
        <f>'Core Indicators'!GI84</f>
        <v>1</v>
      </c>
      <c r="AA84" s="37">
        <f>'Core Indicators'!GQ84</f>
        <v>1</v>
      </c>
      <c r="AB84" s="37">
        <f>'Core Indicators'!GY84</f>
        <v>0</v>
      </c>
      <c r="AC84" s="37">
        <f>'Core Indicators'!HG84</f>
        <v>0</v>
      </c>
      <c r="AD84" s="37">
        <f>'Core Indicators'!HO84</f>
        <v>1</v>
      </c>
      <c r="AE84" s="37">
        <f>'Core Indicators'!HW84</f>
        <v>1</v>
      </c>
      <c r="AF84" s="37" t="str">
        <f>'Core Indicators'!IE84</f>
        <v>x</v>
      </c>
      <c r="AG84" s="37" t="str">
        <f>'Core Indicators'!IM84</f>
        <v>X</v>
      </c>
    </row>
    <row r="85" spans="1:33" ht="20.100000000000001" customHeight="1" x14ac:dyDescent="0.3">
      <c r="A85" s="266" t="str">
        <f>'Core Indicators'!A:A</f>
        <v>Criminal Violence in Mexico</v>
      </c>
      <c r="B85" s="266" t="str">
        <f>'Core Indicators'!B:B</f>
        <v>Other type of violence</v>
      </c>
      <c r="C85" s="266" t="str">
        <f>'Core Indicators'!C85</f>
        <v>MEX002</v>
      </c>
      <c r="D85" s="266" t="str">
        <f>'Core Indicators'!D85</f>
        <v>Mexico</v>
      </c>
      <c r="E85" s="266" t="str">
        <f>'Core Indicators'!E85</f>
        <v>MEX</v>
      </c>
      <c r="F85" s="36">
        <f>'Core Indicators'!O85</f>
        <v>1078234</v>
      </c>
      <c r="G85" s="36">
        <f>'Core Indicators'!W85</f>
        <v>70024000</v>
      </c>
      <c r="H85" s="36" t="str">
        <f>'Core Indicators'!AE85</f>
        <v>x</v>
      </c>
      <c r="I85" s="36">
        <f>'Core Indicators'!AM85</f>
        <v>351000</v>
      </c>
      <c r="J85" s="36" t="str">
        <f>'Core Indicators'!AU85</f>
        <v>x</v>
      </c>
      <c r="K85" s="36" t="str">
        <f>'Core Indicators'!BC85</f>
        <v>x</v>
      </c>
      <c r="L85" s="36" t="str">
        <f>'Core Indicators'!BK85</f>
        <v>x</v>
      </c>
      <c r="M85" s="36" t="str">
        <f>'Core Indicators'!BS85</f>
        <v>x</v>
      </c>
      <c r="N85" s="36" t="str">
        <f>'Core Indicators'!CA85</f>
        <v>x</v>
      </c>
      <c r="O85" s="36" t="e">
        <f>'Core Indicators'!CI85</f>
        <v>#N/A</v>
      </c>
      <c r="P85" s="36" t="str">
        <f>'Core Indicators'!CQ85</f>
        <v>x</v>
      </c>
      <c r="Q85" s="36" t="str">
        <f>'Core Indicators'!DG85</f>
        <v>x</v>
      </c>
      <c r="R85" s="36" t="str">
        <f>'Core Indicators'!DO85</f>
        <v>x</v>
      </c>
      <c r="S85" s="36" t="str">
        <f>'Core Indicators'!DW85</f>
        <v>x</v>
      </c>
      <c r="T85" s="36" t="str">
        <f>'Core Indicators'!EE85</f>
        <v>x</v>
      </c>
      <c r="U85" s="36" t="str">
        <f>'Core Indicators'!EM85</f>
        <v>x</v>
      </c>
      <c r="V85" s="36">
        <f>'Core Indicators'!FC85</f>
        <v>4</v>
      </c>
      <c r="W85" s="36" t="str">
        <f>'Core Indicators'!FK85</f>
        <v>x</v>
      </c>
      <c r="X85" s="36" t="str">
        <f>'Core Indicators'!FS85</f>
        <v>x</v>
      </c>
      <c r="Y85" s="36" t="str">
        <f>'Core Indicators'!GA85</f>
        <v>x</v>
      </c>
      <c r="Z85" s="36">
        <f>'Core Indicators'!GI85</f>
        <v>1</v>
      </c>
      <c r="AA85" s="36">
        <f>'Core Indicators'!GQ85</f>
        <v>1</v>
      </c>
      <c r="AB85" s="36">
        <f>'Core Indicators'!GY85</f>
        <v>0</v>
      </c>
      <c r="AC85" s="36" t="str">
        <f>'Core Indicators'!HG85</f>
        <v>x</v>
      </c>
      <c r="AD85" s="36">
        <f>'Core Indicators'!HO85</f>
        <v>1</v>
      </c>
      <c r="AE85" s="36" t="str">
        <f>'Core Indicators'!HW85</f>
        <v>x</v>
      </c>
      <c r="AF85" s="36" t="str">
        <f>'Core Indicators'!IE85</f>
        <v>x</v>
      </c>
      <c r="AG85" s="36" t="str">
        <f>'Core Indicators'!IM85</f>
        <v>x</v>
      </c>
    </row>
    <row r="86" spans="1:33" ht="20.100000000000001" customHeight="1" x14ac:dyDescent="0.3">
      <c r="A86" s="267" t="str">
        <f>'Core Indicators'!A:A</f>
        <v>Mixed Migration in Mexico</v>
      </c>
      <c r="B86" s="267" t="str">
        <f>'Core Indicators'!B:B</f>
        <v>International displacement</v>
      </c>
      <c r="C86" s="267" t="str">
        <f>'Core Indicators'!C86</f>
        <v>MEX003</v>
      </c>
      <c r="D86" s="267" t="str">
        <f>'Core Indicators'!D86</f>
        <v>Mexico</v>
      </c>
      <c r="E86" s="267" t="str">
        <f>'Core Indicators'!E86</f>
        <v>MEX</v>
      </c>
      <c r="F86" s="37">
        <f>'Core Indicators'!O86</f>
        <v>1437306</v>
      </c>
      <c r="G86" s="37">
        <f>'Core Indicators'!W86</f>
        <v>70840000</v>
      </c>
      <c r="H86" s="37">
        <f>'Core Indicators'!AE86</f>
        <v>275000</v>
      </c>
      <c r="I86" s="37">
        <f>'Core Indicators'!AM86</f>
        <v>275000</v>
      </c>
      <c r="J86" s="37" t="str">
        <f>'Core Indicators'!AU86</f>
        <v>x</v>
      </c>
      <c r="K86" s="37" t="str">
        <f>'Core Indicators'!BC86</f>
        <v>x</v>
      </c>
      <c r="L86" s="37">
        <f>'Core Indicators'!BK86</f>
        <v>173</v>
      </c>
      <c r="M86" s="37" t="str">
        <f>'Core Indicators'!BS86</f>
        <v>x</v>
      </c>
      <c r="N86" s="37" t="str">
        <f>'Core Indicators'!CA86</f>
        <v>x</v>
      </c>
      <c r="O86" s="37" t="e">
        <f>'Core Indicators'!CI86</f>
        <v>#N/A</v>
      </c>
      <c r="P86" s="37" t="str">
        <f>'Core Indicators'!CQ86</f>
        <v>x</v>
      </c>
      <c r="Q86" s="37" t="str">
        <f>'Core Indicators'!DG86</f>
        <v>x</v>
      </c>
      <c r="R86" s="37" t="str">
        <f>'Core Indicators'!DO86</f>
        <v>x</v>
      </c>
      <c r="S86" s="37" t="str">
        <f>'Core Indicators'!DW86</f>
        <v>x</v>
      </c>
      <c r="T86" s="37" t="str">
        <f>'Core Indicators'!EE86</f>
        <v>x</v>
      </c>
      <c r="U86" s="37" t="str">
        <f>'Core Indicators'!EM86</f>
        <v>x</v>
      </c>
      <c r="V86" s="37">
        <f>'Core Indicators'!FC86</f>
        <v>3</v>
      </c>
      <c r="W86" s="37" t="str">
        <f>'Core Indicators'!FK86</f>
        <v>x</v>
      </c>
      <c r="X86" s="37" t="str">
        <f>'Core Indicators'!FS86</f>
        <v>x</v>
      </c>
      <c r="Y86" s="37" t="str">
        <f>'Core Indicators'!GA86</f>
        <v>x</v>
      </c>
      <c r="Z86" s="37">
        <f>'Core Indicators'!GI86</f>
        <v>1</v>
      </c>
      <c r="AA86" s="37">
        <f>'Core Indicators'!GQ86</f>
        <v>1</v>
      </c>
      <c r="AB86" s="37">
        <f>'Core Indicators'!GY86</f>
        <v>0</v>
      </c>
      <c r="AC86" s="37">
        <f>'Core Indicators'!HG86</f>
        <v>1</v>
      </c>
      <c r="AD86" s="37">
        <f>'Core Indicators'!HO86</f>
        <v>1</v>
      </c>
      <c r="AE86" s="37">
        <f>'Core Indicators'!HW86</f>
        <v>1</v>
      </c>
      <c r="AF86" s="37" t="str">
        <f>'Core Indicators'!IE86</f>
        <v>x</v>
      </c>
      <c r="AG86" s="37" t="str">
        <f>'Core Indicators'!IM86</f>
        <v>x</v>
      </c>
    </row>
    <row r="87" spans="1:33" ht="20.100000000000001" customHeight="1" x14ac:dyDescent="0.3">
      <c r="A87" s="266" t="str">
        <f>'Core Indicators'!A:A</f>
        <v>Mixed migration flows in Morocco</v>
      </c>
      <c r="B87" s="266" t="str">
        <f>'Core Indicators'!B:B</f>
        <v>International displacement</v>
      </c>
      <c r="C87" s="266" t="str">
        <f>'Core Indicators'!C87</f>
        <v>MAR002</v>
      </c>
      <c r="D87" s="266" t="str">
        <f>'Core Indicators'!D87</f>
        <v>Morocco</v>
      </c>
      <c r="E87" s="266" t="str">
        <f>'Core Indicators'!E87</f>
        <v>MAR</v>
      </c>
      <c r="F87" s="36">
        <f>'Core Indicators'!O87</f>
        <v>446300</v>
      </c>
      <c r="G87" s="36">
        <f>'Core Indicators'!W87</f>
        <v>35587000</v>
      </c>
      <c r="H87" s="36" t="str">
        <f>'Core Indicators'!AE87</f>
        <v>x</v>
      </c>
      <c r="I87" s="36" t="str">
        <f>'Core Indicators'!AM87</f>
        <v>x</v>
      </c>
      <c r="J87" s="36" t="str">
        <f>'Core Indicators'!AU87</f>
        <v>x</v>
      </c>
      <c r="K87" s="36" t="str">
        <f>'Core Indicators'!BC87</f>
        <v>x</v>
      </c>
      <c r="L87" s="36">
        <f>'Core Indicators'!BK87</f>
        <v>56</v>
      </c>
      <c r="M87" s="36">
        <f>'Core Indicators'!BS87</f>
        <v>0</v>
      </c>
      <c r="N87" s="36">
        <f>'Core Indicators'!CA87</f>
        <v>0</v>
      </c>
      <c r="O87" s="36" t="e">
        <f>'Core Indicators'!CI87</f>
        <v>#N/A</v>
      </c>
      <c r="P87" s="36">
        <f>'Core Indicators'!CQ87</f>
        <v>0</v>
      </c>
      <c r="Q87" s="36" t="str">
        <f>'Core Indicators'!DG87</f>
        <v>x</v>
      </c>
      <c r="R87" s="36" t="str">
        <f>'Core Indicators'!DO87</f>
        <v>x</v>
      </c>
      <c r="S87" s="36" t="str">
        <f>'Core Indicators'!DW87</f>
        <v>x</v>
      </c>
      <c r="T87" s="36" t="str">
        <f>'Core Indicators'!EE87</f>
        <v>x</v>
      </c>
      <c r="U87" s="36" t="str">
        <f>'Core Indicators'!EM87</f>
        <v>x</v>
      </c>
      <c r="V87" s="36">
        <f>'Core Indicators'!FC87</f>
        <v>1</v>
      </c>
      <c r="W87" s="36">
        <f>'Core Indicators'!FK87</f>
        <v>0</v>
      </c>
      <c r="X87" s="36">
        <f>'Core Indicators'!FS87</f>
        <v>0</v>
      </c>
      <c r="Y87" s="36">
        <f>'Core Indicators'!GA87</f>
        <v>0</v>
      </c>
      <c r="Z87" s="36">
        <f>'Core Indicators'!GI87</f>
        <v>0</v>
      </c>
      <c r="AA87" s="36">
        <f>'Core Indicators'!GQ87</f>
        <v>1</v>
      </c>
      <c r="AB87" s="36">
        <f>'Core Indicators'!GY87</f>
        <v>0</v>
      </c>
      <c r="AC87" s="36">
        <f>'Core Indicators'!HG87</f>
        <v>0</v>
      </c>
      <c r="AD87" s="36">
        <f>'Core Indicators'!HO87</f>
        <v>1</v>
      </c>
      <c r="AE87" s="36">
        <f>'Core Indicators'!HW87</f>
        <v>0</v>
      </c>
      <c r="AF87" s="36">
        <f>'Core Indicators'!IE87</f>
        <v>0</v>
      </c>
      <c r="AG87" s="36">
        <f>'Core Indicators'!IM87</f>
        <v>0</v>
      </c>
    </row>
    <row r="88" spans="1:33" ht="20.100000000000001" customHeight="1" x14ac:dyDescent="0.3">
      <c r="A88" s="267" t="str">
        <f>'Core Indicators'!A:A</f>
        <v>Complex crisis in Mozambique</v>
      </c>
      <c r="B88" s="267" t="str">
        <f>'Core Indicators'!B:B</f>
        <v>Complex crisis</v>
      </c>
      <c r="C88" s="267" t="str">
        <f>'Core Indicators'!C88</f>
        <v>MOZ001</v>
      </c>
      <c r="D88" s="267" t="str">
        <f>'Core Indicators'!D88</f>
        <v>Mozambique</v>
      </c>
      <c r="E88" s="267" t="str">
        <f>'Core Indicators'!E88</f>
        <v>MOZ</v>
      </c>
      <c r="F88" s="37">
        <f>'Core Indicators'!O88</f>
        <v>344602</v>
      </c>
      <c r="G88" s="37">
        <f>'Core Indicators'!W88</f>
        <v>5175000</v>
      </c>
      <c r="H88" s="37">
        <f>'Core Indicators'!AE88</f>
        <v>4002000</v>
      </c>
      <c r="I88" s="37">
        <f>'Core Indicators'!AM88</f>
        <v>344000</v>
      </c>
      <c r="J88" s="37">
        <f>'Core Indicators'!AU88</f>
        <v>26</v>
      </c>
      <c r="K88" s="37">
        <f>'Core Indicators'!BC88</f>
        <v>277460</v>
      </c>
      <c r="L88" s="37">
        <f>'Core Indicators'!BK88</f>
        <v>1110</v>
      </c>
      <c r="M88" s="37">
        <f>'Core Indicators'!BS88</f>
        <v>147000</v>
      </c>
      <c r="N88" s="37">
        <f>'Core Indicators'!CA88</f>
        <v>143000</v>
      </c>
      <c r="O88" s="37" t="e">
        <f>'Core Indicators'!CI88</f>
        <v>#N/A</v>
      </c>
      <c r="P88" s="37">
        <f>'Core Indicators'!CQ88</f>
        <v>773</v>
      </c>
      <c r="Q88" s="37">
        <f>'Core Indicators'!DG88</f>
        <v>3369000</v>
      </c>
      <c r="R88" s="37">
        <f>'Core Indicators'!DO88</f>
        <v>729000</v>
      </c>
      <c r="S88" s="37">
        <f>'Core Indicators'!DW88</f>
        <v>1077000</v>
      </c>
      <c r="T88" s="37">
        <f>'Core Indicators'!EE88</f>
        <v>0</v>
      </c>
      <c r="U88" s="37">
        <f>'Core Indicators'!EM88</f>
        <v>0</v>
      </c>
      <c r="V88" s="37">
        <f>'Core Indicators'!FC88</f>
        <v>3</v>
      </c>
      <c r="W88" s="37" t="str">
        <f>'Core Indicators'!FK88</f>
        <v>x</v>
      </c>
      <c r="X88" s="37" t="str">
        <f>'Core Indicators'!FS88</f>
        <v>x</v>
      </c>
      <c r="Y88" s="37">
        <f>'Core Indicators'!GA88</f>
        <v>0</v>
      </c>
      <c r="Z88" s="37">
        <f>'Core Indicators'!GI88</f>
        <v>1</v>
      </c>
      <c r="AA88" s="37">
        <f>'Core Indicators'!GQ88</f>
        <v>0</v>
      </c>
      <c r="AB88" s="37">
        <f>'Core Indicators'!GY88</f>
        <v>0</v>
      </c>
      <c r="AC88" s="37">
        <f>'Core Indicators'!HG88</f>
        <v>0</v>
      </c>
      <c r="AD88" s="37">
        <f>'Core Indicators'!HO88</f>
        <v>2</v>
      </c>
      <c r="AE88" s="37">
        <f>'Core Indicators'!HW88</f>
        <v>1</v>
      </c>
      <c r="AF88" s="37">
        <f>'Core Indicators'!IE88</f>
        <v>1</v>
      </c>
      <c r="AG88" s="37">
        <f>'Core Indicators'!IM88</f>
        <v>1</v>
      </c>
    </row>
    <row r="89" spans="1:33" ht="20.100000000000001" customHeight="1" x14ac:dyDescent="0.3">
      <c r="A89" s="266" t="str">
        <f>'Core Indicators'!A:A</f>
        <v>Cabo Delgado Islamist Insurgency</v>
      </c>
      <c r="B89" s="266" t="str">
        <f>'Core Indicators'!B:B</f>
        <v>Other type of violence</v>
      </c>
      <c r="C89" s="266" t="str">
        <f>'Core Indicators'!C89</f>
        <v>MOZ004</v>
      </c>
      <c r="D89" s="266" t="str">
        <f>'Core Indicators'!D89</f>
        <v>Mozambique</v>
      </c>
      <c r="E89" s="266" t="str">
        <f>'Core Indicators'!E89</f>
        <v>MOZ</v>
      </c>
      <c r="F89" s="36">
        <f>'Core Indicators'!O89</f>
        <v>78778</v>
      </c>
      <c r="G89" s="36">
        <f>'Core Indicators'!W89</f>
        <v>2745000</v>
      </c>
      <c r="H89" s="36">
        <f>'Core Indicators'!AE89</f>
        <v>712000</v>
      </c>
      <c r="I89" s="36">
        <f>'Core Indicators'!AM89</f>
        <v>300000</v>
      </c>
      <c r="J89" s="36" t="str">
        <f>'Core Indicators'!AU89</f>
        <v>x</v>
      </c>
      <c r="K89" s="36">
        <f>'Core Indicators'!BC89</f>
        <v>0</v>
      </c>
      <c r="L89" s="36">
        <f>'Core Indicators'!BK89</f>
        <v>599</v>
      </c>
      <c r="M89" s="36" t="str">
        <f>'Core Indicators'!BS89</f>
        <v>x</v>
      </c>
      <c r="N89" s="36" t="str">
        <f>'Core Indicators'!CA89</f>
        <v>x</v>
      </c>
      <c r="O89" s="36" t="e">
        <f>'Core Indicators'!CI89</f>
        <v>#N/A</v>
      </c>
      <c r="P89" s="36" t="str">
        <f>'Core Indicators'!CQ89</f>
        <v>x</v>
      </c>
      <c r="Q89" s="36">
        <f>'Core Indicators'!DG89</f>
        <v>2033000</v>
      </c>
      <c r="R89" s="36">
        <f>'Core Indicators'!DO89</f>
        <v>0</v>
      </c>
      <c r="S89" s="36">
        <f>'Core Indicators'!DW89</f>
        <v>712000</v>
      </c>
      <c r="T89" s="36">
        <f>'Core Indicators'!EE89</f>
        <v>0</v>
      </c>
      <c r="U89" s="36">
        <f>'Core Indicators'!EM89</f>
        <v>0</v>
      </c>
      <c r="V89" s="36">
        <f>'Core Indicators'!FC89</f>
        <v>2</v>
      </c>
      <c r="W89" s="36" t="str">
        <f>'Core Indicators'!FK89</f>
        <v>x</v>
      </c>
      <c r="X89" s="36" t="str">
        <f>'Core Indicators'!FS89</f>
        <v>x</v>
      </c>
      <c r="Y89" s="36">
        <f>'Core Indicators'!GA89</f>
        <v>0</v>
      </c>
      <c r="Z89" s="36">
        <f>'Core Indicators'!GI89</f>
        <v>1</v>
      </c>
      <c r="AA89" s="36">
        <f>'Core Indicators'!GQ89</f>
        <v>0</v>
      </c>
      <c r="AB89" s="36">
        <f>'Core Indicators'!GY89</f>
        <v>0</v>
      </c>
      <c r="AC89" s="36">
        <f>'Core Indicators'!HG89</f>
        <v>0</v>
      </c>
      <c r="AD89" s="36">
        <f>'Core Indicators'!HO89</f>
        <v>2</v>
      </c>
      <c r="AE89" s="36">
        <f>'Core Indicators'!HW89</f>
        <v>1</v>
      </c>
      <c r="AF89" s="36">
        <f>'Core Indicators'!IE89</f>
        <v>1</v>
      </c>
      <c r="AG89" s="36">
        <f>'Core Indicators'!IM89</f>
        <v>1</v>
      </c>
    </row>
    <row r="90" spans="1:33" ht="20.100000000000001" customHeight="1" x14ac:dyDescent="0.3">
      <c r="A90" s="267" t="str">
        <f>'Core Indicators'!A:A</f>
        <v>Food Security Crisis in Mozambique</v>
      </c>
      <c r="B90" s="267" t="str">
        <f>'Core Indicators'!B:B</f>
        <v>Food Security</v>
      </c>
      <c r="C90" s="267" t="str">
        <f>'Core Indicators'!C90</f>
        <v>MOZ006</v>
      </c>
      <c r="D90" s="267" t="str">
        <f>'Core Indicators'!D90</f>
        <v>Mozambique</v>
      </c>
      <c r="E90" s="267" t="str">
        <f>'Core Indicators'!E90</f>
        <v>MOZ</v>
      </c>
      <c r="F90" s="37">
        <f>'Core Indicators'!O90</f>
        <v>344602</v>
      </c>
      <c r="G90" s="37">
        <f>'Core Indicators'!W90</f>
        <v>2430000</v>
      </c>
      <c r="H90" s="37">
        <f>'Core Indicators'!AE90</f>
        <v>2430000</v>
      </c>
      <c r="I90" s="37">
        <f>'Core Indicators'!AM90</f>
        <v>94000</v>
      </c>
      <c r="J90" s="37">
        <f>'Core Indicators'!AU90</f>
        <v>0</v>
      </c>
      <c r="K90" s="37">
        <f>'Core Indicators'!BC90</f>
        <v>0</v>
      </c>
      <c r="L90" s="37" t="str">
        <f>'Core Indicators'!BK90</f>
        <v>x</v>
      </c>
      <c r="M90" s="37" t="e">
        <f>'Core Indicators'!BS90</f>
        <v>#N/A</v>
      </c>
      <c r="N90" s="37" t="e">
        <f>'Core Indicators'!CA90</f>
        <v>#N/A</v>
      </c>
      <c r="O90" s="37" t="e">
        <f>'Core Indicators'!CI90</f>
        <v>#N/A</v>
      </c>
      <c r="P90" s="37" t="e">
        <f>'Core Indicators'!CQ90</f>
        <v>#N/A</v>
      </c>
      <c r="Q90" s="37">
        <f>'Core Indicators'!DG90</f>
        <v>1336000</v>
      </c>
      <c r="R90" s="37">
        <f>'Core Indicators'!DO90</f>
        <v>729000</v>
      </c>
      <c r="S90" s="37">
        <f>'Core Indicators'!DW90</f>
        <v>365000</v>
      </c>
      <c r="T90" s="37">
        <f>'Core Indicators'!EE90</f>
        <v>0</v>
      </c>
      <c r="U90" s="37">
        <f>'Core Indicators'!EM90</f>
        <v>0</v>
      </c>
      <c r="V90" s="37">
        <f>'Core Indicators'!FC90</f>
        <v>3</v>
      </c>
      <c r="W90" s="37" t="e">
        <f>'Core Indicators'!FK90</f>
        <v>#N/A</v>
      </c>
      <c r="X90" s="37" t="e">
        <f>'Core Indicators'!FS90</f>
        <v>#N/A</v>
      </c>
      <c r="Y90" s="37">
        <f>'Core Indicators'!GA90</f>
        <v>0</v>
      </c>
      <c r="Z90" s="37">
        <f>'Core Indicators'!GI90</f>
        <v>0</v>
      </c>
      <c r="AA90" s="37">
        <f>'Core Indicators'!GQ90</f>
        <v>0</v>
      </c>
      <c r="AB90" s="37">
        <f>'Core Indicators'!GY90</f>
        <v>1</v>
      </c>
      <c r="AC90" s="37">
        <f>'Core Indicators'!HG90</f>
        <v>0</v>
      </c>
      <c r="AD90" s="37">
        <f>'Core Indicators'!HO90</f>
        <v>0</v>
      </c>
      <c r="AE90" s="37">
        <f>'Core Indicators'!HW90</f>
        <v>1</v>
      </c>
      <c r="AF90" s="37">
        <f>'Core Indicators'!IE90</f>
        <v>0</v>
      </c>
      <c r="AG90" s="37">
        <f>'Core Indicators'!IM90</f>
        <v>1</v>
      </c>
    </row>
    <row r="91" spans="1:33" ht="20.100000000000001" customHeight="1" x14ac:dyDescent="0.3">
      <c r="A91" s="266" t="str">
        <f>'Core Indicators'!A:A</f>
        <v>Multiple crises in Myanmar</v>
      </c>
      <c r="B91" s="266" t="str">
        <f>'Core Indicators'!B:B</f>
        <v>Multiple crises country</v>
      </c>
      <c r="C91" s="266" t="str">
        <f>'Core Indicators'!C91</f>
        <v>MMR001</v>
      </c>
      <c r="D91" s="266" t="str">
        <f>'Core Indicators'!D91</f>
        <v>Myanmar</v>
      </c>
      <c r="E91" s="266" t="str">
        <f>'Core Indicators'!E91</f>
        <v>MMR</v>
      </c>
      <c r="F91" s="36">
        <f>'Core Indicators'!O91</f>
        <v>289700</v>
      </c>
      <c r="G91" s="36">
        <f>'Core Indicators'!W91</f>
        <v>10395000</v>
      </c>
      <c r="H91" s="36">
        <f>'Core Indicators'!AE91</f>
        <v>5124000</v>
      </c>
      <c r="I91" s="36">
        <f>'Core Indicators'!AM91</f>
        <v>1292000</v>
      </c>
      <c r="J91" s="36" t="str">
        <f>'Core Indicators'!AU91</f>
        <v>x</v>
      </c>
      <c r="K91" s="36" t="str">
        <f>'Core Indicators'!BC91</f>
        <v>x</v>
      </c>
      <c r="L91" s="36">
        <f>'Core Indicators'!BK91</f>
        <v>234</v>
      </c>
      <c r="M91" s="36" t="str">
        <f>'Core Indicators'!BS91</f>
        <v>x</v>
      </c>
      <c r="N91" s="36" t="str">
        <f>'Core Indicators'!CA91</f>
        <v>x</v>
      </c>
      <c r="O91" s="36" t="e">
        <f>'Core Indicators'!CI91</f>
        <v>#N/A</v>
      </c>
      <c r="P91" s="36" t="str">
        <f>'Core Indicators'!CQ91</f>
        <v>x</v>
      </c>
      <c r="Q91" s="36">
        <f>'Core Indicators'!DG91</f>
        <v>5271000</v>
      </c>
      <c r="R91" s="36">
        <f>'Core Indicators'!DO91</f>
        <v>4149000</v>
      </c>
      <c r="S91" s="36">
        <f>'Core Indicators'!DW91</f>
        <v>366000</v>
      </c>
      <c r="T91" s="36">
        <f>'Core Indicators'!EE91</f>
        <v>609000</v>
      </c>
      <c r="U91" s="36">
        <f>'Core Indicators'!EM91</f>
        <v>0</v>
      </c>
      <c r="V91" s="36">
        <f>'Core Indicators'!FC91</f>
        <v>3</v>
      </c>
      <c r="W91" s="36" t="str">
        <f>'Core Indicators'!FK91</f>
        <v>x</v>
      </c>
      <c r="X91" s="36" t="str">
        <f>'Core Indicators'!FS91</f>
        <v>x</v>
      </c>
      <c r="Y91" s="36">
        <f>'Core Indicators'!GA91</f>
        <v>2</v>
      </c>
      <c r="Z91" s="36">
        <f>'Core Indicators'!GI91</f>
        <v>3</v>
      </c>
      <c r="AA91" s="36">
        <f>'Core Indicators'!GQ91</f>
        <v>1</v>
      </c>
      <c r="AB91" s="36">
        <f>'Core Indicators'!GY91</f>
        <v>0</v>
      </c>
      <c r="AC91" s="36">
        <f>'Core Indicators'!HG91</f>
        <v>3</v>
      </c>
      <c r="AD91" s="36">
        <f>'Core Indicators'!HO91</f>
        <v>3</v>
      </c>
      <c r="AE91" s="36">
        <f>'Core Indicators'!HW91</f>
        <v>3</v>
      </c>
      <c r="AF91" s="36">
        <f>'Core Indicators'!IE91</f>
        <v>1</v>
      </c>
      <c r="AG91" s="36">
        <f>'Core Indicators'!IM91</f>
        <v>3</v>
      </c>
    </row>
    <row r="92" spans="1:33" ht="20.100000000000001" customHeight="1" x14ac:dyDescent="0.3">
      <c r="A92" s="267" t="str">
        <f>'Core Indicators'!A:A</f>
        <v>Rakhine Conflict</v>
      </c>
      <c r="B92" s="267" t="str">
        <f>'Core Indicators'!B:B</f>
        <v>Conflict</v>
      </c>
      <c r="C92" s="267" t="str">
        <f>'Core Indicators'!C92</f>
        <v>MMR002</v>
      </c>
      <c r="D92" s="267" t="str">
        <f>'Core Indicators'!D92</f>
        <v>Myanmar</v>
      </c>
      <c r="E92" s="267" t="str">
        <f>'Core Indicators'!E92</f>
        <v>MMR</v>
      </c>
      <c r="F92" s="37">
        <f>'Core Indicators'!O92</f>
        <v>44857</v>
      </c>
      <c r="G92" s="37">
        <f>'Core Indicators'!W92</f>
        <v>3882000</v>
      </c>
      <c r="H92" s="37">
        <f>'Core Indicators'!AE92</f>
        <v>1563000</v>
      </c>
      <c r="I92" s="37">
        <f>'Core Indicators'!AM92</f>
        <v>1187000</v>
      </c>
      <c r="J92" s="37" t="str">
        <f>'Core Indicators'!AU92</f>
        <v>x</v>
      </c>
      <c r="K92" s="37" t="str">
        <f>'Core Indicators'!BC92</f>
        <v>x</v>
      </c>
      <c r="L92" s="37">
        <f>'Core Indicators'!BK92</f>
        <v>190</v>
      </c>
      <c r="M92" s="37" t="str">
        <f>'Core Indicators'!BS92</f>
        <v>x</v>
      </c>
      <c r="N92" s="37" t="str">
        <f>'Core Indicators'!CA92</f>
        <v>x</v>
      </c>
      <c r="O92" s="37" t="e">
        <f>'Core Indicators'!CI92</f>
        <v>#N/A</v>
      </c>
      <c r="P92" s="37" t="str">
        <f>'Core Indicators'!CQ92</f>
        <v>x</v>
      </c>
      <c r="Q92" s="37">
        <f>'Core Indicators'!DG92</f>
        <v>2318000</v>
      </c>
      <c r="R92" s="37">
        <f>'Core Indicators'!DO92</f>
        <v>809000</v>
      </c>
      <c r="S92" s="37">
        <f>'Core Indicators'!DW92</f>
        <v>250000</v>
      </c>
      <c r="T92" s="37">
        <f>'Core Indicators'!EE92</f>
        <v>504000</v>
      </c>
      <c r="U92" s="37">
        <f>'Core Indicators'!EM92</f>
        <v>0</v>
      </c>
      <c r="V92" s="37">
        <f>'Core Indicators'!FC92</f>
        <v>4</v>
      </c>
      <c r="W92" s="37" t="str">
        <f>'Core Indicators'!FK92</f>
        <v>x</v>
      </c>
      <c r="X92" s="37" t="str">
        <f>'Core Indicators'!FS92</f>
        <v>x</v>
      </c>
      <c r="Y92" s="37">
        <f>'Core Indicators'!GA92</f>
        <v>2</v>
      </c>
      <c r="Z92" s="37">
        <f>'Core Indicators'!GI92</f>
        <v>1</v>
      </c>
      <c r="AA92" s="37">
        <f>'Core Indicators'!GQ92</f>
        <v>1</v>
      </c>
      <c r="AB92" s="37">
        <f>'Core Indicators'!GY92</f>
        <v>0</v>
      </c>
      <c r="AC92" s="37">
        <f>'Core Indicators'!HG92</f>
        <v>3</v>
      </c>
      <c r="AD92" s="37">
        <f>'Core Indicators'!HO92</f>
        <v>3</v>
      </c>
      <c r="AE92" s="37">
        <f>'Core Indicators'!HW92</f>
        <v>2</v>
      </c>
      <c r="AF92" s="37">
        <f>'Core Indicators'!IE92</f>
        <v>1</v>
      </c>
      <c r="AG92" s="37">
        <f>'Core Indicators'!IM92</f>
        <v>2</v>
      </c>
    </row>
    <row r="93" spans="1:33" ht="20.100000000000001" customHeight="1" x14ac:dyDescent="0.3">
      <c r="A93" s="266" t="str">
        <f>'Core Indicators'!A:A</f>
        <v>Kachin and Shan Conflict</v>
      </c>
      <c r="B93" s="266" t="str">
        <f>'Core Indicators'!B:B</f>
        <v>Conflict</v>
      </c>
      <c r="C93" s="266" t="str">
        <f>'Core Indicators'!C93</f>
        <v>MMR003</v>
      </c>
      <c r="D93" s="266" t="str">
        <f>'Core Indicators'!D93</f>
        <v>Myanmar</v>
      </c>
      <c r="E93" s="266" t="str">
        <f>'Core Indicators'!E93</f>
        <v>MMR</v>
      </c>
      <c r="F93" s="36">
        <f>'Core Indicators'!O93</f>
        <v>244843.1</v>
      </c>
      <c r="G93" s="36">
        <f>'Core Indicators'!W93</f>
        <v>6513000</v>
      </c>
      <c r="H93" s="36">
        <f>'Core Indicators'!AE93</f>
        <v>3560000</v>
      </c>
      <c r="I93" s="36">
        <f>'Core Indicators'!AM93</f>
        <v>105000</v>
      </c>
      <c r="J93" s="36" t="str">
        <f>'Core Indicators'!AU93</f>
        <v>x</v>
      </c>
      <c r="K93" s="36" t="str">
        <f>'Core Indicators'!BC93</f>
        <v>x</v>
      </c>
      <c r="L93" s="36">
        <f>'Core Indicators'!BK93</f>
        <v>44</v>
      </c>
      <c r="M93" s="36" t="str">
        <f>'Core Indicators'!BS93</f>
        <v>x</v>
      </c>
      <c r="N93" s="36" t="str">
        <f>'Core Indicators'!CA93</f>
        <v>x</v>
      </c>
      <c r="O93" s="36" t="e">
        <f>'Core Indicators'!CI93</f>
        <v>#N/A</v>
      </c>
      <c r="P93" s="36" t="str">
        <f>'Core Indicators'!CQ93</f>
        <v>x</v>
      </c>
      <c r="Q93" s="36">
        <f>'Core Indicators'!DG93</f>
        <v>2953000</v>
      </c>
      <c r="R93" s="36">
        <f>'Core Indicators'!DO93</f>
        <v>3340000</v>
      </c>
      <c r="S93" s="36">
        <f>'Core Indicators'!DW93</f>
        <v>115000</v>
      </c>
      <c r="T93" s="36">
        <f>'Core Indicators'!EE93</f>
        <v>105000</v>
      </c>
      <c r="U93" s="36">
        <f>'Core Indicators'!EM93</f>
        <v>0</v>
      </c>
      <c r="V93" s="36">
        <f>'Core Indicators'!FC93</f>
        <v>3</v>
      </c>
      <c r="W93" s="36" t="str">
        <f>'Core Indicators'!FK93</f>
        <v>x</v>
      </c>
      <c r="X93" s="36" t="str">
        <f>'Core Indicators'!FS93</f>
        <v>x</v>
      </c>
      <c r="Y93" s="36">
        <f>'Core Indicators'!GA93</f>
        <v>2</v>
      </c>
      <c r="Z93" s="36">
        <f>'Core Indicators'!GI93</f>
        <v>3</v>
      </c>
      <c r="AA93" s="36">
        <f>'Core Indicators'!GQ93</f>
        <v>1</v>
      </c>
      <c r="AB93" s="36">
        <f>'Core Indicators'!GY93</f>
        <v>0</v>
      </c>
      <c r="AC93" s="36">
        <f>'Core Indicators'!HG93</f>
        <v>1</v>
      </c>
      <c r="AD93" s="36">
        <f>'Core Indicators'!HO93</f>
        <v>2</v>
      </c>
      <c r="AE93" s="36">
        <f>'Core Indicators'!HW93</f>
        <v>3</v>
      </c>
      <c r="AF93" s="36">
        <f>'Core Indicators'!IE93</f>
        <v>1</v>
      </c>
      <c r="AG93" s="36">
        <f>'Core Indicators'!IM93</f>
        <v>3</v>
      </c>
    </row>
    <row r="94" spans="1:33" ht="20.100000000000001" customHeight="1" x14ac:dyDescent="0.3">
      <c r="A94" s="267" t="str">
        <f>'Core Indicators'!A:A</f>
        <v>Food Security Crisis in Namibia</v>
      </c>
      <c r="B94" s="267" t="str">
        <f>'Core Indicators'!B:B</f>
        <v>Food Security</v>
      </c>
      <c r="C94" s="267" t="str">
        <f>'Core Indicators'!C94</f>
        <v>NAM002</v>
      </c>
      <c r="D94" s="267" t="str">
        <f>'Core Indicators'!D94</f>
        <v>Namibia</v>
      </c>
      <c r="E94" s="267" t="str">
        <f>'Core Indicators'!E94</f>
        <v>NAM</v>
      </c>
      <c r="F94" s="37">
        <f>'Core Indicators'!O94</f>
        <v>823</v>
      </c>
      <c r="G94" s="37">
        <f>'Core Indicators'!W94</f>
        <v>2256000</v>
      </c>
      <c r="H94" s="37">
        <f>'Core Indicators'!AE94</f>
        <v>1091000</v>
      </c>
      <c r="I94" s="37">
        <f>'Core Indicators'!AM94</f>
        <v>0</v>
      </c>
      <c r="J94" s="37">
        <f>'Core Indicators'!AU94</f>
        <v>0</v>
      </c>
      <c r="K94" s="37">
        <f>'Core Indicators'!BC94</f>
        <v>0</v>
      </c>
      <c r="L94" s="37" t="str">
        <f>'Core Indicators'!BK94</f>
        <v>x</v>
      </c>
      <c r="M94" s="37" t="e">
        <f>'Core Indicators'!BS94</f>
        <v>#N/A</v>
      </c>
      <c r="N94" s="37" t="e">
        <f>'Core Indicators'!CA94</f>
        <v>#N/A</v>
      </c>
      <c r="O94" s="37" t="e">
        <f>'Core Indicators'!CI94</f>
        <v>#N/A</v>
      </c>
      <c r="P94" s="37" t="e">
        <f>'Core Indicators'!CQ94</f>
        <v>#N/A</v>
      </c>
      <c r="Q94" s="37">
        <f>'Core Indicators'!DG94</f>
        <v>1165000</v>
      </c>
      <c r="R94" s="37">
        <f>'Core Indicators'!DO94</f>
        <v>651000</v>
      </c>
      <c r="S94" s="37">
        <f>'Core Indicators'!DW94</f>
        <v>426000</v>
      </c>
      <c r="T94" s="37">
        <f>'Core Indicators'!EE94</f>
        <v>14000</v>
      </c>
      <c r="U94" s="37">
        <f>'Core Indicators'!EM94</f>
        <v>0</v>
      </c>
      <c r="V94" s="37">
        <f>'Core Indicators'!FC94</f>
        <v>1</v>
      </c>
      <c r="W94" s="37" t="e">
        <f>'Core Indicators'!FK94</f>
        <v>#N/A</v>
      </c>
      <c r="X94" s="37" t="e">
        <f>'Core Indicators'!FS94</f>
        <v>#N/A</v>
      </c>
      <c r="Y94" s="37">
        <f>'Core Indicators'!GA94</f>
        <v>0</v>
      </c>
      <c r="Z94" s="37">
        <f>'Core Indicators'!GI94</f>
        <v>0</v>
      </c>
      <c r="AA94" s="37">
        <f>'Core Indicators'!GQ94</f>
        <v>0</v>
      </c>
      <c r="AB94" s="37">
        <f>'Core Indicators'!GY94</f>
        <v>0</v>
      </c>
      <c r="AC94" s="37">
        <f>'Core Indicators'!HG94</f>
        <v>0</v>
      </c>
      <c r="AD94" s="37">
        <f>'Core Indicators'!HO94</f>
        <v>0</v>
      </c>
      <c r="AE94" s="37">
        <f>'Core Indicators'!HW94</f>
        <v>0</v>
      </c>
      <c r="AF94" s="37">
        <f>'Core Indicators'!IE94</f>
        <v>0</v>
      </c>
      <c r="AG94" s="37">
        <f>'Core Indicators'!IM94</f>
        <v>0</v>
      </c>
    </row>
    <row r="95" spans="1:33" ht="20.100000000000001" customHeight="1" x14ac:dyDescent="0.3">
      <c r="A95" s="266" t="str">
        <f>'Core Indicators'!A:A</f>
        <v>Socioeconomic crisis in Nicaragua</v>
      </c>
      <c r="B95" s="266" t="str">
        <f>'Core Indicators'!B:B</f>
        <v>Political and economic crisis</v>
      </c>
      <c r="C95" s="266" t="str">
        <f>'Core Indicators'!C95</f>
        <v>NIC001</v>
      </c>
      <c r="D95" s="266" t="str">
        <f>'Core Indicators'!D95</f>
        <v>Nicaragua</v>
      </c>
      <c r="E95" s="266" t="str">
        <f>'Core Indicators'!E95</f>
        <v>NIC</v>
      </c>
      <c r="F95" s="36">
        <f>'Core Indicators'!O95</f>
        <v>120339.54</v>
      </c>
      <c r="G95" s="36">
        <f>'Core Indicators'!W95</f>
        <v>6444000</v>
      </c>
      <c r="H95" s="36">
        <f>'Core Indicators'!AE95</f>
        <v>417000</v>
      </c>
      <c r="I95" s="36">
        <f>'Core Indicators'!AM95</f>
        <v>102000</v>
      </c>
      <c r="J95" s="36" t="str">
        <f>'Core Indicators'!AU95</f>
        <v>x</v>
      </c>
      <c r="K95" s="36">
        <f>'Core Indicators'!BC95</f>
        <v>17631</v>
      </c>
      <c r="L95" s="36">
        <f>'Core Indicators'!BK95</f>
        <v>6</v>
      </c>
      <c r="M95" s="36">
        <f>'Core Indicators'!BS95</f>
        <v>0</v>
      </c>
      <c r="N95" s="36">
        <f>'Core Indicators'!CA95</f>
        <v>0</v>
      </c>
      <c r="O95" s="36" t="e">
        <f>'Core Indicators'!CI95</f>
        <v>#N/A</v>
      </c>
      <c r="P95" s="36">
        <f>'Core Indicators'!CQ95</f>
        <v>1214</v>
      </c>
      <c r="Q95" s="36" t="str">
        <f>'Core Indicators'!DG95</f>
        <v>x</v>
      </c>
      <c r="R95" s="36" t="str">
        <f>'Core Indicators'!DO95</f>
        <v>x</v>
      </c>
      <c r="S95" s="36" t="str">
        <f>'Core Indicators'!DW95</f>
        <v>x</v>
      </c>
      <c r="T95" s="36">
        <f>'Core Indicators'!EE95</f>
        <v>0</v>
      </c>
      <c r="U95" s="36">
        <f>'Core Indicators'!EM95</f>
        <v>0</v>
      </c>
      <c r="V95" s="36">
        <f>'Core Indicators'!FC95</f>
        <v>1</v>
      </c>
      <c r="W95" s="36">
        <f>'Core Indicators'!FK95</f>
        <v>0</v>
      </c>
      <c r="X95" s="36">
        <f>'Core Indicators'!FS95</f>
        <v>0</v>
      </c>
      <c r="Y95" s="36" t="str">
        <f>'Core Indicators'!GA95</f>
        <v>x</v>
      </c>
      <c r="Z95" s="36" t="str">
        <f>'Core Indicators'!GI95</f>
        <v>x</v>
      </c>
      <c r="AA95" s="36">
        <f>'Core Indicators'!GQ95</f>
        <v>1</v>
      </c>
      <c r="AB95" s="36">
        <f>'Core Indicators'!GY95</f>
        <v>0</v>
      </c>
      <c r="AC95" s="36">
        <f>'Core Indicators'!HG95</f>
        <v>1</v>
      </c>
      <c r="AD95" s="36">
        <f>'Core Indicators'!HO95</f>
        <v>1</v>
      </c>
      <c r="AE95" s="36">
        <f>'Core Indicators'!HW95</f>
        <v>0</v>
      </c>
      <c r="AF95" s="36">
        <f>'Core Indicators'!IE95</f>
        <v>0</v>
      </c>
      <c r="AG95" s="36">
        <f>'Core Indicators'!IM95</f>
        <v>2</v>
      </c>
    </row>
    <row r="96" spans="1:33" ht="20.100000000000001" customHeight="1" x14ac:dyDescent="0.3">
      <c r="A96" s="267" t="str">
        <f>'Core Indicators'!A:A</f>
        <v>Multiple crises in Niger</v>
      </c>
      <c r="B96" s="267" t="str">
        <f>'Core Indicators'!B:B</f>
        <v>Multiple crises country</v>
      </c>
      <c r="C96" s="267" t="str">
        <f>'Core Indicators'!C96</f>
        <v>NER001</v>
      </c>
      <c r="D96" s="267" t="str">
        <f>'Core Indicators'!D96</f>
        <v>Niger</v>
      </c>
      <c r="E96" s="267" t="str">
        <f>'Core Indicators'!E96</f>
        <v>NER</v>
      </c>
      <c r="F96" s="37">
        <f>'Core Indicators'!O96</f>
        <v>1267000</v>
      </c>
      <c r="G96" s="37">
        <f>'Core Indicators'!W96</f>
        <v>23577000</v>
      </c>
      <c r="H96" s="37">
        <f>'Core Indicators'!AE96</f>
        <v>23578000</v>
      </c>
      <c r="I96" s="37">
        <f>'Core Indicators'!AM96</f>
        <v>538000</v>
      </c>
      <c r="J96" s="37" t="str">
        <f>'Core Indicators'!AU96</f>
        <v>X</v>
      </c>
      <c r="K96" s="37" t="str">
        <f>'Core Indicators'!BC96</f>
        <v>X</v>
      </c>
      <c r="L96" s="37">
        <f>'Core Indicators'!BK96</f>
        <v>490</v>
      </c>
      <c r="M96" s="37" t="str">
        <f>'Core Indicators'!BS96</f>
        <v>X</v>
      </c>
      <c r="N96" s="37" t="str">
        <f>'Core Indicators'!CA96</f>
        <v>X</v>
      </c>
      <c r="O96" s="37" t="e">
        <f>'Core Indicators'!CI96</f>
        <v>#N/A</v>
      </c>
      <c r="P96" s="37" t="str">
        <f>'Core Indicators'!CQ96</f>
        <v>X</v>
      </c>
      <c r="Q96" s="37">
        <f>'Core Indicators'!DG96</f>
        <v>19878000</v>
      </c>
      <c r="R96" s="37">
        <f>'Core Indicators'!DO96</f>
        <v>0</v>
      </c>
      <c r="S96" s="37">
        <f>'Core Indicators'!DW96</f>
        <v>3162000</v>
      </c>
      <c r="T96" s="37">
        <f>'Core Indicators'!EE96</f>
        <v>538000</v>
      </c>
      <c r="U96" s="37">
        <f>'Core Indicators'!EM96</f>
        <v>0</v>
      </c>
      <c r="V96" s="37">
        <f>'Core Indicators'!FC96</f>
        <v>5</v>
      </c>
      <c r="W96" s="37" t="str">
        <f>'Core Indicators'!FK96</f>
        <v>X</v>
      </c>
      <c r="X96" s="37" t="str">
        <f>'Core Indicators'!FS96</f>
        <v>X</v>
      </c>
      <c r="Y96" s="37">
        <f>'Core Indicators'!GA96</f>
        <v>0</v>
      </c>
      <c r="Z96" s="37">
        <f>'Core Indicators'!GI96</f>
        <v>2</v>
      </c>
      <c r="AA96" s="37">
        <f>'Core Indicators'!GQ96</f>
        <v>0</v>
      </c>
      <c r="AB96" s="37">
        <f>'Core Indicators'!GY96</f>
        <v>2</v>
      </c>
      <c r="AC96" s="37">
        <f>'Core Indicators'!HG96</f>
        <v>0</v>
      </c>
      <c r="AD96" s="37">
        <f>'Core Indicators'!HO96</f>
        <v>2</v>
      </c>
      <c r="AE96" s="37">
        <f>'Core Indicators'!HW96</f>
        <v>3</v>
      </c>
      <c r="AF96" s="37">
        <f>'Core Indicators'!IE96</f>
        <v>1</v>
      </c>
      <c r="AG96" s="37">
        <f>'Core Indicators'!IM96</f>
        <v>3</v>
      </c>
    </row>
    <row r="97" spans="1:33" ht="20.100000000000001" customHeight="1" x14ac:dyDescent="0.3">
      <c r="A97" s="266" t="str">
        <f>'Core Indicators'!A:A</f>
        <v>Boko Haram in Niger</v>
      </c>
      <c r="B97" s="266" t="str">
        <f>'Core Indicators'!B:B</f>
        <v>Conflict</v>
      </c>
      <c r="C97" s="266" t="str">
        <f>'Core Indicators'!C97</f>
        <v>NER002</v>
      </c>
      <c r="D97" s="266" t="str">
        <f>'Core Indicators'!D97</f>
        <v>Niger</v>
      </c>
      <c r="E97" s="266" t="str">
        <f>'Core Indicators'!E97</f>
        <v>NER</v>
      </c>
      <c r="F97" s="36">
        <f>'Core Indicators'!O97</f>
        <v>156906</v>
      </c>
      <c r="G97" s="36">
        <f>'Core Indicators'!W97</f>
        <v>738000</v>
      </c>
      <c r="H97" s="36">
        <f>'Core Indicators'!AE97</f>
        <v>728000</v>
      </c>
      <c r="I97" s="36">
        <f>'Core Indicators'!AM97</f>
        <v>266000</v>
      </c>
      <c r="J97" s="36">
        <f>'Core Indicators'!AU97</f>
        <v>141012</v>
      </c>
      <c r="K97" s="36" t="str">
        <f>'Core Indicators'!BC97</f>
        <v>X</v>
      </c>
      <c r="L97" s="36">
        <f>'Core Indicators'!BK97</f>
        <v>179</v>
      </c>
      <c r="M97" s="36" t="str">
        <f>'Core Indicators'!BS97</f>
        <v>X</v>
      </c>
      <c r="N97" s="36" t="str">
        <f>'Core Indicators'!CA97</f>
        <v>X</v>
      </c>
      <c r="O97" s="36" t="e">
        <f>'Core Indicators'!CI97</f>
        <v>#N/A</v>
      </c>
      <c r="P97" s="36" t="str">
        <f>'Core Indicators'!CQ97</f>
        <v>X</v>
      </c>
      <c r="Q97" s="36">
        <f>'Core Indicators'!DG97</f>
        <v>0</v>
      </c>
      <c r="R97" s="36">
        <f>'Core Indicators'!DO97</f>
        <v>220000</v>
      </c>
      <c r="S97" s="36">
        <f>'Core Indicators'!DW97</f>
        <v>252000</v>
      </c>
      <c r="T97" s="36">
        <f>'Core Indicators'!EE97</f>
        <v>266000</v>
      </c>
      <c r="U97" s="36">
        <f>'Core Indicators'!EM97</f>
        <v>0</v>
      </c>
      <c r="V97" s="36">
        <f>'Core Indicators'!FC97</f>
        <v>5</v>
      </c>
      <c r="W97" s="36" t="str">
        <f>'Core Indicators'!FK97</f>
        <v>X</v>
      </c>
      <c r="X97" s="36" t="str">
        <f>'Core Indicators'!FS97</f>
        <v>X</v>
      </c>
      <c r="Y97" s="36">
        <f>'Core Indicators'!GA97</f>
        <v>0</v>
      </c>
      <c r="Z97" s="36">
        <f>'Core Indicators'!GI97</f>
        <v>2</v>
      </c>
      <c r="AA97" s="36">
        <f>'Core Indicators'!GQ97</f>
        <v>0</v>
      </c>
      <c r="AB97" s="36">
        <f>'Core Indicators'!GY97</f>
        <v>0</v>
      </c>
      <c r="AC97" s="36">
        <f>'Core Indicators'!HG97</f>
        <v>0</v>
      </c>
      <c r="AD97" s="36">
        <f>'Core Indicators'!HO97</f>
        <v>2</v>
      </c>
      <c r="AE97" s="36">
        <f>'Core Indicators'!HW97</f>
        <v>2</v>
      </c>
      <c r="AF97" s="36">
        <f>'Core Indicators'!IE97</f>
        <v>1</v>
      </c>
      <c r="AG97" s="36">
        <f>'Core Indicators'!IM97</f>
        <v>3</v>
      </c>
    </row>
    <row r="98" spans="1:33" ht="20.100000000000001" customHeight="1" x14ac:dyDescent="0.3">
      <c r="A98" s="267" t="str">
        <f>'Core Indicators'!A:A</f>
        <v>Mali/Burkina Faso conflict</v>
      </c>
      <c r="B98" s="267" t="str">
        <f>'Core Indicators'!B:B</f>
        <v>Conflict</v>
      </c>
      <c r="C98" s="267" t="str">
        <f>'Core Indicators'!C98</f>
        <v>NER003</v>
      </c>
      <c r="D98" s="267" t="str">
        <f>'Core Indicators'!D98</f>
        <v>Niger</v>
      </c>
      <c r="E98" s="267" t="str">
        <f>'Core Indicators'!E98</f>
        <v>NER</v>
      </c>
      <c r="F98" s="37">
        <f>'Core Indicators'!O98</f>
        <v>210600</v>
      </c>
      <c r="G98" s="37">
        <f>'Core Indicators'!W98</f>
        <v>7800000</v>
      </c>
      <c r="H98" s="37">
        <f>'Core Indicators'!AE98</f>
        <v>965000</v>
      </c>
      <c r="I98" s="37">
        <f>'Core Indicators'!AM98</f>
        <v>200000</v>
      </c>
      <c r="J98" s="37" t="str">
        <f>'Core Indicators'!AU98</f>
        <v>X</v>
      </c>
      <c r="K98" s="37" t="str">
        <f>'Core Indicators'!BC98</f>
        <v>X</v>
      </c>
      <c r="L98" s="37">
        <f>'Core Indicators'!BK98</f>
        <v>220</v>
      </c>
      <c r="M98" s="37" t="str">
        <f>'Core Indicators'!BS98</f>
        <v>X</v>
      </c>
      <c r="N98" s="37" t="str">
        <f>'Core Indicators'!CA98</f>
        <v>X</v>
      </c>
      <c r="O98" s="37" t="e">
        <f>'Core Indicators'!CI98</f>
        <v>#N/A</v>
      </c>
      <c r="P98" s="37" t="str">
        <f>'Core Indicators'!CQ98</f>
        <v>X</v>
      </c>
      <c r="Q98" s="37">
        <f>'Core Indicators'!DG98</f>
        <v>6835000</v>
      </c>
      <c r="R98" s="37">
        <f>'Core Indicators'!DO98</f>
        <v>0</v>
      </c>
      <c r="S98" s="37">
        <f>'Core Indicators'!DW98</f>
        <v>765000</v>
      </c>
      <c r="T98" s="37">
        <f>'Core Indicators'!EE98</f>
        <v>200000</v>
      </c>
      <c r="U98" s="37">
        <f>'Core Indicators'!EM98</f>
        <v>0</v>
      </c>
      <c r="V98" s="37">
        <f>'Core Indicators'!FC98</f>
        <v>5</v>
      </c>
      <c r="W98" s="37" t="str">
        <f>'Core Indicators'!FK98</f>
        <v>X</v>
      </c>
      <c r="X98" s="37" t="str">
        <f>'Core Indicators'!FS98</f>
        <v>X</v>
      </c>
      <c r="Y98" s="37">
        <f>'Core Indicators'!GA98</f>
        <v>0</v>
      </c>
      <c r="Z98" s="37">
        <f>'Core Indicators'!GI98</f>
        <v>2</v>
      </c>
      <c r="AA98" s="37">
        <f>'Core Indicators'!GQ98</f>
        <v>0</v>
      </c>
      <c r="AB98" s="37">
        <f>'Core Indicators'!GY98</f>
        <v>2</v>
      </c>
      <c r="AC98" s="37">
        <f>'Core Indicators'!HG98</f>
        <v>0</v>
      </c>
      <c r="AD98" s="37">
        <f>'Core Indicators'!HO98</f>
        <v>2</v>
      </c>
      <c r="AE98" s="37">
        <f>'Core Indicators'!HW98</f>
        <v>3</v>
      </c>
      <c r="AF98" s="37">
        <f>'Core Indicators'!IE98</f>
        <v>1</v>
      </c>
      <c r="AG98" s="37">
        <f>'Core Indicators'!IM98</f>
        <v>3</v>
      </c>
    </row>
    <row r="99" spans="1:33" ht="20.100000000000001" customHeight="1" x14ac:dyDescent="0.3">
      <c r="A99" s="266" t="str">
        <f>'Core Indicators'!A:A</f>
        <v>Nigerian Refugees</v>
      </c>
      <c r="B99" s="266" t="str">
        <f>'Core Indicators'!B:B</f>
        <v>International displacement</v>
      </c>
      <c r="C99" s="266" t="str">
        <f>'Core Indicators'!C99</f>
        <v>NER004</v>
      </c>
      <c r="D99" s="266" t="str">
        <f>'Core Indicators'!D99</f>
        <v>Niger</v>
      </c>
      <c r="E99" s="266" t="str">
        <f>'Core Indicators'!E99</f>
        <v>NER</v>
      </c>
      <c r="F99" s="36">
        <f>'Core Indicators'!O99</f>
        <v>4929</v>
      </c>
      <c r="G99" s="36">
        <f>'Core Indicators'!W99</f>
        <v>656000</v>
      </c>
      <c r="H99" s="36">
        <f>'Core Indicators'!AE99</f>
        <v>123000</v>
      </c>
      <c r="I99" s="36">
        <f>'Core Indicators'!AM99</f>
        <v>93000</v>
      </c>
      <c r="J99" s="36" t="str">
        <f>'Core Indicators'!AU99</f>
        <v>x</v>
      </c>
      <c r="K99" s="36" t="str">
        <f>'Core Indicators'!BC99</f>
        <v>x</v>
      </c>
      <c r="L99" s="36">
        <f>'Core Indicators'!BK99</f>
        <v>5</v>
      </c>
      <c r="M99" s="36">
        <f>'Core Indicators'!BS99</f>
        <v>0</v>
      </c>
      <c r="N99" s="36">
        <f>'Core Indicators'!CA99</f>
        <v>0</v>
      </c>
      <c r="O99" s="36" t="e">
        <f>'Core Indicators'!CI99</f>
        <v>#N/A</v>
      </c>
      <c r="P99" s="36">
        <f>'Core Indicators'!CQ99</f>
        <v>0</v>
      </c>
      <c r="Q99" s="36">
        <f>'Core Indicators'!DG99</f>
        <v>533000</v>
      </c>
      <c r="R99" s="36">
        <f>'Core Indicators'!DO99</f>
        <v>0</v>
      </c>
      <c r="S99" s="36">
        <f>'Core Indicators'!DW99</f>
        <v>30000</v>
      </c>
      <c r="T99" s="36">
        <f>'Core Indicators'!EE99</f>
        <v>93000</v>
      </c>
      <c r="U99" s="36">
        <f>'Core Indicators'!EM99</f>
        <v>0</v>
      </c>
      <c r="V99" s="36">
        <f>'Core Indicators'!FC99</f>
        <v>2</v>
      </c>
      <c r="W99" s="36" t="str">
        <f>'Core Indicators'!FK99</f>
        <v>x</v>
      </c>
      <c r="X99" s="36" t="str">
        <f>'Core Indicators'!FS99</f>
        <v>x</v>
      </c>
      <c r="Y99" s="36">
        <f>'Core Indicators'!GA99</f>
        <v>0</v>
      </c>
      <c r="Z99" s="36">
        <f>'Core Indicators'!GI99</f>
        <v>1</v>
      </c>
      <c r="AA99" s="36">
        <f>'Core Indicators'!GQ99</f>
        <v>0</v>
      </c>
      <c r="AB99" s="36">
        <f>'Core Indicators'!GY99</f>
        <v>0</v>
      </c>
      <c r="AC99" s="36">
        <f>'Core Indicators'!HG99</f>
        <v>0</v>
      </c>
      <c r="AD99" s="36">
        <f>'Core Indicators'!HO99</f>
        <v>0</v>
      </c>
      <c r="AE99" s="36">
        <f>'Core Indicators'!HW99</f>
        <v>2</v>
      </c>
      <c r="AF99" s="36">
        <f>'Core Indicators'!IE99</f>
        <v>1</v>
      </c>
      <c r="AG99" s="36">
        <f>'Core Indicators'!IM99</f>
        <v>3</v>
      </c>
    </row>
    <row r="100" spans="1:33" ht="20.100000000000001" customHeight="1" x14ac:dyDescent="0.3">
      <c r="A100" s="267" t="str">
        <f>'Core Indicators'!A:A</f>
        <v>Floods in Niger</v>
      </c>
      <c r="B100" s="267" t="str">
        <f>'Core Indicators'!B:B</f>
        <v>Flood</v>
      </c>
      <c r="C100" s="267" t="str">
        <f>'Core Indicators'!C100</f>
        <v>NER005</v>
      </c>
      <c r="D100" s="267" t="str">
        <f>'Core Indicators'!D100</f>
        <v>Niger</v>
      </c>
      <c r="E100" s="267" t="str">
        <f>'Core Indicators'!E100</f>
        <v>NER</v>
      </c>
      <c r="F100" s="37">
        <f>'Core Indicators'!O100</f>
        <v>1267000</v>
      </c>
      <c r="G100" s="37">
        <f>'Core Indicators'!W100</f>
        <v>23578000</v>
      </c>
      <c r="H100" s="37">
        <f>'Core Indicators'!AE100</f>
        <v>516000</v>
      </c>
      <c r="I100" s="37" t="str">
        <f>'Core Indicators'!AM100</f>
        <v>x</v>
      </c>
      <c r="J100" s="37" t="str">
        <f>'Core Indicators'!AU100</f>
        <v>x</v>
      </c>
      <c r="K100" s="37" t="str">
        <f>'Core Indicators'!BC100</f>
        <v>x</v>
      </c>
      <c r="L100" s="37">
        <f>'Core Indicators'!BK100</f>
        <v>69</v>
      </c>
      <c r="M100" s="37" t="str">
        <f>'Core Indicators'!BS100</f>
        <v>x</v>
      </c>
      <c r="N100" s="37">
        <f>'Core Indicators'!CA100</f>
        <v>43667</v>
      </c>
      <c r="O100" s="37" t="e">
        <f>'Core Indicators'!CI100</f>
        <v>#N/A</v>
      </c>
      <c r="P100" s="37" t="str">
        <f>'Core Indicators'!CQ100</f>
        <v>x</v>
      </c>
      <c r="Q100" s="37">
        <f>'Core Indicators'!DG100</f>
        <v>23061000</v>
      </c>
      <c r="R100" s="37">
        <f>'Core Indicators'!DO100</f>
        <v>0</v>
      </c>
      <c r="S100" s="37">
        <f>'Core Indicators'!DW100</f>
        <v>516000</v>
      </c>
      <c r="T100" s="37">
        <f>'Core Indicators'!EE100</f>
        <v>0</v>
      </c>
      <c r="U100" s="37">
        <f>'Core Indicators'!EM100</f>
        <v>0</v>
      </c>
      <c r="V100" s="37">
        <f>'Core Indicators'!FC100</f>
        <v>5</v>
      </c>
      <c r="W100" s="37" t="str">
        <f>'Core Indicators'!FK100</f>
        <v>x</v>
      </c>
      <c r="X100" s="37" t="str">
        <f>'Core Indicators'!FS100</f>
        <v>x</v>
      </c>
      <c r="Y100" s="37">
        <f>'Core Indicators'!GA100</f>
        <v>0</v>
      </c>
      <c r="Z100" s="37">
        <f>'Core Indicators'!GI100</f>
        <v>2</v>
      </c>
      <c r="AA100" s="37">
        <f>'Core Indicators'!GQ100</f>
        <v>0</v>
      </c>
      <c r="AB100" s="37">
        <f>'Core Indicators'!GY100</f>
        <v>2</v>
      </c>
      <c r="AC100" s="37">
        <f>'Core Indicators'!HG100</f>
        <v>0</v>
      </c>
      <c r="AD100" s="37">
        <f>'Core Indicators'!HO100</f>
        <v>2</v>
      </c>
      <c r="AE100" s="37">
        <f>'Core Indicators'!HW100</f>
        <v>3</v>
      </c>
      <c r="AF100" s="37">
        <f>'Core Indicators'!IE100</f>
        <v>1</v>
      </c>
      <c r="AG100" s="37">
        <f>'Core Indicators'!IM100</f>
        <v>3</v>
      </c>
    </row>
    <row r="101" spans="1:33" ht="20.100000000000001" customHeight="1" x14ac:dyDescent="0.3">
      <c r="A101" s="266" t="str">
        <f>'Core Indicators'!A:A</f>
        <v>Complex crisis in Nigeria</v>
      </c>
      <c r="B101" s="266" t="str">
        <f>'Core Indicators'!B:B</f>
        <v>Complex crisis</v>
      </c>
      <c r="C101" s="266" t="str">
        <f>'Core Indicators'!C101</f>
        <v>NGA001</v>
      </c>
      <c r="D101" s="266" t="str">
        <f>'Core Indicators'!D101</f>
        <v>Nigeria</v>
      </c>
      <c r="E101" s="266" t="str">
        <f>'Core Indicators'!E101</f>
        <v>NGA</v>
      </c>
      <c r="F101" s="36">
        <f>'Core Indicators'!O101</f>
        <v>909890</v>
      </c>
      <c r="G101" s="36">
        <f>'Core Indicators'!W101</f>
        <v>56233000</v>
      </c>
      <c r="H101" s="36">
        <f>'Core Indicators'!AE101</f>
        <v>7825000</v>
      </c>
      <c r="I101" s="36">
        <f>'Core Indicators'!AM101</f>
        <v>2555000</v>
      </c>
      <c r="J101" s="36" t="str">
        <f>'Core Indicators'!AU101</f>
        <v>x</v>
      </c>
      <c r="K101" s="36" t="str">
        <f>'Core Indicators'!BC101</f>
        <v>x</v>
      </c>
      <c r="L101" s="36">
        <f>'Core Indicators'!BK101</f>
        <v>2180</v>
      </c>
      <c r="M101" s="36" t="str">
        <f>'Core Indicators'!BS101</f>
        <v>x</v>
      </c>
      <c r="N101" s="36">
        <f>'Core Indicators'!CA101</f>
        <v>4300</v>
      </c>
      <c r="O101" s="36" t="e">
        <f>'Core Indicators'!CI101</f>
        <v>#N/A</v>
      </c>
      <c r="P101" s="36" t="str">
        <f>'Core Indicators'!CQ101</f>
        <v>x</v>
      </c>
      <c r="Q101" s="36">
        <f>'Core Indicators'!DG101</f>
        <v>48407000</v>
      </c>
      <c r="R101" s="36">
        <f>'Core Indicators'!DO101</f>
        <v>1936000</v>
      </c>
      <c r="S101" s="36">
        <f>'Core Indicators'!DW101</f>
        <v>3006000</v>
      </c>
      <c r="T101" s="36">
        <f>'Core Indicators'!EE101</f>
        <v>2884000</v>
      </c>
      <c r="U101" s="36">
        <f>'Core Indicators'!EM101</f>
        <v>0</v>
      </c>
      <c r="V101" s="36">
        <f>'Core Indicators'!FC101</f>
        <v>5</v>
      </c>
      <c r="W101" s="36" t="str">
        <f>'Core Indicators'!FK101</f>
        <v>x</v>
      </c>
      <c r="X101" s="36">
        <f>'Core Indicators'!FS101</f>
        <v>800000</v>
      </c>
      <c r="Y101" s="36">
        <f>'Core Indicators'!GA101</f>
        <v>1</v>
      </c>
      <c r="Z101" s="36">
        <f>'Core Indicators'!GI101</f>
        <v>3</v>
      </c>
      <c r="AA101" s="36">
        <f>'Core Indicators'!GQ101</f>
        <v>3</v>
      </c>
      <c r="AB101" s="36">
        <f>'Core Indicators'!GY101</f>
        <v>3</v>
      </c>
      <c r="AC101" s="36">
        <f>'Core Indicators'!HG101</f>
        <v>2</v>
      </c>
      <c r="AD101" s="36">
        <f>'Core Indicators'!HO101</f>
        <v>2</v>
      </c>
      <c r="AE101" s="36">
        <f>'Core Indicators'!HW101</f>
        <v>3</v>
      </c>
      <c r="AF101" s="36">
        <f>'Core Indicators'!IE101</f>
        <v>1</v>
      </c>
      <c r="AG101" s="36">
        <f>'Core Indicators'!IM101</f>
        <v>2</v>
      </c>
    </row>
    <row r="102" spans="1:33" ht="20.100000000000001" customHeight="1" x14ac:dyDescent="0.3">
      <c r="A102" s="267" t="str">
        <f>'Core Indicators'!A:A</f>
        <v>Middle belt conflict</v>
      </c>
      <c r="B102" s="267" t="str">
        <f>'Core Indicators'!B:B</f>
        <v>Conflict</v>
      </c>
      <c r="C102" s="267" t="str">
        <f>'Core Indicators'!C102</f>
        <v>NGA003</v>
      </c>
      <c r="D102" s="267" t="str">
        <f>'Core Indicators'!D102</f>
        <v>Nigeria</v>
      </c>
      <c r="E102" s="267" t="str">
        <f>'Core Indicators'!E102</f>
        <v>NGA</v>
      </c>
      <c r="F102" s="37">
        <f>'Core Indicators'!O102</f>
        <v>409735</v>
      </c>
      <c r="G102" s="37">
        <f>'Core Indicators'!W102</f>
        <v>84154000</v>
      </c>
      <c r="H102" s="37">
        <f>'Core Indicators'!AE102</f>
        <v>300000</v>
      </c>
      <c r="I102" s="37" t="str">
        <f>'Core Indicators'!AM102</f>
        <v>x</v>
      </c>
      <c r="J102" s="37" t="str">
        <f>'Core Indicators'!AU102</f>
        <v>x</v>
      </c>
      <c r="K102" s="37" t="str">
        <f>'Core Indicators'!BC102</f>
        <v>x</v>
      </c>
      <c r="L102" s="37">
        <f>'Core Indicators'!BK102</f>
        <v>291</v>
      </c>
      <c r="M102" s="37" t="str">
        <f>'Core Indicators'!BS102</f>
        <v>x</v>
      </c>
      <c r="N102" s="37" t="str">
        <f>'Core Indicators'!CA102</f>
        <v>x</v>
      </c>
      <c r="O102" s="37" t="e">
        <f>'Core Indicators'!CI102</f>
        <v>#N/A</v>
      </c>
      <c r="P102" s="37" t="str">
        <f>'Core Indicators'!CQ102</f>
        <v>x</v>
      </c>
      <c r="Q102" s="37" t="str">
        <f>'Core Indicators'!DG102</f>
        <v>x</v>
      </c>
      <c r="R102" s="37">
        <f>'Core Indicators'!DO102</f>
        <v>0</v>
      </c>
      <c r="S102" s="37" t="str">
        <f>'Core Indicators'!DW102</f>
        <v>x</v>
      </c>
      <c r="T102" s="37">
        <f>'Core Indicators'!EE102</f>
        <v>0</v>
      </c>
      <c r="U102" s="37">
        <f>'Core Indicators'!EM102</f>
        <v>0</v>
      </c>
      <c r="V102" s="37">
        <f>'Core Indicators'!FC102</f>
        <v>5</v>
      </c>
      <c r="W102" s="37" t="str">
        <f>'Core Indicators'!FK102</f>
        <v>x</v>
      </c>
      <c r="X102" s="37" t="str">
        <f>'Core Indicators'!FS102</f>
        <v>x</v>
      </c>
      <c r="Y102" s="37">
        <f>'Core Indicators'!GA102</f>
        <v>1</v>
      </c>
      <c r="Z102" s="37">
        <f>'Core Indicators'!GI102</f>
        <v>2</v>
      </c>
      <c r="AA102" s="37">
        <f>'Core Indicators'!GQ102</f>
        <v>0</v>
      </c>
      <c r="AB102" s="37">
        <f>'Core Indicators'!GY102</f>
        <v>3</v>
      </c>
      <c r="AC102" s="37">
        <f>'Core Indicators'!HG102</f>
        <v>0</v>
      </c>
      <c r="AD102" s="37">
        <f>'Core Indicators'!HO102</f>
        <v>1</v>
      </c>
      <c r="AE102" s="37">
        <f>'Core Indicators'!HW102</f>
        <v>2</v>
      </c>
      <c r="AF102" s="37">
        <f>'Core Indicators'!IE102</f>
        <v>1</v>
      </c>
      <c r="AG102" s="37">
        <f>'Core Indicators'!IM102</f>
        <v>1</v>
      </c>
    </row>
    <row r="103" spans="1:33" ht="20.100000000000001" customHeight="1" x14ac:dyDescent="0.3">
      <c r="A103" s="266" t="str">
        <f>'Core Indicators'!A:A</f>
        <v>Boko Haram crisis in Nigeria</v>
      </c>
      <c r="B103" s="266" t="str">
        <f>'Core Indicators'!B:B</f>
        <v>Conflict</v>
      </c>
      <c r="C103" s="266" t="str">
        <f>'Core Indicators'!C103</f>
        <v>NGA004</v>
      </c>
      <c r="D103" s="266" t="str">
        <f>'Core Indicators'!D103</f>
        <v>Nigeria</v>
      </c>
      <c r="E103" s="266" t="str">
        <f>'Core Indicators'!E103</f>
        <v>NGA</v>
      </c>
      <c r="F103" s="36">
        <f>'Core Indicators'!O103</f>
        <v>157918</v>
      </c>
      <c r="G103" s="36">
        <f>'Core Indicators'!W103</f>
        <v>7900000</v>
      </c>
      <c r="H103" s="36">
        <f>'Core Indicators'!AE103</f>
        <v>7150000</v>
      </c>
      <c r="I103" s="36">
        <f>'Core Indicators'!AM103</f>
        <v>2179000</v>
      </c>
      <c r="J103" s="36" t="str">
        <f>'Core Indicators'!AU103</f>
        <v>x</v>
      </c>
      <c r="K103" s="36" t="str">
        <f>'Core Indicators'!BC103</f>
        <v>x</v>
      </c>
      <c r="L103" s="36">
        <f>'Core Indicators'!BK103</f>
        <v>1046</v>
      </c>
      <c r="M103" s="36" t="str">
        <f>'Core Indicators'!BS103</f>
        <v>x</v>
      </c>
      <c r="N103" s="36">
        <f>'Core Indicators'!CA103</f>
        <v>4300</v>
      </c>
      <c r="O103" s="36" t="e">
        <f>'Core Indicators'!CI103</f>
        <v>#N/A</v>
      </c>
      <c r="P103" s="36" t="str">
        <f>'Core Indicators'!CQ103</f>
        <v>x</v>
      </c>
      <c r="Q103" s="36">
        <f>'Core Indicators'!DG103</f>
        <v>751000</v>
      </c>
      <c r="R103" s="36">
        <f>'Core Indicators'!DO103</f>
        <v>1936000</v>
      </c>
      <c r="S103" s="36">
        <f>'Core Indicators'!DW103</f>
        <v>2331000</v>
      </c>
      <c r="T103" s="36">
        <f>'Core Indicators'!EE103</f>
        <v>2884000</v>
      </c>
      <c r="U103" s="36">
        <f>'Core Indicators'!EM103</f>
        <v>0</v>
      </c>
      <c r="V103" s="36">
        <f>'Core Indicators'!FC103</f>
        <v>4</v>
      </c>
      <c r="W103" s="36" t="str">
        <f>'Core Indicators'!FK103</f>
        <v>x</v>
      </c>
      <c r="X103" s="36">
        <f>'Core Indicators'!FS103</f>
        <v>800000</v>
      </c>
      <c r="Y103" s="36">
        <f>'Core Indicators'!GA103</f>
        <v>1</v>
      </c>
      <c r="Z103" s="36">
        <f>'Core Indicators'!GI103</f>
        <v>2</v>
      </c>
      <c r="AA103" s="36">
        <f>'Core Indicators'!GQ103</f>
        <v>3</v>
      </c>
      <c r="AB103" s="36">
        <f>'Core Indicators'!GY103</f>
        <v>0</v>
      </c>
      <c r="AC103" s="36">
        <f>'Core Indicators'!HG103</f>
        <v>1</v>
      </c>
      <c r="AD103" s="36">
        <f>'Core Indicators'!HO103</f>
        <v>2</v>
      </c>
      <c r="AE103" s="36">
        <f>'Core Indicators'!HW103</f>
        <v>3</v>
      </c>
      <c r="AF103" s="36">
        <f>'Core Indicators'!IE103</f>
        <v>1</v>
      </c>
      <c r="AG103" s="36">
        <f>'Core Indicators'!IM103</f>
        <v>3</v>
      </c>
    </row>
    <row r="104" spans="1:33" ht="20.100000000000001" customHeight="1" x14ac:dyDescent="0.3">
      <c r="A104" s="267" t="str">
        <f>'Core Indicators'!A:A</f>
        <v>Northwest Banditry</v>
      </c>
      <c r="B104" s="267" t="str">
        <f>'Core Indicators'!B:B</f>
        <v>Other type of violence</v>
      </c>
      <c r="C104" s="267" t="str">
        <f>'Core Indicators'!C104</f>
        <v>NGA007</v>
      </c>
      <c r="D104" s="267" t="str">
        <f>'Core Indicators'!D104</f>
        <v>Nigeria</v>
      </c>
      <c r="E104" s="267" t="str">
        <f>'Core Indicators'!E104</f>
        <v>NGA</v>
      </c>
      <c r="F104" s="37">
        <f>'Core Indicators'!O104</f>
        <v>237708</v>
      </c>
      <c r="G104" s="37">
        <f>'Core Indicators'!W104</f>
        <v>30376000</v>
      </c>
      <c r="H104" s="37">
        <f>'Core Indicators'!AE104</f>
        <v>317000</v>
      </c>
      <c r="I104" s="37">
        <f>'Core Indicators'!AM104</f>
        <v>317000</v>
      </c>
      <c r="J104" s="37" t="str">
        <f>'Core Indicators'!AU104</f>
        <v>x</v>
      </c>
      <c r="K104" s="37" t="str">
        <f>'Core Indicators'!BC104</f>
        <v>x</v>
      </c>
      <c r="L104" s="37">
        <f>'Core Indicators'!BK104</f>
        <v>952</v>
      </c>
      <c r="M104" s="37">
        <f>'Core Indicators'!BS104</f>
        <v>500</v>
      </c>
      <c r="N104" s="37">
        <f>'Core Indicators'!CA104</f>
        <v>10500</v>
      </c>
      <c r="O104" s="37" t="e">
        <f>'Core Indicators'!CI104</f>
        <v>#N/A</v>
      </c>
      <c r="P104" s="37">
        <f>'Core Indicators'!CQ104</f>
        <v>49</v>
      </c>
      <c r="Q104" s="37">
        <f>'Core Indicators'!DG104</f>
        <v>30058000</v>
      </c>
      <c r="R104" s="37">
        <f>'Core Indicators'!DO104</f>
        <v>0</v>
      </c>
      <c r="S104" s="37">
        <f>'Core Indicators'!DW104</f>
        <v>317000</v>
      </c>
      <c r="T104" s="37">
        <f>'Core Indicators'!EE104</f>
        <v>0</v>
      </c>
      <c r="U104" s="37">
        <f>'Core Indicators'!EM104</f>
        <v>0</v>
      </c>
      <c r="V104" s="37">
        <f>'Core Indicators'!FC104</f>
        <v>5</v>
      </c>
      <c r="W104" s="37" t="str">
        <f>'Core Indicators'!FK104</f>
        <v>x</v>
      </c>
      <c r="X104" s="37" t="str">
        <f>'Core Indicators'!FS104</f>
        <v>x</v>
      </c>
      <c r="Y104" s="37">
        <f>'Core Indicators'!GA104</f>
        <v>0</v>
      </c>
      <c r="Z104" s="37">
        <f>'Core Indicators'!GI104</f>
        <v>2</v>
      </c>
      <c r="AA104" s="37">
        <f>'Core Indicators'!GQ104</f>
        <v>0</v>
      </c>
      <c r="AB104" s="37">
        <f>'Core Indicators'!GY104</f>
        <v>3</v>
      </c>
      <c r="AC104" s="37">
        <f>'Core Indicators'!HG104</f>
        <v>0</v>
      </c>
      <c r="AD104" s="37">
        <f>'Core Indicators'!HO104</f>
        <v>1</v>
      </c>
      <c r="AE104" s="37">
        <f>'Core Indicators'!HW104</f>
        <v>0</v>
      </c>
      <c r="AF104" s="37">
        <f>'Core Indicators'!IE104</f>
        <v>1</v>
      </c>
      <c r="AG104" s="37">
        <f>'Core Indicators'!IM104</f>
        <v>0</v>
      </c>
    </row>
    <row r="105" spans="1:33" ht="20.100000000000001" customHeight="1" x14ac:dyDescent="0.3">
      <c r="A105" s="266" t="str">
        <f>'Core Indicators'!A:A</f>
        <v>Cameroonian Refugees in Nigeria</v>
      </c>
      <c r="B105" s="266" t="str">
        <f>'Core Indicators'!B:B</f>
        <v>International displacement</v>
      </c>
      <c r="C105" s="266" t="str">
        <f>'Core Indicators'!C105</f>
        <v>NGA008</v>
      </c>
      <c r="D105" s="266" t="str">
        <f>'Core Indicators'!D105</f>
        <v>Nigeria</v>
      </c>
      <c r="E105" s="266" t="str">
        <f>'Core Indicators'!E105</f>
        <v>NGA</v>
      </c>
      <c r="F105" s="36">
        <f>'Core Indicators'!O105</f>
        <v>115769</v>
      </c>
      <c r="G105" s="36">
        <f>'Core Indicators'!W105</f>
        <v>17657000</v>
      </c>
      <c r="H105" s="36">
        <f>'Core Indicators'!AE105</f>
        <v>59000</v>
      </c>
      <c r="I105" s="36">
        <f>'Core Indicators'!AM105</f>
        <v>59000</v>
      </c>
      <c r="J105" s="36" t="str">
        <f>'Core Indicators'!AU105</f>
        <v>x</v>
      </c>
      <c r="K105" s="36" t="str">
        <f>'Core Indicators'!BC105</f>
        <v>x</v>
      </c>
      <c r="L105" s="36" t="str">
        <f>'Core Indicators'!BK105</f>
        <v>x</v>
      </c>
      <c r="M105" s="36" t="str">
        <f>'Core Indicators'!BS105</f>
        <v>x</v>
      </c>
      <c r="N105" s="36" t="str">
        <f>'Core Indicators'!CA105</f>
        <v>x</v>
      </c>
      <c r="O105" s="36" t="e">
        <f>'Core Indicators'!CI105</f>
        <v>#N/A</v>
      </c>
      <c r="P105" s="36" t="str">
        <f>'Core Indicators'!CQ105</f>
        <v>x</v>
      </c>
      <c r="Q105" s="36">
        <f>'Core Indicators'!DG105</f>
        <v>17598000</v>
      </c>
      <c r="R105" s="36">
        <f>'Core Indicators'!DO105</f>
        <v>0</v>
      </c>
      <c r="S105" s="36">
        <f>'Core Indicators'!DW105</f>
        <v>59000</v>
      </c>
      <c r="T105" s="36">
        <f>'Core Indicators'!EE105</f>
        <v>0</v>
      </c>
      <c r="U105" s="36">
        <f>'Core Indicators'!EM105</f>
        <v>0</v>
      </c>
      <c r="V105" s="36">
        <f>'Core Indicators'!FC105</f>
        <v>2139</v>
      </c>
      <c r="W105" s="36" t="str">
        <f>'Core Indicators'!FK105</f>
        <v>x</v>
      </c>
      <c r="X105" s="36" t="str">
        <f>'Core Indicators'!FS105</f>
        <v>x</v>
      </c>
      <c r="Y105" s="36">
        <f>'Core Indicators'!GA105</f>
        <v>3</v>
      </c>
      <c r="Z105" s="36">
        <f>'Core Indicators'!GI105</f>
        <v>2</v>
      </c>
      <c r="AA105" s="36">
        <f>'Core Indicators'!GQ105</f>
        <v>0</v>
      </c>
      <c r="AB105" s="36">
        <f>'Core Indicators'!GY105</f>
        <v>3</v>
      </c>
      <c r="AC105" s="36">
        <f>'Core Indicators'!HG105</f>
        <v>1</v>
      </c>
      <c r="AD105" s="36">
        <f>'Core Indicators'!HO105</f>
        <v>0</v>
      </c>
      <c r="AE105" s="36">
        <f>'Core Indicators'!HW105</f>
        <v>2</v>
      </c>
      <c r="AF105" s="36">
        <f>'Core Indicators'!IE105</f>
        <v>1</v>
      </c>
      <c r="AG105" s="36">
        <f>'Core Indicators'!IM105</f>
        <v>0</v>
      </c>
    </row>
    <row r="106" spans="1:33" ht="20.100000000000001" customHeight="1" x14ac:dyDescent="0.3">
      <c r="A106" s="267" t="str">
        <f>'Core Indicators'!A:A</f>
        <v>Regional Boko Haram Crisis</v>
      </c>
      <c r="B106" s="267" t="str">
        <f>'Core Indicators'!B:B</f>
        <v>Regional crisis</v>
      </c>
      <c r="C106" s="267" t="str">
        <f>'Core Indicators'!C106</f>
        <v>REG001</v>
      </c>
      <c r="D106" s="267" t="str">
        <f>'Core Indicators'!D106</f>
        <v>Nigeria, Niger, Chad, Cameroon</v>
      </c>
      <c r="E106" s="267" t="str">
        <f>'Core Indicators'!E106</f>
        <v>NGA, NER, TCD, CMR</v>
      </c>
      <c r="F106" s="37">
        <f>'Core Indicators'!O106</f>
        <v>369002</v>
      </c>
      <c r="G106" s="37">
        <f>'Core Indicators'!W106</f>
        <v>13701000</v>
      </c>
      <c r="H106" s="37">
        <f>'Core Indicators'!AE106</f>
        <v>11093000</v>
      </c>
      <c r="I106" s="37">
        <f>'Core Indicators'!AM106</f>
        <v>3348000</v>
      </c>
      <c r="J106" s="37" t="str">
        <f>'Core Indicators'!AU106</f>
        <v>x</v>
      </c>
      <c r="K106" s="37" t="str">
        <f>'Core Indicators'!BC106</f>
        <v>x</v>
      </c>
      <c r="L106" s="37">
        <f>'Core Indicators'!BK106</f>
        <v>1675</v>
      </c>
      <c r="M106" s="37">
        <f>'Core Indicators'!BS106</f>
        <v>0</v>
      </c>
      <c r="N106" s="37">
        <f>'Core Indicators'!CA106</f>
        <v>4300</v>
      </c>
      <c r="O106" s="37" t="e">
        <f>'Core Indicators'!CI106</f>
        <v>#N/A</v>
      </c>
      <c r="P106" s="37">
        <f>'Core Indicators'!CQ106</f>
        <v>5200000</v>
      </c>
      <c r="Q106" s="37">
        <f>'Core Indicators'!DG106</f>
        <v>2608000</v>
      </c>
      <c r="R106" s="37">
        <f>'Core Indicators'!DO106</f>
        <v>4352000</v>
      </c>
      <c r="S106" s="37">
        <f>'Core Indicators'!DW106</f>
        <v>3234000</v>
      </c>
      <c r="T106" s="37">
        <f>'Core Indicators'!EE106</f>
        <v>3385000</v>
      </c>
      <c r="U106" s="37">
        <f>'Core Indicators'!EM106</f>
        <v>122000</v>
      </c>
      <c r="V106" s="37">
        <f>'Core Indicators'!FC106</f>
        <v>5</v>
      </c>
      <c r="W106" s="37" t="str">
        <f>'Core Indicators'!FK106</f>
        <v>x</v>
      </c>
      <c r="X106" s="37">
        <f>'Core Indicators'!FS106</f>
        <v>800000</v>
      </c>
      <c r="Y106" s="37">
        <f>'Core Indicators'!GA106</f>
        <v>0.5</v>
      </c>
      <c r="Z106" s="37">
        <f>'Core Indicators'!GI106</f>
        <v>1.5</v>
      </c>
      <c r="AA106" s="37">
        <f>'Core Indicators'!GQ106</f>
        <v>0.75</v>
      </c>
      <c r="AB106" s="37">
        <f>'Core Indicators'!GY106</f>
        <v>0.75</v>
      </c>
      <c r="AC106" s="37">
        <f>'Core Indicators'!HG106</f>
        <v>0.5</v>
      </c>
      <c r="AD106" s="37">
        <f>'Core Indicators'!HO106</f>
        <v>2</v>
      </c>
      <c r="AE106" s="37">
        <f>'Core Indicators'!HW106</f>
        <v>2.5</v>
      </c>
      <c r="AF106" s="37">
        <f>'Core Indicators'!IE106</f>
        <v>1.5</v>
      </c>
      <c r="AG106" s="37">
        <f>'Core Indicators'!IM106</f>
        <v>2.5</v>
      </c>
    </row>
    <row r="107" spans="1:33" ht="20.100000000000001" customHeight="1" x14ac:dyDescent="0.3">
      <c r="A107" s="266" t="str">
        <f>'Core Indicators'!A:A</f>
        <v>Complex crisis in Pakistan</v>
      </c>
      <c r="B107" s="266" t="str">
        <f>'Core Indicators'!B:B</f>
        <v>Complex crisis</v>
      </c>
      <c r="C107" s="266" t="str">
        <f>'Core Indicators'!C107</f>
        <v>PAK001</v>
      </c>
      <c r="D107" s="266" t="str">
        <f>'Core Indicators'!D107</f>
        <v>Pakistan</v>
      </c>
      <c r="E107" s="266" t="str">
        <f>'Core Indicators'!E107</f>
        <v>PAK</v>
      </c>
      <c r="F107" s="36">
        <f>'Core Indicators'!O107</f>
        <v>770880</v>
      </c>
      <c r="G107" s="36">
        <f>'Core Indicators'!W107</f>
        <v>209594000</v>
      </c>
      <c r="H107" s="36">
        <f>'Core Indicators'!AE107</f>
        <v>64359000</v>
      </c>
      <c r="I107" s="36">
        <f>'Core Indicators'!AM107</f>
        <v>204000</v>
      </c>
      <c r="J107" s="36" t="str">
        <f>'Core Indicators'!AU107</f>
        <v>x</v>
      </c>
      <c r="K107" s="36" t="str">
        <f>'Core Indicators'!BC107</f>
        <v>x</v>
      </c>
      <c r="L107" s="36">
        <f>'Core Indicators'!BK107</f>
        <v>763</v>
      </c>
      <c r="M107" s="36" t="str">
        <f>'Core Indicators'!BS107</f>
        <v>x</v>
      </c>
      <c r="N107" s="36" t="str">
        <f>'Core Indicators'!CA107</f>
        <v>x</v>
      </c>
      <c r="O107" s="36" t="e">
        <f>'Core Indicators'!CI107</f>
        <v>#N/A</v>
      </c>
      <c r="P107" s="36" t="str">
        <f>'Core Indicators'!CQ107</f>
        <v>x</v>
      </c>
      <c r="Q107" s="36">
        <f>'Core Indicators'!DG107</f>
        <v>145236000</v>
      </c>
      <c r="R107" s="36">
        <f>'Core Indicators'!DO107</f>
        <v>61320000</v>
      </c>
      <c r="S107" s="36">
        <f>'Core Indicators'!DW107</f>
        <v>2021000</v>
      </c>
      <c r="T107" s="36">
        <f>'Core Indicators'!EE107</f>
        <v>1018000</v>
      </c>
      <c r="U107" s="36">
        <f>'Core Indicators'!EM107</f>
        <v>0</v>
      </c>
      <c r="V107" s="36">
        <f>'Core Indicators'!FC107</f>
        <v>5</v>
      </c>
      <c r="W107" s="36" t="str">
        <f>'Core Indicators'!FK107</f>
        <v>x</v>
      </c>
      <c r="X107" s="36" t="str">
        <f>'Core Indicators'!FS107</f>
        <v>x</v>
      </c>
      <c r="Y107" s="36">
        <f>'Core Indicators'!GA107</f>
        <v>2</v>
      </c>
      <c r="Z107" s="36">
        <f>'Core Indicators'!GI107</f>
        <v>1</v>
      </c>
      <c r="AA107" s="36">
        <f>'Core Indicators'!GQ107</f>
        <v>1</v>
      </c>
      <c r="AB107" s="36">
        <f>'Core Indicators'!GY107</f>
        <v>1</v>
      </c>
      <c r="AC107" s="36">
        <f>'Core Indicators'!HG107</f>
        <v>0</v>
      </c>
      <c r="AD107" s="36">
        <f>'Core Indicators'!HO107</f>
        <v>2</v>
      </c>
      <c r="AE107" s="36">
        <f>'Core Indicators'!HW107</f>
        <v>1</v>
      </c>
      <c r="AF107" s="36">
        <f>'Core Indicators'!IE107</f>
        <v>1</v>
      </c>
      <c r="AG107" s="36">
        <f>'Core Indicators'!IM107</f>
        <v>3</v>
      </c>
    </row>
    <row r="108" spans="1:33" ht="20.100000000000001" customHeight="1" x14ac:dyDescent="0.3">
      <c r="A108" s="267" t="str">
        <f>'Core Indicators'!A:A</f>
        <v>Kashmir conflict in Pakistan</v>
      </c>
      <c r="B108" s="267" t="str">
        <f>'Core Indicators'!B:B</f>
        <v>Conflict</v>
      </c>
      <c r="C108" s="267" t="str">
        <f>'Core Indicators'!C108</f>
        <v>PAK004</v>
      </c>
      <c r="D108" s="267" t="str">
        <f>'Core Indicators'!D108</f>
        <v>Pakistan</v>
      </c>
      <c r="E108" s="267" t="str">
        <f>'Core Indicators'!E108</f>
        <v>PAK</v>
      </c>
      <c r="F108" s="37">
        <f>'Core Indicators'!O108</f>
        <v>13297</v>
      </c>
      <c r="G108" s="37">
        <f>'Core Indicators'!W108</f>
        <v>4450000</v>
      </c>
      <c r="H108" s="37" t="str">
        <f>'Core Indicators'!AE108</f>
        <v>x</v>
      </c>
      <c r="I108" s="37" t="str">
        <f>'Core Indicators'!AM108</f>
        <v>x</v>
      </c>
      <c r="J108" s="37" t="str">
        <f>'Core Indicators'!AU108</f>
        <v>x</v>
      </c>
      <c r="K108" s="37" t="str">
        <f>'Core Indicators'!BC108</f>
        <v>x</v>
      </c>
      <c r="L108" s="37">
        <f>'Core Indicators'!BK108</f>
        <v>37</v>
      </c>
      <c r="M108" s="37" t="str">
        <f>'Core Indicators'!BS108</f>
        <v>x</v>
      </c>
      <c r="N108" s="37" t="str">
        <f>'Core Indicators'!CA108</f>
        <v>x</v>
      </c>
      <c r="O108" s="37" t="e">
        <f>'Core Indicators'!CI108</f>
        <v>#N/A</v>
      </c>
      <c r="P108" s="37" t="str">
        <f>'Core Indicators'!CQ108</f>
        <v>x</v>
      </c>
      <c r="Q108" s="37" t="str">
        <f>'Core Indicators'!DG108</f>
        <v>x</v>
      </c>
      <c r="R108" s="37" t="str">
        <f>'Core Indicators'!DO108</f>
        <v>x</v>
      </c>
      <c r="S108" s="37" t="str">
        <f>'Core Indicators'!DW108</f>
        <v>x</v>
      </c>
      <c r="T108" s="37" t="str">
        <f>'Core Indicators'!EE108</f>
        <v>x</v>
      </c>
      <c r="U108" s="37" t="str">
        <f>'Core Indicators'!EM108</f>
        <v>x</v>
      </c>
      <c r="V108" s="37">
        <f>'Core Indicators'!FC108</f>
        <v>3</v>
      </c>
      <c r="W108" s="37" t="str">
        <f>'Core Indicators'!FK108</f>
        <v>x</v>
      </c>
      <c r="X108" s="37" t="str">
        <f>'Core Indicators'!FS108</f>
        <v>x</v>
      </c>
      <c r="Y108" s="37">
        <f>'Core Indicators'!GA108</f>
        <v>2</v>
      </c>
      <c r="Z108" s="37">
        <f>'Core Indicators'!GI108</f>
        <v>1</v>
      </c>
      <c r="AA108" s="37">
        <f>'Core Indicators'!GQ108</f>
        <v>1</v>
      </c>
      <c r="AB108" s="37">
        <f>'Core Indicators'!GY108</f>
        <v>0</v>
      </c>
      <c r="AC108" s="37">
        <f>'Core Indicators'!HG108</f>
        <v>0</v>
      </c>
      <c r="AD108" s="37">
        <f>'Core Indicators'!HO108</f>
        <v>2</v>
      </c>
      <c r="AE108" s="37">
        <f>'Core Indicators'!HW108</f>
        <v>1</v>
      </c>
      <c r="AF108" s="37">
        <f>'Core Indicators'!IE108</f>
        <v>1</v>
      </c>
      <c r="AG108" s="37">
        <f>'Core Indicators'!IM108</f>
        <v>2</v>
      </c>
    </row>
    <row r="109" spans="1:33" ht="20.100000000000001" customHeight="1" x14ac:dyDescent="0.3">
      <c r="A109" s="266" t="str">
        <f>'Core Indicators'!A:A</f>
        <v>Conflict in Palestine</v>
      </c>
      <c r="B109" s="266" t="str">
        <f>'Core Indicators'!B:B</f>
        <v>Conflict</v>
      </c>
      <c r="C109" s="266" t="str">
        <f>'Core Indicators'!C109</f>
        <v>PSE002</v>
      </c>
      <c r="D109" s="266" t="str">
        <f>'Core Indicators'!D109</f>
        <v>Palestine</v>
      </c>
      <c r="E109" s="266" t="str">
        <f>'Core Indicators'!E109</f>
        <v>PSE</v>
      </c>
      <c r="F109" s="36">
        <f>'Core Indicators'!O109</f>
        <v>6020</v>
      </c>
      <c r="G109" s="36">
        <f>'Core Indicators'!W109</f>
        <v>5200000</v>
      </c>
      <c r="H109" s="36">
        <f>'Core Indicators'!AE109</f>
        <v>5200000</v>
      </c>
      <c r="I109" s="36">
        <f>'Core Indicators'!AM109</f>
        <v>6365000</v>
      </c>
      <c r="J109" s="36">
        <f>'Core Indicators'!AU109</f>
        <v>719</v>
      </c>
      <c r="K109" s="36" t="str">
        <f>'Core Indicators'!BC109</f>
        <v>x</v>
      </c>
      <c r="L109" s="36">
        <f>'Core Indicators'!BK109</f>
        <v>9</v>
      </c>
      <c r="M109" s="36">
        <f>'Core Indicators'!BS109</f>
        <v>160000</v>
      </c>
      <c r="N109" s="36">
        <f>'Core Indicators'!CA109</f>
        <v>11422</v>
      </c>
      <c r="O109" s="36" t="e">
        <f>'Core Indicators'!CI109</f>
        <v>#N/A</v>
      </c>
      <c r="P109" s="36" t="str">
        <f>'Core Indicators'!CQ109</f>
        <v>x</v>
      </c>
      <c r="Q109" s="36">
        <f>'Core Indicators'!DG109</f>
        <v>0</v>
      </c>
      <c r="R109" s="36">
        <f>'Core Indicators'!DO109</f>
        <v>3000000</v>
      </c>
      <c r="S109" s="36">
        <f>'Core Indicators'!DW109</f>
        <v>396000</v>
      </c>
      <c r="T109" s="36">
        <f>'Core Indicators'!EE109</f>
        <v>858000</v>
      </c>
      <c r="U109" s="36">
        <f>'Core Indicators'!EM109</f>
        <v>946000</v>
      </c>
      <c r="V109" s="36">
        <f>'Core Indicators'!FC109</f>
        <v>4</v>
      </c>
      <c r="W109" s="36" t="str">
        <f>'Core Indicators'!FK109</f>
        <v>x</v>
      </c>
      <c r="X109" s="36">
        <f>'Core Indicators'!FS109</f>
        <v>4950000</v>
      </c>
      <c r="Y109" s="36">
        <f>'Core Indicators'!GA109</f>
        <v>2</v>
      </c>
      <c r="Z109" s="36">
        <f>'Core Indicators'!GI109</f>
        <v>3</v>
      </c>
      <c r="AA109" s="36">
        <f>'Core Indicators'!GQ109</f>
        <v>3</v>
      </c>
      <c r="AB109" s="36">
        <f>'Core Indicators'!GY109</f>
        <v>1</v>
      </c>
      <c r="AC109" s="36">
        <f>'Core Indicators'!HG109</f>
        <v>2</v>
      </c>
      <c r="AD109" s="36">
        <f>'Core Indicators'!HO109</f>
        <v>3</v>
      </c>
      <c r="AE109" s="36">
        <f>'Core Indicators'!HW109</f>
        <v>3</v>
      </c>
      <c r="AF109" s="36">
        <f>'Core Indicators'!IE109</f>
        <v>1</v>
      </c>
      <c r="AG109" s="36">
        <f>'Core Indicators'!IM109</f>
        <v>2</v>
      </c>
    </row>
    <row r="110" spans="1:33" ht="20.100000000000001" customHeight="1" x14ac:dyDescent="0.3">
      <c r="A110" s="267" t="str">
        <f>'Core Indicators'!A:A</f>
        <v>Venezuela displacement in Peru</v>
      </c>
      <c r="B110" s="267" t="str">
        <f>'Core Indicators'!B:B</f>
        <v>International displacement</v>
      </c>
      <c r="C110" s="267" t="str">
        <f>'Core Indicators'!C110</f>
        <v>PER002</v>
      </c>
      <c r="D110" s="267" t="str">
        <f>'Core Indicators'!D110</f>
        <v>Peru</v>
      </c>
      <c r="E110" s="267" t="str">
        <f>'Core Indicators'!E110</f>
        <v>PER</v>
      </c>
      <c r="F110" s="37">
        <f>'Core Indicators'!O110</f>
        <v>178440</v>
      </c>
      <c r="G110" s="37">
        <f>'Core Indicators'!W110</f>
        <v>16328000</v>
      </c>
      <c r="H110" s="37">
        <f>'Core Indicators'!AE110</f>
        <v>1098000</v>
      </c>
      <c r="I110" s="37">
        <f>'Core Indicators'!AM110</f>
        <v>830000</v>
      </c>
      <c r="J110" s="37" t="str">
        <f>'Core Indicators'!AU110</f>
        <v>x</v>
      </c>
      <c r="K110" s="37" t="str">
        <f>'Core Indicators'!BC110</f>
        <v>x</v>
      </c>
      <c r="L110" s="37">
        <f>'Core Indicators'!BK110</f>
        <v>3</v>
      </c>
      <c r="M110" s="37">
        <f>'Core Indicators'!BS110</f>
        <v>0</v>
      </c>
      <c r="N110" s="37">
        <f>'Core Indicators'!CA110</f>
        <v>0</v>
      </c>
      <c r="O110" s="37" t="e">
        <f>'Core Indicators'!CI110</f>
        <v>#N/A</v>
      </c>
      <c r="P110" s="37" t="str">
        <f>'Core Indicators'!CQ110</f>
        <v>x</v>
      </c>
      <c r="Q110" s="37">
        <f>'Core Indicators'!DG110</f>
        <v>15443000</v>
      </c>
      <c r="R110" s="37">
        <f>'Core Indicators'!DO110</f>
        <v>0</v>
      </c>
      <c r="S110" s="37">
        <f>'Core Indicators'!DW110</f>
        <v>885000</v>
      </c>
      <c r="T110" s="37">
        <f>'Core Indicators'!EE110</f>
        <v>0</v>
      </c>
      <c r="U110" s="37">
        <f>'Core Indicators'!EM110</f>
        <v>0</v>
      </c>
      <c r="V110" s="37">
        <f>'Core Indicators'!FC110</f>
        <v>2</v>
      </c>
      <c r="W110" s="37">
        <f>'Core Indicators'!FK110</f>
        <v>0</v>
      </c>
      <c r="X110" s="37">
        <f>'Core Indicators'!FS110</f>
        <v>0</v>
      </c>
      <c r="Y110" s="37">
        <f>'Core Indicators'!GA110</f>
        <v>0</v>
      </c>
      <c r="Z110" s="37">
        <f>'Core Indicators'!GI110</f>
        <v>0</v>
      </c>
      <c r="AA110" s="37">
        <f>'Core Indicators'!GQ110</f>
        <v>0</v>
      </c>
      <c r="AB110" s="37">
        <f>'Core Indicators'!GY110</f>
        <v>0</v>
      </c>
      <c r="AC110" s="37">
        <f>'Core Indicators'!HG110</f>
        <v>0</v>
      </c>
      <c r="AD110" s="37">
        <f>'Core Indicators'!HO110</f>
        <v>1</v>
      </c>
      <c r="AE110" s="37">
        <f>'Core Indicators'!HW110</f>
        <v>0</v>
      </c>
      <c r="AF110" s="37">
        <f>'Core Indicators'!IE110</f>
        <v>0</v>
      </c>
      <c r="AG110" s="37">
        <f>'Core Indicators'!IM110</f>
        <v>2</v>
      </c>
    </row>
    <row r="111" spans="1:33" ht="20.100000000000001" customHeight="1" x14ac:dyDescent="0.3">
      <c r="A111" s="266" t="str">
        <f>'Core Indicators'!A:A</f>
        <v>Multiple crises in the Philippines</v>
      </c>
      <c r="B111" s="266" t="str">
        <f>'Core Indicators'!B:B</f>
        <v>Multiple crises country</v>
      </c>
      <c r="C111" s="266" t="str">
        <f>'Core Indicators'!C111</f>
        <v>PHL001</v>
      </c>
      <c r="D111" s="266" t="str">
        <f>'Core Indicators'!D111</f>
        <v>Philippines</v>
      </c>
      <c r="E111" s="266" t="str">
        <f>'Core Indicators'!E111</f>
        <v>PHL</v>
      </c>
      <c r="F111" s="36">
        <f>'Core Indicators'!O111</f>
        <v>171124</v>
      </c>
      <c r="G111" s="36">
        <f>'Core Indicators'!W111</f>
        <v>34270000</v>
      </c>
      <c r="H111" s="36">
        <f>'Core Indicators'!AE111</f>
        <v>231000</v>
      </c>
      <c r="I111" s="36">
        <f>'Core Indicators'!AM111</f>
        <v>231000</v>
      </c>
      <c r="J111" s="36" t="str">
        <f>'Core Indicators'!AU111</f>
        <v>x</v>
      </c>
      <c r="K111" s="36" t="str">
        <f>'Core Indicators'!BC111</f>
        <v>x</v>
      </c>
      <c r="L111" s="36">
        <f>'Core Indicators'!BK111</f>
        <v>339</v>
      </c>
      <c r="M111" s="36" t="e">
        <f>'Core Indicators'!BS111</f>
        <v>#N/A</v>
      </c>
      <c r="N111" s="36" t="e">
        <f>'Core Indicators'!CA111</f>
        <v>#N/A</v>
      </c>
      <c r="O111" s="36" t="e">
        <f>'Core Indicators'!CI111</f>
        <v>#N/A</v>
      </c>
      <c r="P111" s="36" t="str">
        <f>'Core Indicators'!CQ111</f>
        <v>x</v>
      </c>
      <c r="Q111" s="36">
        <f>'Core Indicators'!DG111</f>
        <v>34039000</v>
      </c>
      <c r="R111" s="36">
        <f>'Core Indicators'!DO111</f>
        <v>0</v>
      </c>
      <c r="S111" s="36">
        <f>'Core Indicators'!DW111</f>
        <v>231000</v>
      </c>
      <c r="T111" s="36">
        <f>'Core Indicators'!EE111</f>
        <v>0</v>
      </c>
      <c r="U111" s="36">
        <f>'Core Indicators'!EM111</f>
        <v>0</v>
      </c>
      <c r="V111" s="36">
        <f>'Core Indicators'!FC111</f>
        <v>4</v>
      </c>
      <c r="W111" s="36" t="e">
        <f>'Core Indicators'!FK111</f>
        <v>#N/A</v>
      </c>
      <c r="X111" s="36" t="e">
        <f>'Core Indicators'!FS111</f>
        <v>#N/A</v>
      </c>
      <c r="Y111" s="36">
        <f>'Core Indicators'!GA111</f>
        <v>0</v>
      </c>
      <c r="Z111" s="36">
        <f>'Core Indicators'!GI111</f>
        <v>0</v>
      </c>
      <c r="AA111" s="36">
        <f>'Core Indicators'!GQ111</f>
        <v>0</v>
      </c>
      <c r="AB111" s="36">
        <f>'Core Indicators'!GY111</f>
        <v>0</v>
      </c>
      <c r="AC111" s="36">
        <f>'Core Indicators'!HG111</f>
        <v>0</v>
      </c>
      <c r="AD111" s="36">
        <f>'Core Indicators'!HO111</f>
        <v>2</v>
      </c>
      <c r="AE111" s="36">
        <f>'Core Indicators'!HW111</f>
        <v>1</v>
      </c>
      <c r="AF111" s="36">
        <f>'Core Indicators'!IE111</f>
        <v>1</v>
      </c>
      <c r="AG111" s="36">
        <f>'Core Indicators'!IM111</f>
        <v>3</v>
      </c>
    </row>
    <row r="112" spans="1:33" ht="20.100000000000001" customHeight="1" x14ac:dyDescent="0.3">
      <c r="A112" s="267" t="str">
        <f>'Core Indicators'!A:A</f>
        <v>Mindanao conflict</v>
      </c>
      <c r="B112" s="267" t="str">
        <f>'Core Indicators'!B:B</f>
        <v>Conflict</v>
      </c>
      <c r="C112" s="267" t="str">
        <f>'Core Indicators'!C112</f>
        <v>PHL003</v>
      </c>
      <c r="D112" s="267" t="str">
        <f>'Core Indicators'!D112</f>
        <v>Philippines</v>
      </c>
      <c r="E112" s="267" t="str">
        <f>'Core Indicators'!E112</f>
        <v>PHL</v>
      </c>
      <c r="F112" s="37">
        <f>'Core Indicators'!O112</f>
        <v>138354</v>
      </c>
      <c r="G112" s="37">
        <f>'Core Indicators'!W112</f>
        <v>24136000</v>
      </c>
      <c r="H112" s="37">
        <f>'Core Indicators'!AE112</f>
        <v>152000</v>
      </c>
      <c r="I112" s="37">
        <f>'Core Indicators'!AM112</f>
        <v>152000</v>
      </c>
      <c r="J112" s="37" t="str">
        <f>'Core Indicators'!AU112</f>
        <v>x</v>
      </c>
      <c r="K112" s="37" t="str">
        <f>'Core Indicators'!BC112</f>
        <v>x</v>
      </c>
      <c r="L112" s="37">
        <f>'Core Indicators'!BK112</f>
        <v>339</v>
      </c>
      <c r="M112" s="37" t="str">
        <f>'Core Indicators'!BS112</f>
        <v>x</v>
      </c>
      <c r="N112" s="37" t="str">
        <f>'Core Indicators'!CA112</f>
        <v>x</v>
      </c>
      <c r="O112" s="37" t="e">
        <f>'Core Indicators'!CI112</f>
        <v>#N/A</v>
      </c>
      <c r="P112" s="37" t="str">
        <f>'Core Indicators'!CQ112</f>
        <v>x</v>
      </c>
      <c r="Q112" s="37">
        <f>'Core Indicators'!DG112</f>
        <v>23985000</v>
      </c>
      <c r="R112" s="37">
        <f>'Core Indicators'!DO112</f>
        <v>2000</v>
      </c>
      <c r="S112" s="37">
        <f>'Core Indicators'!DW112</f>
        <v>151000</v>
      </c>
      <c r="T112" s="37">
        <f>'Core Indicators'!EE112</f>
        <v>0</v>
      </c>
      <c r="U112" s="37">
        <f>'Core Indicators'!EM112</f>
        <v>0</v>
      </c>
      <c r="V112" s="37">
        <f>'Core Indicators'!FC112</f>
        <v>4</v>
      </c>
      <c r="W112" s="37" t="str">
        <f>'Core Indicators'!FK112</f>
        <v>x</v>
      </c>
      <c r="X112" s="37" t="str">
        <f>'Core Indicators'!FS112</f>
        <v>x</v>
      </c>
      <c r="Y112" s="37">
        <f>'Core Indicators'!GA112</f>
        <v>0</v>
      </c>
      <c r="Z112" s="37">
        <f>'Core Indicators'!GI112</f>
        <v>0</v>
      </c>
      <c r="AA112" s="37">
        <f>'Core Indicators'!GQ112</f>
        <v>0</v>
      </c>
      <c r="AB112" s="37">
        <f>'Core Indicators'!GY112</f>
        <v>0</v>
      </c>
      <c r="AC112" s="37">
        <f>'Core Indicators'!HG112</f>
        <v>0</v>
      </c>
      <c r="AD112" s="37">
        <f>'Core Indicators'!HO112</f>
        <v>1</v>
      </c>
      <c r="AE112" s="37">
        <f>'Core Indicators'!HW112</f>
        <v>1</v>
      </c>
      <c r="AF112" s="37">
        <f>'Core Indicators'!IE112</f>
        <v>1</v>
      </c>
      <c r="AG112" s="37">
        <f>'Core Indicators'!IM112</f>
        <v>2</v>
      </c>
    </row>
    <row r="113" spans="1:33" ht="20.100000000000001" customHeight="1" x14ac:dyDescent="0.3">
      <c r="A113" s="266" t="str">
        <f>'Core Indicators'!A:A</f>
        <v>Mindanao Earthquake</v>
      </c>
      <c r="B113" s="266" t="str">
        <f>'Core Indicators'!B:B</f>
        <v>Earthquake</v>
      </c>
      <c r="C113" s="266" t="str">
        <f>'Core Indicators'!C113</f>
        <v>PHL004</v>
      </c>
      <c r="D113" s="266" t="str">
        <f>'Core Indicators'!D113</f>
        <v>Philippines</v>
      </c>
      <c r="E113" s="266" t="str">
        <f>'Core Indicators'!E113</f>
        <v>PHL</v>
      </c>
      <c r="F113" s="36">
        <f>'Core Indicators'!O113</f>
        <v>138354</v>
      </c>
      <c r="G113" s="36">
        <f>'Core Indicators'!W113</f>
        <v>10134000</v>
      </c>
      <c r="H113" s="36">
        <f>'Core Indicators'!AE113</f>
        <v>79000</v>
      </c>
      <c r="I113" s="36">
        <f>'Core Indicators'!AM113</f>
        <v>79000</v>
      </c>
      <c r="J113" s="36">
        <f>'Core Indicators'!AU113</f>
        <v>563</v>
      </c>
      <c r="K113" s="36" t="str">
        <f>'Core Indicators'!BC113</f>
        <v>x</v>
      </c>
      <c r="L113" s="36">
        <f>'Core Indicators'!BK113</f>
        <v>0</v>
      </c>
      <c r="M113" s="36">
        <f>'Core Indicators'!BS113</f>
        <v>21681</v>
      </c>
      <c r="N113" s="36">
        <f>'Core Indicators'!CA113</f>
        <v>25795</v>
      </c>
      <c r="O113" s="36" t="e">
        <f>'Core Indicators'!CI113</f>
        <v>#N/A</v>
      </c>
      <c r="P113" s="36" t="str">
        <f>'Core Indicators'!CQ113</f>
        <v>x</v>
      </c>
      <c r="Q113" s="36">
        <f>'Core Indicators'!DG113</f>
        <v>10056000</v>
      </c>
      <c r="R113" s="36">
        <f>'Core Indicators'!DO113</f>
        <v>0</v>
      </c>
      <c r="S113" s="36">
        <f>'Core Indicators'!DW113</f>
        <v>79000</v>
      </c>
      <c r="T113" s="36">
        <f>'Core Indicators'!EE113</f>
        <v>0</v>
      </c>
      <c r="U113" s="36">
        <f>'Core Indicators'!EM113</f>
        <v>0</v>
      </c>
      <c r="V113" s="36">
        <f>'Core Indicators'!FC113</f>
        <v>3</v>
      </c>
      <c r="W113" s="36" t="e">
        <f>'Core Indicators'!FK113</f>
        <v>#N/A</v>
      </c>
      <c r="X113" s="36" t="e">
        <f>'Core Indicators'!FS113</f>
        <v>#N/A</v>
      </c>
      <c r="Y113" s="36">
        <f>'Core Indicators'!GA113</f>
        <v>0</v>
      </c>
      <c r="Z113" s="36">
        <f>'Core Indicators'!GI113</f>
        <v>0</v>
      </c>
      <c r="AA113" s="36">
        <f>'Core Indicators'!GQ113</f>
        <v>0</v>
      </c>
      <c r="AB113" s="36">
        <f>'Core Indicators'!GY113</f>
        <v>0</v>
      </c>
      <c r="AC113" s="36">
        <f>'Core Indicators'!HG113</f>
        <v>0</v>
      </c>
      <c r="AD113" s="36">
        <f>'Core Indicators'!HO113</f>
        <v>3</v>
      </c>
      <c r="AE113" s="36">
        <f>'Core Indicators'!HW113</f>
        <v>0</v>
      </c>
      <c r="AF113" s="36">
        <f>'Core Indicators'!IE113</f>
        <v>1</v>
      </c>
      <c r="AG113" s="36">
        <f>'Core Indicators'!IM113</f>
        <v>2</v>
      </c>
    </row>
    <row r="114" spans="1:33" ht="20.100000000000001" customHeight="1" x14ac:dyDescent="0.3">
      <c r="A114" s="267" t="str">
        <f>'Core Indicators'!A:A</f>
        <v>Burundi and DRC refugees in Rwanda</v>
      </c>
      <c r="B114" s="267" t="str">
        <f>'Core Indicators'!B:B</f>
        <v>International displacement</v>
      </c>
      <c r="C114" s="267" t="str">
        <f>'Core Indicators'!C114</f>
        <v>RWA002</v>
      </c>
      <c r="D114" s="267" t="str">
        <f>'Core Indicators'!D114</f>
        <v>Rwanda</v>
      </c>
      <c r="E114" s="267" t="str">
        <f>'Core Indicators'!E114</f>
        <v>RWA</v>
      </c>
      <c r="F114" s="37">
        <f>'Core Indicators'!O114</f>
        <v>10646</v>
      </c>
      <c r="G114" s="37">
        <f>'Core Indicators'!W114</f>
        <v>4576000</v>
      </c>
      <c r="H114" s="37">
        <f>'Core Indicators'!AE114</f>
        <v>149000</v>
      </c>
      <c r="I114" s="37">
        <f>'Core Indicators'!AM114</f>
        <v>149000</v>
      </c>
      <c r="J114" s="37" t="str">
        <f>'Core Indicators'!AU114</f>
        <v>x</v>
      </c>
      <c r="K114" s="37" t="str">
        <f>'Core Indicators'!BC114</f>
        <v>x</v>
      </c>
      <c r="L114" s="37" t="str">
        <f>'Core Indicators'!BK114</f>
        <v>x</v>
      </c>
      <c r="M114" s="37">
        <f>'Core Indicators'!BS114</f>
        <v>0</v>
      </c>
      <c r="N114" s="37">
        <f>'Core Indicators'!CA114</f>
        <v>0</v>
      </c>
      <c r="O114" s="37" t="e">
        <f>'Core Indicators'!CI114</f>
        <v>#N/A</v>
      </c>
      <c r="P114" s="37">
        <f>'Core Indicators'!CQ114</f>
        <v>0</v>
      </c>
      <c r="Q114" s="37">
        <f>'Core Indicators'!DG114</f>
        <v>4427000</v>
      </c>
      <c r="R114" s="37">
        <f>'Core Indicators'!DO114</f>
        <v>0</v>
      </c>
      <c r="S114" s="37">
        <f>'Core Indicators'!DW114</f>
        <v>149000</v>
      </c>
      <c r="T114" s="37">
        <f>'Core Indicators'!EE114</f>
        <v>0</v>
      </c>
      <c r="U114" s="37">
        <f>'Core Indicators'!EM114</f>
        <v>0</v>
      </c>
      <c r="V114" s="37">
        <f>'Core Indicators'!FC114</f>
        <v>2</v>
      </c>
      <c r="W114" s="37">
        <f>'Core Indicators'!FK114</f>
        <v>0</v>
      </c>
      <c r="X114" s="37">
        <f>'Core Indicators'!FS114</f>
        <v>0</v>
      </c>
      <c r="Y114" s="37">
        <f>'Core Indicators'!GA114</f>
        <v>0</v>
      </c>
      <c r="Z114" s="37">
        <f>'Core Indicators'!GI114</f>
        <v>0</v>
      </c>
      <c r="AA114" s="37">
        <f>'Core Indicators'!GQ114</f>
        <v>0</v>
      </c>
      <c r="AB114" s="37">
        <f>'Core Indicators'!GY114</f>
        <v>2</v>
      </c>
      <c r="AC114" s="37">
        <f>'Core Indicators'!HG114</f>
        <v>0</v>
      </c>
      <c r="AD114" s="37">
        <f>'Core Indicators'!HO114</f>
        <v>0</v>
      </c>
      <c r="AE114" s="37">
        <f>'Core Indicators'!HW114</f>
        <v>0</v>
      </c>
      <c r="AF114" s="37">
        <f>'Core Indicators'!IE114</f>
        <v>0</v>
      </c>
      <c r="AG114" s="37">
        <f>'Core Indicators'!IM114</f>
        <v>0</v>
      </c>
    </row>
    <row r="115" spans="1:33" ht="20.100000000000001" customHeight="1" x14ac:dyDescent="0.3">
      <c r="A115" s="266" t="str">
        <f>'Core Indicators'!A:A</f>
        <v>Drought in Senegal</v>
      </c>
      <c r="B115" s="266" t="str">
        <f>'Core Indicators'!B:B</f>
        <v>Drought</v>
      </c>
      <c r="C115" s="266" t="str">
        <f>'Core Indicators'!C115</f>
        <v>SEN002</v>
      </c>
      <c r="D115" s="266" t="str">
        <f>'Core Indicators'!D115</f>
        <v>Senegal</v>
      </c>
      <c r="E115" s="266" t="str">
        <f>'Core Indicators'!E115</f>
        <v>SEN</v>
      </c>
      <c r="F115" s="36">
        <f>'Core Indicators'!O115</f>
        <v>192530</v>
      </c>
      <c r="G115" s="36">
        <f>'Core Indicators'!W115</f>
        <v>16303000</v>
      </c>
      <c r="H115" s="36">
        <f>'Core Indicators'!AE115</f>
        <v>2926000</v>
      </c>
      <c r="I115" s="36" t="str">
        <f>'Core Indicators'!AM115</f>
        <v>x</v>
      </c>
      <c r="J115" s="36">
        <f>'Core Indicators'!AU115</f>
        <v>0</v>
      </c>
      <c r="K115" s="36">
        <f>'Core Indicators'!BC115</f>
        <v>0</v>
      </c>
      <c r="L115" s="36">
        <f>'Core Indicators'!BK115</f>
        <v>0</v>
      </c>
      <c r="M115" s="36">
        <f>'Core Indicators'!BS115</f>
        <v>0</v>
      </c>
      <c r="N115" s="36">
        <f>'Core Indicators'!CA115</f>
        <v>0</v>
      </c>
      <c r="O115" s="36" t="e">
        <f>'Core Indicators'!CI115</f>
        <v>#N/A</v>
      </c>
      <c r="P115" s="36" t="str">
        <f>'Core Indicators'!CQ115</f>
        <v>x</v>
      </c>
      <c r="Q115" s="36">
        <f>'Core Indicators'!DG115</f>
        <v>13377000</v>
      </c>
      <c r="R115" s="36">
        <f>'Core Indicators'!DO115</f>
        <v>2489000</v>
      </c>
      <c r="S115" s="36">
        <f>'Core Indicators'!DW115</f>
        <v>437000</v>
      </c>
      <c r="T115" s="36">
        <f>'Core Indicators'!EE115</f>
        <v>0</v>
      </c>
      <c r="U115" s="36">
        <f>'Core Indicators'!EM115</f>
        <v>0</v>
      </c>
      <c r="V115" s="36">
        <f>'Core Indicators'!FC115</f>
        <v>4</v>
      </c>
      <c r="W115" s="36">
        <f>'Core Indicators'!FK115</f>
        <v>0</v>
      </c>
      <c r="X115" s="36">
        <f>'Core Indicators'!FS115</f>
        <v>0</v>
      </c>
      <c r="Y115" s="36">
        <f>'Core Indicators'!GA115</f>
        <v>0</v>
      </c>
      <c r="Z115" s="36">
        <f>'Core Indicators'!GI115</f>
        <v>0</v>
      </c>
      <c r="AA115" s="36">
        <f>'Core Indicators'!GQ115</f>
        <v>0</v>
      </c>
      <c r="AB115" s="36">
        <f>'Core Indicators'!GY115</f>
        <v>2</v>
      </c>
      <c r="AC115" s="36">
        <f>'Core Indicators'!HG115</f>
        <v>0</v>
      </c>
      <c r="AD115" s="36">
        <f>'Core Indicators'!HO115</f>
        <v>0</v>
      </c>
      <c r="AE115" s="36">
        <f>'Core Indicators'!HW115</f>
        <v>0</v>
      </c>
      <c r="AF115" s="36">
        <f>'Core Indicators'!IE115</f>
        <v>1</v>
      </c>
      <c r="AG115" s="36">
        <f>'Core Indicators'!IM115</f>
        <v>0</v>
      </c>
    </row>
    <row r="116" spans="1:33" ht="20.100000000000001" customHeight="1" x14ac:dyDescent="0.3">
      <c r="A116" s="267" t="str">
        <f>'Core Indicators'!A:A</f>
        <v>Complex crisis in Somalia</v>
      </c>
      <c r="B116" s="267" t="str">
        <f>'Core Indicators'!B:B</f>
        <v>Complex crisis</v>
      </c>
      <c r="C116" s="267" t="str">
        <f>'Core Indicators'!C116</f>
        <v>SOM001</v>
      </c>
      <c r="D116" s="267" t="str">
        <f>'Core Indicators'!D116</f>
        <v>Somalia</v>
      </c>
      <c r="E116" s="267" t="str">
        <f>'Core Indicators'!E116</f>
        <v>SOM</v>
      </c>
      <c r="F116" s="37">
        <f>'Core Indicators'!O116</f>
        <v>627340</v>
      </c>
      <c r="G116" s="37">
        <f>'Core Indicators'!W116</f>
        <v>12300000</v>
      </c>
      <c r="H116" s="37">
        <f>'Core Indicators'!AE116</f>
        <v>12300000</v>
      </c>
      <c r="I116" s="37">
        <f>'Core Indicators'!AM116</f>
        <v>3939000</v>
      </c>
      <c r="J116" s="37" t="str">
        <f>'Core Indicators'!AU116</f>
        <v>x</v>
      </c>
      <c r="K116" s="37" t="str">
        <f>'Core Indicators'!BC116</f>
        <v>x</v>
      </c>
      <c r="L116" s="37">
        <f>'Core Indicators'!BK116</f>
        <v>1629</v>
      </c>
      <c r="M116" s="37" t="str">
        <f>'Core Indicators'!BS116</f>
        <v>x</v>
      </c>
      <c r="N116" s="37" t="str">
        <f>'Core Indicators'!CA116</f>
        <v>x</v>
      </c>
      <c r="O116" s="37" t="e">
        <f>'Core Indicators'!CI116</f>
        <v>#N/A</v>
      </c>
      <c r="P116" s="37" t="str">
        <f>'Core Indicators'!CQ116</f>
        <v>x</v>
      </c>
      <c r="Q116" s="37">
        <f>'Core Indicators'!DG116</f>
        <v>0</v>
      </c>
      <c r="R116" s="37">
        <f>'Core Indicators'!DO116</f>
        <v>7100000</v>
      </c>
      <c r="S116" s="37">
        <f>'Core Indicators'!DW116</f>
        <v>2060000</v>
      </c>
      <c r="T116" s="37">
        <f>'Core Indicators'!EE116</f>
        <v>2400000</v>
      </c>
      <c r="U116" s="37">
        <f>'Core Indicators'!EM116</f>
        <v>740000</v>
      </c>
      <c r="V116" s="37">
        <f>'Core Indicators'!FC116</f>
        <v>5</v>
      </c>
      <c r="W116" s="37" t="str">
        <f>'Core Indicators'!FK116</f>
        <v>x</v>
      </c>
      <c r="X116" s="37" t="str">
        <f>'Core Indicators'!FS116</f>
        <v>x</v>
      </c>
      <c r="Y116" s="37">
        <f>'Core Indicators'!GA116</f>
        <v>1</v>
      </c>
      <c r="Z116" s="37">
        <f>'Core Indicators'!GI116</f>
        <v>3</v>
      </c>
      <c r="AA116" s="37">
        <f>'Core Indicators'!GQ116</f>
        <v>2</v>
      </c>
      <c r="AB116" s="37">
        <f>'Core Indicators'!GY116</f>
        <v>3</v>
      </c>
      <c r="AC116" s="37">
        <f>'Core Indicators'!HG116</f>
        <v>2</v>
      </c>
      <c r="AD116" s="37">
        <f>'Core Indicators'!HO116</f>
        <v>3</v>
      </c>
      <c r="AE116" s="37">
        <f>'Core Indicators'!HW116</f>
        <v>2</v>
      </c>
      <c r="AF116" s="37">
        <f>'Core Indicators'!IE116</f>
        <v>2</v>
      </c>
      <c r="AG116" s="37">
        <f>'Core Indicators'!IM116</f>
        <v>2</v>
      </c>
    </row>
    <row r="117" spans="1:33" ht="20.100000000000001" customHeight="1" x14ac:dyDescent="0.3">
      <c r="A117" s="266" t="str">
        <f>'Core Indicators'!A:A</f>
        <v>Mixed Migration Flows in Somalia</v>
      </c>
      <c r="B117" s="266" t="str">
        <f>'Core Indicators'!B:B</f>
        <v>International displacement</v>
      </c>
      <c r="C117" s="266" t="str">
        <f>'Core Indicators'!C117</f>
        <v>SOM002</v>
      </c>
      <c r="D117" s="266" t="str">
        <f>'Core Indicators'!D117</f>
        <v>Somalia</v>
      </c>
      <c r="E117" s="266" t="str">
        <f>'Core Indicators'!E117</f>
        <v>SOM</v>
      </c>
      <c r="F117" s="36">
        <f>'Core Indicators'!O117</f>
        <v>28220</v>
      </c>
      <c r="G117" s="36">
        <f>'Core Indicators'!W117</f>
        <v>1261000</v>
      </c>
      <c r="H117" s="36">
        <f>'Core Indicators'!AE117</f>
        <v>36000</v>
      </c>
      <c r="I117" s="36">
        <f>'Core Indicators'!AM117</f>
        <v>36000</v>
      </c>
      <c r="J117" s="36" t="str">
        <f>'Core Indicators'!AU117</f>
        <v>x</v>
      </c>
      <c r="K117" s="36" t="str">
        <f>'Core Indicators'!BC117</f>
        <v>x</v>
      </c>
      <c r="L117" s="36" t="str">
        <f>'Core Indicators'!BK117</f>
        <v>x</v>
      </c>
      <c r="M117" s="36">
        <f>'Core Indicators'!BS117</f>
        <v>0</v>
      </c>
      <c r="N117" s="36">
        <f>'Core Indicators'!CA117</f>
        <v>0</v>
      </c>
      <c r="O117" s="36" t="e">
        <f>'Core Indicators'!CI117</f>
        <v>#N/A</v>
      </c>
      <c r="P117" s="36">
        <f>'Core Indicators'!CQ117</f>
        <v>0</v>
      </c>
      <c r="Q117" s="36">
        <f>'Core Indicators'!DG117</f>
        <v>1227000</v>
      </c>
      <c r="R117" s="36">
        <f>'Core Indicators'!DO117</f>
        <v>0</v>
      </c>
      <c r="S117" s="36">
        <f>'Core Indicators'!DW117</f>
        <v>2000</v>
      </c>
      <c r="T117" s="36">
        <f>'Core Indicators'!EE117</f>
        <v>34000</v>
      </c>
      <c r="U117" s="36">
        <f>'Core Indicators'!EM117</f>
        <v>0</v>
      </c>
      <c r="V117" s="36">
        <f>'Core Indicators'!FC117</f>
        <v>2</v>
      </c>
      <c r="W117" s="36" t="str">
        <f>'Core Indicators'!FK117</f>
        <v>x</v>
      </c>
      <c r="X117" s="36" t="str">
        <f>'Core Indicators'!FS117</f>
        <v>x</v>
      </c>
      <c r="Y117" s="36">
        <f>'Core Indicators'!GA117</f>
        <v>1</v>
      </c>
      <c r="Z117" s="36">
        <f>'Core Indicators'!GI117</f>
        <v>3</v>
      </c>
      <c r="AA117" s="36">
        <f>'Core Indicators'!GQ117</f>
        <v>2</v>
      </c>
      <c r="AB117" s="36">
        <f>'Core Indicators'!GY117</f>
        <v>3</v>
      </c>
      <c r="AC117" s="36">
        <f>'Core Indicators'!HG117</f>
        <v>2</v>
      </c>
      <c r="AD117" s="36">
        <f>'Core Indicators'!HO117</f>
        <v>2</v>
      </c>
      <c r="AE117" s="36">
        <f>'Core Indicators'!HW117</f>
        <v>2</v>
      </c>
      <c r="AF117" s="36">
        <f>'Core Indicators'!IE117</f>
        <v>2</v>
      </c>
      <c r="AG117" s="36">
        <f>'Core Indicators'!IM117</f>
        <v>2</v>
      </c>
    </row>
    <row r="118" spans="1:33" ht="20.100000000000001" customHeight="1" x14ac:dyDescent="0.3">
      <c r="A118" s="267" t="str">
        <f>'Core Indicators'!A:A</f>
        <v>Floods in Somalia</v>
      </c>
      <c r="B118" s="267" t="str">
        <f>'Core Indicators'!B:B</f>
        <v>Flood</v>
      </c>
      <c r="C118" s="267" t="str">
        <f>'Core Indicators'!C118</f>
        <v>SOM004</v>
      </c>
      <c r="D118" s="267" t="str">
        <f>'Core Indicators'!D118</f>
        <v>Somalia</v>
      </c>
      <c r="E118" s="267" t="str">
        <f>'Core Indicators'!E118</f>
        <v>SOM</v>
      </c>
      <c r="F118" s="37">
        <f>'Core Indicators'!O118</f>
        <v>255047</v>
      </c>
      <c r="G118" s="37">
        <f>'Core Indicators'!W118</f>
        <v>5300000</v>
      </c>
      <c r="H118" s="37">
        <f>'Core Indicators'!AE118</f>
        <v>536000</v>
      </c>
      <c r="I118" s="37">
        <f>'Core Indicators'!AM118</f>
        <v>285000</v>
      </c>
      <c r="J118" s="37" t="str">
        <f>'Core Indicators'!AU118</f>
        <v>x</v>
      </c>
      <c r="K118" s="37" t="str">
        <f>'Core Indicators'!BC118</f>
        <v>x</v>
      </c>
      <c r="L118" s="37">
        <f>'Core Indicators'!BK118</f>
        <v>17</v>
      </c>
      <c r="M118" s="37" t="str">
        <f>'Core Indicators'!BS118</f>
        <v>x</v>
      </c>
      <c r="N118" s="37" t="str">
        <f>'Core Indicators'!CA118</f>
        <v>x</v>
      </c>
      <c r="O118" s="37" t="e">
        <f>'Core Indicators'!CI118</f>
        <v>#N/A</v>
      </c>
      <c r="P118" s="37" t="str">
        <f>'Core Indicators'!CQ118</f>
        <v>x</v>
      </c>
      <c r="Q118" s="37">
        <f>'Core Indicators'!DG118</f>
        <v>4764000</v>
      </c>
      <c r="R118" s="37">
        <f>'Core Indicators'!DO118</f>
        <v>251000</v>
      </c>
      <c r="S118" s="37">
        <f>'Core Indicators'!DW118</f>
        <v>285000</v>
      </c>
      <c r="T118" s="37">
        <f>'Core Indicators'!EE118</f>
        <v>0</v>
      </c>
      <c r="U118" s="37">
        <f>'Core Indicators'!EM118</f>
        <v>0</v>
      </c>
      <c r="V118" s="37">
        <f>'Core Indicators'!FC118</f>
        <v>3</v>
      </c>
      <c r="W118" s="37" t="e">
        <f>'Core Indicators'!FK118</f>
        <v>#N/A</v>
      </c>
      <c r="X118" s="37" t="e">
        <f>'Core Indicators'!FS118</f>
        <v>#N/A</v>
      </c>
      <c r="Y118" s="37">
        <f>'Core Indicators'!GA118</f>
        <v>1</v>
      </c>
      <c r="Z118" s="37">
        <f>'Core Indicators'!GI118</f>
        <v>3</v>
      </c>
      <c r="AA118" s="37">
        <f>'Core Indicators'!GQ118</f>
        <v>2</v>
      </c>
      <c r="AB118" s="37">
        <f>'Core Indicators'!GY118</f>
        <v>3</v>
      </c>
      <c r="AC118" s="37">
        <f>'Core Indicators'!HG118</f>
        <v>2</v>
      </c>
      <c r="AD118" s="37">
        <f>'Core Indicators'!HO118</f>
        <v>3</v>
      </c>
      <c r="AE118" s="37">
        <f>'Core Indicators'!HW118</f>
        <v>2</v>
      </c>
      <c r="AF118" s="37">
        <f>'Core Indicators'!IE118</f>
        <v>2</v>
      </c>
      <c r="AG118" s="37">
        <f>'Core Indicators'!IM118</f>
        <v>3</v>
      </c>
    </row>
    <row r="119" spans="1:33" ht="20.100000000000001" customHeight="1" x14ac:dyDescent="0.3">
      <c r="A119" s="266" t="str">
        <f>'Core Indicators'!A:A</f>
        <v>Complex crisis in South Sudan</v>
      </c>
      <c r="B119" s="266" t="str">
        <f>'Core Indicators'!B:B</f>
        <v>Complex crisis</v>
      </c>
      <c r="C119" s="266" t="str">
        <f>'Core Indicators'!C119</f>
        <v>SSD001</v>
      </c>
      <c r="D119" s="266" t="str">
        <f>'Core Indicators'!D119</f>
        <v>South Sudan</v>
      </c>
      <c r="E119" s="266" t="str">
        <f>'Core Indicators'!E119</f>
        <v>SSD</v>
      </c>
      <c r="F119" s="36">
        <f>'Core Indicators'!O119</f>
        <v>644000</v>
      </c>
      <c r="G119" s="36">
        <f>'Core Indicators'!W119</f>
        <v>11685000</v>
      </c>
      <c r="H119" s="36">
        <f>'Core Indicators'!AE119</f>
        <v>11685000</v>
      </c>
      <c r="I119" s="36">
        <f>'Core Indicators'!AM119</f>
        <v>3853000</v>
      </c>
      <c r="J119" s="36" t="str">
        <f>'Core Indicators'!AU119</f>
        <v>x</v>
      </c>
      <c r="K119" s="36">
        <f>'Core Indicators'!BC119</f>
        <v>600000</v>
      </c>
      <c r="L119" s="36">
        <f>'Core Indicators'!BK119</f>
        <v>1494</v>
      </c>
      <c r="M119" s="36" t="str">
        <f>'Core Indicators'!BS119</f>
        <v>x</v>
      </c>
      <c r="N119" s="36" t="str">
        <f>'Core Indicators'!CA119</f>
        <v>x</v>
      </c>
      <c r="O119" s="36" t="e">
        <f>'Core Indicators'!CI119</f>
        <v>#N/A</v>
      </c>
      <c r="P119" s="36">
        <f>'Core Indicators'!CQ119</f>
        <v>14369</v>
      </c>
      <c r="Q119" s="36">
        <f>'Core Indicators'!DG119</f>
        <v>0</v>
      </c>
      <c r="R119" s="36">
        <f>'Core Indicators'!DO119</f>
        <v>4430000</v>
      </c>
      <c r="S119" s="36">
        <f>'Core Indicators'!DW119</f>
        <v>5260000</v>
      </c>
      <c r="T119" s="36">
        <f>'Core Indicators'!EE119</f>
        <v>1930000</v>
      </c>
      <c r="U119" s="36">
        <f>'Core Indicators'!EM119</f>
        <v>10000</v>
      </c>
      <c r="V119" s="36">
        <f>'Core Indicators'!FC119</f>
        <v>5</v>
      </c>
      <c r="W119" s="36" t="str">
        <f>'Core Indicators'!FK119</f>
        <v>x</v>
      </c>
      <c r="X119" s="36">
        <f>'Core Indicators'!FS119</f>
        <v>1500000</v>
      </c>
      <c r="Y119" s="36">
        <f>'Core Indicators'!GA119</f>
        <v>2</v>
      </c>
      <c r="Z119" s="36">
        <f>'Core Indicators'!GI119</f>
        <v>3</v>
      </c>
      <c r="AA119" s="36">
        <f>'Core Indicators'!GQ119</f>
        <v>3</v>
      </c>
      <c r="AB119" s="36">
        <f>'Core Indicators'!GY119</f>
        <v>0</v>
      </c>
      <c r="AC119" s="36">
        <f>'Core Indicators'!HG119</f>
        <v>0</v>
      </c>
      <c r="AD119" s="36">
        <f>'Core Indicators'!HO119</f>
        <v>2</v>
      </c>
      <c r="AE119" s="36">
        <f>'Core Indicators'!HW119</f>
        <v>3</v>
      </c>
      <c r="AF119" s="36">
        <f>'Core Indicators'!IE119</f>
        <v>3</v>
      </c>
      <c r="AG119" s="36">
        <f>'Core Indicators'!IM119</f>
        <v>3</v>
      </c>
    </row>
    <row r="120" spans="1:33" ht="20.100000000000001" customHeight="1" x14ac:dyDescent="0.3">
      <c r="A120" s="267" t="str">
        <f>'Core Indicators'!A:A</f>
        <v>Complex crisis in Sudan</v>
      </c>
      <c r="B120" s="267" t="str">
        <f>'Core Indicators'!B:B</f>
        <v>Complex crisis</v>
      </c>
      <c r="C120" s="267" t="str">
        <f>'Core Indicators'!C120</f>
        <v>SDN001</v>
      </c>
      <c r="D120" s="267" t="str">
        <f>'Core Indicators'!D120</f>
        <v>Sudan</v>
      </c>
      <c r="E120" s="267" t="str">
        <f>'Core Indicators'!E120</f>
        <v>SDN</v>
      </c>
      <c r="F120" s="37">
        <f>'Core Indicators'!O120</f>
        <v>1840687</v>
      </c>
      <c r="G120" s="37">
        <f>'Core Indicators'!W120</f>
        <v>43000000</v>
      </c>
      <c r="H120" s="37">
        <f>'Core Indicators'!AE120</f>
        <v>26600000</v>
      </c>
      <c r="I120" s="37">
        <f>'Core Indicators'!AM120</f>
        <v>3200000</v>
      </c>
      <c r="J120" s="37" t="str">
        <f>'Core Indicators'!AU120</f>
        <v>x</v>
      </c>
      <c r="K120" s="37" t="str">
        <f>'Core Indicators'!BC120</f>
        <v>x</v>
      </c>
      <c r="L120" s="37">
        <f>'Core Indicators'!BK120</f>
        <v>677</v>
      </c>
      <c r="M120" s="37" t="str">
        <f>'Core Indicators'!BS120</f>
        <v>x</v>
      </c>
      <c r="N120" s="37" t="str">
        <f>'Core Indicators'!CA120</f>
        <v>x</v>
      </c>
      <c r="O120" s="37" t="e">
        <f>'Core Indicators'!CI120</f>
        <v>#N/A</v>
      </c>
      <c r="P120" s="37" t="str">
        <f>'Core Indicators'!CQ120</f>
        <v>x</v>
      </c>
      <c r="Q120" s="37">
        <f>'Core Indicators'!DG120</f>
        <v>16400000</v>
      </c>
      <c r="R120" s="37">
        <f>'Core Indicators'!DO120</f>
        <v>17300000</v>
      </c>
      <c r="S120" s="37">
        <f>'Core Indicators'!DW120</f>
        <v>4400000</v>
      </c>
      <c r="T120" s="37">
        <f>'Core Indicators'!EE120</f>
        <v>1000000</v>
      </c>
      <c r="U120" s="37">
        <f>'Core Indicators'!EM120</f>
        <v>3900000</v>
      </c>
      <c r="V120" s="37">
        <f>'Core Indicators'!FC120</f>
        <v>5</v>
      </c>
      <c r="W120" s="37" t="str">
        <f>'Core Indicators'!FK120</f>
        <v>x</v>
      </c>
      <c r="X120" s="37" t="str">
        <f>'Core Indicators'!FS120</f>
        <v>x</v>
      </c>
      <c r="Y120" s="37">
        <f>'Core Indicators'!GA120</f>
        <v>2</v>
      </c>
      <c r="Z120" s="37">
        <f>'Core Indicators'!GI120</f>
        <v>2</v>
      </c>
      <c r="AA120" s="37">
        <f>'Core Indicators'!GQ120</f>
        <v>2</v>
      </c>
      <c r="AB120" s="37">
        <f>'Core Indicators'!GY120</f>
        <v>2</v>
      </c>
      <c r="AC120" s="37">
        <f>'Core Indicators'!HG120</f>
        <v>2</v>
      </c>
      <c r="AD120" s="37">
        <f>'Core Indicators'!HO120</f>
        <v>2</v>
      </c>
      <c r="AE120" s="37">
        <f>'Core Indicators'!HW120</f>
        <v>2</v>
      </c>
      <c r="AF120" s="37">
        <f>'Core Indicators'!IE120</f>
        <v>2</v>
      </c>
      <c r="AG120" s="37">
        <f>'Core Indicators'!IM120</f>
        <v>3</v>
      </c>
    </row>
    <row r="121" spans="1:33" ht="20.100000000000001" customHeight="1" x14ac:dyDescent="0.3">
      <c r="A121" s="266" t="str">
        <f>'Core Indicators'!A:A</f>
        <v>Refugees in Sudan</v>
      </c>
      <c r="B121" s="266" t="str">
        <f>'Core Indicators'!B:B</f>
        <v>International displacement</v>
      </c>
      <c r="C121" s="266" t="str">
        <f>'Core Indicators'!C121</f>
        <v>SDN005</v>
      </c>
      <c r="D121" s="266" t="str">
        <f>'Core Indicators'!D121</f>
        <v>Sudan</v>
      </c>
      <c r="E121" s="266" t="str">
        <f>'Core Indicators'!E121</f>
        <v>SDN</v>
      </c>
      <c r="F121" s="36">
        <f>'Core Indicators'!O121</f>
        <v>15000</v>
      </c>
      <c r="G121" s="36">
        <f>'Core Indicators'!W121</f>
        <v>1326000</v>
      </c>
      <c r="H121" s="36">
        <f>'Core Indicators'!AE121</f>
        <v>1326000</v>
      </c>
      <c r="I121" s="36">
        <f>'Core Indicators'!AM121</f>
        <v>1100000</v>
      </c>
      <c r="J121" s="36" t="str">
        <f>'Core Indicators'!AU121</f>
        <v>x</v>
      </c>
      <c r="K121" s="36" t="str">
        <f>'Core Indicators'!BC121</f>
        <v>x</v>
      </c>
      <c r="L121" s="36" t="str">
        <f>'Core Indicators'!BK121</f>
        <v>x</v>
      </c>
      <c r="M121" s="36" t="str">
        <f>'Core Indicators'!BS121</f>
        <v>x</v>
      </c>
      <c r="N121" s="36" t="str">
        <f>'Core Indicators'!CA121</f>
        <v>x</v>
      </c>
      <c r="O121" s="36" t="e">
        <f>'Core Indicators'!CI121</f>
        <v>#N/A</v>
      </c>
      <c r="P121" s="36" t="str">
        <f>'Core Indicators'!CQ121</f>
        <v>x</v>
      </c>
      <c r="Q121" s="36">
        <f>'Core Indicators'!DG121</f>
        <v>0</v>
      </c>
      <c r="R121" s="36">
        <f>'Core Indicators'!DO121</f>
        <v>226000</v>
      </c>
      <c r="S121" s="36">
        <f>'Core Indicators'!DW121</f>
        <v>400000</v>
      </c>
      <c r="T121" s="36">
        <f>'Core Indicators'!EE121</f>
        <v>500000</v>
      </c>
      <c r="U121" s="36">
        <f>'Core Indicators'!EM121</f>
        <v>200000</v>
      </c>
      <c r="V121" s="36">
        <f>'Core Indicators'!FC121</f>
        <v>2</v>
      </c>
      <c r="W121" s="36" t="e">
        <f>'Core Indicators'!FK121</f>
        <v>#N/A</v>
      </c>
      <c r="X121" s="36" t="e">
        <f>'Core Indicators'!FS121</f>
        <v>#N/A</v>
      </c>
      <c r="Y121" s="36">
        <f>'Core Indicators'!GA121</f>
        <v>2</v>
      </c>
      <c r="Z121" s="36">
        <f>'Core Indicators'!GI121</f>
        <v>3</v>
      </c>
      <c r="AA121" s="36">
        <f>'Core Indicators'!GQ121</f>
        <v>2</v>
      </c>
      <c r="AB121" s="36">
        <f>'Core Indicators'!GY121</f>
        <v>2</v>
      </c>
      <c r="AC121" s="36">
        <f>'Core Indicators'!HG121</f>
        <v>0</v>
      </c>
      <c r="AD121" s="36" t="str">
        <f>'Core Indicators'!HO121</f>
        <v>x</v>
      </c>
      <c r="AE121" s="36">
        <f>'Core Indicators'!HW121</f>
        <v>2</v>
      </c>
      <c r="AF121" s="36">
        <f>'Core Indicators'!IE121</f>
        <v>2</v>
      </c>
      <c r="AG121" s="36">
        <f>'Core Indicators'!IM121</f>
        <v>3</v>
      </c>
    </row>
    <row r="122" spans="1:33" ht="20.100000000000001" customHeight="1" x14ac:dyDescent="0.3">
      <c r="A122" s="267" t="str">
        <f>'Core Indicators'!A:A</f>
        <v xml:space="preserve">Floods in Sudan </v>
      </c>
      <c r="B122" s="267" t="str">
        <f>'Core Indicators'!B:B</f>
        <v>Flood</v>
      </c>
      <c r="C122" s="267" t="str">
        <f>'Core Indicators'!C122</f>
        <v>SDN006</v>
      </c>
      <c r="D122" s="267" t="str">
        <f>'Core Indicators'!D122</f>
        <v>Sudan</v>
      </c>
      <c r="E122" s="267" t="str">
        <f>'Core Indicators'!E122</f>
        <v>SDN</v>
      </c>
      <c r="F122" s="37">
        <f>'Core Indicators'!O122</f>
        <v>1840687</v>
      </c>
      <c r="G122" s="37">
        <f>'Core Indicators'!W122</f>
        <v>43000000</v>
      </c>
      <c r="H122" s="37">
        <f>'Core Indicators'!AE122</f>
        <v>875000</v>
      </c>
      <c r="I122" s="37">
        <f>'Core Indicators'!AM122</f>
        <v>480000</v>
      </c>
      <c r="J122" s="37">
        <f>'Core Indicators'!AU122</f>
        <v>54</v>
      </c>
      <c r="K122" s="37" t="str">
        <f>'Core Indicators'!BC122</f>
        <v>x</v>
      </c>
      <c r="L122" s="37">
        <f>'Core Indicators'!BK122</f>
        <v>155</v>
      </c>
      <c r="M122" s="37">
        <f>'Core Indicators'!BS122</f>
        <v>92600</v>
      </c>
      <c r="N122" s="37">
        <f>'Core Indicators'!CA122</f>
        <v>79400</v>
      </c>
      <c r="O122" s="37" t="e">
        <f>'Core Indicators'!CI122</f>
        <v>#N/A</v>
      </c>
      <c r="P122" s="37" t="str">
        <f>'Core Indicators'!CQ122</f>
        <v>x</v>
      </c>
      <c r="Q122" s="37">
        <f>'Core Indicators'!DG122</f>
        <v>42140000</v>
      </c>
      <c r="R122" s="37">
        <f>'Core Indicators'!DO122</f>
        <v>810000</v>
      </c>
      <c r="S122" s="37">
        <f>'Core Indicators'!DW122</f>
        <v>50000</v>
      </c>
      <c r="T122" s="37">
        <f>'Core Indicators'!EE122</f>
        <v>0</v>
      </c>
      <c r="U122" s="37">
        <f>'Core Indicators'!EM122</f>
        <v>0</v>
      </c>
      <c r="V122" s="37">
        <f>'Core Indicators'!FC122</f>
        <v>3</v>
      </c>
      <c r="W122" s="37" t="str">
        <f>'Core Indicators'!FK122</f>
        <v>x</v>
      </c>
      <c r="X122" s="37" t="str">
        <f>'Core Indicators'!FS122</f>
        <v>x</v>
      </c>
      <c r="Y122" s="37">
        <f>'Core Indicators'!GA122</f>
        <v>2</v>
      </c>
      <c r="Z122" s="37">
        <f>'Core Indicators'!GI122</f>
        <v>2</v>
      </c>
      <c r="AA122" s="37">
        <f>'Core Indicators'!GQ122</f>
        <v>0</v>
      </c>
      <c r="AB122" s="37">
        <f>'Core Indicators'!GY122</f>
        <v>0</v>
      </c>
      <c r="AC122" s="37">
        <f>'Core Indicators'!HG122</f>
        <v>0</v>
      </c>
      <c r="AD122" s="37">
        <f>'Core Indicators'!HO122</f>
        <v>3</v>
      </c>
      <c r="AE122" s="37">
        <f>'Core Indicators'!HW122</f>
        <v>1</v>
      </c>
      <c r="AF122" s="37">
        <f>'Core Indicators'!IE122</f>
        <v>1</v>
      </c>
      <c r="AG122" s="37">
        <f>'Core Indicators'!IM122</f>
        <v>3</v>
      </c>
    </row>
    <row r="123" spans="1:33" ht="20.100000000000001" customHeight="1" x14ac:dyDescent="0.3">
      <c r="A123" s="266" t="str">
        <f>'Core Indicators'!A:A</f>
        <v>Syrian conflict</v>
      </c>
      <c r="B123" s="266" t="str">
        <f>'Core Indicators'!B:B</f>
        <v>Complex crisis</v>
      </c>
      <c r="C123" s="266" t="str">
        <f>'Core Indicators'!C123</f>
        <v>SYR001</v>
      </c>
      <c r="D123" s="266" t="str">
        <f>'Core Indicators'!D123</f>
        <v>Syria</v>
      </c>
      <c r="E123" s="266" t="str">
        <f>'Core Indicators'!E123</f>
        <v>SYR</v>
      </c>
      <c r="F123" s="36">
        <f>'Core Indicators'!O123</f>
        <v>183630</v>
      </c>
      <c r="G123" s="36">
        <f>'Core Indicators'!W123</f>
        <v>17070000</v>
      </c>
      <c r="H123" s="36">
        <f>'Core Indicators'!AE123</f>
        <v>17070000</v>
      </c>
      <c r="I123" s="36">
        <f>'Core Indicators'!AM123</f>
        <v>12270000</v>
      </c>
      <c r="J123" s="36" t="str">
        <f>'Core Indicators'!AU123</f>
        <v>x</v>
      </c>
      <c r="K123" s="36" t="str">
        <f>'Core Indicators'!BC123</f>
        <v>x</v>
      </c>
      <c r="L123" s="36">
        <f>'Core Indicators'!BK123</f>
        <v>2887</v>
      </c>
      <c r="M123" s="36" t="str">
        <f>'Core Indicators'!BS123</f>
        <v>x</v>
      </c>
      <c r="N123" s="36" t="str">
        <f>'Core Indicators'!CA123</f>
        <v>x</v>
      </c>
      <c r="O123" s="36" t="e">
        <f>'Core Indicators'!CI123</f>
        <v>#N/A</v>
      </c>
      <c r="P123" s="36" t="str">
        <f>'Core Indicators'!CQ123</f>
        <v>x</v>
      </c>
      <c r="Q123" s="36">
        <f>'Core Indicators'!DG123</f>
        <v>0</v>
      </c>
      <c r="R123" s="36">
        <f>'Core Indicators'!DO123</f>
        <v>5362000</v>
      </c>
      <c r="S123" s="36">
        <f>'Core Indicators'!DW123</f>
        <v>1969000</v>
      </c>
      <c r="T123" s="36">
        <f>'Core Indicators'!EE123</f>
        <v>8500000</v>
      </c>
      <c r="U123" s="36">
        <f>'Core Indicators'!EM123</f>
        <v>1239000</v>
      </c>
      <c r="V123" s="36">
        <f>'Core Indicators'!FC123</f>
        <v>5</v>
      </c>
      <c r="W123" s="36" t="str">
        <f>'Core Indicators'!FK123</f>
        <v>x</v>
      </c>
      <c r="X123" s="36">
        <f>'Core Indicators'!FS123</f>
        <v>1160000</v>
      </c>
      <c r="Y123" s="36">
        <f>'Core Indicators'!GA123</f>
        <v>2</v>
      </c>
      <c r="Z123" s="36">
        <f>'Core Indicators'!GI123</f>
        <v>3</v>
      </c>
      <c r="AA123" s="36">
        <f>'Core Indicators'!GQ123</f>
        <v>3</v>
      </c>
      <c r="AB123" s="36">
        <f>'Core Indicators'!GY123</f>
        <v>3</v>
      </c>
      <c r="AC123" s="36">
        <f>'Core Indicators'!HG123</f>
        <v>3</v>
      </c>
      <c r="AD123" s="36">
        <f>'Core Indicators'!HO123</f>
        <v>2</v>
      </c>
      <c r="AE123" s="36">
        <f>'Core Indicators'!HW123</f>
        <v>3</v>
      </c>
      <c r="AF123" s="36">
        <f>'Core Indicators'!IE123</f>
        <v>3</v>
      </c>
      <c r="AG123" s="36">
        <f>'Core Indicators'!IM123</f>
        <v>3</v>
      </c>
    </row>
    <row r="124" spans="1:33" ht="20.100000000000001" customHeight="1" x14ac:dyDescent="0.3">
      <c r="A124" s="267" t="str">
        <f>'Core Indicators'!A:A</f>
        <v>Syrian Regional Crisis</v>
      </c>
      <c r="B124" s="267" t="str">
        <f>'Core Indicators'!B:B</f>
        <v>Regional crisis</v>
      </c>
      <c r="C124" s="267" t="str">
        <f>'Core Indicators'!C124</f>
        <v>REG004</v>
      </c>
      <c r="D124" s="267" t="str">
        <f>'Core Indicators'!D124</f>
        <v>Syria, Turkey, Iraq, Egypt, Jordan, Lebanon</v>
      </c>
      <c r="E124" s="267" t="str">
        <f>'Core Indicators'!E124</f>
        <v>SYR, TUR, IRQ, EGY, JOR, LBN</v>
      </c>
      <c r="F124" s="37">
        <f>'Core Indicators'!O124</f>
        <v>497394.2</v>
      </c>
      <c r="G124" s="37">
        <f>'Core Indicators'!W124</f>
        <v>95602000</v>
      </c>
      <c r="H124" s="37">
        <f>'Core Indicators'!AE124</f>
        <v>28688000</v>
      </c>
      <c r="I124" s="37">
        <f>'Core Indicators'!AM124</f>
        <v>12263000</v>
      </c>
      <c r="J124" s="37" t="str">
        <f>'Core Indicators'!AU124</f>
        <v>x</v>
      </c>
      <c r="K124" s="37" t="str">
        <f>'Core Indicators'!BC124</f>
        <v>x</v>
      </c>
      <c r="L124" s="37">
        <f>'Core Indicators'!BK124</f>
        <v>3037</v>
      </c>
      <c r="M124" s="37" t="str">
        <f>'Core Indicators'!BS124</f>
        <v>x</v>
      </c>
      <c r="N124" s="37" t="str">
        <f>'Core Indicators'!CA124</f>
        <v>x</v>
      </c>
      <c r="O124" s="37" t="e">
        <f>'Core Indicators'!CI124</f>
        <v>#N/A</v>
      </c>
      <c r="P124" s="37" t="str">
        <f>'Core Indicators'!CQ124</f>
        <v>x</v>
      </c>
      <c r="Q124" s="37">
        <f>'Core Indicators'!DG124</f>
        <v>66917000</v>
      </c>
      <c r="R124" s="37">
        <f>'Core Indicators'!DO124</f>
        <v>13218000</v>
      </c>
      <c r="S124" s="37">
        <f>'Core Indicators'!DW124</f>
        <v>4425000</v>
      </c>
      <c r="T124" s="37">
        <f>'Core Indicators'!EE124</f>
        <v>9802000</v>
      </c>
      <c r="U124" s="37">
        <f>'Core Indicators'!EM124</f>
        <v>1239000</v>
      </c>
      <c r="V124" s="37">
        <f>'Core Indicators'!FC124</f>
        <v>5</v>
      </c>
      <c r="W124" s="37" t="e">
        <f>'Core Indicators'!FK124</f>
        <v>#N/A</v>
      </c>
      <c r="X124" s="37" t="str">
        <f>'Core Indicators'!FS124</f>
        <v>x</v>
      </c>
      <c r="Y124" s="37">
        <f>'Core Indicators'!GA124</f>
        <v>1.1666666666666701</v>
      </c>
      <c r="Z124" s="37">
        <f>'Core Indicators'!GI124</f>
        <v>1</v>
      </c>
      <c r="AA124" s="37">
        <f>'Core Indicators'!GQ124</f>
        <v>1.1666666666666701</v>
      </c>
      <c r="AB124" s="37">
        <f>'Core Indicators'!GY124</f>
        <v>0.5</v>
      </c>
      <c r="AC124" s="37">
        <f>'Core Indicators'!HG124</f>
        <v>1.3333333333333299</v>
      </c>
      <c r="AD124" s="37">
        <f>'Core Indicators'!HO124</f>
        <v>1.6666666666666701</v>
      </c>
      <c r="AE124" s="37">
        <f>'Core Indicators'!HW124</f>
        <v>0.66666666666666696</v>
      </c>
      <c r="AF124" s="37">
        <f>'Core Indicators'!IE124</f>
        <v>1.8333333333333299</v>
      </c>
      <c r="AG124" s="37">
        <f>'Core Indicators'!IM124</f>
        <v>1.1666666666666701</v>
      </c>
    </row>
    <row r="125" spans="1:33" ht="20.100000000000001" customHeight="1" x14ac:dyDescent="0.3">
      <c r="A125" s="266" t="str">
        <f>'Core Indicators'!A:A</f>
        <v>International Displacement in Tanzania</v>
      </c>
      <c r="B125" s="266" t="str">
        <f>'Core Indicators'!B:B</f>
        <v>International displacement</v>
      </c>
      <c r="C125" s="266" t="str">
        <f>'Core Indicators'!C125</f>
        <v>TZA002</v>
      </c>
      <c r="D125" s="266" t="str">
        <f>'Core Indicators'!D125</f>
        <v>Tanzania</v>
      </c>
      <c r="E125" s="266" t="str">
        <f>'Core Indicators'!E125</f>
        <v>TZA</v>
      </c>
      <c r="F125" s="36">
        <f>'Core Indicators'!O125</f>
        <v>187000</v>
      </c>
      <c r="G125" s="36">
        <f>'Core Indicators'!W125</f>
        <v>11385000</v>
      </c>
      <c r="H125" s="36">
        <f>'Core Indicators'!AE125</f>
        <v>276000</v>
      </c>
      <c r="I125" s="36">
        <f>'Core Indicators'!AM125</f>
        <v>276000</v>
      </c>
      <c r="J125" s="36">
        <f>'Core Indicators'!AU125</f>
        <v>0</v>
      </c>
      <c r="K125" s="36" t="str">
        <f>'Core Indicators'!BC125</f>
        <v>x</v>
      </c>
      <c r="L125" s="36">
        <f>'Core Indicators'!BK125</f>
        <v>0</v>
      </c>
      <c r="M125" s="36" t="str">
        <f>'Core Indicators'!BS125</f>
        <v>x</v>
      </c>
      <c r="N125" s="36" t="str">
        <f>'Core Indicators'!CA125</f>
        <v>x</v>
      </c>
      <c r="O125" s="36" t="e">
        <f>'Core Indicators'!CI125</f>
        <v>#N/A</v>
      </c>
      <c r="P125" s="36" t="str">
        <f>'Core Indicators'!CQ125</f>
        <v>x</v>
      </c>
      <c r="Q125" s="36">
        <f>'Core Indicators'!DG125</f>
        <v>11385000</v>
      </c>
      <c r="R125" s="36">
        <f>'Core Indicators'!DO125</f>
        <v>0</v>
      </c>
      <c r="S125" s="36">
        <f>'Core Indicators'!DW125</f>
        <v>276000</v>
      </c>
      <c r="T125" s="36">
        <f>'Core Indicators'!EE125</f>
        <v>0</v>
      </c>
      <c r="U125" s="36">
        <f>'Core Indicators'!EM125</f>
        <v>0</v>
      </c>
      <c r="V125" s="36">
        <f>'Core Indicators'!FC125</f>
        <v>2</v>
      </c>
      <c r="W125" s="36" t="str">
        <f>'Core Indicators'!FK125</f>
        <v>x</v>
      </c>
      <c r="X125" s="36" t="str">
        <f>'Core Indicators'!FS125</f>
        <v>x</v>
      </c>
      <c r="Y125" s="36">
        <f>'Core Indicators'!GA125</f>
        <v>0</v>
      </c>
      <c r="Z125" s="36">
        <f>'Core Indicators'!GI125</f>
        <v>0</v>
      </c>
      <c r="AA125" s="36">
        <f>'Core Indicators'!GQ125</f>
        <v>0</v>
      </c>
      <c r="AB125" s="36">
        <f>'Core Indicators'!GY125</f>
        <v>0</v>
      </c>
      <c r="AC125" s="36">
        <f>'Core Indicators'!HG125</f>
        <v>0</v>
      </c>
      <c r="AD125" s="36">
        <f>'Core Indicators'!HO125</f>
        <v>2</v>
      </c>
      <c r="AE125" s="36">
        <f>'Core Indicators'!HW125</f>
        <v>0</v>
      </c>
      <c r="AF125" s="36">
        <f>'Core Indicators'!IE125</f>
        <v>1</v>
      </c>
      <c r="AG125" s="36">
        <f>'Core Indicators'!IM125</f>
        <v>0</v>
      </c>
    </row>
    <row r="126" spans="1:33" ht="20.100000000000001" customHeight="1" x14ac:dyDescent="0.3">
      <c r="A126" s="267" t="str">
        <f>'Core Indicators'!A:A</f>
        <v>Multiple situations in Thailand</v>
      </c>
      <c r="B126" s="267" t="str">
        <f>'Core Indicators'!B:B</f>
        <v>Multiple crises country</v>
      </c>
      <c r="C126" s="267" t="str">
        <f>'Core Indicators'!C126</f>
        <v>THA001</v>
      </c>
      <c r="D126" s="267" t="str">
        <f>'Core Indicators'!D126</f>
        <v>Thailand</v>
      </c>
      <c r="E126" s="267" t="str">
        <f>'Core Indicators'!E126</f>
        <v>THA</v>
      </c>
      <c r="F126" s="37">
        <f>'Core Indicators'!O126</f>
        <v>30342</v>
      </c>
      <c r="G126" s="37">
        <f>'Core Indicators'!W126</f>
        <v>3549000</v>
      </c>
      <c r="H126" s="37">
        <f>'Core Indicators'!AE126</f>
        <v>3549000</v>
      </c>
      <c r="I126" s="37">
        <f>'Core Indicators'!AM126</f>
        <v>92000</v>
      </c>
      <c r="J126" s="37" t="str">
        <f>'Core Indicators'!AU126</f>
        <v>x</v>
      </c>
      <c r="K126" s="37" t="str">
        <f>'Core Indicators'!BC126</f>
        <v>X</v>
      </c>
      <c r="L126" s="37">
        <f>'Core Indicators'!BK126</f>
        <v>49</v>
      </c>
      <c r="M126" s="37" t="str">
        <f>'Core Indicators'!BS126</f>
        <v>X</v>
      </c>
      <c r="N126" s="37" t="str">
        <f>'Core Indicators'!CA126</f>
        <v>X</v>
      </c>
      <c r="O126" s="37" t="e">
        <f>'Core Indicators'!CI126</f>
        <v>#N/A</v>
      </c>
      <c r="P126" s="37" t="str">
        <f>'Core Indicators'!CQ126</f>
        <v>X</v>
      </c>
      <c r="Q126" s="37">
        <f>'Core Indicators'!DG126</f>
        <v>0</v>
      </c>
      <c r="R126" s="37">
        <f>'Core Indicators'!DO126</f>
        <v>3458000</v>
      </c>
      <c r="S126" s="37">
        <f>'Core Indicators'!DW126</f>
        <v>92000</v>
      </c>
      <c r="T126" s="37">
        <f>'Core Indicators'!EE126</f>
        <v>0</v>
      </c>
      <c r="U126" s="37">
        <f>'Core Indicators'!EM126</f>
        <v>0</v>
      </c>
      <c r="V126" s="37">
        <f>'Core Indicators'!FC126</f>
        <v>2</v>
      </c>
      <c r="W126" s="37" t="str">
        <f>'Core Indicators'!FK126</f>
        <v>X</v>
      </c>
      <c r="X126" s="37" t="str">
        <f>'Core Indicators'!FS126</f>
        <v>X</v>
      </c>
      <c r="Y126" s="37">
        <f>'Core Indicators'!GA126</f>
        <v>0</v>
      </c>
      <c r="Z126" s="37">
        <f>'Core Indicators'!GI126</f>
        <v>0</v>
      </c>
      <c r="AA126" s="37">
        <f>'Core Indicators'!GQ126</f>
        <v>0</v>
      </c>
      <c r="AB126" s="37">
        <f>'Core Indicators'!GY126</f>
        <v>0</v>
      </c>
      <c r="AC126" s="37">
        <f>'Core Indicators'!HG126</f>
        <v>0</v>
      </c>
      <c r="AD126" s="37">
        <f>'Core Indicators'!HO126</f>
        <v>0</v>
      </c>
      <c r="AE126" s="37">
        <f>'Core Indicators'!HW126</f>
        <v>1</v>
      </c>
      <c r="AF126" s="37">
        <f>'Core Indicators'!IE126</f>
        <v>1</v>
      </c>
      <c r="AG126" s="37">
        <f>'Core Indicators'!IM126</f>
        <v>2</v>
      </c>
    </row>
    <row r="127" spans="1:33" ht="20.100000000000001" customHeight="1" x14ac:dyDescent="0.3">
      <c r="A127" s="266" t="str">
        <f>'Core Indicators'!A:A</f>
        <v xml:space="preserve">Conflict in southern Thailand </v>
      </c>
      <c r="B127" s="266" t="str">
        <f>'Core Indicators'!B:B</f>
        <v>Conflict</v>
      </c>
      <c r="C127" s="266" t="str">
        <f>'Core Indicators'!C127</f>
        <v>THA002</v>
      </c>
      <c r="D127" s="266" t="str">
        <f>'Core Indicators'!D127</f>
        <v>Thailand</v>
      </c>
      <c r="E127" s="266" t="str">
        <f>'Core Indicators'!E127</f>
        <v>THA</v>
      </c>
      <c r="F127" s="36">
        <f>'Core Indicators'!O127</f>
        <v>18330</v>
      </c>
      <c r="G127" s="36">
        <f>'Core Indicators'!W127</f>
        <v>3458000</v>
      </c>
      <c r="H127" s="36">
        <f>'Core Indicators'!AE127</f>
        <v>3458000</v>
      </c>
      <c r="I127" s="36" t="str">
        <f>'Core Indicators'!AM127</f>
        <v>x</v>
      </c>
      <c r="J127" s="36" t="str">
        <f>'Core Indicators'!AU127</f>
        <v>x</v>
      </c>
      <c r="K127" s="36" t="str">
        <f>'Core Indicators'!BC127</f>
        <v>X</v>
      </c>
      <c r="L127" s="36">
        <f>'Core Indicators'!BK127</f>
        <v>49</v>
      </c>
      <c r="M127" s="36" t="str">
        <f>'Core Indicators'!BS127</f>
        <v>X</v>
      </c>
      <c r="N127" s="36" t="str">
        <f>'Core Indicators'!CA127</f>
        <v>X</v>
      </c>
      <c r="O127" s="36" t="e">
        <f>'Core Indicators'!CI127</f>
        <v>#N/A</v>
      </c>
      <c r="P127" s="36" t="str">
        <f>'Core Indicators'!CQ127</f>
        <v>X</v>
      </c>
      <c r="Q127" s="36" t="str">
        <f>'Core Indicators'!DG127</f>
        <v>x</v>
      </c>
      <c r="R127" s="36" t="str">
        <f>'Core Indicators'!DO127</f>
        <v>x</v>
      </c>
      <c r="S127" s="36" t="str">
        <f>'Core Indicators'!DW127</f>
        <v>x</v>
      </c>
      <c r="T127" s="36" t="str">
        <f>'Core Indicators'!EE127</f>
        <v>x</v>
      </c>
      <c r="U127" s="36" t="str">
        <f>'Core Indicators'!EM127</f>
        <v>x</v>
      </c>
      <c r="V127" s="36">
        <f>'Core Indicators'!FC127</f>
        <v>1</v>
      </c>
      <c r="W127" s="36" t="str">
        <f>'Core Indicators'!FK127</f>
        <v>X</v>
      </c>
      <c r="X127" s="36" t="str">
        <f>'Core Indicators'!FS127</f>
        <v>X</v>
      </c>
      <c r="Y127" s="36">
        <f>'Core Indicators'!GA127</f>
        <v>0</v>
      </c>
      <c r="Z127" s="36">
        <f>'Core Indicators'!GI127</f>
        <v>0</v>
      </c>
      <c r="AA127" s="36">
        <f>'Core Indicators'!GQ127</f>
        <v>0</v>
      </c>
      <c r="AB127" s="36">
        <f>'Core Indicators'!GY127</f>
        <v>0</v>
      </c>
      <c r="AC127" s="36">
        <f>'Core Indicators'!HG127</f>
        <v>0</v>
      </c>
      <c r="AD127" s="36">
        <f>'Core Indicators'!HO127</f>
        <v>0</v>
      </c>
      <c r="AE127" s="36">
        <f>'Core Indicators'!HW127</f>
        <v>1</v>
      </c>
      <c r="AF127" s="36">
        <f>'Core Indicators'!IE127</f>
        <v>1</v>
      </c>
      <c r="AG127" s="36">
        <f>'Core Indicators'!IM127</f>
        <v>0</v>
      </c>
    </row>
    <row r="128" spans="1:33" ht="20.100000000000001" customHeight="1" x14ac:dyDescent="0.3">
      <c r="A128" s="267" t="str">
        <f>'Core Indicators'!A:A</f>
        <v>Myanmar refugees in Thailand</v>
      </c>
      <c r="B128" s="267" t="str">
        <f>'Core Indicators'!B:B</f>
        <v>International displacement</v>
      </c>
      <c r="C128" s="267" t="str">
        <f>'Core Indicators'!C128</f>
        <v>THA003</v>
      </c>
      <c r="D128" s="267" t="str">
        <f>'Core Indicators'!D128</f>
        <v>Thailand</v>
      </c>
      <c r="E128" s="267" t="str">
        <f>'Core Indicators'!E128</f>
        <v>THA</v>
      </c>
      <c r="F128" s="37">
        <f>'Core Indicators'!O128</f>
        <v>9</v>
      </c>
      <c r="G128" s="37">
        <f>'Core Indicators'!W128</f>
        <v>92000</v>
      </c>
      <c r="H128" s="37">
        <f>'Core Indicators'!AE128</f>
        <v>92000</v>
      </c>
      <c r="I128" s="37">
        <f>'Core Indicators'!AM128</f>
        <v>92000</v>
      </c>
      <c r="J128" s="37">
        <f>'Core Indicators'!AU128</f>
        <v>0</v>
      </c>
      <c r="K128" s="37" t="str">
        <f>'Core Indicators'!BC128</f>
        <v>X</v>
      </c>
      <c r="L128" s="37" t="str">
        <f>'Core Indicators'!BK128</f>
        <v>x</v>
      </c>
      <c r="M128" s="37" t="str">
        <f>'Core Indicators'!BS128</f>
        <v>X</v>
      </c>
      <c r="N128" s="37" t="str">
        <f>'Core Indicators'!CA128</f>
        <v>X</v>
      </c>
      <c r="O128" s="37" t="e">
        <f>'Core Indicators'!CI128</f>
        <v>#N/A</v>
      </c>
      <c r="P128" s="37" t="str">
        <f>'Core Indicators'!CQ128</f>
        <v>X</v>
      </c>
      <c r="Q128" s="37">
        <f>'Core Indicators'!DG128</f>
        <v>0</v>
      </c>
      <c r="R128" s="37">
        <f>'Core Indicators'!DO128</f>
        <v>0</v>
      </c>
      <c r="S128" s="37">
        <f>'Core Indicators'!DW128</f>
        <v>92000</v>
      </c>
      <c r="T128" s="37">
        <f>'Core Indicators'!EE128</f>
        <v>0</v>
      </c>
      <c r="U128" s="37">
        <f>'Core Indicators'!EM128</f>
        <v>0</v>
      </c>
      <c r="V128" s="37">
        <f>'Core Indicators'!FC128</f>
        <v>1</v>
      </c>
      <c r="W128" s="37" t="str">
        <f>'Core Indicators'!FK128</f>
        <v>X</v>
      </c>
      <c r="X128" s="37" t="str">
        <f>'Core Indicators'!FS128</f>
        <v>X</v>
      </c>
      <c r="Y128" s="37">
        <f>'Core Indicators'!GA128</f>
        <v>0</v>
      </c>
      <c r="Z128" s="37">
        <f>'Core Indicators'!GI128</f>
        <v>0</v>
      </c>
      <c r="AA128" s="37">
        <f>'Core Indicators'!GQ128</f>
        <v>0</v>
      </c>
      <c r="AB128" s="37">
        <f>'Core Indicators'!GY128</f>
        <v>0</v>
      </c>
      <c r="AC128" s="37">
        <f>'Core Indicators'!HG128</f>
        <v>0</v>
      </c>
      <c r="AD128" s="37">
        <f>'Core Indicators'!HO128</f>
        <v>0</v>
      </c>
      <c r="AE128" s="37">
        <f>'Core Indicators'!HW128</f>
        <v>0</v>
      </c>
      <c r="AF128" s="37">
        <f>'Core Indicators'!IE128</f>
        <v>1</v>
      </c>
      <c r="AG128" s="37">
        <f>'Core Indicators'!IM128</f>
        <v>2</v>
      </c>
    </row>
    <row r="129" spans="1:33" ht="20.100000000000001" customHeight="1" x14ac:dyDescent="0.3">
      <c r="A129" s="266" t="str">
        <f>'Core Indicators'!A:A</f>
        <v>Venezuelan refugees in Trinidad and Tobago</v>
      </c>
      <c r="B129" s="266" t="str">
        <f>'Core Indicators'!B:B</f>
        <v>International displacement</v>
      </c>
      <c r="C129" s="266" t="str">
        <f>'Core Indicators'!C129</f>
        <v>TTO002</v>
      </c>
      <c r="D129" s="266" t="str">
        <f>'Core Indicators'!D129</f>
        <v>Trinidad and Tobago</v>
      </c>
      <c r="E129" s="266" t="str">
        <f>'Core Indicators'!E129</f>
        <v>TTO</v>
      </c>
      <c r="F129" s="36">
        <f>'Core Indicators'!O129</f>
        <v>5130</v>
      </c>
      <c r="G129" s="36">
        <f>'Core Indicators'!W129</f>
        <v>1450000</v>
      </c>
      <c r="H129" s="36">
        <f>'Core Indicators'!AE129</f>
        <v>60000</v>
      </c>
      <c r="I129" s="36">
        <f>'Core Indicators'!AM129</f>
        <v>60000</v>
      </c>
      <c r="J129" s="36" t="str">
        <f>'Core Indicators'!AU129</f>
        <v>x</v>
      </c>
      <c r="K129" s="36" t="str">
        <f>'Core Indicators'!BC129</f>
        <v>x</v>
      </c>
      <c r="L129" s="36">
        <f>'Core Indicators'!BK129</f>
        <v>0</v>
      </c>
      <c r="M129" s="36">
        <f>'Core Indicators'!BS129</f>
        <v>0</v>
      </c>
      <c r="N129" s="36">
        <f>'Core Indicators'!CA129</f>
        <v>0</v>
      </c>
      <c r="O129" s="36" t="e">
        <f>'Core Indicators'!CI129</f>
        <v>#N/A</v>
      </c>
      <c r="P129" s="36">
        <f>'Core Indicators'!CQ129</f>
        <v>0</v>
      </c>
      <c r="Q129" s="36">
        <f>'Core Indicators'!DG129</f>
        <v>1395000</v>
      </c>
      <c r="R129" s="36">
        <f>'Core Indicators'!DO129</f>
        <v>0</v>
      </c>
      <c r="S129" s="36">
        <f>'Core Indicators'!DW129</f>
        <v>60000</v>
      </c>
      <c r="T129" s="36">
        <f>'Core Indicators'!EE129</f>
        <v>0</v>
      </c>
      <c r="U129" s="36">
        <f>'Core Indicators'!EM129</f>
        <v>0</v>
      </c>
      <c r="V129" s="36">
        <f>'Core Indicators'!FC129</f>
        <v>2</v>
      </c>
      <c r="W129" s="36" t="str">
        <f>'Core Indicators'!FK129</f>
        <v>x</v>
      </c>
      <c r="X129" s="36">
        <f>'Core Indicators'!FS129</f>
        <v>0</v>
      </c>
      <c r="Y129" s="36">
        <f>'Core Indicators'!GA129</f>
        <v>0</v>
      </c>
      <c r="Z129" s="36">
        <f>'Core Indicators'!GI129</f>
        <v>0</v>
      </c>
      <c r="AA129" s="36">
        <f>'Core Indicators'!GQ129</f>
        <v>0</v>
      </c>
      <c r="AB129" s="36">
        <f>'Core Indicators'!GY129</f>
        <v>0</v>
      </c>
      <c r="AC129" s="36">
        <f>'Core Indicators'!HG129</f>
        <v>2</v>
      </c>
      <c r="AD129" s="36">
        <f>'Core Indicators'!HO129</f>
        <v>1</v>
      </c>
      <c r="AE129" s="36">
        <f>'Core Indicators'!HW129</f>
        <v>0</v>
      </c>
      <c r="AF129" s="36">
        <f>'Core Indicators'!IE129</f>
        <v>0</v>
      </c>
      <c r="AG129" s="36">
        <f>'Core Indicators'!IM129</f>
        <v>1</v>
      </c>
    </row>
    <row r="130" spans="1:33" ht="20.100000000000001" customHeight="1" x14ac:dyDescent="0.3">
      <c r="A130" s="267" t="str">
        <f>'Core Indicators'!A:A</f>
        <v>Mixed migration flows in Tunisia</v>
      </c>
      <c r="B130" s="267" t="str">
        <f>'Core Indicators'!B:B</f>
        <v>International displacement</v>
      </c>
      <c r="C130" s="267" t="str">
        <f>'Core Indicators'!C130</f>
        <v>TUN002</v>
      </c>
      <c r="D130" s="267" t="str">
        <f>'Core Indicators'!D130</f>
        <v>Tunisia</v>
      </c>
      <c r="E130" s="267" t="str">
        <f>'Core Indicators'!E130</f>
        <v>TUN</v>
      </c>
      <c r="F130" s="37">
        <f>'Core Indicators'!O130</f>
        <v>155360</v>
      </c>
      <c r="G130" s="37">
        <f>'Core Indicators'!W130</f>
        <v>11718000</v>
      </c>
      <c r="H130" s="37" t="str">
        <f>'Core Indicators'!AE130</f>
        <v>x</v>
      </c>
      <c r="I130" s="37" t="str">
        <f>'Core Indicators'!AM130</f>
        <v>x</v>
      </c>
      <c r="J130" s="37" t="str">
        <f>'Core Indicators'!AU130</f>
        <v>x</v>
      </c>
      <c r="K130" s="37" t="str">
        <f>'Core Indicators'!BC130</f>
        <v>x</v>
      </c>
      <c r="L130" s="37">
        <f>'Core Indicators'!BK130</f>
        <v>123</v>
      </c>
      <c r="M130" s="37">
        <f>'Core Indicators'!BS130</f>
        <v>0</v>
      </c>
      <c r="N130" s="37">
        <f>'Core Indicators'!CA130</f>
        <v>0</v>
      </c>
      <c r="O130" s="37" t="e">
        <f>'Core Indicators'!CI130</f>
        <v>#N/A</v>
      </c>
      <c r="P130" s="37" t="str">
        <f>'Core Indicators'!CQ130</f>
        <v>x</v>
      </c>
      <c r="Q130" s="37" t="str">
        <f>'Core Indicators'!DG130</f>
        <v>x</v>
      </c>
      <c r="R130" s="37" t="str">
        <f>'Core Indicators'!DO130</f>
        <v>x</v>
      </c>
      <c r="S130" s="37" t="str">
        <f>'Core Indicators'!DW130</f>
        <v>x</v>
      </c>
      <c r="T130" s="37" t="str">
        <f>'Core Indicators'!EE130</f>
        <v>x</v>
      </c>
      <c r="U130" s="37" t="str">
        <f>'Core Indicators'!EM130</f>
        <v>x</v>
      </c>
      <c r="V130" s="37">
        <f>'Core Indicators'!FC130</f>
        <v>1</v>
      </c>
      <c r="W130" s="37" t="str">
        <f>'Core Indicators'!FK130</f>
        <v>x</v>
      </c>
      <c r="X130" s="37" t="str">
        <f>'Core Indicators'!FS130</f>
        <v>x</v>
      </c>
      <c r="Y130" s="37">
        <f>'Core Indicators'!GA130</f>
        <v>0</v>
      </c>
      <c r="Z130" s="37">
        <f>'Core Indicators'!GI130</f>
        <v>0</v>
      </c>
      <c r="AA130" s="37">
        <f>'Core Indicators'!GQ130</f>
        <v>0</v>
      </c>
      <c r="AB130" s="37">
        <f>'Core Indicators'!GY130</f>
        <v>0</v>
      </c>
      <c r="AC130" s="37">
        <f>'Core Indicators'!HG130</f>
        <v>0</v>
      </c>
      <c r="AD130" s="37">
        <f>'Core Indicators'!HO130</f>
        <v>0</v>
      </c>
      <c r="AE130" s="37">
        <f>'Core Indicators'!HW130</f>
        <v>0</v>
      </c>
      <c r="AF130" s="37">
        <f>'Core Indicators'!IE130</f>
        <v>1</v>
      </c>
      <c r="AG130" s="37">
        <f>'Core Indicators'!IM130</f>
        <v>0</v>
      </c>
    </row>
    <row r="131" spans="1:33" ht="20.100000000000001" customHeight="1" x14ac:dyDescent="0.3">
      <c r="A131" s="266" t="str">
        <f>'Core Indicators'!A:A</f>
        <v>Complex situation in Turkey</v>
      </c>
      <c r="B131" s="266" t="str">
        <f>'Core Indicators'!B:B</f>
        <v>Multiple crises country</v>
      </c>
      <c r="C131" s="266" t="str">
        <f>'Core Indicators'!C131</f>
        <v>TUR001</v>
      </c>
      <c r="D131" s="266" t="str">
        <f>'Core Indicators'!D131</f>
        <v>Turkey</v>
      </c>
      <c r="E131" s="266" t="str">
        <f>'Core Indicators'!E131</f>
        <v>TUR</v>
      </c>
      <c r="F131" s="36">
        <f>'Core Indicators'!O131</f>
        <v>378923</v>
      </c>
      <c r="G131" s="36">
        <f>'Core Indicators'!W131</f>
        <v>53611000</v>
      </c>
      <c r="H131" s="36">
        <f>'Core Indicators'!AE131</f>
        <v>3957000</v>
      </c>
      <c r="I131" s="36">
        <f>'Core Indicators'!AM131</f>
        <v>3957000</v>
      </c>
      <c r="J131" s="36" t="str">
        <f>'Core Indicators'!AU131</f>
        <v>x</v>
      </c>
      <c r="K131" s="36" t="str">
        <f>'Core Indicators'!BC131</f>
        <v>x</v>
      </c>
      <c r="L131" s="36">
        <f>'Core Indicators'!BK131</f>
        <v>493</v>
      </c>
      <c r="M131" s="36" t="str">
        <f>'Core Indicators'!BS131</f>
        <v>x</v>
      </c>
      <c r="N131" s="36" t="str">
        <f>'Core Indicators'!CA131</f>
        <v>x</v>
      </c>
      <c r="O131" s="36" t="e">
        <f>'Core Indicators'!CI131</f>
        <v>#N/A</v>
      </c>
      <c r="P131" s="36" t="str">
        <f>'Core Indicators'!CQ131</f>
        <v>x</v>
      </c>
      <c r="Q131" s="36">
        <f>'Core Indicators'!DG131</f>
        <v>49654000</v>
      </c>
      <c r="R131" s="36">
        <f>'Core Indicators'!DO131</f>
        <v>1741000</v>
      </c>
      <c r="S131" s="36">
        <f>'Core Indicators'!DW131</f>
        <v>1632000</v>
      </c>
      <c r="T131" s="36">
        <f>'Core Indicators'!EE131</f>
        <v>584000</v>
      </c>
      <c r="U131" s="36">
        <f>'Core Indicators'!EM131</f>
        <v>0</v>
      </c>
      <c r="V131" s="36">
        <f>'Core Indicators'!FC131</f>
        <v>4</v>
      </c>
      <c r="W131" s="36" t="str">
        <f>'Core Indicators'!FK131</f>
        <v>x</v>
      </c>
      <c r="X131" s="36" t="str">
        <f>'Core Indicators'!FS131</f>
        <v>x</v>
      </c>
      <c r="Y131" s="36">
        <f>'Core Indicators'!GA131</f>
        <v>2</v>
      </c>
      <c r="Z131" s="36">
        <f>'Core Indicators'!GI131</f>
        <v>1</v>
      </c>
      <c r="AA131" s="36">
        <f>'Core Indicators'!GQ131</f>
        <v>2</v>
      </c>
      <c r="AB131" s="36">
        <f>'Core Indicators'!GY131</f>
        <v>0</v>
      </c>
      <c r="AC131" s="36">
        <f>'Core Indicators'!HG131</f>
        <v>2</v>
      </c>
      <c r="AD131" s="36">
        <f>'Core Indicators'!HO131</f>
        <v>2</v>
      </c>
      <c r="AE131" s="36">
        <f>'Core Indicators'!HW131</f>
        <v>0</v>
      </c>
      <c r="AF131" s="36">
        <f>'Core Indicators'!IE131</f>
        <v>1</v>
      </c>
      <c r="AG131" s="36">
        <f>'Core Indicators'!IM131</f>
        <v>0</v>
      </c>
    </row>
    <row r="132" spans="1:33" ht="20.100000000000001" customHeight="1" x14ac:dyDescent="0.3">
      <c r="A132" s="267" t="str">
        <f>'Core Indicators'!A:A</f>
        <v>Syrian Refugees in Turkey</v>
      </c>
      <c r="B132" s="267" t="str">
        <f>'Core Indicators'!B:B</f>
        <v>International displacement</v>
      </c>
      <c r="C132" s="267" t="str">
        <f>'Core Indicators'!C132</f>
        <v>TUR002</v>
      </c>
      <c r="D132" s="267" t="str">
        <f>'Core Indicators'!D132</f>
        <v>Turkey</v>
      </c>
      <c r="E132" s="267" t="str">
        <f>'Core Indicators'!E132</f>
        <v>TUR</v>
      </c>
      <c r="F132" s="37">
        <f>'Core Indicators'!O132</f>
        <v>132028</v>
      </c>
      <c r="G132" s="37">
        <f>'Core Indicators'!W132</f>
        <v>36158000</v>
      </c>
      <c r="H132" s="37">
        <f>'Core Indicators'!AE132</f>
        <v>3627000</v>
      </c>
      <c r="I132" s="37">
        <f>'Core Indicators'!AM132</f>
        <v>3627000</v>
      </c>
      <c r="J132" s="37" t="str">
        <f>'Core Indicators'!AU132</f>
        <v>x</v>
      </c>
      <c r="K132" s="37" t="str">
        <f>'Core Indicators'!BC132</f>
        <v>x</v>
      </c>
      <c r="L132" s="37" t="str">
        <f>'Core Indicators'!BK132</f>
        <v>x</v>
      </c>
      <c r="M132" s="37">
        <f>'Core Indicators'!BS132</f>
        <v>0</v>
      </c>
      <c r="N132" s="37">
        <f>'Core Indicators'!CA132</f>
        <v>0</v>
      </c>
      <c r="O132" s="37" t="e">
        <f>'Core Indicators'!CI132</f>
        <v>#N/A</v>
      </c>
      <c r="P132" s="37" t="str">
        <f>'Core Indicators'!CQ132</f>
        <v>x</v>
      </c>
      <c r="Q132" s="37">
        <f>'Core Indicators'!DG132</f>
        <v>32531000</v>
      </c>
      <c r="R132" s="37">
        <f>'Core Indicators'!DO132</f>
        <v>1741000</v>
      </c>
      <c r="S132" s="37">
        <f>'Core Indicators'!DW132</f>
        <v>1632000</v>
      </c>
      <c r="T132" s="37">
        <f>'Core Indicators'!EE132</f>
        <v>254000</v>
      </c>
      <c r="U132" s="37">
        <f>'Core Indicators'!EM132</f>
        <v>0</v>
      </c>
      <c r="V132" s="37">
        <f>'Core Indicators'!FC132</f>
        <v>2</v>
      </c>
      <c r="W132" s="37" t="str">
        <f>'Core Indicators'!FK132</f>
        <v>x</v>
      </c>
      <c r="X132" s="37" t="str">
        <f>'Core Indicators'!FS132</f>
        <v>x</v>
      </c>
      <c r="Y132" s="37">
        <f>'Core Indicators'!GA132</f>
        <v>2</v>
      </c>
      <c r="Z132" s="37">
        <f>'Core Indicators'!GI132</f>
        <v>0</v>
      </c>
      <c r="AA132" s="37">
        <f>'Core Indicators'!GQ132</f>
        <v>1</v>
      </c>
      <c r="AB132" s="37">
        <f>'Core Indicators'!GY132</f>
        <v>0</v>
      </c>
      <c r="AC132" s="37">
        <f>'Core Indicators'!HG132</f>
        <v>2</v>
      </c>
      <c r="AD132" s="37">
        <f>'Core Indicators'!HO132</f>
        <v>2</v>
      </c>
      <c r="AE132" s="37">
        <f>'Core Indicators'!HW132</f>
        <v>0</v>
      </c>
      <c r="AF132" s="37">
        <f>'Core Indicators'!IE132</f>
        <v>1</v>
      </c>
      <c r="AG132" s="37">
        <f>'Core Indicators'!IM132</f>
        <v>0</v>
      </c>
    </row>
    <row r="133" spans="1:33" ht="20.100000000000001" customHeight="1" x14ac:dyDescent="0.3">
      <c r="A133" s="266" t="str">
        <f>'Core Indicators'!A:A</f>
        <v>Mixed Migration Flows in Turkey</v>
      </c>
      <c r="B133" s="266" t="str">
        <f>'Core Indicators'!B:B</f>
        <v>International displacement</v>
      </c>
      <c r="C133" s="266" t="str">
        <f>'Core Indicators'!C133</f>
        <v>TUR003</v>
      </c>
      <c r="D133" s="266" t="str">
        <f>'Core Indicators'!D133</f>
        <v>Turkey</v>
      </c>
      <c r="E133" s="266" t="str">
        <f>'Core Indicators'!E133</f>
        <v>TUR</v>
      </c>
      <c r="F133" s="36">
        <f>'Core Indicators'!O133</f>
        <v>177504</v>
      </c>
      <c r="G133" s="36">
        <f>'Core Indicators'!W133</f>
        <v>37626000</v>
      </c>
      <c r="H133" s="36">
        <f>'Core Indicators'!AE133</f>
        <v>3957000</v>
      </c>
      <c r="I133" s="36">
        <f>'Core Indicators'!AM133</f>
        <v>3957000</v>
      </c>
      <c r="J133" s="36" t="str">
        <f>'Core Indicators'!AU133</f>
        <v>x</v>
      </c>
      <c r="K133" s="36" t="str">
        <f>'Core Indicators'!BC133</f>
        <v>x</v>
      </c>
      <c r="L133" s="36">
        <f>'Core Indicators'!BK133</f>
        <v>81</v>
      </c>
      <c r="M133" s="36">
        <f>'Core Indicators'!BS133</f>
        <v>0</v>
      </c>
      <c r="N133" s="36">
        <f>'Core Indicators'!CA133</f>
        <v>0</v>
      </c>
      <c r="O133" s="36" t="e">
        <f>'Core Indicators'!CI133</f>
        <v>#N/A</v>
      </c>
      <c r="P133" s="36" t="str">
        <f>'Core Indicators'!CQ133</f>
        <v>x</v>
      </c>
      <c r="Q133" s="36">
        <f>'Core Indicators'!DG133</f>
        <v>33669000</v>
      </c>
      <c r="R133" s="36">
        <f>'Core Indicators'!DO133</f>
        <v>1741000</v>
      </c>
      <c r="S133" s="36">
        <f>'Core Indicators'!DW133</f>
        <v>1632000</v>
      </c>
      <c r="T133" s="36">
        <f>'Core Indicators'!EE133</f>
        <v>584000</v>
      </c>
      <c r="U133" s="36">
        <f>'Core Indicators'!EM133</f>
        <v>0</v>
      </c>
      <c r="V133" s="36">
        <f>'Core Indicators'!FC133</f>
        <v>2</v>
      </c>
      <c r="W133" s="36" t="str">
        <f>'Core Indicators'!FK133</f>
        <v>x</v>
      </c>
      <c r="X133" s="36" t="str">
        <f>'Core Indicators'!FS133</f>
        <v>x</v>
      </c>
      <c r="Y133" s="36">
        <f>'Core Indicators'!GA133</f>
        <v>2</v>
      </c>
      <c r="Z133" s="36">
        <f>'Core Indicators'!GI133</f>
        <v>0</v>
      </c>
      <c r="AA133" s="36">
        <f>'Core Indicators'!GQ133</f>
        <v>1</v>
      </c>
      <c r="AB133" s="36">
        <f>'Core Indicators'!GY133</f>
        <v>0</v>
      </c>
      <c r="AC133" s="36">
        <f>'Core Indicators'!HG133</f>
        <v>2</v>
      </c>
      <c r="AD133" s="36">
        <f>'Core Indicators'!HO133</f>
        <v>2</v>
      </c>
      <c r="AE133" s="36">
        <f>'Core Indicators'!HW133</f>
        <v>0</v>
      </c>
      <c r="AF133" s="36">
        <f>'Core Indicators'!IE133</f>
        <v>1</v>
      </c>
      <c r="AG133" s="36">
        <f>'Core Indicators'!IM133</f>
        <v>0</v>
      </c>
    </row>
    <row r="134" spans="1:33" ht="20.100000000000001" customHeight="1" x14ac:dyDescent="0.3">
      <c r="A134" s="267" t="str">
        <f>'Core Indicators'!A:A</f>
        <v>Kurdish Conflict</v>
      </c>
      <c r="B134" s="267" t="str">
        <f>'Core Indicators'!B:B</f>
        <v>Conflict</v>
      </c>
      <c r="C134" s="267" t="str">
        <f>'Core Indicators'!C134</f>
        <v>TUR004</v>
      </c>
      <c r="D134" s="267" t="str">
        <f>'Core Indicators'!D134</f>
        <v>Turkey</v>
      </c>
      <c r="E134" s="267" t="str">
        <f>'Core Indicators'!E134</f>
        <v>TUR</v>
      </c>
      <c r="F134" s="37">
        <f>'Core Indicators'!O134</f>
        <v>195587</v>
      </c>
      <c r="G134" s="37">
        <f>'Core Indicators'!W134</f>
        <v>12974000</v>
      </c>
      <c r="H134" s="37" t="str">
        <f>'Core Indicators'!AE134</f>
        <v>x</v>
      </c>
      <c r="I134" s="37" t="str">
        <f>'Core Indicators'!AM134</f>
        <v>x</v>
      </c>
      <c r="J134" s="37" t="str">
        <f>'Core Indicators'!AU134</f>
        <v>x</v>
      </c>
      <c r="K134" s="37" t="str">
        <f>'Core Indicators'!BC134</f>
        <v>x</v>
      </c>
      <c r="L134" s="37">
        <f>'Core Indicators'!BK134</f>
        <v>412</v>
      </c>
      <c r="M134" s="37" t="str">
        <f>'Core Indicators'!BS134</f>
        <v>x</v>
      </c>
      <c r="N134" s="37" t="str">
        <f>'Core Indicators'!CA134</f>
        <v>x</v>
      </c>
      <c r="O134" s="37" t="e">
        <f>'Core Indicators'!CI134</f>
        <v>#N/A</v>
      </c>
      <c r="P134" s="37" t="str">
        <f>'Core Indicators'!CQ134</f>
        <v>x</v>
      </c>
      <c r="Q134" s="37" t="str">
        <f>'Core Indicators'!DG134</f>
        <v>x</v>
      </c>
      <c r="R134" s="37" t="str">
        <f>'Core Indicators'!DO134</f>
        <v>x</v>
      </c>
      <c r="S134" s="37" t="str">
        <f>'Core Indicators'!DW134</f>
        <v>x</v>
      </c>
      <c r="T134" s="37" t="str">
        <f>'Core Indicators'!EE134</f>
        <v>x</v>
      </c>
      <c r="U134" s="37" t="str">
        <f>'Core Indicators'!EM134</f>
        <v>x</v>
      </c>
      <c r="V134" s="37">
        <f>'Core Indicators'!FC134</f>
        <v>3</v>
      </c>
      <c r="W134" s="37" t="str">
        <f>'Core Indicators'!FK134</f>
        <v>x</v>
      </c>
      <c r="X134" s="37" t="str">
        <f>'Core Indicators'!FS134</f>
        <v>x</v>
      </c>
      <c r="Y134" s="37">
        <f>'Core Indicators'!GA134</f>
        <v>2</v>
      </c>
      <c r="Z134" s="37">
        <f>'Core Indicators'!GI134</f>
        <v>1</v>
      </c>
      <c r="AA134" s="37">
        <f>'Core Indicators'!GQ134</f>
        <v>2</v>
      </c>
      <c r="AB134" s="37">
        <f>'Core Indicators'!GY134</f>
        <v>0</v>
      </c>
      <c r="AC134" s="37">
        <f>'Core Indicators'!HG134</f>
        <v>2</v>
      </c>
      <c r="AD134" s="37">
        <f>'Core Indicators'!HO134</f>
        <v>2</v>
      </c>
      <c r="AE134" s="37">
        <f>'Core Indicators'!HW134</f>
        <v>1</v>
      </c>
      <c r="AF134" s="37">
        <f>'Core Indicators'!IE134</f>
        <v>1</v>
      </c>
      <c r="AG134" s="37">
        <f>'Core Indicators'!IM134</f>
        <v>0</v>
      </c>
    </row>
    <row r="135" spans="1:33" ht="20.100000000000001" customHeight="1" x14ac:dyDescent="0.3">
      <c r="A135" s="266" t="str">
        <f>'Core Indicators'!A:A</f>
        <v xml:space="preserve">Eastern Mediterranean Route </v>
      </c>
      <c r="B135" s="266" t="str">
        <f>'Core Indicators'!B:B</f>
        <v>Regional crisis</v>
      </c>
      <c r="C135" s="266" t="str">
        <f>'Core Indicators'!C135</f>
        <v>REG006</v>
      </c>
      <c r="D135" s="266" t="str">
        <f>'Core Indicators'!D135</f>
        <v>Turkey, Greece</v>
      </c>
      <c r="E135" s="266" t="str">
        <f>'Core Indicators'!E135</f>
        <v>TUR, GRC</v>
      </c>
      <c r="F135" s="36" t="str">
        <f>'Core Indicators'!O135</f>
        <v>x</v>
      </c>
      <c r="G135" s="36" t="str">
        <f>'Core Indicators'!W135</f>
        <v>x</v>
      </c>
      <c r="H135" s="36" t="str">
        <f>'Core Indicators'!AE135</f>
        <v>x</v>
      </c>
      <c r="I135" s="36" t="str">
        <f>'Core Indicators'!AM135</f>
        <v>x</v>
      </c>
      <c r="J135" s="36" t="str">
        <f>'Core Indicators'!AU135</f>
        <v>x</v>
      </c>
      <c r="K135" s="36" t="str">
        <f>'Core Indicators'!BC135</f>
        <v>x</v>
      </c>
      <c r="L135" s="36">
        <f>'Core Indicators'!BK135</f>
        <v>24</v>
      </c>
      <c r="M135" s="36" t="str">
        <f>'Core Indicators'!BS135</f>
        <v>x</v>
      </c>
      <c r="N135" s="36" t="str">
        <f>'Core Indicators'!CA135</f>
        <v>x</v>
      </c>
      <c r="O135" s="36" t="e">
        <f>'Core Indicators'!CI135</f>
        <v>#N/A</v>
      </c>
      <c r="P135" s="36" t="str">
        <f>'Core Indicators'!CQ135</f>
        <v>x</v>
      </c>
      <c r="Q135" s="36" t="str">
        <f>'Core Indicators'!DG135</f>
        <v>x</v>
      </c>
      <c r="R135" s="36" t="str">
        <f>'Core Indicators'!DO135</f>
        <v>x</v>
      </c>
      <c r="S135" s="36" t="str">
        <f>'Core Indicators'!DW135</f>
        <v>x</v>
      </c>
      <c r="T135" s="36" t="str">
        <f>'Core Indicators'!EE135</f>
        <v>x</v>
      </c>
      <c r="U135" s="36" t="str">
        <f>'Core Indicators'!EM135</f>
        <v>x</v>
      </c>
      <c r="V135" s="36">
        <f>'Core Indicators'!FC135</f>
        <v>2</v>
      </c>
      <c r="W135" s="36" t="str">
        <f>'Core Indicators'!FK135</f>
        <v>x</v>
      </c>
      <c r="X135" s="36" t="str">
        <f>'Core Indicators'!FS135</f>
        <v>x</v>
      </c>
      <c r="Y135" s="36">
        <f>'Core Indicators'!GA135</f>
        <v>1</v>
      </c>
      <c r="Z135" s="36">
        <f>'Core Indicators'!GI135</f>
        <v>0</v>
      </c>
      <c r="AA135" s="36">
        <f>'Core Indicators'!GQ135</f>
        <v>1</v>
      </c>
      <c r="AB135" s="36">
        <f>'Core Indicators'!GY135</f>
        <v>0</v>
      </c>
      <c r="AC135" s="36">
        <f>'Core Indicators'!HG135</f>
        <v>1.5</v>
      </c>
      <c r="AD135" s="36">
        <f>'Core Indicators'!HO135</f>
        <v>1.5</v>
      </c>
      <c r="AE135" s="36">
        <f>'Core Indicators'!HW135</f>
        <v>0</v>
      </c>
      <c r="AF135" s="36">
        <f>'Core Indicators'!IE135</f>
        <v>0.5</v>
      </c>
      <c r="AG135" s="36">
        <f>'Core Indicators'!IM135</f>
        <v>0</v>
      </c>
    </row>
    <row r="136" spans="1:33" ht="20.100000000000001" customHeight="1" x14ac:dyDescent="0.3">
      <c r="A136" s="267" t="str">
        <f>'Core Indicators'!A:A</f>
        <v>Multiple crises in Uganda</v>
      </c>
      <c r="B136" s="267" t="str">
        <f>'Core Indicators'!B:B</f>
        <v>Multiple crises country</v>
      </c>
      <c r="C136" s="267" t="str">
        <f>'Core Indicators'!C136</f>
        <v>UGA001</v>
      </c>
      <c r="D136" s="267" t="str">
        <f>'Core Indicators'!D136</f>
        <v>Uganda</v>
      </c>
      <c r="E136" s="267" t="str">
        <f>'Core Indicators'!E136</f>
        <v>UGA</v>
      </c>
      <c r="F136" s="37">
        <f>'Core Indicators'!O136</f>
        <v>99973</v>
      </c>
      <c r="G136" s="37">
        <f>'Core Indicators'!W136</f>
        <v>14476000</v>
      </c>
      <c r="H136" s="37">
        <f>'Core Indicators'!AE136</f>
        <v>4714000</v>
      </c>
      <c r="I136" s="37">
        <f>'Core Indicators'!AM136</f>
        <v>1529000</v>
      </c>
      <c r="J136" s="37" t="str">
        <f>'Core Indicators'!AU136</f>
        <v>x</v>
      </c>
      <c r="K136" s="37" t="str">
        <f>'Core Indicators'!BC136</f>
        <v>x</v>
      </c>
      <c r="L136" s="37">
        <f>'Core Indicators'!BK136</f>
        <v>110</v>
      </c>
      <c r="M136" s="37" t="str">
        <f>'Core Indicators'!BS136</f>
        <v>x</v>
      </c>
      <c r="N136" s="37" t="str">
        <f>'Core Indicators'!CA136</f>
        <v>x</v>
      </c>
      <c r="O136" s="37" t="e">
        <f>'Core Indicators'!CI136</f>
        <v>#N/A</v>
      </c>
      <c r="P136" s="37" t="str">
        <f>'Core Indicators'!CQ136</f>
        <v>x</v>
      </c>
      <c r="Q136" s="37">
        <f>'Core Indicators'!DG136</f>
        <v>9662000</v>
      </c>
      <c r="R136" s="37">
        <f>'Core Indicators'!DO136</f>
        <v>3285000</v>
      </c>
      <c r="S136" s="37">
        <f>'Core Indicators'!DW136</f>
        <v>1529000</v>
      </c>
      <c r="T136" s="37">
        <f>'Core Indicators'!EE136</f>
        <v>0</v>
      </c>
      <c r="U136" s="37">
        <f>'Core Indicators'!EM136</f>
        <v>0</v>
      </c>
      <c r="V136" s="37">
        <f>'Core Indicators'!FC136</f>
        <v>3</v>
      </c>
      <c r="W136" s="37" t="str">
        <f>'Core Indicators'!FK136</f>
        <v>x</v>
      </c>
      <c r="X136" s="37" t="str">
        <f>'Core Indicators'!FS136</f>
        <v>x</v>
      </c>
      <c r="Y136" s="37" t="str">
        <f>'Core Indicators'!GA136</f>
        <v>x</v>
      </c>
      <c r="Z136" s="37" t="str">
        <f>'Core Indicators'!GI136</f>
        <v>x</v>
      </c>
      <c r="AA136" s="37" t="str">
        <f>'Core Indicators'!GQ136</f>
        <v>x</v>
      </c>
      <c r="AB136" s="37" t="str">
        <f>'Core Indicators'!GY136</f>
        <v>x</v>
      </c>
      <c r="AC136" s="37" t="str">
        <f>'Core Indicators'!HG136</f>
        <v>x</v>
      </c>
      <c r="AD136" s="37" t="str">
        <f>'Core Indicators'!HO136</f>
        <v>x</v>
      </c>
      <c r="AE136" s="37" t="str">
        <f>'Core Indicators'!HW136</f>
        <v>x</v>
      </c>
      <c r="AF136" s="37" t="str">
        <f>'Core Indicators'!IE136</f>
        <v>x</v>
      </c>
      <c r="AG136" s="37" t="str">
        <f>'Core Indicators'!IM136</f>
        <v>x</v>
      </c>
    </row>
    <row r="137" spans="1:33" ht="20.100000000000001" customHeight="1" x14ac:dyDescent="0.3">
      <c r="A137" s="267" t="str">
        <f>'Core Indicators'!A:A</f>
        <v>International Displacement in Uganda</v>
      </c>
      <c r="B137" s="267" t="str">
        <f>'Core Indicators'!B:B</f>
        <v>International displacement</v>
      </c>
      <c r="C137" s="267" t="str">
        <f>'Core Indicators'!C137</f>
        <v>UGA005</v>
      </c>
      <c r="D137" s="267" t="str">
        <f>'Core Indicators'!D137</f>
        <v>Uganda</v>
      </c>
      <c r="E137" s="267" t="str">
        <f>'Core Indicators'!E137</f>
        <v>UGA</v>
      </c>
      <c r="F137" s="37">
        <f>'Core Indicators'!O137</f>
        <v>66662</v>
      </c>
      <c r="G137" s="37">
        <f>'Core Indicators'!W137</f>
        <v>7440000</v>
      </c>
      <c r="H137" s="37">
        <f>'Core Indicators'!AE137</f>
        <v>1429000</v>
      </c>
      <c r="I137" s="37">
        <f>'Core Indicators'!AM137</f>
        <v>1429000</v>
      </c>
      <c r="J137" s="37" t="str">
        <f>'Core Indicators'!AU137</f>
        <v>x</v>
      </c>
      <c r="K137" s="37" t="str">
        <f>'Core Indicators'!BC137</f>
        <v>x</v>
      </c>
      <c r="L137" s="37" t="str">
        <f>'Core Indicators'!BK137</f>
        <v>x</v>
      </c>
      <c r="M137" s="37" t="str">
        <f>'Core Indicators'!BS137</f>
        <v>x</v>
      </c>
      <c r="N137" s="37" t="str">
        <f>'Core Indicators'!CA137</f>
        <v>x</v>
      </c>
      <c r="O137" s="37" t="e">
        <f>'Core Indicators'!CI137</f>
        <v>#N/A</v>
      </c>
      <c r="P137" s="37" t="str">
        <f>'Core Indicators'!CQ137</f>
        <v>x</v>
      </c>
      <c r="Q137" s="37">
        <f>'Core Indicators'!DG137</f>
        <v>6011000</v>
      </c>
      <c r="R137" s="37">
        <f>'Core Indicators'!DO137</f>
        <v>0</v>
      </c>
      <c r="S137" s="37">
        <f>'Core Indicators'!DW137</f>
        <v>1429000</v>
      </c>
      <c r="T137" s="37">
        <f>'Core Indicators'!EE137</f>
        <v>0</v>
      </c>
      <c r="U137" s="37">
        <f>'Core Indicators'!EM137</f>
        <v>0</v>
      </c>
      <c r="V137" s="37">
        <f>'Core Indicators'!FC137</f>
        <v>2</v>
      </c>
      <c r="W137" s="37" t="e">
        <f>'Core Indicators'!FK137</f>
        <v>#N/A</v>
      </c>
      <c r="X137" s="37" t="e">
        <f>'Core Indicators'!FS137</f>
        <v>#N/A</v>
      </c>
      <c r="Y137" s="37">
        <f>'Core Indicators'!GA137</f>
        <v>0</v>
      </c>
      <c r="Z137" s="37">
        <f>'Core Indicators'!GI137</f>
        <v>0</v>
      </c>
      <c r="AA137" s="37">
        <f>'Core Indicators'!GQ137</f>
        <v>0</v>
      </c>
      <c r="AB137" s="37">
        <f>'Core Indicators'!GY137</f>
        <v>0</v>
      </c>
      <c r="AC137" s="37">
        <f>'Core Indicators'!HG137</f>
        <v>0</v>
      </c>
      <c r="AD137" s="37">
        <f>'Core Indicators'!HO137</f>
        <v>0</v>
      </c>
      <c r="AE137" s="37">
        <f>'Core Indicators'!HW137</f>
        <v>0</v>
      </c>
      <c r="AF137" s="37">
        <f>'Core Indicators'!IE137</f>
        <v>1</v>
      </c>
      <c r="AG137" s="37">
        <f>'Core Indicators'!IM137</f>
        <v>2</v>
      </c>
    </row>
    <row r="138" spans="1:33" ht="20.100000000000001" customHeight="1" x14ac:dyDescent="0.3">
      <c r="A138" s="266" t="str">
        <f>'Core Indicators'!A:A</f>
        <v>Floods and Landslides in Uganda</v>
      </c>
      <c r="B138" s="266" t="str">
        <f>'Core Indicators'!B:B</f>
        <v>Flood</v>
      </c>
      <c r="C138" s="266" t="str">
        <f>'Core Indicators'!C138</f>
        <v>UGA006</v>
      </c>
      <c r="D138" s="266" t="str">
        <f>'Core Indicators'!D138</f>
        <v>Uganda</v>
      </c>
      <c r="E138" s="266" t="str">
        <f>'Core Indicators'!E138</f>
        <v>UGA</v>
      </c>
      <c r="F138" s="36">
        <f>'Core Indicators'!O138</f>
        <v>35967</v>
      </c>
      <c r="G138" s="36">
        <f>'Core Indicators'!W138</f>
        <v>7563000</v>
      </c>
      <c r="H138" s="36">
        <f>'Core Indicators'!AE138</f>
        <v>3431000</v>
      </c>
      <c r="I138" s="36">
        <f>'Core Indicators'!AM138</f>
        <v>100000</v>
      </c>
      <c r="J138" s="36" t="str">
        <f>'Core Indicators'!AU138</f>
        <v>x</v>
      </c>
      <c r="K138" s="36" t="str">
        <f>'Core Indicators'!BC138</f>
        <v>x</v>
      </c>
      <c r="L138" s="36">
        <f>'Core Indicators'!BK138</f>
        <v>14</v>
      </c>
      <c r="M138" s="36" t="str">
        <f>'Core Indicators'!BS138</f>
        <v>x</v>
      </c>
      <c r="N138" s="36" t="str">
        <f>'Core Indicators'!CA138</f>
        <v>x</v>
      </c>
      <c r="O138" s="36" t="e">
        <f>'Core Indicators'!CI138</f>
        <v>#N/A</v>
      </c>
      <c r="P138" s="36" t="str">
        <f>'Core Indicators'!CQ138</f>
        <v>x</v>
      </c>
      <c r="Q138" s="36" t="str">
        <f>'Core Indicators'!DG138</f>
        <v>x</v>
      </c>
      <c r="R138" s="36" t="str">
        <f>'Core Indicators'!DO138</f>
        <v>x</v>
      </c>
      <c r="S138" s="36" t="str">
        <f>'Core Indicators'!DW138</f>
        <v>x</v>
      </c>
      <c r="T138" s="36" t="str">
        <f>'Core Indicators'!EE138</f>
        <v>x</v>
      </c>
      <c r="U138" s="36" t="str">
        <f>'Core Indicators'!EM138</f>
        <v>x</v>
      </c>
      <c r="V138" s="36">
        <f>'Core Indicators'!FC138</f>
        <v>3</v>
      </c>
      <c r="W138" s="36" t="str">
        <f>'Core Indicators'!FK138</f>
        <v>x</v>
      </c>
      <c r="X138" s="36" t="str">
        <f>'Core Indicators'!FS138</f>
        <v>x</v>
      </c>
      <c r="Y138" s="36" t="str">
        <f>'Core Indicators'!GA138</f>
        <v>x</v>
      </c>
      <c r="Z138" s="36" t="str">
        <f>'Core Indicators'!GI138</f>
        <v>x</v>
      </c>
      <c r="AA138" s="36" t="str">
        <f>'Core Indicators'!GQ138</f>
        <v>x</v>
      </c>
      <c r="AB138" s="36" t="str">
        <f>'Core Indicators'!GY138</f>
        <v>x</v>
      </c>
      <c r="AC138" s="36" t="str">
        <f>'Core Indicators'!HG138</f>
        <v>x</v>
      </c>
      <c r="AD138" s="36" t="str">
        <f>'Core Indicators'!HO138</f>
        <v>x</v>
      </c>
      <c r="AE138" s="36" t="str">
        <f>'Core Indicators'!HW138</f>
        <v>x</v>
      </c>
      <c r="AF138" s="36" t="str">
        <f>'Core Indicators'!IE138</f>
        <v>x</v>
      </c>
      <c r="AG138" s="36" t="str">
        <f>'Core Indicators'!IM138</f>
        <v>x</v>
      </c>
    </row>
    <row r="139" spans="1:33" ht="20.100000000000001" customHeight="1" x14ac:dyDescent="0.3">
      <c r="A139" s="267" t="str">
        <f>'Core Indicators'!A:A</f>
        <v>Conflict in Ukraine</v>
      </c>
      <c r="B139" s="267" t="str">
        <f>'Core Indicators'!B:B</f>
        <v>Conflict</v>
      </c>
      <c r="C139" s="267" t="str">
        <f>'Core Indicators'!C139</f>
        <v>UKR002</v>
      </c>
      <c r="D139" s="267" t="str">
        <f>'Core Indicators'!D139</f>
        <v>Ukraine</v>
      </c>
      <c r="E139" s="267" t="str">
        <f>'Core Indicators'!E139</f>
        <v>UKR</v>
      </c>
      <c r="F139" s="37">
        <f>'Core Indicators'!O139</f>
        <v>53206</v>
      </c>
      <c r="G139" s="37">
        <f>'Core Indicators'!W139</f>
        <v>6309000</v>
      </c>
      <c r="H139" s="37">
        <f>'Core Indicators'!AE139</f>
        <v>5400000</v>
      </c>
      <c r="I139" s="37">
        <f>'Core Indicators'!AM139</f>
        <v>1440000</v>
      </c>
      <c r="J139" s="37" t="str">
        <f>'Core Indicators'!AU139</f>
        <v>x</v>
      </c>
      <c r="K139" s="37" t="str">
        <f>'Core Indicators'!BC139</f>
        <v>x</v>
      </c>
      <c r="L139" s="37">
        <f>'Core Indicators'!BK139</f>
        <v>13</v>
      </c>
      <c r="M139" s="37" t="str">
        <f>'Core Indicators'!BS139</f>
        <v>x</v>
      </c>
      <c r="N139" s="37" t="str">
        <f>'Core Indicators'!CA139</f>
        <v>x</v>
      </c>
      <c r="O139" s="37" t="e">
        <f>'Core Indicators'!CI139</f>
        <v>#N/A</v>
      </c>
      <c r="P139" s="37" t="str">
        <f>'Core Indicators'!CQ139</f>
        <v>x</v>
      </c>
      <c r="Q139" s="37">
        <f>'Core Indicators'!DG139</f>
        <v>909000</v>
      </c>
      <c r="R139" s="37">
        <f>'Core Indicators'!DO139</f>
        <v>2000000</v>
      </c>
      <c r="S139" s="37">
        <f>'Core Indicators'!DW139</f>
        <v>2440000</v>
      </c>
      <c r="T139" s="37">
        <f>'Core Indicators'!EE139</f>
        <v>960000</v>
      </c>
      <c r="U139" s="37">
        <f>'Core Indicators'!EM139</f>
        <v>0</v>
      </c>
      <c r="V139" s="37">
        <f>'Core Indicators'!FC139</f>
        <v>3</v>
      </c>
      <c r="W139" s="37" t="str">
        <f>'Core Indicators'!FK139</f>
        <v>x</v>
      </c>
      <c r="X139" s="37" t="str">
        <f>'Core Indicators'!FS139</f>
        <v>x</v>
      </c>
      <c r="Y139" s="37">
        <f>'Core Indicators'!GA139</f>
        <v>2</v>
      </c>
      <c r="Z139" s="37">
        <f>'Core Indicators'!GI139</f>
        <v>3</v>
      </c>
      <c r="AA139" s="37">
        <f>'Core Indicators'!GQ139</f>
        <v>2</v>
      </c>
      <c r="AB139" s="37">
        <f>'Core Indicators'!GY139</f>
        <v>0</v>
      </c>
      <c r="AC139" s="37">
        <f>'Core Indicators'!HG139</f>
        <v>0</v>
      </c>
      <c r="AD139" s="37">
        <f>'Core Indicators'!HO139</f>
        <v>2</v>
      </c>
      <c r="AE139" s="37">
        <f>'Core Indicators'!HW139</f>
        <v>2</v>
      </c>
      <c r="AF139" s="37">
        <f>'Core Indicators'!IE139</f>
        <v>3</v>
      </c>
      <c r="AG139" s="37">
        <f>'Core Indicators'!IM139</f>
        <v>0</v>
      </c>
    </row>
    <row r="140" spans="1:33" ht="20.100000000000001" customHeight="1" x14ac:dyDescent="0.3">
      <c r="A140" s="267" t="str">
        <f>'Core Indicators'!A:A</f>
        <v>Cyclone Harold in Vanuatu</v>
      </c>
      <c r="B140" s="267" t="str">
        <f>'Core Indicators'!B:B</f>
        <v>Tropical cyclone</v>
      </c>
      <c r="C140" s="267" t="str">
        <f>'Core Indicators'!C140</f>
        <v>VUT002</v>
      </c>
      <c r="D140" s="267" t="str">
        <f>'Core Indicators'!D140</f>
        <v>Vanuatu</v>
      </c>
      <c r="E140" s="267" t="str">
        <f>'Core Indicators'!E140</f>
        <v>VUT</v>
      </c>
      <c r="F140" s="37">
        <f>'Core Indicators'!O140</f>
        <v>10562</v>
      </c>
      <c r="G140" s="37">
        <f>'Core Indicators'!W140</f>
        <v>231000</v>
      </c>
      <c r="H140" s="37">
        <f>'Core Indicators'!AE140</f>
        <v>157000</v>
      </c>
      <c r="I140" s="37">
        <f>'Core Indicators'!AM140</f>
        <v>18000</v>
      </c>
      <c r="J140" s="37" t="str">
        <f>'Core Indicators'!AU140</f>
        <v>x</v>
      </c>
      <c r="K140" s="37" t="str">
        <f>'Core Indicators'!BC140</f>
        <v>x</v>
      </c>
      <c r="L140" s="37">
        <f>'Core Indicators'!BK140</f>
        <v>4</v>
      </c>
      <c r="M140" s="37" t="str">
        <f>'Core Indicators'!BS140</f>
        <v>x</v>
      </c>
      <c r="N140" s="37" t="str">
        <f>'Core Indicators'!CA140</f>
        <v>x</v>
      </c>
      <c r="O140" s="37" t="e">
        <f>'Core Indicators'!CI140</f>
        <v>#N/A</v>
      </c>
      <c r="P140" s="37" t="str">
        <f>'Core Indicators'!CQ140</f>
        <v>x</v>
      </c>
      <c r="Q140" s="37">
        <f>'Core Indicators'!DG140</f>
        <v>75000</v>
      </c>
      <c r="R140" s="37">
        <f>'Core Indicators'!DO140</f>
        <v>33000</v>
      </c>
      <c r="S140" s="37">
        <f>'Core Indicators'!DW140</f>
        <v>123000</v>
      </c>
      <c r="T140" s="37">
        <f>'Core Indicators'!EE140</f>
        <v>0</v>
      </c>
      <c r="U140" s="37">
        <f>'Core Indicators'!EM140</f>
        <v>0</v>
      </c>
      <c r="V140" s="37">
        <f>'Core Indicators'!FC140</f>
        <v>1</v>
      </c>
      <c r="W140" s="37" t="str">
        <f>'Core Indicators'!FK140</f>
        <v>x</v>
      </c>
      <c r="X140" s="37" t="str">
        <f>'Core Indicators'!FS140</f>
        <v>x</v>
      </c>
      <c r="Y140" s="37">
        <f>'Core Indicators'!GA140</f>
        <v>1</v>
      </c>
      <c r="Z140" s="37">
        <f>'Core Indicators'!GI140</f>
        <v>0</v>
      </c>
      <c r="AA140" s="37">
        <f>'Core Indicators'!GQ140</f>
        <v>0</v>
      </c>
      <c r="AB140" s="37">
        <f>'Core Indicators'!GY140</f>
        <v>0</v>
      </c>
      <c r="AC140" s="37">
        <f>'Core Indicators'!HG140</f>
        <v>0</v>
      </c>
      <c r="AD140" s="37">
        <f>'Core Indicators'!HO140</f>
        <v>0</v>
      </c>
      <c r="AE140" s="37">
        <f>'Core Indicators'!HW140</f>
        <v>0</v>
      </c>
      <c r="AF140" s="37">
        <f>'Core Indicators'!IE140</f>
        <v>0</v>
      </c>
      <c r="AG140" s="37">
        <f>'Core Indicators'!IM140</f>
        <v>3</v>
      </c>
    </row>
    <row r="141" spans="1:33" ht="20.100000000000001" customHeight="1" x14ac:dyDescent="0.3">
      <c r="A141" s="266" t="str">
        <f>'Core Indicators'!A:A</f>
        <v>Complex crisis in Venezuela</v>
      </c>
      <c r="B141" s="266" t="str">
        <f>'Core Indicators'!B:B</f>
        <v>Complex crisis</v>
      </c>
      <c r="C141" s="266" t="str">
        <f>'Core Indicators'!C141</f>
        <v>VEN001</v>
      </c>
      <c r="D141" s="266" t="str">
        <f>'Core Indicators'!D141</f>
        <v>Venezuela</v>
      </c>
      <c r="E141" s="266" t="str">
        <f>'Core Indicators'!E141</f>
        <v>VEN</v>
      </c>
      <c r="F141" s="36">
        <f>'Core Indicators'!O141</f>
        <v>882050</v>
      </c>
      <c r="G141" s="36">
        <f>'Core Indicators'!W141</f>
        <v>27365000</v>
      </c>
      <c r="H141" s="36">
        <f>'Core Indicators'!AE141</f>
        <v>27365000</v>
      </c>
      <c r="I141" s="36">
        <f>'Core Indicators'!AM141</f>
        <v>5490000</v>
      </c>
      <c r="J141" s="36" t="str">
        <f>'Core Indicators'!AU141</f>
        <v>x</v>
      </c>
      <c r="K141" s="36" t="str">
        <f>'Core Indicators'!BC141</f>
        <v>x</v>
      </c>
      <c r="L141" s="36">
        <f>'Core Indicators'!BK141</f>
        <v>8253</v>
      </c>
      <c r="M141" s="36" t="str">
        <f>'Core Indicators'!BS141</f>
        <v>x</v>
      </c>
      <c r="N141" s="36" t="str">
        <f>'Core Indicators'!CA141</f>
        <v>x</v>
      </c>
      <c r="O141" s="36" t="e">
        <f>'Core Indicators'!CI141</f>
        <v>#N/A</v>
      </c>
      <c r="P141" s="36">
        <f>'Core Indicators'!CQ141</f>
        <v>223750</v>
      </c>
      <c r="Q141" s="36">
        <f>'Core Indicators'!DG141</f>
        <v>13409000</v>
      </c>
      <c r="R141" s="36">
        <f>'Core Indicators'!DO141</f>
        <v>0</v>
      </c>
      <c r="S141" s="36">
        <f>'Core Indicators'!DW141</f>
        <v>13956000</v>
      </c>
      <c r="T141" s="36">
        <f>'Core Indicators'!EE141</f>
        <v>0</v>
      </c>
      <c r="U141" s="36">
        <f>'Core Indicators'!EM141</f>
        <v>0</v>
      </c>
      <c r="V141" s="36">
        <f>'Core Indicators'!FC141</f>
        <v>2</v>
      </c>
      <c r="W141" s="36" t="str">
        <f>'Core Indicators'!FK141</f>
        <v>x</v>
      </c>
      <c r="X141" s="36" t="str">
        <f>'Core Indicators'!FS141</f>
        <v>x</v>
      </c>
      <c r="Y141" s="36">
        <f>'Core Indicators'!GA141</f>
        <v>2</v>
      </c>
      <c r="Z141" s="36">
        <f>'Core Indicators'!GI141</f>
        <v>2</v>
      </c>
      <c r="AA141" s="36">
        <f>'Core Indicators'!GQ141</f>
        <v>3</v>
      </c>
      <c r="AB141" s="36">
        <f>'Core Indicators'!GY141</f>
        <v>0</v>
      </c>
      <c r="AC141" s="36">
        <f>'Core Indicators'!HG141</f>
        <v>2</v>
      </c>
      <c r="AD141" s="36">
        <f>'Core Indicators'!HO141</f>
        <v>2</v>
      </c>
      <c r="AE141" s="36">
        <f>'Core Indicators'!HW141</f>
        <v>2</v>
      </c>
      <c r="AF141" s="36">
        <f>'Core Indicators'!IE141</f>
        <v>0</v>
      </c>
      <c r="AG141" s="36">
        <f>'Core Indicators'!IM141</f>
        <v>3</v>
      </c>
    </row>
    <row r="142" spans="1:33" ht="19.350000000000001" customHeight="1" x14ac:dyDescent="0.3">
      <c r="A142" s="266" t="str">
        <f>'Core Indicators'!A:A</f>
        <v>Venezuela Regional Crisis</v>
      </c>
      <c r="B142" s="266" t="str">
        <f>'Core Indicators'!B:B</f>
        <v>Regional crisis</v>
      </c>
      <c r="C142" s="266" t="str">
        <f>'Core Indicators'!C142</f>
        <v>REG002</v>
      </c>
      <c r="D142" s="266" t="str">
        <f>'Core Indicators'!D142</f>
        <v>Venezuela, Brazil, Colombia, Ecuador, Peru, Trinidad and Tobago</v>
      </c>
      <c r="E142" s="266" t="str">
        <f>'Core Indicators'!E142</f>
        <v>VEN, BRA, COL, ECU, PER, TTO</v>
      </c>
      <c r="F142" s="36">
        <f>'Core Indicators'!O142</f>
        <v>1458646</v>
      </c>
      <c r="G142" s="36">
        <f>'Core Indicators'!W142</f>
        <v>78070000</v>
      </c>
      <c r="H142" s="36">
        <f>'Core Indicators'!AE142</f>
        <v>34304000</v>
      </c>
      <c r="I142" s="36">
        <f>'Core Indicators'!AM142</f>
        <v>5098000</v>
      </c>
      <c r="J142" s="36" t="str">
        <f>'Core Indicators'!AU142</f>
        <v>x</v>
      </c>
      <c r="K142" s="36" t="str">
        <f>'Core Indicators'!BC142</f>
        <v>x</v>
      </c>
      <c r="L142" s="36" t="str">
        <f>'Core Indicators'!BK142</f>
        <v>x</v>
      </c>
      <c r="M142" s="36">
        <f>'Core Indicators'!BS142</f>
        <v>0</v>
      </c>
      <c r="N142" s="36">
        <f>'Core Indicators'!CA142</f>
        <v>0</v>
      </c>
      <c r="O142" s="36" t="e">
        <f>'Core Indicators'!CI142</f>
        <v>#N/A</v>
      </c>
      <c r="P142" s="36" t="str">
        <f>'Core Indicators'!CQ142</f>
        <v>x</v>
      </c>
      <c r="Q142" s="36">
        <f>'Core Indicators'!DG142</f>
        <v>44631000</v>
      </c>
      <c r="R142" s="36">
        <f>'Core Indicators'!DO142</f>
        <v>14161000</v>
      </c>
      <c r="S142" s="36">
        <f>'Core Indicators'!DW142</f>
        <v>18778000</v>
      </c>
      <c r="T142" s="36">
        <f>'Core Indicators'!EE142</f>
        <v>500000</v>
      </c>
      <c r="U142" s="36">
        <f>'Core Indicators'!EM142</f>
        <v>0</v>
      </c>
      <c r="V142" s="36">
        <f>'Core Indicators'!FC142</f>
        <v>4</v>
      </c>
      <c r="W142" s="36" t="str">
        <f>'Core Indicators'!FK142</f>
        <v>x</v>
      </c>
      <c r="X142" s="36" t="str">
        <f>'Core Indicators'!FS142</f>
        <v>x</v>
      </c>
      <c r="Y142" s="36">
        <f>'Core Indicators'!GA142</f>
        <v>0</v>
      </c>
      <c r="Z142" s="36">
        <f>'Core Indicators'!GI142</f>
        <v>0</v>
      </c>
      <c r="AA142" s="36">
        <f>'Core Indicators'!GQ142</f>
        <v>0</v>
      </c>
      <c r="AB142" s="36">
        <f>'Core Indicators'!GY142</f>
        <v>2</v>
      </c>
      <c r="AC142" s="36">
        <f>'Core Indicators'!HG142</f>
        <v>0</v>
      </c>
      <c r="AD142" s="36">
        <f>'Core Indicators'!HO142</f>
        <v>0</v>
      </c>
      <c r="AE142" s="36">
        <f>'Core Indicators'!HW142</f>
        <v>0</v>
      </c>
      <c r="AF142" s="36" t="str">
        <f>'Core Indicators'!IE142</f>
        <v>x</v>
      </c>
      <c r="AG142" s="36">
        <f>'Core Indicators'!IM142</f>
        <v>0</v>
      </c>
    </row>
    <row r="143" spans="1:33" ht="19.350000000000001" customHeight="1" x14ac:dyDescent="0.3">
      <c r="A143" s="266" t="str">
        <f>'Core Indicators'!A:A</f>
        <v>Floods in central Vietnam</v>
      </c>
      <c r="B143" s="266" t="str">
        <f>'Core Indicators'!B:B</f>
        <v>Flood</v>
      </c>
      <c r="C143" s="266" t="str">
        <f>'Core Indicators'!C143</f>
        <v>VNM002</v>
      </c>
      <c r="D143" s="266" t="str">
        <f>'Core Indicators'!D143</f>
        <v>Vietnam</v>
      </c>
      <c r="E143" s="266" t="str">
        <f>'Core Indicators'!E143</f>
        <v>VNM</v>
      </c>
      <c r="F143" s="36">
        <f>'Core Indicators'!O143</f>
        <v>71467</v>
      </c>
      <c r="G143" s="36">
        <f>'Core Indicators'!W143</f>
        <v>7700000</v>
      </c>
      <c r="H143" s="36">
        <f>'Core Indicators'!AE143</f>
        <v>1500000</v>
      </c>
      <c r="I143" s="36">
        <f>'Core Indicators'!AM143</f>
        <v>375000</v>
      </c>
      <c r="J143" s="36" t="str">
        <f>'Core Indicators'!AU143</f>
        <v>x</v>
      </c>
      <c r="K143" s="36" t="str">
        <f>'Core Indicators'!BC143</f>
        <v>x</v>
      </c>
      <c r="L143" s="36">
        <f>'Core Indicators'!BK143</f>
        <v>214</v>
      </c>
      <c r="M143" s="36">
        <f>'Core Indicators'!BS143</f>
        <v>380000</v>
      </c>
      <c r="N143" s="36" t="str">
        <f>'Core Indicators'!CA143</f>
        <v>x</v>
      </c>
      <c r="O143" s="36" t="e">
        <f>'Core Indicators'!CI143</f>
        <v>#N/A</v>
      </c>
      <c r="P143" s="36" t="str">
        <f>'Core Indicators'!CQ143</f>
        <v>x</v>
      </c>
      <c r="Q143" s="36">
        <f>'Core Indicators'!DG143</f>
        <v>6200000</v>
      </c>
      <c r="R143" s="36">
        <f>'Core Indicators'!DO143</f>
        <v>1323000</v>
      </c>
      <c r="S143" s="36">
        <f>'Core Indicators'!DW143</f>
        <v>177000</v>
      </c>
      <c r="T143" s="36">
        <f>'Core Indicators'!EE143</f>
        <v>0</v>
      </c>
      <c r="U143" s="36">
        <f>'Core Indicators'!EM143</f>
        <v>0</v>
      </c>
      <c r="V143" s="36">
        <f>'Core Indicators'!FC143</f>
        <v>2</v>
      </c>
      <c r="W143" s="36" t="str">
        <f>'Core Indicators'!FK143</f>
        <v>x</v>
      </c>
      <c r="X143" s="36" t="str">
        <f>'Core Indicators'!FS143</f>
        <v>x</v>
      </c>
      <c r="Y143" s="36">
        <f>'Core Indicators'!GA143</f>
        <v>0</v>
      </c>
      <c r="Z143" s="36">
        <f>'Core Indicators'!GI143</f>
        <v>0</v>
      </c>
      <c r="AA143" s="36">
        <f>'Core Indicators'!GQ143</f>
        <v>0</v>
      </c>
      <c r="AB143" s="36">
        <f>'Core Indicators'!GY143</f>
        <v>0</v>
      </c>
      <c r="AC143" s="36">
        <f>'Core Indicators'!HG143</f>
        <v>0</v>
      </c>
      <c r="AD143" s="36">
        <f>'Core Indicators'!HO143</f>
        <v>0</v>
      </c>
      <c r="AE143" s="36">
        <f>'Core Indicators'!HW143</f>
        <v>0</v>
      </c>
      <c r="AF143" s="36">
        <f>'Core Indicators'!IE143</f>
        <v>0</v>
      </c>
      <c r="AG143" s="36">
        <f>'Core Indicators'!IM143</f>
        <v>3</v>
      </c>
    </row>
    <row r="144" spans="1:33" ht="19.350000000000001" customHeight="1" x14ac:dyDescent="0.3">
      <c r="A144" s="266" t="str">
        <f>'Core Indicators'!A:A</f>
        <v>Conflict in Yemen</v>
      </c>
      <c r="B144" s="266" t="str">
        <f>'Core Indicators'!B:B</f>
        <v>Complex crisis</v>
      </c>
      <c r="C144" s="266" t="str">
        <f>'Core Indicators'!C144</f>
        <v>YEM001</v>
      </c>
      <c r="D144" s="266" t="str">
        <f>'Core Indicators'!D144</f>
        <v>Yemen</v>
      </c>
      <c r="E144" s="266" t="str">
        <f>'Core Indicators'!E144</f>
        <v>YEM</v>
      </c>
      <c r="F144" s="36">
        <f>'Core Indicators'!O144</f>
        <v>527970</v>
      </c>
      <c r="G144" s="36">
        <f>'Core Indicators'!W144</f>
        <v>30500000</v>
      </c>
      <c r="H144" s="36">
        <f>'Core Indicators'!AE144</f>
        <v>30500000</v>
      </c>
      <c r="I144" s="36">
        <f>'Core Indicators'!AM144</f>
        <v>3650000</v>
      </c>
      <c r="J144" s="36">
        <f>'Core Indicators'!AU144</f>
        <v>586</v>
      </c>
      <c r="K144" s="36">
        <f>'Core Indicators'!BC144</f>
        <v>111494</v>
      </c>
      <c r="L144" s="36">
        <f>'Core Indicators'!BK144</f>
        <v>12205</v>
      </c>
      <c r="M144" s="36" t="str">
        <f>'Core Indicators'!BS144</f>
        <v>x</v>
      </c>
      <c r="N144" s="36" t="str">
        <f>'Core Indicators'!CA144</f>
        <v>x</v>
      </c>
      <c r="O144" s="36" t="e">
        <f>'Core Indicators'!CI144</f>
        <v>#N/A</v>
      </c>
      <c r="P144" s="36" t="str">
        <f>'Core Indicators'!CQ144</f>
        <v>x</v>
      </c>
      <c r="Q144" s="36">
        <f>'Core Indicators'!DG144</f>
        <v>0</v>
      </c>
      <c r="R144" s="36">
        <f>'Core Indicators'!DO144</f>
        <v>6337000</v>
      </c>
      <c r="S144" s="36">
        <f>'Core Indicators'!DW144</f>
        <v>9800000</v>
      </c>
      <c r="T144" s="36">
        <f>'Core Indicators'!EE144</f>
        <v>14300000</v>
      </c>
      <c r="U144" s="36">
        <f>'Core Indicators'!EM144</f>
        <v>64000</v>
      </c>
      <c r="V144" s="36">
        <f>'Core Indicators'!FC144</f>
        <v>5</v>
      </c>
      <c r="W144" s="36" t="str">
        <f>'Core Indicators'!FK144</f>
        <v>x</v>
      </c>
      <c r="X144" s="36" t="str">
        <f>'Core Indicators'!FS144</f>
        <v>x</v>
      </c>
      <c r="Y144" s="36">
        <f>'Core Indicators'!GA144</f>
        <v>2</v>
      </c>
      <c r="Z144" s="36">
        <f>'Core Indicators'!GI144</f>
        <v>3</v>
      </c>
      <c r="AA144" s="36">
        <f>'Core Indicators'!GQ144</f>
        <v>3</v>
      </c>
      <c r="AB144" s="36">
        <f>'Core Indicators'!GY144</f>
        <v>3</v>
      </c>
      <c r="AC144" s="36">
        <f>'Core Indicators'!HG144</f>
        <v>2</v>
      </c>
      <c r="AD144" s="36">
        <f>'Core Indicators'!HO144</f>
        <v>3</v>
      </c>
      <c r="AE144" s="36">
        <f>'Core Indicators'!HW144</f>
        <v>3</v>
      </c>
      <c r="AF144" s="36">
        <f>'Core Indicators'!IE144</f>
        <v>3</v>
      </c>
      <c r="AG144" s="36">
        <f>'Core Indicators'!IM144</f>
        <v>3</v>
      </c>
    </row>
    <row r="145" spans="1:33" x14ac:dyDescent="0.3">
      <c r="A145" s="266" t="str">
        <f>'Core Indicators'!A:A</f>
        <v>Mixed migration flows in Yemen</v>
      </c>
      <c r="B145" s="266" t="str">
        <f>'Core Indicators'!B:B</f>
        <v>International displacement</v>
      </c>
      <c r="C145" s="266" t="str">
        <f>'Core Indicators'!C145</f>
        <v>YEM002</v>
      </c>
      <c r="D145" s="266" t="str">
        <f>'Core Indicators'!D145</f>
        <v>Yemen</v>
      </c>
      <c r="E145" s="266" t="str">
        <f>'Core Indicators'!E145</f>
        <v>YEM</v>
      </c>
      <c r="F145" s="36">
        <f>'Core Indicators'!O145</f>
        <v>1240</v>
      </c>
      <c r="G145" s="36">
        <f>'Core Indicators'!W145</f>
        <v>4073000</v>
      </c>
      <c r="H145" s="36">
        <f>'Core Indicators'!AE145</f>
        <v>422000</v>
      </c>
      <c r="I145" s="36">
        <f>'Core Indicators'!AM145</f>
        <v>422000</v>
      </c>
      <c r="J145" s="36" t="str">
        <f>'Core Indicators'!AU145</f>
        <v>x</v>
      </c>
      <c r="K145" s="36">
        <f>'Core Indicators'!BC145</f>
        <v>552437</v>
      </c>
      <c r="L145" s="36">
        <f>'Core Indicators'!BK145</f>
        <v>17</v>
      </c>
      <c r="M145" s="36" t="str">
        <f>'Core Indicators'!BS145</f>
        <v>x</v>
      </c>
      <c r="N145" s="36" t="str">
        <f>'Core Indicators'!CA145</f>
        <v>x</v>
      </c>
      <c r="O145" s="36" t="e">
        <f>'Core Indicators'!CI145</f>
        <v>#N/A</v>
      </c>
      <c r="P145" s="36" t="str">
        <f>'Core Indicators'!CQ145</f>
        <v>x</v>
      </c>
      <c r="Q145" s="36">
        <f>'Core Indicators'!DG145</f>
        <v>3873000</v>
      </c>
      <c r="R145" s="36">
        <f>'Core Indicators'!DO145</f>
        <v>0</v>
      </c>
      <c r="S145" s="36">
        <f>'Core Indicators'!DW145</f>
        <v>245000</v>
      </c>
      <c r="T145" s="36">
        <f>'Core Indicators'!EE145</f>
        <v>177000</v>
      </c>
      <c r="U145" s="36">
        <f>'Core Indicators'!EM145</f>
        <v>0</v>
      </c>
      <c r="V145" s="36">
        <f>'Core Indicators'!FC145</f>
        <v>2</v>
      </c>
      <c r="W145" s="36" t="str">
        <f>'Core Indicators'!FK145</f>
        <v>x</v>
      </c>
      <c r="X145" s="36" t="str">
        <f>'Core Indicators'!FS145</f>
        <v>x</v>
      </c>
      <c r="Y145" s="36">
        <f>'Core Indicators'!GA145</f>
        <v>2</v>
      </c>
      <c r="Z145" s="36">
        <f>'Core Indicators'!GI145</f>
        <v>3</v>
      </c>
      <c r="AA145" s="36">
        <f>'Core Indicators'!GQ145</f>
        <v>3</v>
      </c>
      <c r="AB145" s="36">
        <f>'Core Indicators'!GY145</f>
        <v>3</v>
      </c>
      <c r="AC145" s="36">
        <f>'Core Indicators'!HG145</f>
        <v>2</v>
      </c>
      <c r="AD145" s="36">
        <f>'Core Indicators'!HO145</f>
        <v>3</v>
      </c>
      <c r="AE145" s="36">
        <f>'Core Indicators'!HW145</f>
        <v>3</v>
      </c>
      <c r="AF145" s="36">
        <f>'Core Indicators'!IE145</f>
        <v>3</v>
      </c>
      <c r="AG145" s="36">
        <f>'Core Indicators'!IM145</f>
        <v>3</v>
      </c>
    </row>
    <row r="146" spans="1:33" x14ac:dyDescent="0.3">
      <c r="A146" s="266" t="str">
        <f>'Core Indicators'!A:A</f>
        <v>Drought in Zambia</v>
      </c>
      <c r="B146" s="266" t="str">
        <f>'Core Indicators'!B:B</f>
        <v>Drought</v>
      </c>
      <c r="C146" s="266" t="str">
        <f>'Core Indicators'!C146</f>
        <v>ZMB002</v>
      </c>
      <c r="D146" s="266" t="str">
        <f>'Core Indicators'!D146</f>
        <v>Zambia</v>
      </c>
      <c r="E146" s="266" t="str">
        <f>'Core Indicators'!E146</f>
        <v>ZMB</v>
      </c>
      <c r="F146" s="36">
        <f>'Core Indicators'!O146</f>
        <v>626890</v>
      </c>
      <c r="G146" s="36">
        <f>'Core Indicators'!W146</f>
        <v>9480000</v>
      </c>
      <c r="H146" s="36">
        <f>'Core Indicators'!AE146</f>
        <v>3128000</v>
      </c>
      <c r="I146" s="36">
        <f>'Core Indicators'!AM146</f>
        <v>0</v>
      </c>
      <c r="J146" s="36">
        <f>'Core Indicators'!AU146</f>
        <v>0</v>
      </c>
      <c r="K146" s="36">
        <f>'Core Indicators'!BC146</f>
        <v>0</v>
      </c>
      <c r="L146" s="36" t="str">
        <f>'Core Indicators'!BK146</f>
        <v>x</v>
      </c>
      <c r="M146" s="36">
        <f>'Core Indicators'!BS146</f>
        <v>0</v>
      </c>
      <c r="N146" s="36">
        <f>'Core Indicators'!CA146</f>
        <v>0</v>
      </c>
      <c r="O146" s="36" t="e">
        <f>'Core Indicators'!CI146</f>
        <v>#N/A</v>
      </c>
      <c r="P146" s="36" t="str">
        <f>'Core Indicators'!CQ146</f>
        <v>x</v>
      </c>
      <c r="Q146" s="36">
        <f>'Core Indicators'!DG146</f>
        <v>4074000</v>
      </c>
      <c r="R146" s="36">
        <f>'Core Indicators'!DO146</f>
        <v>3128000</v>
      </c>
      <c r="S146" s="36">
        <f>'Core Indicators'!DW146</f>
        <v>1866000</v>
      </c>
      <c r="T146" s="36">
        <f>'Core Indicators'!EE146</f>
        <v>412000</v>
      </c>
      <c r="U146" s="36">
        <f>'Core Indicators'!EM146</f>
        <v>0</v>
      </c>
      <c r="V146" s="36">
        <f>'Core Indicators'!FC146</f>
        <v>3</v>
      </c>
      <c r="W146" s="36" t="str">
        <f>'Core Indicators'!FK146</f>
        <v>x</v>
      </c>
      <c r="X146" s="36" t="str">
        <f>'Core Indicators'!FS146</f>
        <v>x</v>
      </c>
      <c r="Y146" s="36">
        <f>'Core Indicators'!GA146</f>
        <v>0</v>
      </c>
      <c r="Z146" s="36">
        <f>'Core Indicators'!GI146</f>
        <v>0</v>
      </c>
      <c r="AA146" s="36">
        <f>'Core Indicators'!GQ146</f>
        <v>0</v>
      </c>
      <c r="AB146" s="36">
        <f>'Core Indicators'!GY146</f>
        <v>0</v>
      </c>
      <c r="AC146" s="36">
        <f>'Core Indicators'!HG146</f>
        <v>0</v>
      </c>
      <c r="AD146" s="36">
        <f>'Core Indicators'!HO146</f>
        <v>0</v>
      </c>
      <c r="AE146" s="36">
        <f>'Core Indicators'!HW146</f>
        <v>0</v>
      </c>
      <c r="AF146" s="36">
        <f>'Core Indicators'!IE146</f>
        <v>0</v>
      </c>
      <c r="AG146" s="36">
        <f>'Core Indicators'!IM146</f>
        <v>0</v>
      </c>
    </row>
    <row r="147" spans="1:33" x14ac:dyDescent="0.3">
      <c r="A147" s="266" t="str">
        <f>'Core Indicators'!A:A</f>
        <v>Complex crisis in Zimbabwe</v>
      </c>
      <c r="B147" s="266" t="str">
        <f>'Core Indicators'!B:B</f>
        <v>Complex crisis</v>
      </c>
      <c r="C147" s="266" t="str">
        <f>'Core Indicators'!C147</f>
        <v>ZWE001</v>
      </c>
      <c r="D147" s="266" t="str">
        <f>'Core Indicators'!D147</f>
        <v>Zimbabwe</v>
      </c>
      <c r="E147" s="266" t="str">
        <f>'Core Indicators'!E147</f>
        <v>ZWE</v>
      </c>
      <c r="F147" s="36">
        <f>'Core Indicators'!O147</f>
        <v>386847</v>
      </c>
      <c r="G147" s="36">
        <f>'Core Indicators'!W147</f>
        <v>15413000</v>
      </c>
      <c r="H147" s="36">
        <f>'Core Indicators'!AE147</f>
        <v>7000000</v>
      </c>
      <c r="I147" s="36">
        <f>'Core Indicators'!AM147</f>
        <v>21000</v>
      </c>
      <c r="J147" s="36">
        <f>'Core Indicators'!AU147</f>
        <v>0</v>
      </c>
      <c r="K147" s="36">
        <f>'Core Indicators'!BC147</f>
        <v>0</v>
      </c>
      <c r="L147" s="36">
        <f>'Core Indicators'!BK147</f>
        <v>14</v>
      </c>
      <c r="M147" s="36" t="str">
        <f>'Core Indicators'!BS147</f>
        <v>x</v>
      </c>
      <c r="N147" s="36" t="str">
        <f>'Core Indicators'!CA147</f>
        <v>x</v>
      </c>
      <c r="O147" s="36" t="e">
        <f>'Core Indicators'!CI147</f>
        <v>#N/A</v>
      </c>
      <c r="P147" s="36" t="str">
        <f>'Core Indicators'!CQ147</f>
        <v>X</v>
      </c>
      <c r="Q147" s="36">
        <f>'Core Indicators'!DG147</f>
        <v>8413000</v>
      </c>
      <c r="R147" s="36">
        <f>'Core Indicators'!DO147</f>
        <v>0</v>
      </c>
      <c r="S147" s="36">
        <f>'Core Indicators'!DW147</f>
        <v>7000000</v>
      </c>
      <c r="T147" s="36">
        <f>'Core Indicators'!EE147</f>
        <v>0</v>
      </c>
      <c r="U147" s="36">
        <f>'Core Indicators'!EM147</f>
        <v>0</v>
      </c>
      <c r="V147" s="36">
        <f>'Core Indicators'!FC147</f>
        <v>5</v>
      </c>
      <c r="W147" s="36" t="str">
        <f>'Core Indicators'!FK147</f>
        <v>X</v>
      </c>
      <c r="X147" s="36" t="str">
        <f>'Core Indicators'!FS147</f>
        <v>X</v>
      </c>
      <c r="Y147" s="36">
        <f>'Core Indicators'!GA147</f>
        <v>0</v>
      </c>
      <c r="Z147" s="36">
        <f>'Core Indicators'!GI147</f>
        <v>0</v>
      </c>
      <c r="AA147" s="36">
        <f>'Core Indicators'!GQ147</f>
        <v>0</v>
      </c>
      <c r="AB147" s="36">
        <f>'Core Indicators'!GY147</f>
        <v>0</v>
      </c>
      <c r="AC147" s="36">
        <f>'Core Indicators'!HG147</f>
        <v>0</v>
      </c>
      <c r="AD147" s="36">
        <f>'Core Indicators'!HO147</f>
        <v>0</v>
      </c>
      <c r="AE147" s="36">
        <f>'Core Indicators'!HW147</f>
        <v>0</v>
      </c>
      <c r="AF147" s="36" t="str">
        <f>'Core Indicators'!IE147</f>
        <v>x</v>
      </c>
      <c r="AG147" s="36">
        <f>'Core Indicators'!IM147</f>
        <v>2</v>
      </c>
    </row>
    <row r="148" spans="1:33" x14ac:dyDescent="0.3">
      <c r="A148" s="266" t="str">
        <f>'Core Indicators'!A:A</f>
        <v>Malaria Outbreak in Zimbabwe</v>
      </c>
      <c r="B148" s="266" t="str">
        <f>'Core Indicators'!B:B</f>
        <v>Epidemic</v>
      </c>
      <c r="C148" s="266" t="str">
        <f>'Core Indicators'!C148</f>
        <v>ZWE003</v>
      </c>
      <c r="D148" s="266" t="str">
        <f>'Core Indicators'!D148</f>
        <v>Zimbabwe</v>
      </c>
      <c r="E148" s="266" t="str">
        <f>'Core Indicators'!E148</f>
        <v>ZWE</v>
      </c>
      <c r="F148" s="36">
        <f>'Core Indicators'!O148</f>
        <v>125255</v>
      </c>
      <c r="G148" s="36">
        <f>'Core Indicators'!W148</f>
        <v>4781000</v>
      </c>
      <c r="H148" s="36">
        <f>'Core Indicators'!AE148</f>
        <v>357000</v>
      </c>
      <c r="I148" s="36" t="str">
        <f>'Core Indicators'!AM148</f>
        <v>x</v>
      </c>
      <c r="J148" s="36" t="str">
        <f>'Core Indicators'!AU148</f>
        <v>x</v>
      </c>
      <c r="K148" s="36">
        <f>'Core Indicators'!BC148</f>
        <v>356666</v>
      </c>
      <c r="L148" s="36">
        <f>'Core Indicators'!BK148</f>
        <v>361</v>
      </c>
      <c r="M148" s="36" t="str">
        <f>'Core Indicators'!BS148</f>
        <v>x</v>
      </c>
      <c r="N148" s="36" t="str">
        <f>'Core Indicators'!CA148</f>
        <v>x</v>
      </c>
      <c r="O148" s="36" t="e">
        <f>'Core Indicators'!CI148</f>
        <v>#N/A</v>
      </c>
      <c r="P148" s="36" t="str">
        <f>'Core Indicators'!CQ148</f>
        <v>x</v>
      </c>
      <c r="Q148" s="36">
        <f>'Core Indicators'!DG148</f>
        <v>4425000</v>
      </c>
      <c r="R148" s="36">
        <f>'Core Indicators'!DO148</f>
        <v>0</v>
      </c>
      <c r="S148" s="36">
        <f>'Core Indicators'!DW148</f>
        <v>357000</v>
      </c>
      <c r="T148" s="36">
        <f>'Core Indicators'!EE148</f>
        <v>0</v>
      </c>
      <c r="U148" s="36">
        <f>'Core Indicators'!EM148</f>
        <v>0</v>
      </c>
      <c r="V148" s="36">
        <f>'Core Indicators'!FC148</f>
        <v>2</v>
      </c>
      <c r="W148" s="36" t="e">
        <f>'Core Indicators'!FK148</f>
        <v>#N/A</v>
      </c>
      <c r="X148" s="36" t="e">
        <f>'Core Indicators'!FS148</f>
        <v>#N/A</v>
      </c>
      <c r="Y148" s="36" t="str">
        <f>'Core Indicators'!GA148</f>
        <v>x</v>
      </c>
      <c r="Z148" s="36" t="str">
        <f>'Core Indicators'!GI148</f>
        <v>x</v>
      </c>
      <c r="AA148" s="36" t="str">
        <f>'Core Indicators'!GQ148</f>
        <v>x</v>
      </c>
      <c r="AB148" s="36" t="str">
        <f>'Core Indicators'!GY148</f>
        <v>x</v>
      </c>
      <c r="AC148" s="36" t="str">
        <f>'Core Indicators'!HG148</f>
        <v>x</v>
      </c>
      <c r="AD148" s="36" t="str">
        <f>'Core Indicators'!HO148</f>
        <v>x</v>
      </c>
      <c r="AE148" s="36" t="str">
        <f>'Core Indicators'!HW148</f>
        <v>x</v>
      </c>
      <c r="AF148" s="36" t="str">
        <f>'Core Indicators'!IE148</f>
        <v>x</v>
      </c>
      <c r="AG148" s="36" t="str">
        <f>'Core Indicators'!IM148</f>
        <v>x</v>
      </c>
    </row>
    <row r="149" spans="1:33" x14ac:dyDescent="0.3">
      <c r="A149" s="266">
        <f>'Core Indicators'!A:A</f>
        <v>0</v>
      </c>
      <c r="B149" s="266">
        <f>'Core Indicators'!B:B</f>
        <v>0</v>
      </c>
      <c r="C149" s="266">
        <f>'Core Indicators'!C149</f>
        <v>0</v>
      </c>
      <c r="D149" s="266">
        <f>'Core Indicators'!D149</f>
        <v>0</v>
      </c>
      <c r="E149" s="266">
        <f>'Core Indicators'!E149</f>
        <v>0</v>
      </c>
      <c r="F149" s="36">
        <f>'Core Indicators'!O149</f>
        <v>0</v>
      </c>
      <c r="G149" s="36">
        <f>'Core Indicators'!W149</f>
        <v>0</v>
      </c>
      <c r="H149" s="36">
        <f>'Core Indicators'!AE149</f>
        <v>0</v>
      </c>
      <c r="I149" s="36">
        <f>'Core Indicators'!AM149</f>
        <v>0</v>
      </c>
      <c r="J149" s="36">
        <f>'Core Indicators'!AU149</f>
        <v>0</v>
      </c>
      <c r="K149" s="36">
        <f>'Core Indicators'!BC149</f>
        <v>0</v>
      </c>
      <c r="L149" s="36">
        <f>'Core Indicators'!BK149</f>
        <v>0</v>
      </c>
      <c r="M149" s="36">
        <f>'Core Indicators'!BS149</f>
        <v>0</v>
      </c>
      <c r="N149" s="36">
        <f>'Core Indicators'!CA149</f>
        <v>0</v>
      </c>
      <c r="O149" s="36">
        <f>'Core Indicators'!CI149</f>
        <v>0</v>
      </c>
      <c r="P149" s="36">
        <f>'Core Indicators'!CQ149</f>
        <v>0</v>
      </c>
      <c r="Q149" s="36">
        <f>'Core Indicators'!DG149</f>
        <v>0</v>
      </c>
      <c r="R149" s="36">
        <f>'Core Indicators'!DO149</f>
        <v>0</v>
      </c>
      <c r="S149" s="36">
        <f>'Core Indicators'!DW149</f>
        <v>0</v>
      </c>
      <c r="T149" s="36">
        <f>'Core Indicators'!EE149</f>
        <v>0</v>
      </c>
      <c r="U149" s="36">
        <f>'Core Indicators'!EM149</f>
        <v>0</v>
      </c>
      <c r="V149" s="36">
        <f>'Core Indicators'!FC149</f>
        <v>0</v>
      </c>
      <c r="W149" s="36">
        <f>'Core Indicators'!FK149</f>
        <v>0</v>
      </c>
      <c r="X149" s="36">
        <f>'Core Indicators'!FS149</f>
        <v>0</v>
      </c>
      <c r="Y149" s="36">
        <f>'Core Indicators'!GA149</f>
        <v>0</v>
      </c>
      <c r="Z149" s="36">
        <f>'Core Indicators'!GI149</f>
        <v>0</v>
      </c>
      <c r="AA149" s="36">
        <f>'Core Indicators'!GQ149</f>
        <v>0</v>
      </c>
      <c r="AB149" s="36">
        <f>'Core Indicators'!GY149</f>
        <v>0</v>
      </c>
      <c r="AC149" s="36">
        <f>'Core Indicators'!HG149</f>
        <v>0</v>
      </c>
      <c r="AD149" s="36">
        <f>'Core Indicators'!HO149</f>
        <v>0</v>
      </c>
      <c r="AE149" s="36">
        <f>'Core Indicators'!HW149</f>
        <v>0</v>
      </c>
      <c r="AF149" s="36">
        <f>'Core Indicators'!IE149</f>
        <v>0</v>
      </c>
      <c r="AG149" s="36">
        <f>'Core Indicators'!IM149</f>
        <v>0</v>
      </c>
    </row>
    <row r="150" spans="1:33" x14ac:dyDescent="0.3">
      <c r="A150" s="266">
        <f>'Core Indicators'!A:A</f>
        <v>0</v>
      </c>
      <c r="B150" s="266">
        <f>'Core Indicators'!B:B</f>
        <v>0</v>
      </c>
      <c r="C150" s="266">
        <f>'Core Indicators'!C150</f>
        <v>0</v>
      </c>
      <c r="D150" s="266">
        <f>'Core Indicators'!D150</f>
        <v>0</v>
      </c>
      <c r="E150" s="266">
        <f>'Core Indicators'!E150</f>
        <v>0</v>
      </c>
      <c r="F150" s="36">
        <f>'Core Indicators'!O150</f>
        <v>0</v>
      </c>
      <c r="G150" s="36">
        <f>'Core Indicators'!W150</f>
        <v>0</v>
      </c>
      <c r="H150" s="36">
        <f>'Core Indicators'!AE150</f>
        <v>0</v>
      </c>
      <c r="I150" s="36">
        <f>'Core Indicators'!AM150</f>
        <v>0</v>
      </c>
      <c r="J150" s="36">
        <f>'Core Indicators'!AU150</f>
        <v>0</v>
      </c>
      <c r="K150" s="36">
        <f>'Core Indicators'!BC150</f>
        <v>0</v>
      </c>
      <c r="L150" s="36">
        <f>'Core Indicators'!BK150</f>
        <v>0</v>
      </c>
      <c r="M150" s="36">
        <f>'Core Indicators'!BS150</f>
        <v>0</v>
      </c>
      <c r="N150" s="36">
        <f>'Core Indicators'!CA150</f>
        <v>0</v>
      </c>
      <c r="O150" s="36">
        <f>'Core Indicators'!CI150</f>
        <v>0</v>
      </c>
      <c r="P150" s="36">
        <f>'Core Indicators'!CQ150</f>
        <v>0</v>
      </c>
      <c r="Q150" s="36">
        <f>'Core Indicators'!DG150</f>
        <v>0</v>
      </c>
      <c r="R150" s="36">
        <f>'Core Indicators'!DO150</f>
        <v>0</v>
      </c>
      <c r="S150" s="36">
        <f>'Core Indicators'!DW150</f>
        <v>0</v>
      </c>
      <c r="T150" s="36">
        <f>'Core Indicators'!EE150</f>
        <v>0</v>
      </c>
      <c r="U150" s="36">
        <f>'Core Indicators'!EM150</f>
        <v>0</v>
      </c>
      <c r="V150" s="36">
        <f>'Core Indicators'!FC150</f>
        <v>0</v>
      </c>
      <c r="W150" s="36">
        <f>'Core Indicators'!FK150</f>
        <v>0</v>
      </c>
      <c r="X150" s="36">
        <f>'Core Indicators'!FS150</f>
        <v>0</v>
      </c>
      <c r="Y150" s="36">
        <f>'Core Indicators'!GA150</f>
        <v>0</v>
      </c>
      <c r="Z150" s="36">
        <f>'Core Indicators'!GI150</f>
        <v>0</v>
      </c>
      <c r="AA150" s="36">
        <f>'Core Indicators'!GQ150</f>
        <v>0</v>
      </c>
      <c r="AB150" s="36">
        <f>'Core Indicators'!GY150</f>
        <v>0</v>
      </c>
      <c r="AC150" s="36">
        <f>'Core Indicators'!HG150</f>
        <v>0</v>
      </c>
      <c r="AD150" s="36">
        <f>'Core Indicators'!HO150</f>
        <v>0</v>
      </c>
      <c r="AE150" s="36">
        <f>'Core Indicators'!HW150</f>
        <v>0</v>
      </c>
      <c r="AF150" s="36">
        <f>'Core Indicators'!IE150</f>
        <v>0</v>
      </c>
      <c r="AG150" s="36">
        <f>'Core Indicators'!IM150</f>
        <v>0</v>
      </c>
    </row>
    <row r="151" spans="1:33" x14ac:dyDescent="0.3">
      <c r="A151" s="266">
        <f>'Core Indicators'!A:A</f>
        <v>0</v>
      </c>
      <c r="B151" s="266">
        <f>'Core Indicators'!B:B</f>
        <v>0</v>
      </c>
      <c r="C151" s="266">
        <f>'Core Indicators'!C151</f>
        <v>0</v>
      </c>
      <c r="D151" s="266">
        <f>'Core Indicators'!D151</f>
        <v>0</v>
      </c>
      <c r="E151" s="266">
        <f>'Core Indicators'!E151</f>
        <v>0</v>
      </c>
      <c r="F151" s="36">
        <f>'Core Indicators'!O151</f>
        <v>0</v>
      </c>
      <c r="G151" s="36">
        <f>'Core Indicators'!W151</f>
        <v>0</v>
      </c>
      <c r="H151" s="36">
        <f>'Core Indicators'!AE151</f>
        <v>0</v>
      </c>
      <c r="I151" s="36">
        <f>'Core Indicators'!AM151</f>
        <v>0</v>
      </c>
      <c r="J151" s="36">
        <f>'Core Indicators'!AU151</f>
        <v>0</v>
      </c>
      <c r="K151" s="36">
        <f>'Core Indicators'!BC151</f>
        <v>0</v>
      </c>
      <c r="L151" s="36">
        <f>'Core Indicators'!BK151</f>
        <v>0</v>
      </c>
      <c r="M151" s="36">
        <f>'Core Indicators'!BS151</f>
        <v>0</v>
      </c>
      <c r="N151" s="36">
        <f>'Core Indicators'!CA151</f>
        <v>0</v>
      </c>
      <c r="O151" s="36">
        <f>'Core Indicators'!CI151</f>
        <v>0</v>
      </c>
      <c r="P151" s="36">
        <f>'Core Indicators'!CQ151</f>
        <v>0</v>
      </c>
      <c r="Q151" s="36">
        <f>'Core Indicators'!DG151</f>
        <v>0</v>
      </c>
      <c r="R151" s="36">
        <f>'Core Indicators'!DO151</f>
        <v>0</v>
      </c>
      <c r="S151" s="36">
        <f>'Core Indicators'!DW151</f>
        <v>0</v>
      </c>
      <c r="T151" s="36">
        <f>'Core Indicators'!EE151</f>
        <v>0</v>
      </c>
      <c r="U151" s="36">
        <f>'Core Indicators'!EM151</f>
        <v>0</v>
      </c>
      <c r="V151" s="36">
        <f>'Core Indicators'!FC151</f>
        <v>0</v>
      </c>
      <c r="W151" s="36">
        <f>'Core Indicators'!FK151</f>
        <v>0</v>
      </c>
      <c r="X151" s="36">
        <f>'Core Indicators'!FS151</f>
        <v>0</v>
      </c>
      <c r="Y151" s="36">
        <f>'Core Indicators'!GA151</f>
        <v>0</v>
      </c>
      <c r="Z151" s="36">
        <f>'Core Indicators'!GI151</f>
        <v>0</v>
      </c>
      <c r="AA151" s="36">
        <f>'Core Indicators'!GQ151</f>
        <v>0</v>
      </c>
      <c r="AB151" s="36">
        <f>'Core Indicators'!GY151</f>
        <v>0</v>
      </c>
      <c r="AC151" s="36">
        <f>'Core Indicators'!HG151</f>
        <v>0</v>
      </c>
      <c r="AD151" s="36">
        <f>'Core Indicators'!HO151</f>
        <v>0</v>
      </c>
      <c r="AE151" s="36">
        <f>'Core Indicators'!HW151</f>
        <v>0</v>
      </c>
      <c r="AF151" s="36">
        <f>'Core Indicators'!IE151</f>
        <v>0</v>
      </c>
      <c r="AG151" s="36">
        <f>'Core Indicators'!IM151</f>
        <v>0</v>
      </c>
    </row>
    <row r="152" spans="1:33" x14ac:dyDescent="0.3">
      <c r="A152" s="266">
        <f>'Core Indicators'!A:A</f>
        <v>0</v>
      </c>
      <c r="B152" s="266">
        <f>'Core Indicators'!B:B</f>
        <v>0</v>
      </c>
      <c r="C152" s="266">
        <f>'Core Indicators'!C152</f>
        <v>0</v>
      </c>
      <c r="D152" s="266">
        <f>'Core Indicators'!D152</f>
        <v>0</v>
      </c>
      <c r="E152" s="266">
        <f>'Core Indicators'!E152</f>
        <v>0</v>
      </c>
      <c r="F152" s="36">
        <f>'Core Indicators'!O152</f>
        <v>0</v>
      </c>
      <c r="G152" s="36">
        <f>'Core Indicators'!W152</f>
        <v>0</v>
      </c>
      <c r="H152" s="36">
        <f>'Core Indicators'!AE152</f>
        <v>0</v>
      </c>
      <c r="I152" s="36">
        <f>'Core Indicators'!AM152</f>
        <v>0</v>
      </c>
      <c r="J152" s="36">
        <f>'Core Indicators'!AU152</f>
        <v>0</v>
      </c>
      <c r="K152" s="36">
        <f>'Core Indicators'!BC152</f>
        <v>0</v>
      </c>
      <c r="L152" s="36">
        <f>'Core Indicators'!BK152</f>
        <v>0</v>
      </c>
      <c r="M152" s="36">
        <f>'Core Indicators'!BS152</f>
        <v>0</v>
      </c>
      <c r="N152" s="36">
        <f>'Core Indicators'!CA152</f>
        <v>0</v>
      </c>
      <c r="O152" s="36">
        <f>'Core Indicators'!CI152</f>
        <v>0</v>
      </c>
      <c r="P152" s="36">
        <f>'Core Indicators'!CQ152</f>
        <v>0</v>
      </c>
      <c r="Q152" s="36">
        <f>'Core Indicators'!DG152</f>
        <v>0</v>
      </c>
      <c r="R152" s="36">
        <f>'Core Indicators'!DO152</f>
        <v>0</v>
      </c>
      <c r="S152" s="36">
        <f>'Core Indicators'!DW152</f>
        <v>0</v>
      </c>
      <c r="T152" s="36">
        <f>'Core Indicators'!EE152</f>
        <v>0</v>
      </c>
      <c r="U152" s="36">
        <f>'Core Indicators'!EM152</f>
        <v>0</v>
      </c>
      <c r="V152" s="36">
        <f>'Core Indicators'!FC152</f>
        <v>0</v>
      </c>
      <c r="W152" s="36">
        <f>'Core Indicators'!FK152</f>
        <v>0</v>
      </c>
      <c r="X152" s="36">
        <f>'Core Indicators'!FS152</f>
        <v>0</v>
      </c>
      <c r="Y152" s="36">
        <f>'Core Indicators'!GA152</f>
        <v>0</v>
      </c>
      <c r="Z152" s="36">
        <f>'Core Indicators'!GI152</f>
        <v>0</v>
      </c>
      <c r="AA152" s="36">
        <f>'Core Indicators'!GQ152</f>
        <v>0</v>
      </c>
      <c r="AB152" s="36">
        <f>'Core Indicators'!GY152</f>
        <v>0</v>
      </c>
      <c r="AC152" s="36">
        <f>'Core Indicators'!HG152</f>
        <v>0</v>
      </c>
      <c r="AD152" s="36">
        <f>'Core Indicators'!HO152</f>
        <v>0</v>
      </c>
      <c r="AE152" s="36">
        <f>'Core Indicators'!HW152</f>
        <v>0</v>
      </c>
      <c r="AF152" s="36">
        <f>'Core Indicators'!IE152</f>
        <v>0</v>
      </c>
      <c r="AG152" s="36">
        <f>'Core Indicators'!IM152</f>
        <v>0</v>
      </c>
    </row>
    <row r="153" spans="1:33" x14ac:dyDescent="0.3">
      <c r="A153" s="266">
        <f>'Core Indicators'!A:A</f>
        <v>0</v>
      </c>
      <c r="B153" s="266">
        <f>'Core Indicators'!B:B</f>
        <v>0</v>
      </c>
      <c r="C153" s="266">
        <f>'Core Indicators'!C153</f>
        <v>0</v>
      </c>
      <c r="D153" s="266">
        <f>'Core Indicators'!D153</f>
        <v>0</v>
      </c>
      <c r="E153" s="266">
        <f>'Core Indicators'!E153</f>
        <v>0</v>
      </c>
      <c r="F153" s="36">
        <f>'Core Indicators'!O153</f>
        <v>0</v>
      </c>
      <c r="G153" s="36">
        <f>'Core Indicators'!W153</f>
        <v>0</v>
      </c>
      <c r="H153" s="36">
        <f>'Core Indicators'!AE153</f>
        <v>0</v>
      </c>
      <c r="I153" s="36">
        <f>'Core Indicators'!AM153</f>
        <v>0</v>
      </c>
      <c r="J153" s="36">
        <f>'Core Indicators'!AU153</f>
        <v>0</v>
      </c>
      <c r="K153" s="36">
        <f>'Core Indicators'!BC153</f>
        <v>0</v>
      </c>
      <c r="L153" s="36">
        <f>'Core Indicators'!BK153</f>
        <v>0</v>
      </c>
      <c r="M153" s="36">
        <f>'Core Indicators'!BS153</f>
        <v>0</v>
      </c>
      <c r="N153" s="36">
        <f>'Core Indicators'!CA153</f>
        <v>0</v>
      </c>
      <c r="O153" s="36">
        <f>'Core Indicators'!CI153</f>
        <v>0</v>
      </c>
      <c r="P153" s="36">
        <f>'Core Indicators'!CQ153</f>
        <v>0</v>
      </c>
      <c r="Q153" s="36">
        <f>'Core Indicators'!DG153</f>
        <v>0</v>
      </c>
      <c r="R153" s="36">
        <f>'Core Indicators'!DO153</f>
        <v>0</v>
      </c>
      <c r="S153" s="36">
        <f>'Core Indicators'!DW153</f>
        <v>0</v>
      </c>
      <c r="T153" s="36">
        <f>'Core Indicators'!EE153</f>
        <v>0</v>
      </c>
      <c r="U153" s="36">
        <f>'Core Indicators'!EM153</f>
        <v>0</v>
      </c>
      <c r="V153" s="36">
        <f>'Core Indicators'!FC153</f>
        <v>0</v>
      </c>
      <c r="W153" s="36">
        <f>'Core Indicators'!FK153</f>
        <v>0</v>
      </c>
      <c r="X153" s="36">
        <f>'Core Indicators'!FS153</f>
        <v>0</v>
      </c>
      <c r="Y153" s="36">
        <f>'Core Indicators'!GA153</f>
        <v>0</v>
      </c>
      <c r="Z153" s="36">
        <f>'Core Indicators'!GI153</f>
        <v>0</v>
      </c>
      <c r="AA153" s="36">
        <f>'Core Indicators'!GQ153</f>
        <v>0</v>
      </c>
      <c r="AB153" s="36">
        <f>'Core Indicators'!GY153</f>
        <v>0</v>
      </c>
      <c r="AC153" s="36">
        <f>'Core Indicators'!HG153</f>
        <v>0</v>
      </c>
      <c r="AD153" s="36">
        <f>'Core Indicators'!HO153</f>
        <v>0</v>
      </c>
      <c r="AE153" s="36">
        <f>'Core Indicators'!HW153</f>
        <v>0</v>
      </c>
      <c r="AF153" s="36">
        <f>'Core Indicators'!IE153</f>
        <v>0</v>
      </c>
      <c r="AG153" s="36">
        <f>'Core Indicators'!IM153</f>
        <v>0</v>
      </c>
    </row>
    <row r="154" spans="1:33" x14ac:dyDescent="0.3">
      <c r="A154" s="266">
        <f>'Core Indicators'!A:A</f>
        <v>0</v>
      </c>
      <c r="B154" s="266">
        <f>'Core Indicators'!B:B</f>
        <v>0</v>
      </c>
      <c r="C154" s="266">
        <f>'Core Indicators'!C154</f>
        <v>0</v>
      </c>
      <c r="D154" s="266">
        <f>'Core Indicators'!D154</f>
        <v>0</v>
      </c>
      <c r="E154" s="266">
        <f>'Core Indicators'!E154</f>
        <v>0</v>
      </c>
      <c r="F154" s="36">
        <f>'Core Indicators'!O154</f>
        <v>0</v>
      </c>
      <c r="G154" s="36">
        <f>'Core Indicators'!W154</f>
        <v>0</v>
      </c>
      <c r="H154" s="36">
        <f>'Core Indicators'!AE154</f>
        <v>0</v>
      </c>
      <c r="I154" s="36">
        <f>'Core Indicators'!AM154</f>
        <v>0</v>
      </c>
      <c r="J154" s="36">
        <f>'Core Indicators'!AU154</f>
        <v>0</v>
      </c>
      <c r="K154" s="36">
        <f>'Core Indicators'!BC154</f>
        <v>0</v>
      </c>
      <c r="L154" s="36">
        <f>'Core Indicators'!BK154</f>
        <v>0</v>
      </c>
      <c r="M154" s="36">
        <f>'Core Indicators'!BS154</f>
        <v>0</v>
      </c>
      <c r="N154" s="36">
        <f>'Core Indicators'!CA154</f>
        <v>0</v>
      </c>
      <c r="O154" s="36">
        <f>'Core Indicators'!CI154</f>
        <v>0</v>
      </c>
      <c r="P154" s="36">
        <f>'Core Indicators'!CQ154</f>
        <v>0</v>
      </c>
      <c r="Q154" s="36">
        <f>'Core Indicators'!DG154</f>
        <v>0</v>
      </c>
      <c r="R154" s="36">
        <f>'Core Indicators'!DO154</f>
        <v>0</v>
      </c>
      <c r="S154" s="36">
        <f>'Core Indicators'!DW154</f>
        <v>0</v>
      </c>
      <c r="T154" s="36">
        <f>'Core Indicators'!EE154</f>
        <v>0</v>
      </c>
      <c r="U154" s="36">
        <f>'Core Indicators'!EM154</f>
        <v>0</v>
      </c>
      <c r="V154" s="36">
        <f>'Core Indicators'!FC154</f>
        <v>0</v>
      </c>
      <c r="W154" s="36">
        <f>'Core Indicators'!FK154</f>
        <v>0</v>
      </c>
      <c r="X154" s="36">
        <f>'Core Indicators'!FS154</f>
        <v>0</v>
      </c>
      <c r="Y154" s="36">
        <f>'Core Indicators'!GA154</f>
        <v>0</v>
      </c>
      <c r="Z154" s="36">
        <f>'Core Indicators'!GI154</f>
        <v>0</v>
      </c>
      <c r="AA154" s="36">
        <f>'Core Indicators'!GQ154</f>
        <v>0</v>
      </c>
      <c r="AB154" s="36">
        <f>'Core Indicators'!GY154</f>
        <v>0</v>
      </c>
      <c r="AC154" s="36">
        <f>'Core Indicators'!HG154</f>
        <v>0</v>
      </c>
      <c r="AD154" s="36">
        <f>'Core Indicators'!HO154</f>
        <v>0</v>
      </c>
      <c r="AE154" s="36">
        <f>'Core Indicators'!HW154</f>
        <v>0</v>
      </c>
      <c r="AF154" s="36">
        <f>'Core Indicators'!IE154</f>
        <v>0</v>
      </c>
      <c r="AG154" s="36">
        <f>'Core Indicators'!IM154</f>
        <v>0</v>
      </c>
    </row>
    <row r="155" spans="1:33" x14ac:dyDescent="0.3">
      <c r="A155" s="266">
        <f>'Core Indicators'!A:A</f>
        <v>0</v>
      </c>
      <c r="B155" s="266">
        <f>'Core Indicators'!B:B</f>
        <v>0</v>
      </c>
      <c r="C155" s="266">
        <f>'Core Indicators'!C155</f>
        <v>0</v>
      </c>
      <c r="D155" s="266">
        <f>'Core Indicators'!D155</f>
        <v>0</v>
      </c>
      <c r="E155" s="266">
        <f>'Core Indicators'!E155</f>
        <v>0</v>
      </c>
      <c r="F155" s="36">
        <f>'Core Indicators'!O155</f>
        <v>0</v>
      </c>
      <c r="G155" s="36">
        <f>'Core Indicators'!W155</f>
        <v>0</v>
      </c>
      <c r="H155" s="36">
        <f>'Core Indicators'!AE155</f>
        <v>0</v>
      </c>
      <c r="I155" s="36">
        <f>'Core Indicators'!AM155</f>
        <v>0</v>
      </c>
      <c r="J155" s="36">
        <f>'Core Indicators'!AU155</f>
        <v>0</v>
      </c>
      <c r="K155" s="36">
        <f>'Core Indicators'!BC155</f>
        <v>0</v>
      </c>
      <c r="L155" s="36">
        <f>'Core Indicators'!BK155</f>
        <v>0</v>
      </c>
      <c r="M155" s="36">
        <f>'Core Indicators'!BS155</f>
        <v>0</v>
      </c>
      <c r="N155" s="36">
        <f>'Core Indicators'!CA155</f>
        <v>0</v>
      </c>
      <c r="O155" s="36">
        <f>'Core Indicators'!CI155</f>
        <v>0</v>
      </c>
      <c r="P155" s="36">
        <f>'Core Indicators'!CQ155</f>
        <v>0</v>
      </c>
      <c r="Q155" s="36">
        <f>'Core Indicators'!DG155</f>
        <v>0</v>
      </c>
      <c r="R155" s="36">
        <f>'Core Indicators'!DO155</f>
        <v>0</v>
      </c>
      <c r="S155" s="36">
        <f>'Core Indicators'!DW155</f>
        <v>0</v>
      </c>
      <c r="T155" s="36">
        <f>'Core Indicators'!EE155</f>
        <v>0</v>
      </c>
      <c r="U155" s="36">
        <f>'Core Indicators'!EM155</f>
        <v>0</v>
      </c>
      <c r="V155" s="36">
        <f>'Core Indicators'!FC155</f>
        <v>0</v>
      </c>
      <c r="W155" s="36">
        <f>'Core Indicators'!FK155</f>
        <v>0</v>
      </c>
      <c r="X155" s="36">
        <f>'Core Indicators'!FS155</f>
        <v>0</v>
      </c>
      <c r="Y155" s="36">
        <f>'Core Indicators'!GA155</f>
        <v>0</v>
      </c>
      <c r="Z155" s="36">
        <f>'Core Indicators'!GI155</f>
        <v>0</v>
      </c>
      <c r="AA155" s="36">
        <f>'Core Indicators'!GQ155</f>
        <v>0</v>
      </c>
      <c r="AB155" s="36">
        <f>'Core Indicators'!GY155</f>
        <v>0</v>
      </c>
      <c r="AC155" s="36">
        <f>'Core Indicators'!HG155</f>
        <v>0</v>
      </c>
      <c r="AD155" s="36">
        <f>'Core Indicators'!HO155</f>
        <v>0</v>
      </c>
      <c r="AE155" s="36">
        <f>'Core Indicators'!HW155</f>
        <v>0</v>
      </c>
      <c r="AF155" s="36">
        <f>'Core Indicators'!IE155</f>
        <v>0</v>
      </c>
      <c r="AG155" s="36">
        <f>'Core Indicators'!IM155</f>
        <v>0</v>
      </c>
    </row>
    <row r="156" spans="1:33" x14ac:dyDescent="0.3">
      <c r="A156" s="266">
        <f>'Core Indicators'!A:A</f>
        <v>0</v>
      </c>
      <c r="B156" s="266">
        <f>'Core Indicators'!B:B</f>
        <v>0</v>
      </c>
      <c r="C156" s="266">
        <f>'Core Indicators'!C156</f>
        <v>0</v>
      </c>
      <c r="D156" s="266">
        <f>'Core Indicators'!D156</f>
        <v>0</v>
      </c>
      <c r="E156" s="266">
        <f>'Core Indicators'!E156</f>
        <v>0</v>
      </c>
      <c r="F156" s="36">
        <f>'Core Indicators'!O156</f>
        <v>0</v>
      </c>
      <c r="G156" s="36">
        <f>'Core Indicators'!W156</f>
        <v>0</v>
      </c>
      <c r="H156" s="36">
        <f>'Core Indicators'!AE156</f>
        <v>0</v>
      </c>
      <c r="I156" s="36">
        <f>'Core Indicators'!AM156</f>
        <v>0</v>
      </c>
      <c r="J156" s="36">
        <f>'Core Indicators'!AU156</f>
        <v>0</v>
      </c>
      <c r="K156" s="36">
        <f>'Core Indicators'!BC156</f>
        <v>0</v>
      </c>
      <c r="L156" s="36">
        <f>'Core Indicators'!BK156</f>
        <v>0</v>
      </c>
      <c r="M156" s="36">
        <f>'Core Indicators'!BS156</f>
        <v>0</v>
      </c>
      <c r="N156" s="36">
        <f>'Core Indicators'!CA156</f>
        <v>0</v>
      </c>
      <c r="O156" s="36">
        <f>'Core Indicators'!CI156</f>
        <v>0</v>
      </c>
      <c r="P156" s="36">
        <f>'Core Indicators'!CQ156</f>
        <v>0</v>
      </c>
      <c r="Q156" s="36">
        <f>'Core Indicators'!DG156</f>
        <v>0</v>
      </c>
      <c r="R156" s="36">
        <f>'Core Indicators'!DO156</f>
        <v>0</v>
      </c>
      <c r="S156" s="36">
        <f>'Core Indicators'!DW156</f>
        <v>0</v>
      </c>
      <c r="T156" s="36">
        <f>'Core Indicators'!EE156</f>
        <v>0</v>
      </c>
      <c r="U156" s="36">
        <f>'Core Indicators'!EM156</f>
        <v>0</v>
      </c>
      <c r="V156" s="36">
        <f>'Core Indicators'!FC156</f>
        <v>0</v>
      </c>
      <c r="W156" s="36">
        <f>'Core Indicators'!FK156</f>
        <v>0</v>
      </c>
      <c r="X156" s="36">
        <f>'Core Indicators'!FS156</f>
        <v>0</v>
      </c>
      <c r="Y156" s="36">
        <f>'Core Indicators'!GA156</f>
        <v>0</v>
      </c>
      <c r="Z156" s="36">
        <f>'Core Indicators'!GI156</f>
        <v>0</v>
      </c>
      <c r="AA156" s="36">
        <f>'Core Indicators'!GQ156</f>
        <v>0</v>
      </c>
      <c r="AB156" s="36">
        <f>'Core Indicators'!GY156</f>
        <v>0</v>
      </c>
      <c r="AC156" s="36">
        <f>'Core Indicators'!HG156</f>
        <v>0</v>
      </c>
      <c r="AD156" s="36">
        <f>'Core Indicators'!HO156</f>
        <v>0</v>
      </c>
      <c r="AE156" s="36">
        <f>'Core Indicators'!HW156</f>
        <v>0</v>
      </c>
      <c r="AF156" s="36">
        <f>'Core Indicators'!IE156</f>
        <v>0</v>
      </c>
      <c r="AG156" s="36">
        <f>'Core Indicators'!IM156</f>
        <v>0</v>
      </c>
    </row>
  </sheetData>
  <sortState xmlns:xlrd2="http://schemas.microsoft.com/office/spreadsheetml/2017/richdata2"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2.xml><?xml version="1.0" encoding="utf-8"?>
<ds:datastoreItem xmlns:ds="http://schemas.openxmlformats.org/officeDocument/2006/customXml" ds:itemID="{8850A5BB-0885-4143-B1B7-95789DED7035}">
  <ds:schemaRefs>
    <ds:schemaRef ds:uri="http://purl.org/dc/dcmitype/"/>
    <ds:schemaRef ds:uri="a1e1550b-80a1-470e-a22e-4dd25c1bfd05"/>
    <ds:schemaRef ds:uri="http://purl.org/dc/terms/"/>
    <ds:schemaRef ds:uri="http://schemas.microsoft.com/office/2006/documentManagement/types"/>
    <ds:schemaRef ds:uri="http://www.w3.org/XML/1998/namespace"/>
    <ds:schemaRef ds:uri="cb5bba5a-0e74-4075-81f9-e243a297deff"/>
    <ds:schemaRef ds:uri="http://schemas.openxmlformats.org/package/2006/metadata/core-properties"/>
    <ds:schemaRef ds:uri="http://schemas.microsoft.com/office/2006/metadata/properti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B327FED2-D35A-47F6-A0C8-FCE1A0C66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Regional Crises</vt:lpstr>
      <vt:lpstr>Reliability</vt:lpstr>
      <vt:lpstr>Data Reliability</vt:lpstr>
      <vt:lpstr>Reliability_updated</vt:lpstr>
      <vt:lpstr>Trends</vt:lpstr>
      <vt:lpstr>Indicator Metadata</vt:lpstr>
      <vt:lpstr>Crisis info</vt:lpstr>
      <vt:lpstr>Lists</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2020-11-06T08:55:55Z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